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sheets/sheet25.xml" ContentType="application/vnd.openxmlformats-officedocument.spreadsheetml.worksheet+xml"/>
  <Override PartName="/xl/tables/table17.xml" ContentType="application/vnd.openxmlformats-officedocument.spreadsheetml.table+xml"/>
  <Override PartName="/xl/worksheets/sheet26.xml" ContentType="application/vnd.openxmlformats-officedocument.spreadsheetml.worksheet+xml"/>
  <Override PartName="/xl/tables/table1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TTAFCallOff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TTAFOutgoing" sheetId="21" state="hidden" r:id="rId21"/>
    <sheet name="Grid_SelfBalance" sheetId="22" state="hidden" r:id="rId22"/>
    <sheet name="Grid_TTAFBalance" sheetId="23" state="hidden" r:id="rId23"/>
    <sheet name="Grid_Stock" sheetId="24" state="hidden" r:id="rId24"/>
    <sheet name="T_SelfStock_Log" sheetId="25" state="hidden" r:id="rId25"/>
    <sheet name="T_TTAFStock_Log" sheetId="26" state="hidden" r:id="rId2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5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4" authorId="0" shapeId="0">
      <text>
        <t>MOQ(最小発注量)を入力してください（手書きでOK）</t>
      </text>
    </comment>
    <comment ref="C219" authorId="0" shapeId="0">
      <text>
        <t>MOQ(最小発注量)を入力してください（手書きでOK）</t>
      </text>
    </comment>
    <comment ref="C340" authorId="0" shapeId="0">
      <text>
        <t>MOQ(最小発注量)を入力してください（手書きでOK）</t>
      </text>
    </comment>
    <comment ref="C449" authorId="0" shapeId="0">
      <text>
        <t>MOQ(最小発注量)を入力してください（手書きでOK）</t>
      </text>
    </comment>
    <comment ref="C470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500" authorId="0" shapeId="0">
      <text>
        <t>MOQ(最小発注量)を入力してください（手書きでOK）</t>
      </text>
    </comment>
    <comment ref="C547" authorId="0" shapeId="0">
      <text>
        <t>MOQ(最小発注量)を入力してください（手書きでOK）</t>
      </text>
    </comment>
    <comment ref="C580" authorId="0" shapeId="0">
      <text>
        <t>MOQ(最小発注量)を入力してください（手書きでOK）</t>
      </text>
    </comment>
    <comment ref="C643" authorId="0" shapeId="0">
      <text>
        <t>MOQ(最小発注量)を入力してください（手書きでOK）</t>
      </text>
    </comment>
    <comment ref="C670" authorId="0" shapeId="0">
      <text>
        <t>MOQ(最小発注量)を入力してください（手書きでOK）</t>
      </text>
    </comment>
    <comment ref="C697" authorId="0" shapeId="0">
      <text>
        <t>MOQ(最小発注量)を入力してください（手書きでOK）</t>
      </text>
    </comment>
    <comment ref="C710" authorId="0" shapeId="0">
      <text>
        <t>MOQ(最小発注量)を入力してください（手書きでOK）</t>
      </text>
    </comment>
    <comment ref="C759" authorId="0" shapeId="0">
      <text>
        <t>MOQ(最小発注量)を入力してください（手書きでOK）</t>
      </text>
    </comment>
    <comment ref="C820" authorId="0" shapeId="0">
      <text>
        <t>MOQ(最小発注量)を入力してください（手書きでOK）</t>
      </text>
    </comment>
    <comment ref="C833" authorId="0" shapeId="0">
      <text>
        <t>MOQ(最小発注量)を入力してください（手書きでOK）</t>
      </text>
    </comment>
    <comment ref="C878" authorId="0" shapeId="0">
      <text>
        <t>MOQ(最小発注量)を入力してください（手書きでOK）</t>
      </text>
    </comment>
    <comment ref="C905" authorId="0" shapeId="0">
      <text>
        <t>MOQ(最小発注量)を入力してください（手書きでOK）</t>
      </text>
    </comment>
    <comment ref="C940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982" authorId="0" shapeId="0">
      <text>
        <t>MOQ(最小発注量)を入力してください（手書きでOK）</t>
      </text>
    </comment>
    <comment ref="C995" authorId="0" shapeId="0">
      <text>
        <t>MOQ(最小発注量)を入力してください（手書きでOK）</t>
      </text>
    </comment>
    <comment ref="C1006" authorId="0" shapeId="0">
      <text>
        <t>MOQ(最小発注量)を入力してください（手書きでOK）</t>
      </text>
    </comment>
    <comment ref="C1015" authorId="0" shapeId="0">
      <text>
        <t>MOQ(最小発注量)を入力してください（手書きでOK）</t>
      </text>
    </comment>
    <comment ref="C1024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2" authorId="0" shapeId="0">
      <text>
        <t>MOQ(最小発注量)を入力してください（手書きでOK）</t>
      </text>
    </comment>
    <comment ref="C1051" authorId="0" shapeId="0">
      <text>
        <t>MOQ(最小発注量)を入力してください（手書きでOK）</t>
      </text>
    </comment>
    <comment ref="C1060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42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H245" headerRowCount="1">
  <autoFilter ref="A1:H245"/>
  <tableColumns count="8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</tableColumns>
  <tableStyleInfo name="TableStyleMedium9" showRowStripes="1"/>
</table>
</file>

<file path=xl/tables/table2.xml><?xml version="1.0" encoding="utf-8"?>
<table xmlns="http://schemas.openxmlformats.org/spreadsheetml/2006/main" id="2" name="T_TTAFCallOff" displayName="T_TTAFCallOff" ref="A1:E2" headerRowCount="1">
  <autoFilter ref="A1:E2"/>
  <tableColumns count="5">
    <tableColumn id="1" name="Part Name"/>
    <tableColumn id="2" name="TTAF_Code"/>
    <tableColumn id="3" name="Delivery_Date"/>
    <tableColumn id="4" name="WeekIndex"/>
    <tableColumn id="5" name="PCS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TTAFOutgoing" displayName="Grid_TTAFOutgo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elfBalance" displayName="Grid_SelfBalance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Grid_TTAFBalance" displayName="Grid_TTAFBalance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6.xml><?xml version="1.0" encoding="utf-8"?>
<table xmlns="http://schemas.openxmlformats.org/spreadsheetml/2006/main" id="16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7.xml><?xml version="1.0" encoding="utf-8"?>
<table xmlns="http://schemas.openxmlformats.org/spreadsheetml/2006/main" id="17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8.xml><?xml version="1.0" encoding="utf-8"?>
<table xmlns="http://schemas.openxmlformats.org/spreadsheetml/2006/main" id="18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TTAFCallOff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発注・着荷の入力（TTAF供給材料はTTAF倉庫への到着実績を表す）</t>
        </is>
      </c>
    </row>
    <row r="9">
      <c r="A9" s="3" t="inlineStr">
        <is>
          <t>▶ T_TTAFCallOff - TTAFへの出庫依頼(Call Off)実績。RefreshTTAFCallOffで自動更新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合計使用量の下にTTAF在庫実績・自社在庫実績・合計在庫(週末時点)の週次推移も表示されます。</t>
        </is>
      </c>
    </row>
    <row r="37">
      <c r="A37" t="inlineStr">
        <is>
          <t xml:space="preserve">                        HideInactiveIntermediatesマクロ(要ボタン設定)で、指定期間ずっと生産予定の無い</t>
        </is>
      </c>
    </row>
    <row r="38">
      <c r="A38" t="inlineStr">
        <is>
          <t xml:space="preserve">                        中間体の行を折りたためます（在庫関連の行は常に表示されたままです）。</t>
        </is>
      </c>
    </row>
    <row r="39">
      <c r="A39" t="inlineStr">
        <is>
          <t xml:space="preserve">  PO_Draft_*          : 要発注分を注文書ひな形に自動転記</t>
        </is>
      </c>
    </row>
    <row r="40">
      <c r="A40" t="inlineStr">
        <is>
          <t xml:space="preserve">  T_Shipments         : 発注・着荷の入力。TTAF供給材料については「TTAF倉庫への到着実績」を</t>
        </is>
      </c>
    </row>
    <row r="41">
      <c r="A41" t="inlineStr">
        <is>
          <t xml:space="preserve">                        表します(TTAFは仕入先であり倉庫でもあるため。弊社への入庫実績は</t>
        </is>
      </c>
    </row>
    <row r="42">
      <c r="A42" t="inlineStr">
        <is>
          <t xml:space="preserve">                        T_TTAFCallOffで別管理)。TTAF以外の材料は従来通り弊社への入庫実績です。</t>
        </is>
      </c>
    </row>
    <row r="43">
      <c r="A43" t="inlineStr">
        <is>
          <t xml:space="preserve">  T_TTAFCallOff       : TTAFからの出庫依頼(Call Off)実績の一覧表示（出力・閲覧用）。</t>
        </is>
      </c>
    </row>
    <row r="44">
      <c r="A44" t="inlineStr">
        <is>
          <t xml:space="preserve">                        RefreshTTAFCallOffで更新されます。手入力はしないでください。</t>
        </is>
      </c>
    </row>
    <row r="45">
      <c r="A45" t="inlineStr">
        <is>
          <t xml:space="preserve">  T_OpeningStock/T_StockCount : 入力用</t>
        </is>
      </c>
    </row>
    <row r="46">
      <c r="A46" t="inlineStr">
        <is>
          <t xml:space="preserve">  T_SelfStock/T_TTAFStock : 材料×週のグリッドで自社/TTAF在庫実績を表示（出力・閲覧用）。</t>
        </is>
      </c>
    </row>
    <row r="47">
      <c r="A47" t="inlineStr">
        <is>
          <t xml:space="preserve">                        RefreshSelfStock/RefreshTTAFStockで更新されます。手入力はしないでください</t>
        </is>
      </c>
    </row>
    <row r="48">
      <c r="A48" t="inlineStr">
        <is>
          <t xml:space="preserve">                        （生データは非表示のT_SelfStock_Log/T_TTAFStock_Logに安全に保存されています）。</t>
        </is>
      </c>
    </row>
    <row r="49">
      <c r="A49" t="inlineStr"/>
    </row>
    <row r="50">
      <c r="A50" t="inlineStr">
        <is>
          <t xml:space="preserve">  M_RawMaterials・M_BOM・PP_Grid・Grid_Stock・その他非表示シートは内部計算用です。通常は開く必要はありません。</t>
        </is>
      </c>
    </row>
    <row r="51">
      <c r="A51" t="inlineStr">
        <is>
          <t xml:space="preserve">  Grid_Stockは、TTAF供給材料に限り「自社側残高(Grid_SelfBalance)+TTAF側残高(Grid_TTAFBalance)」の</t>
        </is>
      </c>
    </row>
    <row r="52">
      <c r="A52" t="inlineStr">
        <is>
          <t xml:space="preserve">  合計です。TTAFからの入庫を単純加算すると、TTAF倉庫側で既にカウント済みの在庫を二重計上して</t>
        </is>
      </c>
    </row>
    <row r="53">
      <c r="A53" t="inlineStr">
        <is>
          <t xml:space="preserve">  しまう(発注タイミングを見誤る恐れがある)ため、TTAFへの入庫(T_Shipments)とTTAFからの出庫</t>
        </is>
      </c>
    </row>
    <row r="54">
      <c r="A54" t="inlineStr">
        <is>
          <t xml:space="preserve">  (T_TTAFCallOff)を別々に転がして合算する方式にしています。</t>
        </is>
      </c>
    </row>
    <row r="55">
      <c r="A55" t="inlineStr"/>
    </row>
    <row r="56">
      <c r="A56" t="inlineStr">
        <is>
          <t>【重要】原単位・バッチ数・自社/TTAF在庫・Call OffはPythonを使わず、Excel(VBA)マクロだけで更新できます。</t>
        </is>
      </c>
    </row>
    <row r="57">
      <c r="A57" t="inlineStr">
        <is>
          <t xml:space="preserve">  macros/RefreshData.bas を導入し、RefreshWeeklyBatches / RefreshBOM / RefreshSelfStock /</t>
        </is>
      </c>
    </row>
    <row r="58">
      <c r="A58" t="inlineStr">
        <is>
          <t xml:space="preserve">  RefreshTTAFStock / RefreshTTAFCallOff を実行してください（対象ファイルを選ぶだけです。</t>
        </is>
      </c>
    </row>
    <row r="59">
      <c r="A59" t="inlineStr">
        <is>
          <t xml:space="preserve">  詳細はdocs/SOH_System_Guide.md、未検証のため要動作確認）。</t>
        </is>
      </c>
    </row>
    <row r="60">
      <c r="A60" t="inlineStr">
        <is>
          <t xml:space="preserve">  T_Shipments・T_OpeningStock・T_StockCount等には一切触れません。</t>
        </is>
      </c>
    </row>
    <row r="61">
      <c r="A61" t="inlineStr">
        <is>
          <t xml:space="preserve">  Material_Detailの中間体の行を隠す/戻すHideInactiveIntermediates / ShowAllIntermediatesは、</t>
        </is>
      </c>
    </row>
    <row r="62">
      <c r="A62" t="inlineStr">
        <is>
          <t xml:space="preserve">  ボタンへの割り当てが必要な一度だけの手動設定です（詳細はdocs/SOH_System_Guide.md）。</t>
        </is>
      </c>
    </row>
    <row r="63">
      <c r="A63" t="inlineStr"/>
    </row>
    <row r="64">
      <c r="A64" t="inlineStr">
        <is>
          <t>【毎月の運用】</t>
        </is>
      </c>
    </row>
    <row r="65">
      <c r="A65" t="inlineStr">
        <is>
          <t xml:space="preserve">  1. 「Powder &amp; Slurry &amp; Pgm Plan」の新しい月版でRefreshWeeklyBatchesを実行</t>
        </is>
      </c>
    </row>
    <row r="66">
      <c r="A66" t="inlineStr">
        <is>
          <t xml:space="preserve">  2. 「Usage from Production Engineering」が更新されていればRefreshBOMを実行</t>
        </is>
      </c>
    </row>
    <row r="67">
      <c r="A67" t="inlineStr">
        <is>
          <t xml:space="preserve">  3. 自社倉庫の現物確認を実施したらRefreshSelfStockを実行</t>
        </is>
      </c>
    </row>
    <row r="68">
      <c r="A68" t="inlineStr">
        <is>
          <t xml:space="preserve">  4. CSA Reportが届いたらRefreshTTAFStockを実行し、T_Shipments のETA/着荷日/PO番号/発注日も更新</t>
        </is>
      </c>
    </row>
    <row r="69">
      <c r="A69" t="inlineStr">
        <is>
          <t xml:space="preserve">  5. TTAFへCall Offを依頼したら(修正・キャンセル含む)RefreshTTAFCallOffを実行</t>
        </is>
      </c>
    </row>
    <row r="70">
      <c r="A70" t="inlineStr">
        <is>
          <t xml:space="preserve">  6. 棚卸を実施したらT_StockCountに実測値を追記（Date列に実施日を入力。WeekIndex列は自動計算）</t>
        </is>
      </c>
    </row>
    <row r="71">
      <c r="A71" t="inlineStr">
        <is>
          <t xml:space="preserve">  7. Dashboardで赤色(基準在庫の下限未満)の週を確認し、PO_Draft_*から注文書を出力</t>
        </is>
      </c>
    </row>
    <row r="72">
      <c r="A72" t="inlineStr">
        <is>
          <t xml:space="preserve">  8. 月初は、前月最終週と当月頭のDashboardを見比べて在庫差異を確認（Plan Increase and Decrease /</t>
        </is>
      </c>
    </row>
    <row r="73">
      <c r="A73" t="inlineStr">
        <is>
          <t xml:space="preserve">     Inventory Releasesの報告フォーマットに転記）</t>
        </is>
      </c>
    </row>
    <row r="74">
      <c r="A74" t="inlineStr"/>
    </row>
    <row r="75">
      <c r="A75" t="inlineStr">
        <is>
          <t>【前提・要確認事項】詳細はdocs/SOH_System_Guide.mdを参照</t>
        </is>
      </c>
    </row>
    <row r="76">
      <c r="A76" t="inlineStr">
        <is>
          <t xml:space="preserve">  - M_RawMaterials の基準在庫(下限/上限)とLeadTime_Weeksは仮値(0)です。実際の水準に置き換えてください</t>
        </is>
      </c>
    </row>
    <row r="77">
      <c r="A77" t="inlineStr">
        <is>
          <t xml:space="preserve">    （Dashboardの週次セルの赤/緑/青の色分けに使われます）。</t>
        </is>
      </c>
    </row>
    <row r="78">
      <c r="A78" t="inlineStr">
        <is>
          <t xml:space="preserve">  - Categoryの割り当て(Chemical/Hazardous Chemical/Substrate)は入手データから機械的に推定した部分があります。要レビュー。</t>
        </is>
      </c>
    </row>
    <row r="79">
      <c r="A79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IFERROR(LOOKUP(2,1/('T_SelfStock'!$B$6:$DA$6&lt;&gt;""),'T_SelfStock'!$B$6:$DA$6),"")</f>
        <v/>
      </c>
      <c r="G7" s="12">
        <f>IFERROR(LOOKUP(2,1/('T_TTAFStock'!$B$6:$DA$6&lt;&gt;""),'T_TTAFStock'!$B$6:$DA$6),"")</f>
        <v/>
      </c>
      <c r="H7" s="12">
        <f>IFERROR(LOOKUP(2,1/('T_SelfStock'!$B$6:$DA$6&lt;&gt;""),'T_SelfStock'!$B$5:$DA$5),"")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IFERROR(LOOKUP(2,1/('T_SelfStock'!$B$7:$DA$7&lt;&gt;""),'T_SelfStock'!$B$7:$DA$7),"")</f>
        <v/>
      </c>
      <c r="G8" s="13">
        <f>IFERROR(LOOKUP(2,1/('T_TTAFStock'!$B$7:$DA$7&lt;&gt;""),'T_TTAFStock'!$B$7:$DA$7),"")</f>
        <v/>
      </c>
      <c r="H8" s="13">
        <f>IFERROR(LOOKUP(2,1/('T_SelfStock'!$B$7:$DA$7&lt;&gt;""),'T_SelfStock'!$B$5:$DA$5),"")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IFERROR(LOOKUP(2,1/('T_SelfStock'!$B$8:$DA$8&lt;&gt;""),'T_SelfStock'!$B$8:$DA$8),"")</f>
        <v/>
      </c>
      <c r="G9" s="12">
        <f>IFERROR(LOOKUP(2,1/('T_TTAFStock'!$B$8:$DA$8&lt;&gt;""),'T_TTAFStock'!$B$8:$DA$8),"")</f>
        <v/>
      </c>
      <c r="H9" s="12">
        <f>IFERROR(LOOKUP(2,1/('T_SelfStock'!$B$8:$DA$8&lt;&gt;""),'T_SelfStock'!$B$5:$DA$5),"")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IFERROR(LOOKUP(2,1/('T_SelfStock'!$B$9:$DA$9&lt;&gt;""),'T_SelfStock'!$B$9:$DA$9),"")</f>
        <v/>
      </c>
      <c r="G10" s="13">
        <f>IFERROR(LOOKUP(2,1/('T_TTAFStock'!$B$9:$DA$9&lt;&gt;""),'T_TTAFStock'!$B$9:$DA$9),"")</f>
        <v/>
      </c>
      <c r="H10" s="13">
        <f>IFERROR(LOOKUP(2,1/('T_SelfStock'!$B$9:$DA$9&lt;&gt;""),'T_SelfStock'!$B$5:$DA$5),"")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IFERROR(LOOKUP(2,1/('T_SelfStock'!$B$10:$DA$10&lt;&gt;""),'T_SelfStock'!$B$10:$DA$10),"")</f>
        <v/>
      </c>
      <c r="G11" s="12">
        <f>IFERROR(LOOKUP(2,1/('T_TTAFStock'!$B$10:$DA$10&lt;&gt;""),'T_TTAFStock'!$B$10:$DA$10),"")</f>
        <v/>
      </c>
      <c r="H11" s="12">
        <f>IFERROR(LOOKUP(2,1/('T_SelfStock'!$B$10:$DA$10&lt;&gt;""),'T_SelfStock'!$B$5:$DA$5),"")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IFERROR(LOOKUP(2,1/('T_SelfStock'!$B$11:$DA$11&lt;&gt;""),'T_SelfStock'!$B$11:$DA$11),"")</f>
        <v/>
      </c>
      <c r="G12" s="13">
        <f>IFERROR(LOOKUP(2,1/('T_TTAFStock'!$B$11:$DA$11&lt;&gt;""),'T_TTAFStock'!$B$11:$DA$11),"")</f>
        <v/>
      </c>
      <c r="H12" s="13">
        <f>IFERROR(LOOKUP(2,1/('T_SelfStock'!$B$11:$DA$11&lt;&gt;""),'T_SelfStock'!$B$5:$DA$5),"")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IFERROR(LOOKUP(2,1/('T_SelfStock'!$B$12:$DA$12&lt;&gt;""),'T_SelfStock'!$B$12:$DA$12),"")</f>
        <v/>
      </c>
      <c r="G13" s="12">
        <f>IFERROR(LOOKUP(2,1/('T_TTAFStock'!$B$12:$DA$12&lt;&gt;""),'T_TTAFStock'!$B$12:$DA$12),"")</f>
        <v/>
      </c>
      <c r="H13" s="12">
        <f>IFERROR(LOOKUP(2,1/('T_SelfStock'!$B$12:$DA$12&lt;&gt;""),'T_SelfStock'!$B$5:$DA$5),"")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IFERROR(LOOKUP(2,1/('T_SelfStock'!$B$13:$DA$13&lt;&gt;""),'T_SelfStock'!$B$13:$DA$13),"")</f>
        <v/>
      </c>
      <c r="G14" s="13">
        <f>IFERROR(LOOKUP(2,1/('T_TTAFStock'!$B$13:$DA$13&lt;&gt;""),'T_TTAFStock'!$B$13:$DA$13),"")</f>
        <v/>
      </c>
      <c r="H14" s="13">
        <f>IFERROR(LOOKUP(2,1/('T_SelfStock'!$B$13:$DA$13&lt;&gt;""),'T_SelfStock'!$B$5:$DA$5),"")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IFERROR(LOOKUP(2,1/('T_SelfStock'!$B$14:$DA$14&lt;&gt;""),'T_SelfStock'!$B$14:$DA$14),"")</f>
        <v/>
      </c>
      <c r="G15" s="12">
        <f>IFERROR(LOOKUP(2,1/('T_TTAFStock'!$B$14:$DA$14&lt;&gt;""),'T_TTAFStock'!$B$14:$DA$14),"")</f>
        <v/>
      </c>
      <c r="H15" s="12">
        <f>IFERROR(LOOKUP(2,1/('T_SelfStock'!$B$14:$DA$14&lt;&gt;""),'T_SelfStock'!$B$5:$DA$5),"")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4HL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IFERROR(LOOKUP(2,1/('T_SelfStock'!$B$15:$DA$15&lt;&gt;""),'T_SelfStock'!$B$15:$DA$15),"")</f>
        <v/>
      </c>
      <c r="G16" s="13">
        <f>IFERROR(LOOKUP(2,1/('T_TTAFStock'!$B$15:$DA$15&lt;&gt;""),'T_TTAFStock'!$B$15:$DA$15),"")</f>
        <v/>
      </c>
      <c r="H16" s="13">
        <f>IFERROR(LOOKUP(2,1/('T_SelfStock'!$B$15:$DA$15&lt;&gt;""),'T_SelfStock'!$B$5:$DA$5),"")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1EK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IFERROR(LOOKUP(2,1/('T_SelfStock'!$B$16:$DA$16&lt;&gt;""),'T_SelfStock'!$B$16:$DA$16),"")</f>
        <v/>
      </c>
      <c r="G17" s="12">
        <f>IFERROR(LOOKUP(2,1/('T_TTAFStock'!$B$16:$DA$16&lt;&gt;""),'T_TTAFStock'!$B$16:$DA$16),"")</f>
        <v/>
      </c>
      <c r="H17" s="12">
        <f>IFERROR(LOOKUP(2,1/('T_SelfStock'!$B$16:$DA$16&lt;&gt;""),'T_SelfStock'!$B$5:$DA$5),"")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7CL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IFERROR(LOOKUP(2,1/('T_SelfStock'!$B$17:$DA$17&lt;&gt;""),'T_SelfStock'!$B$17:$DA$17),"")</f>
        <v/>
      </c>
      <c r="G18" s="13">
        <f>IFERROR(LOOKUP(2,1/('T_TTAFStock'!$B$17:$DA$17&lt;&gt;""),'T_TTAFStock'!$B$17:$DA$17),"")</f>
        <v/>
      </c>
      <c r="H18" s="13">
        <f>IFERROR(LOOKUP(2,1/('T_SelfStock'!$B$17:$DA$17&lt;&gt;""),'T_SelfStock'!$B$5:$DA$5),"")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9RN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IFERROR(LOOKUP(2,1/('T_SelfStock'!$B$18:$DA$18&lt;&gt;""),'T_SelfStock'!$B$18:$DA$18),"")</f>
        <v/>
      </c>
      <c r="G19" s="12">
        <f>IFERROR(LOOKUP(2,1/('T_TTAFStock'!$B$18:$DA$18&lt;&gt;""),'T_TTAFStock'!$B$18:$DA$18),"")</f>
        <v/>
      </c>
      <c r="H19" s="12">
        <f>IFERROR(LOOKUP(2,1/('T_SelfStock'!$B$18:$DA$18&lt;&gt;""),'T_SelfStock'!$B$5:$DA$5),"")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CHEM-1400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IFERROR(LOOKUP(2,1/('T_SelfStock'!$B$19:$DA$19&lt;&gt;""),'T_SelfStock'!$B$19:$DA$19),"")</f>
        <v/>
      </c>
      <c r="G20" s="13">
        <f>IFERROR(LOOKUP(2,1/('T_TTAFStock'!$B$19:$DA$19&lt;&gt;""),'T_TTAFStock'!$B$19:$DA$19),"")</f>
        <v/>
      </c>
      <c r="H20" s="13">
        <f>IFERROR(LOOKUP(2,1/('T_SelfStock'!$B$19:$DA$19&lt;&gt;""),'T_SelfStock'!$B$5:$DA$5),"")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CHEM-1570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IFERROR(LOOKUP(2,1/('T_SelfStock'!$B$20:$DA$20&lt;&gt;""),'T_SelfStock'!$B$20:$DA$20),"")</f>
        <v/>
      </c>
      <c r="G21" s="12">
        <f>IFERROR(LOOKUP(2,1/('T_TTAFStock'!$B$20:$DA$20&lt;&gt;""),'T_TTAFStock'!$B$20:$DA$20),"")</f>
        <v/>
      </c>
      <c r="H21" s="12">
        <f>IFERROR(LOOKUP(2,1/('T_SelfStock'!$B$20:$DA$20&lt;&gt;""),'T_SelfStock'!$B$5:$DA$5),"")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CHEM-1650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IFERROR(LOOKUP(2,1/('T_SelfStock'!$B$21:$DA$21&lt;&gt;""),'T_SelfStock'!$B$21:$DA$21),"")</f>
        <v/>
      </c>
      <c r="G22" s="13">
        <f>IFERROR(LOOKUP(2,1/('T_TTAFStock'!$B$21:$DA$21&lt;&gt;""),'T_TTAFStock'!$B$21:$DA$21),"")</f>
        <v/>
      </c>
      <c r="H22" s="13">
        <f>IFERROR(LOOKUP(2,1/('T_SelfStock'!$B$21:$DA$21&lt;&gt;""),'T_SelfStock'!$B$5:$DA$5),"")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CHEM-1660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IFERROR(LOOKUP(2,1/('T_SelfStock'!$B$22:$DA$22&lt;&gt;""),'T_SelfStock'!$B$22:$DA$22),"")</f>
        <v/>
      </c>
      <c r="G23" s="12">
        <f>IFERROR(LOOKUP(2,1/('T_TTAFStock'!$B$22:$DA$22&lt;&gt;""),'T_TTAFStock'!$B$22:$DA$22),"")</f>
        <v/>
      </c>
      <c r="H23" s="12">
        <f>IFERROR(LOOKUP(2,1/('T_SelfStock'!$B$22:$DA$22&lt;&gt;""),'T_SelfStock'!$B$5:$DA$5),"")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CHEM-1600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IFERROR(LOOKUP(2,1/('T_SelfStock'!$B$23:$DA$23&lt;&gt;""),'T_SelfStock'!$B$23:$DA$23),"")</f>
        <v/>
      </c>
      <c r="G24" s="13">
        <f>IFERROR(LOOKUP(2,1/('T_TTAFStock'!$B$23:$DA$23&lt;&gt;""),'T_TTAFStock'!$B$23:$DA$23),"")</f>
        <v/>
      </c>
      <c r="H24" s="13">
        <f>IFERROR(LOOKUP(2,1/('T_SelfStock'!$B$23:$DA$23&lt;&gt;""),'T_SelfStock'!$B$5:$DA$5),"")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CHEM-1280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IFERROR(LOOKUP(2,1/('T_SelfStock'!$B$24:$DA$24&lt;&gt;""),'T_SelfStock'!$B$24:$DA$24),"")</f>
        <v/>
      </c>
      <c r="G25" s="12">
        <f>IFERROR(LOOKUP(2,1/('T_TTAFStock'!$B$24:$DA$24&lt;&gt;""),'T_TTAFStock'!$B$24:$DA$24),"")</f>
        <v/>
      </c>
      <c r="H25" s="12">
        <f>IFERROR(LOOKUP(2,1/('T_SelfStock'!$B$24:$DA$24&lt;&gt;""),'T_SelfStock'!$B$5:$DA$5),"")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CHEM-1240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IFERROR(LOOKUP(2,1/('T_SelfStock'!$B$25:$DA$25&lt;&gt;""),'T_SelfStock'!$B$25:$DA$25),"")</f>
        <v/>
      </c>
      <c r="G26" s="13">
        <f>IFERROR(LOOKUP(2,1/('T_TTAFStock'!$B$25:$DA$25&lt;&gt;""),'T_TTAFStock'!$B$25:$DA$25),"")</f>
        <v/>
      </c>
      <c r="H26" s="13">
        <f>IFERROR(LOOKUP(2,1/('T_SelfStock'!$B$25:$DA$25&lt;&gt;""),'T_SelfStock'!$B$5:$DA$5),"")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0JN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IFERROR(LOOKUP(2,1/('T_SelfStock'!$B$26:$DA$26&lt;&gt;""),'T_SelfStock'!$B$26:$DA$26),"")</f>
        <v/>
      </c>
      <c r="G27" s="12">
        <f>IFERROR(LOOKUP(2,1/('T_TTAFStock'!$B$26:$DA$26&lt;&gt;""),'T_TTAFStock'!$B$26:$DA$26),"")</f>
        <v/>
      </c>
      <c r="H27" s="12">
        <f>IFERROR(LOOKUP(2,1/('T_SelfStock'!$B$26:$DA$26&lt;&gt;""),'T_SelfStock'!$B$5:$DA$5),"")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CHEM-1760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IFERROR(LOOKUP(2,1/('T_SelfStock'!$B$27:$DA$27&lt;&gt;""),'T_SelfStock'!$B$27:$DA$27),"")</f>
        <v/>
      </c>
      <c r="G28" s="13">
        <f>IFERROR(LOOKUP(2,1/('T_TTAFStock'!$B$27:$DA$27&lt;&gt;""),'T_TTAFStock'!$B$27:$DA$27),"")</f>
        <v/>
      </c>
      <c r="H28" s="13">
        <f>IFERROR(LOOKUP(2,1/('T_SelfStock'!$B$27:$DA$27&lt;&gt;""),'T_SelfStock'!$B$5:$DA$5),"")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Original Towel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IFERROR(LOOKUP(2,1/('T_SelfStock'!$B$28:$DA$28&lt;&gt;""),'T_SelfStock'!$B$28:$DA$28),"")</f>
        <v/>
      </c>
      <c r="G29" s="12">
        <f>IFERROR(LOOKUP(2,1/('T_TTAFStock'!$B$28:$DA$28&lt;&gt;""),'T_TTAFStock'!$B$28:$DA$28),"")</f>
        <v/>
      </c>
      <c r="H29" s="12">
        <f>IFERROR(LOOKUP(2,1/('T_SelfStock'!$B$28:$DA$28&lt;&gt;""),'T_SelfStock'!$B$5:$DA$5),"")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CHEM-1200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IFERROR(LOOKUP(2,1/('T_SelfStock'!$B$29:$DA$29&lt;&gt;""),'T_SelfStock'!$B$29:$DA$29),"")</f>
        <v/>
      </c>
      <c r="G30" s="13">
        <f>IFERROR(LOOKUP(2,1/('T_TTAFStock'!$B$29:$DA$29&lt;&gt;""),'T_TTAFStock'!$B$29:$DA$29),"")</f>
        <v/>
      </c>
      <c r="H30" s="13">
        <f>IFERROR(LOOKUP(2,1/('T_SelfStock'!$B$29:$DA$29&lt;&gt;""),'T_SelfStock'!$B$5:$DA$5),"")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CHEM-1830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IFERROR(LOOKUP(2,1/('T_SelfStock'!$B$30:$DA$30&lt;&gt;""),'T_SelfStock'!$B$30:$DA$30),"")</f>
        <v/>
      </c>
      <c r="G31" s="12">
        <f>IFERROR(LOOKUP(2,1/('T_TTAFStock'!$B$30:$DA$30&lt;&gt;""),'T_TTAFStock'!$B$30:$DA$30),"")</f>
        <v/>
      </c>
      <c r="H31" s="12">
        <f>IFERROR(LOOKUP(2,1/('T_SelfStock'!$B$30:$DA$30&lt;&gt;""),'T_SelfStock'!$B$5:$DA$5),"")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CHEM-1680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IFERROR(LOOKUP(2,1/('T_SelfStock'!$B$31:$DA$31&lt;&gt;""),'T_SelfStock'!$B$31:$DA$31),"")</f>
        <v/>
      </c>
      <c r="G32" s="13">
        <f>IFERROR(LOOKUP(2,1/('T_TTAFStock'!$B$31:$DA$31&lt;&gt;""),'T_TTAFStock'!$B$31:$DA$31),"")</f>
        <v/>
      </c>
      <c r="H32" s="13">
        <f>IFERROR(LOOKUP(2,1/('T_SelfStock'!$B$31:$DA$31&lt;&gt;""),'T_SelfStock'!$B$5:$DA$5),"")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CHEM-1820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IFERROR(LOOKUP(2,1/('T_SelfStock'!$B$32:$DA$32&lt;&gt;""),'T_SelfStock'!$B$32:$DA$32),"")</f>
        <v/>
      </c>
      <c r="G33" s="12">
        <f>IFERROR(LOOKUP(2,1/('T_TTAFStock'!$B$32:$DA$32&lt;&gt;""),'T_TTAFStock'!$B$32:$DA$32),"")</f>
        <v/>
      </c>
      <c r="H33" s="12">
        <f>IFERROR(LOOKUP(2,1/('T_SelfStock'!$B$32:$DA$32&lt;&gt;""),'T_SelfStock'!$B$5:$DA$5),"")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CHEM-1840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IFERROR(LOOKUP(2,1/('T_SelfStock'!$B$33:$DA$33&lt;&gt;""),'T_SelfStock'!$B$33:$DA$33),"")</f>
        <v/>
      </c>
      <c r="G34" s="13">
        <f>IFERROR(LOOKUP(2,1/('T_TTAFStock'!$B$33:$DA$33&lt;&gt;""),'T_TTAFStock'!$B$33:$DA$33),"")</f>
        <v/>
      </c>
      <c r="H34" s="13">
        <f>IFERROR(LOOKUP(2,1/('T_SelfStock'!$B$33:$DA$33&lt;&gt;""),'T_SelfStock'!$B$5:$DA$5),"")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TDJ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IFERROR(LOOKUP(2,1/('T_SelfStock'!$B$34:$DA$34&lt;&gt;""),'T_SelfStock'!$B$34:$DA$34),"")</f>
        <v/>
      </c>
      <c r="G35" s="12">
        <f>IFERROR(LOOKUP(2,1/('T_TTAFStock'!$B$34:$DA$34&lt;&gt;""),'T_TTAFStock'!$B$34:$DA$34),"")</f>
        <v/>
      </c>
      <c r="H35" s="12">
        <f>IFERROR(LOOKUP(2,1/('T_SelfStock'!$B$34:$DA$34&lt;&gt;""),'T_SelfStock'!$B$5:$DA$5),"")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CHEM-1730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IFERROR(LOOKUP(2,1/('T_SelfStock'!$B$35:$DA$35&lt;&gt;""),'T_SelfStock'!$B$35:$DA$35),"")</f>
        <v/>
      </c>
      <c r="G36" s="13">
        <f>IFERROR(LOOKUP(2,1/('T_TTAFStock'!$B$35:$DA$35&lt;&gt;""),'T_TTAFStock'!$B$35:$DA$35),"")</f>
        <v/>
      </c>
      <c r="H36" s="13">
        <f>IFERROR(LOOKUP(2,1/('T_SelfStock'!$B$35:$DA$35&lt;&gt;""),'T_SelfStock'!$B$5:$DA$5),"")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CHEM-1430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IFERROR(LOOKUP(2,1/('T_SelfStock'!$B$36:$DA$36&lt;&gt;""),'T_SelfStock'!$B$36:$DA$36),"")</f>
        <v/>
      </c>
      <c r="G37" s="12">
        <f>IFERROR(LOOKUP(2,1/('T_TTAFStock'!$B$36:$DA$36&lt;&gt;""),'T_TTAFStock'!$B$36:$DA$36),"")</f>
        <v/>
      </c>
      <c r="H37" s="12">
        <f>IFERROR(LOOKUP(2,1/('T_SelfStock'!$B$36:$DA$36&lt;&gt;""),'T_SelfStock'!$B$5:$DA$5),"")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CHEM-1480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IFERROR(LOOKUP(2,1/('T_SelfStock'!$B$37:$DA$37&lt;&gt;""),'T_SelfStock'!$B$37:$DA$37),"")</f>
        <v/>
      </c>
      <c r="G38" s="13">
        <f>IFERROR(LOOKUP(2,1/('T_TTAFStock'!$B$37:$DA$37&lt;&gt;""),'T_TTAFStock'!$B$37:$DA$37),"")</f>
        <v/>
      </c>
      <c r="H38" s="13">
        <f>IFERROR(LOOKUP(2,1/('T_SelfStock'!$B$37:$DA$37&lt;&gt;""),'T_SelfStock'!$B$5:$DA$5),"")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CHEM-1560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IFERROR(LOOKUP(2,1/('T_SelfStock'!$B$38:$DA$38&lt;&gt;""),'T_SelfStock'!$B$38:$DA$38),"")</f>
        <v/>
      </c>
      <c r="G39" s="12">
        <f>IFERROR(LOOKUP(2,1/('T_TTAFStock'!$B$38:$DA$38&lt;&gt;""),'T_TTAFStock'!$B$38:$DA$38),"")</f>
        <v/>
      </c>
      <c r="H39" s="12">
        <f>IFERROR(LOOKUP(2,1/('T_SelfStock'!$B$38:$DA$38&lt;&gt;""),'T_SelfStock'!$B$5:$DA$5),"")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CHEM-1510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IFERROR(LOOKUP(2,1/('T_SelfStock'!$B$39:$DA$39&lt;&gt;""),'T_SelfStock'!$B$39:$DA$39),"")</f>
        <v/>
      </c>
      <c r="G40" s="13">
        <f>IFERROR(LOOKUP(2,1/('T_TTAFStock'!$B$39:$DA$39&lt;&gt;""),'T_TTAFStock'!$B$39:$DA$39),"")</f>
        <v/>
      </c>
      <c r="H40" s="13">
        <f>IFERROR(LOOKUP(2,1/('T_SelfStock'!$B$39:$DA$39&lt;&gt;""),'T_SelfStock'!$B$5:$DA$5),"")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CHEM-1770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IFERROR(LOOKUP(2,1/('T_SelfStock'!$B$40:$DA$40&lt;&gt;""),'T_SelfStock'!$B$40:$DA$40),"")</f>
        <v/>
      </c>
      <c r="G41" s="12">
        <f>IFERROR(LOOKUP(2,1/('T_TTAFStock'!$B$40:$DA$40&lt;&gt;""),'T_TTAFStock'!$B$40:$DA$40),"")</f>
        <v/>
      </c>
      <c r="H41" s="12">
        <f>IFERROR(LOOKUP(2,1/('T_SelfStock'!$B$40:$DA$40&lt;&gt;""),'T_SelfStock'!$B$5:$DA$5),"")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CHEM-1020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IFERROR(LOOKUP(2,1/('T_SelfStock'!$B$41:$DA$41&lt;&gt;""),'T_SelfStock'!$B$41:$DA$41),"")</f>
        <v/>
      </c>
      <c r="G42" s="13">
        <f>IFERROR(LOOKUP(2,1/('T_TTAFStock'!$B$41:$DA$41&lt;&gt;""),'T_TTAFStock'!$B$41:$DA$41),"")</f>
        <v/>
      </c>
      <c r="H42" s="13">
        <f>IFERROR(LOOKUP(2,1/('T_SelfStock'!$B$41:$DA$41&lt;&gt;""),'T_SelfStock'!$B$5:$DA$5),"")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Ester Film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IFERROR(LOOKUP(2,1/('T_SelfStock'!$B$42:$DA$42&lt;&gt;""),'T_SelfStock'!$B$42:$DA$42),"")</f>
        <v/>
      </c>
      <c r="G43" s="12">
        <f>IFERROR(LOOKUP(2,1/('T_TTAFStock'!$B$42:$DA$42&lt;&gt;""),'T_TTAFStock'!$B$42:$DA$42),"")</f>
        <v/>
      </c>
      <c r="H43" s="12">
        <f>IFERROR(LOOKUP(2,1/('T_SelfStock'!$B$42:$DA$42&lt;&gt;""),'T_SelfStock'!$B$5:$DA$5),"")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PP Film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IFERROR(LOOKUP(2,1/('T_SelfStock'!$B$43:$DA$43&lt;&gt;""),'T_SelfStock'!$B$43:$DA$43),"")</f>
        <v/>
      </c>
      <c r="G44" s="13">
        <f>IFERROR(LOOKUP(2,1/('T_TTAFStock'!$B$43:$DA$43&lt;&gt;""),'T_TTAFStock'!$B$43:$DA$43),"")</f>
        <v/>
      </c>
      <c r="H44" s="13">
        <f>IFERROR(LOOKUP(2,1/('T_SelfStock'!$B$43:$DA$43&lt;&gt;""),'T_SelfStock'!$B$5:$DA$5),"")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5SN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IFERROR(LOOKUP(2,1/('T_SelfStock'!$B$44:$DA$44&lt;&gt;""),'T_SelfStock'!$B$44:$DA$44),"")</f>
        <v/>
      </c>
      <c r="G45" s="12">
        <f>IFERROR(LOOKUP(2,1/('T_TTAFStock'!$B$44:$DA$44&lt;&gt;""),'T_TTAFStock'!$B$44:$DA$44),"")</f>
        <v/>
      </c>
      <c r="H45" s="12">
        <f>IFERROR(LOOKUP(2,1/('T_SelfStock'!$B$44:$DA$44&lt;&gt;""),'T_SelfStock'!$B$5:$DA$5),"")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1JN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IFERROR(LOOKUP(2,1/('T_SelfStock'!$B$45:$DA$45&lt;&gt;""),'T_SelfStock'!$B$45:$DA$45),"")</f>
        <v/>
      </c>
      <c r="G46" s="13">
        <f>IFERROR(LOOKUP(2,1/('T_TTAFStock'!$B$45:$DA$45&lt;&gt;""),'T_TTAFStock'!$B$45:$DA$45),"")</f>
        <v/>
      </c>
      <c r="H46" s="13">
        <f>IFERROR(LOOKUP(2,1/('T_SelfStock'!$B$45:$DA$45&lt;&gt;""),'T_SelfStock'!$B$5:$DA$5),"")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V03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IFERROR(LOOKUP(2,1/('T_SelfStock'!$B$46:$DA$46&lt;&gt;""),'T_SelfStock'!$B$46:$DA$46),"")</f>
        <v/>
      </c>
      <c r="G47" s="12">
        <f>IFERROR(LOOKUP(2,1/('T_TTAFStock'!$B$46:$DA$46&lt;&gt;""),'T_TTAFStock'!$B$46:$DA$46),"")</f>
        <v/>
      </c>
      <c r="H47" s="12">
        <f>IFERROR(LOOKUP(2,1/('T_SelfStock'!$B$46:$DA$46&lt;&gt;""),'T_SelfStock'!$B$5:$DA$5),"")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V19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IFERROR(LOOKUP(2,1/('T_SelfStock'!$B$47:$DA$47&lt;&gt;""),'T_SelfStock'!$B$47:$DA$47),"")</f>
        <v/>
      </c>
      <c r="G48" s="13">
        <f>IFERROR(LOOKUP(2,1/('T_TTAFStock'!$B$47:$DA$47&lt;&gt;""),'T_TTAFStock'!$B$47:$DA$47),"")</f>
        <v/>
      </c>
      <c r="H48" s="13">
        <f>IFERROR(LOOKUP(2,1/('T_SelfStock'!$B$47:$DA$47&lt;&gt;""),'T_SelfStock'!$B$5:$DA$5),"")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3TP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IFERROR(LOOKUP(2,1/('T_SelfStock'!$B$48:$DA$48&lt;&gt;""),'T_SelfStock'!$B$48:$DA$48),"")</f>
        <v/>
      </c>
      <c r="G49" s="12">
        <f>IFERROR(LOOKUP(2,1/('T_TTAFStock'!$B$48:$DA$48&lt;&gt;""),'T_TTAFStock'!$B$48:$DA$48),"")</f>
        <v/>
      </c>
      <c r="H49" s="12">
        <f>IFERROR(LOOKUP(2,1/('T_SelfStock'!$B$48:$DA$48&lt;&gt;""),'T_SelfStock'!$B$5:$DA$5),"")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A043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IFERROR(LOOKUP(2,1/('T_SelfStock'!$B$49:$DA$49&lt;&gt;""),'T_SelfStock'!$B$49:$DA$49),"")</f>
        <v/>
      </c>
      <c r="G50" s="13">
        <f>IFERROR(LOOKUP(2,1/('T_TTAFStock'!$B$49:$DA$49&lt;&gt;""),'T_TTAFStock'!$B$49:$DA$49),"")</f>
        <v/>
      </c>
      <c r="H50" s="13">
        <f>IFERROR(LOOKUP(2,1/('T_SelfStock'!$B$49:$DA$49&lt;&gt;""),'T_SelfStock'!$B$5:$DA$5),"")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15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CHEM-1250</t>
        </is>
      </c>
      <c r="B7" s="14" t="inlineStr">
        <is>
          <t>Barium Sulfate (B-55)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7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7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4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s="4" t="inlineStr">
        <is>
          <t>合計在庫(週末時点,kg)</t>
        </is>
      </c>
      <c r="D41">
        <f>'Grid_Stock'!B2</f>
        <v/>
      </c>
      <c r="E41">
        <f>'Grid_Stock'!C2</f>
        <v/>
      </c>
      <c r="F41">
        <f>'Grid_Stock'!D2</f>
        <v/>
      </c>
      <c r="G41">
        <f>'Grid_Stock'!E2</f>
        <v/>
      </c>
      <c r="H41">
        <f>'Grid_Stock'!F2</f>
        <v/>
      </c>
      <c r="I41">
        <f>'Grid_Stock'!G2</f>
        <v/>
      </c>
      <c r="J41">
        <f>'Grid_Stock'!H2</f>
        <v/>
      </c>
      <c r="K41">
        <f>'Grid_Stock'!I2</f>
        <v/>
      </c>
      <c r="L41">
        <f>'Grid_Stock'!J2</f>
        <v/>
      </c>
      <c r="M41">
        <f>'Grid_Stock'!K2</f>
        <v/>
      </c>
      <c r="N41">
        <f>'Grid_Stock'!L2</f>
        <v/>
      </c>
      <c r="O41">
        <f>'Grid_Stock'!M2</f>
        <v/>
      </c>
      <c r="P41">
        <f>'Grid_Stock'!N2</f>
        <v/>
      </c>
      <c r="Q41">
        <f>'Grid_Stock'!O2</f>
        <v/>
      </c>
      <c r="R41">
        <f>'Grid_Stock'!P2</f>
        <v/>
      </c>
      <c r="S41">
        <f>'Grid_Stock'!Q2</f>
        <v/>
      </c>
      <c r="T41">
        <f>'Grid_Stock'!R2</f>
        <v/>
      </c>
      <c r="U41">
        <f>'Grid_Stock'!S2</f>
        <v/>
      </c>
      <c r="V41">
        <f>'Grid_Stock'!T2</f>
        <v/>
      </c>
      <c r="W41">
        <f>'Grid_Stock'!U2</f>
        <v/>
      </c>
      <c r="X41">
        <f>'Grid_Stock'!V2</f>
        <v/>
      </c>
      <c r="Y41">
        <f>'Grid_Stock'!W2</f>
        <v/>
      </c>
      <c r="Z41">
        <f>'Grid_Stock'!X2</f>
        <v/>
      </c>
      <c r="AA41">
        <f>'Grid_Stock'!Y2</f>
        <v/>
      </c>
      <c r="AB41">
        <f>'Grid_Stock'!Z2</f>
        <v/>
      </c>
      <c r="AC41">
        <f>'Grid_Stock'!AA2</f>
        <v/>
      </c>
      <c r="AD41">
        <f>'Grid_Stock'!AB2</f>
        <v/>
      </c>
      <c r="AE41">
        <f>'Grid_Stock'!AC2</f>
        <v/>
      </c>
      <c r="AF41">
        <f>'Grid_Stock'!AD2</f>
        <v/>
      </c>
      <c r="AG41">
        <f>'Grid_Stock'!AE2</f>
        <v/>
      </c>
      <c r="AH41">
        <f>'Grid_Stock'!AF2</f>
        <v/>
      </c>
      <c r="AI41">
        <f>'Grid_Stock'!AG2</f>
        <v/>
      </c>
      <c r="AJ41">
        <f>'Grid_Stock'!AH2</f>
        <v/>
      </c>
      <c r="AK41">
        <f>'Grid_Stock'!AI2</f>
        <v/>
      </c>
      <c r="AL41">
        <f>'Grid_Stock'!AJ2</f>
        <v/>
      </c>
      <c r="AM41">
        <f>'Grid_Stock'!AK2</f>
        <v/>
      </c>
      <c r="AN41">
        <f>'Grid_Stock'!AL2</f>
        <v/>
      </c>
      <c r="AO41">
        <f>'Grid_Stock'!AM2</f>
        <v/>
      </c>
      <c r="AP41">
        <f>'Grid_Stock'!AN2</f>
        <v/>
      </c>
      <c r="AQ41">
        <f>'Grid_Stock'!AO2</f>
        <v/>
      </c>
      <c r="AR41">
        <f>'Grid_Stock'!AP2</f>
        <v/>
      </c>
      <c r="AS41">
        <f>'Grid_Stock'!AQ2</f>
        <v/>
      </c>
      <c r="AT41">
        <f>'Grid_Stock'!AR2</f>
        <v/>
      </c>
      <c r="AU41">
        <f>'Grid_Stock'!AS2</f>
        <v/>
      </c>
      <c r="AV41">
        <f>'Grid_Stock'!AT2</f>
        <v/>
      </c>
      <c r="AW41">
        <f>'Grid_Stock'!AU2</f>
        <v/>
      </c>
      <c r="AX41">
        <f>'Grid_Stock'!AV2</f>
        <v/>
      </c>
      <c r="AY41">
        <f>'Grid_Stock'!AW2</f>
        <v/>
      </c>
      <c r="AZ41">
        <f>'Grid_Stock'!AX2</f>
        <v/>
      </c>
      <c r="BA41">
        <f>'Grid_Stock'!AY2</f>
        <v/>
      </c>
      <c r="BB41">
        <f>'Grid_Stock'!AZ2</f>
        <v/>
      </c>
      <c r="BC41">
        <f>'Grid_Stock'!BA2</f>
        <v/>
      </c>
      <c r="BD41">
        <f>'Grid_Stock'!BB2</f>
        <v/>
      </c>
      <c r="BE41">
        <f>'Grid_Stock'!BC2</f>
        <v/>
      </c>
      <c r="BF41">
        <f>'Grid_Stock'!BD2</f>
        <v/>
      </c>
      <c r="BG41">
        <f>'Grid_Stock'!BE2</f>
        <v/>
      </c>
      <c r="BH41">
        <f>'Grid_Stock'!BF2</f>
        <v/>
      </c>
      <c r="BI41">
        <f>'Grid_Stock'!BG2</f>
        <v/>
      </c>
      <c r="BJ41">
        <f>'Grid_Stock'!BH2</f>
        <v/>
      </c>
      <c r="BK41">
        <f>'Grid_Stock'!BI2</f>
        <v/>
      </c>
      <c r="BL41">
        <f>'Grid_Stock'!BJ2</f>
        <v/>
      </c>
      <c r="BM41">
        <f>'Grid_Stock'!BK2</f>
        <v/>
      </c>
      <c r="BN41">
        <f>'Grid_Stock'!BL2</f>
        <v/>
      </c>
      <c r="BO41">
        <f>'Grid_Stock'!BM2</f>
        <v/>
      </c>
      <c r="BP41">
        <f>'Grid_Stock'!BN2</f>
        <v/>
      </c>
      <c r="BQ41">
        <f>'Grid_Stock'!BO2</f>
        <v/>
      </c>
      <c r="BR41">
        <f>'Grid_Stock'!BP2</f>
        <v/>
      </c>
      <c r="BS41">
        <f>'Grid_Stock'!BQ2</f>
        <v/>
      </c>
      <c r="BT41">
        <f>'Grid_Stock'!BR2</f>
        <v/>
      </c>
      <c r="BU41">
        <f>'Grid_Stock'!BS2</f>
        <v/>
      </c>
      <c r="BV41">
        <f>'Grid_Stock'!BT2</f>
        <v/>
      </c>
      <c r="BW41">
        <f>'Grid_Stock'!BU2</f>
        <v/>
      </c>
      <c r="BX41">
        <f>'Grid_Stock'!BV2</f>
        <v/>
      </c>
      <c r="BY41">
        <f>'Grid_Stock'!BW2</f>
        <v/>
      </c>
      <c r="BZ41">
        <f>'Grid_Stock'!BX2</f>
        <v/>
      </c>
      <c r="CA41">
        <f>'Grid_Stock'!BY2</f>
        <v/>
      </c>
      <c r="CB41">
        <f>'Grid_Stock'!BZ2</f>
        <v/>
      </c>
      <c r="CC41">
        <f>'Grid_Stock'!CA2</f>
        <v/>
      </c>
      <c r="CD41">
        <f>'Grid_Stock'!CB2</f>
        <v/>
      </c>
      <c r="CE41">
        <f>'Grid_Stock'!CC2</f>
        <v/>
      </c>
      <c r="CF41">
        <f>'Grid_Stock'!CD2</f>
        <v/>
      </c>
      <c r="CG41">
        <f>'Grid_Stock'!CE2</f>
        <v/>
      </c>
      <c r="CH41">
        <f>'Grid_Stock'!CF2</f>
        <v/>
      </c>
      <c r="CI41">
        <f>'Grid_Stock'!CG2</f>
        <v/>
      </c>
      <c r="CJ41">
        <f>'Grid_Stock'!CH2</f>
        <v/>
      </c>
      <c r="CK41">
        <f>'Grid_Stock'!CI2</f>
        <v/>
      </c>
      <c r="CL41">
        <f>'Grid_Stock'!CJ2</f>
        <v/>
      </c>
      <c r="CM41">
        <f>'Grid_Stock'!CK2</f>
        <v/>
      </c>
      <c r="CN41">
        <f>'Grid_Stock'!CL2</f>
        <v/>
      </c>
      <c r="CO41">
        <f>'Grid_Stock'!CM2</f>
        <v/>
      </c>
      <c r="CP41">
        <f>'Grid_Stock'!CN2</f>
        <v/>
      </c>
      <c r="CQ41">
        <f>'Grid_Stock'!CO2</f>
        <v/>
      </c>
      <c r="CR41">
        <f>'Grid_Stock'!CP2</f>
        <v/>
      </c>
      <c r="CS41">
        <f>'Grid_Stock'!CQ2</f>
        <v/>
      </c>
      <c r="CT41">
        <f>'Grid_Stock'!CR2</f>
        <v/>
      </c>
      <c r="CU41">
        <f>'Grid_Stock'!CS2</f>
        <v/>
      </c>
      <c r="CV41">
        <f>'Grid_Stock'!CT2</f>
        <v/>
      </c>
      <c r="CW41">
        <f>'Grid_Stock'!CU2</f>
        <v/>
      </c>
      <c r="CX41">
        <f>'Grid_Stock'!CV2</f>
        <v/>
      </c>
      <c r="CY41">
        <f>'Grid_Stock'!CW2</f>
        <v/>
      </c>
      <c r="CZ41">
        <f>'Grid_Stock'!CX2</f>
        <v/>
      </c>
      <c r="DA41">
        <f>'Grid_Stock'!CY2</f>
        <v/>
      </c>
      <c r="DB41">
        <f>'Grid_Stock'!CZ2</f>
        <v/>
      </c>
      <c r="DC41">
        <f>'Grid_Stock'!DA2</f>
        <v/>
      </c>
    </row>
    <row r="42">
      <c r="B42" s="16" t="inlineStr">
        <is>
          <t>（発注の目安はDashboardの基準在庫[下限/上限]と色分けを参照）</t>
        </is>
      </c>
    </row>
    <row r="44">
      <c r="A44" s="14" t="inlineStr">
        <is>
          <t>CHEM-1420</t>
        </is>
      </c>
      <c r="B44" s="14" t="inlineStr">
        <is>
          <t>HEC SE900</t>
        </is>
      </c>
      <c r="C44" s="15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4" t="n"/>
      <c r="AS44" s="14" t="n"/>
      <c r="AT44" s="14" t="n"/>
      <c r="AU44" s="14" t="n"/>
      <c r="AV44" s="14" t="n"/>
      <c r="AW44" s="14" t="n"/>
      <c r="AX44" s="14" t="n"/>
      <c r="AY44" s="14" t="n"/>
      <c r="AZ44" s="14" t="n"/>
      <c r="BA44" s="14" t="n"/>
      <c r="BB44" s="14" t="n"/>
      <c r="BC44" s="14" t="n"/>
      <c r="BD44" s="14" t="n"/>
      <c r="BE44" s="14" t="n"/>
      <c r="BF44" s="14" t="n"/>
      <c r="BG44" s="14" t="n"/>
      <c r="BH44" s="14" t="n"/>
      <c r="BI44" s="14" t="n"/>
      <c r="BJ44" s="14" t="n"/>
      <c r="BK44" s="14" t="n"/>
      <c r="BL44" s="14" t="n"/>
      <c r="BM44" s="14" t="n"/>
      <c r="BN44" s="14" t="n"/>
      <c r="BO44" s="14" t="n"/>
      <c r="BP44" s="14" t="n"/>
      <c r="BQ44" s="14" t="n"/>
      <c r="BR44" s="14" t="n"/>
      <c r="BS44" s="14" t="n"/>
      <c r="BT44" s="14" t="n"/>
      <c r="BU44" s="14" t="n"/>
      <c r="BV44" s="14" t="n"/>
      <c r="BW44" s="14" t="n"/>
      <c r="BX44" s="14" t="n"/>
      <c r="BY44" s="14" t="n"/>
      <c r="BZ44" s="14" t="n"/>
      <c r="CA44" s="14" t="n"/>
      <c r="CB44" s="14" t="n"/>
      <c r="CC44" s="14" t="n"/>
      <c r="CD44" s="14" t="n"/>
      <c r="CE44" s="14" t="n"/>
      <c r="CF44" s="14" t="n"/>
      <c r="CG44" s="14" t="n"/>
      <c r="CH44" s="14" t="n"/>
      <c r="CI44" s="14" t="n"/>
      <c r="CJ44" s="14" t="n"/>
      <c r="CK44" s="14" t="n"/>
      <c r="CL44" s="14" t="n"/>
      <c r="CM44" s="14" t="n"/>
      <c r="CN44" s="14" t="n"/>
      <c r="CO44" s="14" t="n"/>
      <c r="CP44" s="14" t="n"/>
      <c r="CQ44" s="14" t="n"/>
      <c r="CR44" s="14" t="n"/>
      <c r="CS44" s="14" t="n"/>
      <c r="CT44" s="14" t="n"/>
      <c r="CU44" s="14" t="n"/>
      <c r="CV44" s="14" t="n"/>
      <c r="CW44" s="14" t="n"/>
      <c r="CX44" s="14" t="n"/>
      <c r="CY44" s="14" t="n"/>
      <c r="CZ44" s="14" t="n"/>
      <c r="DA44" s="14" t="n"/>
      <c r="DB44" s="14" t="n"/>
      <c r="DC44" s="14" t="n"/>
    </row>
    <row r="45">
      <c r="B45" t="inlineStr">
        <is>
          <t>TSP-049</t>
        </is>
      </c>
      <c r="C45" t="inlineStr">
        <is>
          <t>No. of batches</t>
        </is>
      </c>
      <c r="D45">
        <f>IFERROR(INDEX(PP_Grid[#Data],$DD45,2),0)</f>
        <v/>
      </c>
      <c r="E45">
        <f>IFERROR(INDEX(PP_Grid[#Data],$DD45,3),0)</f>
        <v/>
      </c>
      <c r="F45">
        <f>IFERROR(INDEX(PP_Grid[#Data],$DD45,4),0)</f>
        <v/>
      </c>
      <c r="G45">
        <f>IFERROR(INDEX(PP_Grid[#Data],$DD45,5),0)</f>
        <v/>
      </c>
      <c r="H45">
        <f>IFERROR(INDEX(PP_Grid[#Data],$DD45,6),0)</f>
        <v/>
      </c>
      <c r="I45">
        <f>IFERROR(INDEX(PP_Grid[#Data],$DD45,7),0)</f>
        <v/>
      </c>
      <c r="J45">
        <f>IFERROR(INDEX(PP_Grid[#Data],$DD45,8),0)</f>
        <v/>
      </c>
      <c r="K45">
        <f>IFERROR(INDEX(PP_Grid[#Data],$DD45,9),0)</f>
        <v/>
      </c>
      <c r="L45">
        <f>IFERROR(INDEX(PP_Grid[#Data],$DD45,10),0)</f>
        <v/>
      </c>
      <c r="M45">
        <f>IFERROR(INDEX(PP_Grid[#Data],$DD45,11),0)</f>
        <v/>
      </c>
      <c r="N45">
        <f>IFERROR(INDEX(PP_Grid[#Data],$DD45,12),0)</f>
        <v/>
      </c>
      <c r="O45">
        <f>IFERROR(INDEX(PP_Grid[#Data],$DD45,13),0)</f>
        <v/>
      </c>
      <c r="P45">
        <f>IFERROR(INDEX(PP_Grid[#Data],$DD45,14),0)</f>
        <v/>
      </c>
      <c r="Q45">
        <f>IFERROR(INDEX(PP_Grid[#Data],$DD45,15),0)</f>
        <v/>
      </c>
      <c r="R45">
        <f>IFERROR(INDEX(PP_Grid[#Data],$DD45,16),0)</f>
        <v/>
      </c>
      <c r="S45">
        <f>IFERROR(INDEX(PP_Grid[#Data],$DD45,17),0)</f>
        <v/>
      </c>
      <c r="T45">
        <f>IFERROR(INDEX(PP_Grid[#Data],$DD45,18),0)</f>
        <v/>
      </c>
      <c r="U45">
        <f>IFERROR(INDEX(PP_Grid[#Data],$DD45,19),0)</f>
        <v/>
      </c>
      <c r="V45">
        <f>IFERROR(INDEX(PP_Grid[#Data],$DD45,20),0)</f>
        <v/>
      </c>
      <c r="W45">
        <f>IFERROR(INDEX(PP_Grid[#Data],$DD45,21),0)</f>
        <v/>
      </c>
      <c r="X45">
        <f>IFERROR(INDEX(PP_Grid[#Data],$DD45,22),0)</f>
        <v/>
      </c>
      <c r="Y45">
        <f>IFERROR(INDEX(PP_Grid[#Data],$DD45,23),0)</f>
        <v/>
      </c>
      <c r="Z45">
        <f>IFERROR(INDEX(PP_Grid[#Data],$DD45,24),0)</f>
        <v/>
      </c>
      <c r="AA45">
        <f>IFERROR(INDEX(PP_Grid[#Data],$DD45,25),0)</f>
        <v/>
      </c>
      <c r="AB45">
        <f>IFERROR(INDEX(PP_Grid[#Data],$DD45,26),0)</f>
        <v/>
      </c>
      <c r="AC45">
        <f>IFERROR(INDEX(PP_Grid[#Data],$DD45,27),0)</f>
        <v/>
      </c>
      <c r="AD45">
        <f>IFERROR(INDEX(PP_Grid[#Data],$DD45,28),0)</f>
        <v/>
      </c>
      <c r="AE45">
        <f>IFERROR(INDEX(PP_Grid[#Data],$DD45,29),0)</f>
        <v/>
      </c>
      <c r="AF45">
        <f>IFERROR(INDEX(PP_Grid[#Data],$DD45,30),0)</f>
        <v/>
      </c>
      <c r="AG45">
        <f>IFERROR(INDEX(PP_Grid[#Data],$DD45,31),0)</f>
        <v/>
      </c>
      <c r="AH45">
        <f>IFERROR(INDEX(PP_Grid[#Data],$DD45,32),0)</f>
        <v/>
      </c>
      <c r="AI45">
        <f>IFERROR(INDEX(PP_Grid[#Data],$DD45,33),0)</f>
        <v/>
      </c>
      <c r="AJ45">
        <f>IFERROR(INDEX(PP_Grid[#Data],$DD45,34),0)</f>
        <v/>
      </c>
      <c r="AK45">
        <f>IFERROR(INDEX(PP_Grid[#Data],$DD45,35),0)</f>
        <v/>
      </c>
      <c r="AL45">
        <f>IFERROR(INDEX(PP_Grid[#Data],$DD45,36),0)</f>
        <v/>
      </c>
      <c r="AM45">
        <f>IFERROR(INDEX(PP_Grid[#Data],$DD45,37),0)</f>
        <v/>
      </c>
      <c r="AN45">
        <f>IFERROR(INDEX(PP_Grid[#Data],$DD45,38),0)</f>
        <v/>
      </c>
      <c r="AO45">
        <f>IFERROR(INDEX(PP_Grid[#Data],$DD45,39),0)</f>
        <v/>
      </c>
      <c r="AP45">
        <f>IFERROR(INDEX(PP_Grid[#Data],$DD45,40),0)</f>
        <v/>
      </c>
      <c r="AQ45">
        <f>IFERROR(INDEX(PP_Grid[#Data],$DD45,41),0)</f>
        <v/>
      </c>
      <c r="AR45">
        <f>IFERROR(INDEX(PP_Grid[#Data],$DD45,42),0)</f>
        <v/>
      </c>
      <c r="AS45">
        <f>IFERROR(INDEX(PP_Grid[#Data],$DD45,43),0)</f>
        <v/>
      </c>
      <c r="AT45">
        <f>IFERROR(INDEX(PP_Grid[#Data],$DD45,44),0)</f>
        <v/>
      </c>
      <c r="AU45">
        <f>IFERROR(INDEX(PP_Grid[#Data],$DD45,45),0)</f>
        <v/>
      </c>
      <c r="AV45">
        <f>IFERROR(INDEX(PP_Grid[#Data],$DD45,46),0)</f>
        <v/>
      </c>
      <c r="AW45">
        <f>IFERROR(INDEX(PP_Grid[#Data],$DD45,47),0)</f>
        <v/>
      </c>
      <c r="AX45">
        <f>IFERROR(INDEX(PP_Grid[#Data],$DD45,48),0)</f>
        <v/>
      </c>
      <c r="AY45">
        <f>IFERROR(INDEX(PP_Grid[#Data],$DD45,49),0)</f>
        <v/>
      </c>
      <c r="AZ45">
        <f>IFERROR(INDEX(PP_Grid[#Data],$DD45,50),0)</f>
        <v/>
      </c>
      <c r="BA45">
        <f>IFERROR(INDEX(PP_Grid[#Data],$DD45,51),0)</f>
        <v/>
      </c>
      <c r="BB45">
        <f>IFERROR(INDEX(PP_Grid[#Data],$DD45,52),0)</f>
        <v/>
      </c>
      <c r="BC45">
        <f>IFERROR(INDEX(PP_Grid[#Data],$DD45,53),0)</f>
        <v/>
      </c>
      <c r="BD45">
        <f>IFERROR(INDEX(PP_Grid[#Data],$DD45,54),0)</f>
        <v/>
      </c>
      <c r="BE45">
        <f>IFERROR(INDEX(PP_Grid[#Data],$DD45,55),0)</f>
        <v/>
      </c>
      <c r="BF45">
        <f>IFERROR(INDEX(PP_Grid[#Data],$DD45,56),0)</f>
        <v/>
      </c>
      <c r="BG45">
        <f>IFERROR(INDEX(PP_Grid[#Data],$DD45,57),0)</f>
        <v/>
      </c>
      <c r="BH45">
        <f>IFERROR(INDEX(PP_Grid[#Data],$DD45,58),0)</f>
        <v/>
      </c>
      <c r="BI45">
        <f>IFERROR(INDEX(PP_Grid[#Data],$DD45,59),0)</f>
        <v/>
      </c>
      <c r="BJ45">
        <f>IFERROR(INDEX(PP_Grid[#Data],$DD45,60),0)</f>
        <v/>
      </c>
      <c r="BK45">
        <f>IFERROR(INDEX(PP_Grid[#Data],$DD45,61),0)</f>
        <v/>
      </c>
      <c r="BL45">
        <f>IFERROR(INDEX(PP_Grid[#Data],$DD45,62),0)</f>
        <v/>
      </c>
      <c r="BM45">
        <f>IFERROR(INDEX(PP_Grid[#Data],$DD45,63),0)</f>
        <v/>
      </c>
      <c r="BN45">
        <f>IFERROR(INDEX(PP_Grid[#Data],$DD45,64),0)</f>
        <v/>
      </c>
      <c r="BO45">
        <f>IFERROR(INDEX(PP_Grid[#Data],$DD45,65),0)</f>
        <v/>
      </c>
      <c r="BP45">
        <f>IFERROR(INDEX(PP_Grid[#Data],$DD45,66),0)</f>
        <v/>
      </c>
      <c r="BQ45">
        <f>IFERROR(INDEX(PP_Grid[#Data],$DD45,67),0)</f>
        <v/>
      </c>
      <c r="BR45">
        <f>IFERROR(INDEX(PP_Grid[#Data],$DD45,68),0)</f>
        <v/>
      </c>
      <c r="BS45">
        <f>IFERROR(INDEX(PP_Grid[#Data],$DD45,69),0)</f>
        <v/>
      </c>
      <c r="BT45">
        <f>IFERROR(INDEX(PP_Grid[#Data],$DD45,70),0)</f>
        <v/>
      </c>
      <c r="BU45">
        <f>IFERROR(INDEX(PP_Grid[#Data],$DD45,71),0)</f>
        <v/>
      </c>
      <c r="BV45">
        <f>IFERROR(INDEX(PP_Grid[#Data],$DD45,72),0)</f>
        <v/>
      </c>
      <c r="BW45">
        <f>IFERROR(INDEX(PP_Grid[#Data],$DD45,73),0)</f>
        <v/>
      </c>
      <c r="BX45">
        <f>IFERROR(INDEX(PP_Grid[#Data],$DD45,74),0)</f>
        <v/>
      </c>
      <c r="BY45">
        <f>IFERROR(INDEX(PP_Grid[#Data],$DD45,75),0)</f>
        <v/>
      </c>
      <c r="BZ45">
        <f>IFERROR(INDEX(PP_Grid[#Data],$DD45,76),0)</f>
        <v/>
      </c>
      <c r="CA45">
        <f>IFERROR(INDEX(PP_Grid[#Data],$DD45,77),0)</f>
        <v/>
      </c>
      <c r="CB45">
        <f>IFERROR(INDEX(PP_Grid[#Data],$DD45,78),0)</f>
        <v/>
      </c>
      <c r="CC45">
        <f>IFERROR(INDEX(PP_Grid[#Data],$DD45,79),0)</f>
        <v/>
      </c>
      <c r="CD45">
        <f>IFERROR(INDEX(PP_Grid[#Data],$DD45,80),0)</f>
        <v/>
      </c>
      <c r="CE45">
        <f>IFERROR(INDEX(PP_Grid[#Data],$DD45,81),0)</f>
        <v/>
      </c>
      <c r="CF45">
        <f>IFERROR(INDEX(PP_Grid[#Data],$DD45,82),0)</f>
        <v/>
      </c>
      <c r="CG45">
        <f>IFERROR(INDEX(PP_Grid[#Data],$DD45,83),0)</f>
        <v/>
      </c>
      <c r="CH45">
        <f>IFERROR(INDEX(PP_Grid[#Data],$DD45,84),0)</f>
        <v/>
      </c>
      <c r="CI45">
        <f>IFERROR(INDEX(PP_Grid[#Data],$DD45,85),0)</f>
        <v/>
      </c>
      <c r="CJ45">
        <f>IFERROR(INDEX(PP_Grid[#Data],$DD45,86),0)</f>
        <v/>
      </c>
      <c r="CK45">
        <f>IFERROR(INDEX(PP_Grid[#Data],$DD45,87),0)</f>
        <v/>
      </c>
      <c r="CL45">
        <f>IFERROR(INDEX(PP_Grid[#Data],$DD45,88),0)</f>
        <v/>
      </c>
      <c r="CM45">
        <f>IFERROR(INDEX(PP_Grid[#Data],$DD45,89),0)</f>
        <v/>
      </c>
      <c r="CN45">
        <f>IFERROR(INDEX(PP_Grid[#Data],$DD45,90),0)</f>
        <v/>
      </c>
      <c r="CO45">
        <f>IFERROR(INDEX(PP_Grid[#Data],$DD45,91),0)</f>
        <v/>
      </c>
      <c r="CP45">
        <f>IFERROR(INDEX(PP_Grid[#Data],$DD45,92),0)</f>
        <v/>
      </c>
      <c r="CQ45">
        <f>IFERROR(INDEX(PP_Grid[#Data],$DD45,93),0)</f>
        <v/>
      </c>
      <c r="CR45">
        <f>IFERROR(INDEX(PP_Grid[#Data],$DD45,94),0)</f>
        <v/>
      </c>
      <c r="CS45">
        <f>IFERROR(INDEX(PP_Grid[#Data],$DD45,95),0)</f>
        <v/>
      </c>
      <c r="CT45">
        <f>IFERROR(INDEX(PP_Grid[#Data],$DD45,96),0)</f>
        <v/>
      </c>
      <c r="CU45">
        <f>IFERROR(INDEX(PP_Grid[#Data],$DD45,97),0)</f>
        <v/>
      </c>
      <c r="CV45">
        <f>IFERROR(INDEX(PP_Grid[#Data],$DD45,98),0)</f>
        <v/>
      </c>
      <c r="CW45">
        <f>IFERROR(INDEX(PP_Grid[#Data],$DD45,99),0)</f>
        <v/>
      </c>
      <c r="CX45">
        <f>IFERROR(INDEX(PP_Grid[#Data],$DD45,100),0)</f>
        <v/>
      </c>
      <c r="CY45">
        <f>IFERROR(INDEX(PP_Grid[#Data],$DD45,101),0)</f>
        <v/>
      </c>
      <c r="CZ45">
        <f>IFERROR(INDEX(PP_Grid[#Data],$DD45,102),0)</f>
        <v/>
      </c>
      <c r="DA45">
        <f>IFERROR(INDEX(PP_Grid[#Data],$DD45,103),0)</f>
        <v/>
      </c>
      <c r="DB45">
        <f>IFERROR(INDEX(PP_Grid[#Data],$DD45,104),0)</f>
        <v/>
      </c>
      <c r="DC45">
        <f>IFERROR(INDEX(PP_Grid[#Data],$DD45,105),0)</f>
        <v/>
      </c>
      <c r="DD45" s="7">
        <f>IFERROR(MATCH($B45,PP_Grid[Intermediate],0),99999)</f>
        <v/>
      </c>
    </row>
    <row r="46">
      <c r="B46" t="inlineStr">
        <is>
          <t>使用量(kg)</t>
        </is>
      </c>
      <c r="C46">
        <f>SUMIFS(M_BOM[RM_Qty_Per_Batch],M_BOM[Intermediate],$B45,M_BOM[Part Name],$A44)</f>
        <v/>
      </c>
      <c r="D46">
        <f>$C46*D45</f>
        <v/>
      </c>
      <c r="E46">
        <f>$C46*E45</f>
        <v/>
      </c>
      <c r="F46">
        <f>$C46*F45</f>
        <v/>
      </c>
      <c r="G46">
        <f>$C46*G45</f>
        <v/>
      </c>
      <c r="H46">
        <f>$C46*H45</f>
        <v/>
      </c>
      <c r="I46">
        <f>$C46*I45</f>
        <v/>
      </c>
      <c r="J46">
        <f>$C46*J45</f>
        <v/>
      </c>
      <c r="K46">
        <f>$C46*K45</f>
        <v/>
      </c>
      <c r="L46">
        <f>$C46*L45</f>
        <v/>
      </c>
      <c r="M46">
        <f>$C46*M45</f>
        <v/>
      </c>
      <c r="N46">
        <f>$C46*N45</f>
        <v/>
      </c>
      <c r="O46">
        <f>$C46*O45</f>
        <v/>
      </c>
      <c r="P46">
        <f>$C46*P45</f>
        <v/>
      </c>
      <c r="Q46">
        <f>$C46*Q45</f>
        <v/>
      </c>
      <c r="R46">
        <f>$C46*R45</f>
        <v/>
      </c>
      <c r="S46">
        <f>$C46*S45</f>
        <v/>
      </c>
      <c r="T46">
        <f>$C46*T45</f>
        <v/>
      </c>
      <c r="U46">
        <f>$C46*U45</f>
        <v/>
      </c>
      <c r="V46">
        <f>$C46*V45</f>
        <v/>
      </c>
      <c r="W46">
        <f>$C46*W45</f>
        <v/>
      </c>
      <c r="X46">
        <f>$C46*X45</f>
        <v/>
      </c>
      <c r="Y46">
        <f>$C46*Y45</f>
        <v/>
      </c>
      <c r="Z46">
        <f>$C46*Z45</f>
        <v/>
      </c>
      <c r="AA46">
        <f>$C46*AA45</f>
        <v/>
      </c>
      <c r="AB46">
        <f>$C46*AB45</f>
        <v/>
      </c>
      <c r="AC46">
        <f>$C46*AC45</f>
        <v/>
      </c>
      <c r="AD46">
        <f>$C46*AD45</f>
        <v/>
      </c>
      <c r="AE46">
        <f>$C46*AE45</f>
        <v/>
      </c>
      <c r="AF46">
        <f>$C46*AF45</f>
        <v/>
      </c>
      <c r="AG46">
        <f>$C46*AG45</f>
        <v/>
      </c>
      <c r="AH46">
        <f>$C46*AH45</f>
        <v/>
      </c>
      <c r="AI46">
        <f>$C46*AI45</f>
        <v/>
      </c>
      <c r="AJ46">
        <f>$C46*AJ45</f>
        <v/>
      </c>
      <c r="AK46">
        <f>$C46*AK45</f>
        <v/>
      </c>
      <c r="AL46">
        <f>$C46*AL45</f>
        <v/>
      </c>
      <c r="AM46">
        <f>$C46*AM45</f>
        <v/>
      </c>
      <c r="AN46">
        <f>$C46*AN45</f>
        <v/>
      </c>
      <c r="AO46">
        <f>$C46*AO45</f>
        <v/>
      </c>
      <c r="AP46">
        <f>$C46*AP45</f>
        <v/>
      </c>
      <c r="AQ46">
        <f>$C46*AQ45</f>
        <v/>
      </c>
      <c r="AR46">
        <f>$C46*AR45</f>
        <v/>
      </c>
      <c r="AS46">
        <f>$C46*AS45</f>
        <v/>
      </c>
      <c r="AT46">
        <f>$C46*AT45</f>
        <v/>
      </c>
      <c r="AU46">
        <f>$C46*AU45</f>
        <v/>
      </c>
      <c r="AV46">
        <f>$C46*AV45</f>
        <v/>
      </c>
      <c r="AW46">
        <f>$C46*AW45</f>
        <v/>
      </c>
      <c r="AX46">
        <f>$C46*AX45</f>
        <v/>
      </c>
      <c r="AY46">
        <f>$C46*AY45</f>
        <v/>
      </c>
      <c r="AZ46">
        <f>$C46*AZ45</f>
        <v/>
      </c>
      <c r="BA46">
        <f>$C46*BA45</f>
        <v/>
      </c>
      <c r="BB46">
        <f>$C46*BB45</f>
        <v/>
      </c>
      <c r="BC46">
        <f>$C46*BC45</f>
        <v/>
      </c>
      <c r="BD46">
        <f>$C46*BD45</f>
        <v/>
      </c>
      <c r="BE46">
        <f>$C46*BE45</f>
        <v/>
      </c>
      <c r="BF46">
        <f>$C46*BF45</f>
        <v/>
      </c>
      <c r="BG46">
        <f>$C46*BG45</f>
        <v/>
      </c>
      <c r="BH46">
        <f>$C46*BH45</f>
        <v/>
      </c>
      <c r="BI46">
        <f>$C46*BI45</f>
        <v/>
      </c>
      <c r="BJ46">
        <f>$C46*BJ45</f>
        <v/>
      </c>
      <c r="BK46">
        <f>$C46*BK45</f>
        <v/>
      </c>
      <c r="BL46">
        <f>$C46*BL45</f>
        <v/>
      </c>
      <c r="BM46">
        <f>$C46*BM45</f>
        <v/>
      </c>
      <c r="BN46">
        <f>$C46*BN45</f>
        <v/>
      </c>
      <c r="BO46">
        <f>$C46*BO45</f>
        <v/>
      </c>
      <c r="BP46">
        <f>$C46*BP45</f>
        <v/>
      </c>
      <c r="BQ46">
        <f>$C46*BQ45</f>
        <v/>
      </c>
      <c r="BR46">
        <f>$C46*BR45</f>
        <v/>
      </c>
      <c r="BS46">
        <f>$C46*BS45</f>
        <v/>
      </c>
      <c r="BT46">
        <f>$C46*BT45</f>
        <v/>
      </c>
      <c r="BU46">
        <f>$C46*BU45</f>
        <v/>
      </c>
      <c r="BV46">
        <f>$C46*BV45</f>
        <v/>
      </c>
      <c r="BW46">
        <f>$C46*BW45</f>
        <v/>
      </c>
      <c r="BX46">
        <f>$C46*BX45</f>
        <v/>
      </c>
      <c r="BY46">
        <f>$C46*BY45</f>
        <v/>
      </c>
      <c r="BZ46">
        <f>$C46*BZ45</f>
        <v/>
      </c>
      <c r="CA46">
        <f>$C46*CA45</f>
        <v/>
      </c>
      <c r="CB46">
        <f>$C46*CB45</f>
        <v/>
      </c>
      <c r="CC46">
        <f>$C46*CC45</f>
        <v/>
      </c>
      <c r="CD46">
        <f>$C46*CD45</f>
        <v/>
      </c>
      <c r="CE46">
        <f>$C46*CE45</f>
        <v/>
      </c>
      <c r="CF46">
        <f>$C46*CF45</f>
        <v/>
      </c>
      <c r="CG46">
        <f>$C46*CG45</f>
        <v/>
      </c>
      <c r="CH46">
        <f>$C46*CH45</f>
        <v/>
      </c>
      <c r="CI46">
        <f>$C46*CI45</f>
        <v/>
      </c>
      <c r="CJ46">
        <f>$C46*CJ45</f>
        <v/>
      </c>
      <c r="CK46">
        <f>$C46*CK45</f>
        <v/>
      </c>
      <c r="CL46">
        <f>$C46*CL45</f>
        <v/>
      </c>
      <c r="CM46">
        <f>$C46*CM45</f>
        <v/>
      </c>
      <c r="CN46">
        <f>$C46*CN45</f>
        <v/>
      </c>
      <c r="CO46">
        <f>$C46*CO45</f>
        <v/>
      </c>
      <c r="CP46">
        <f>$C46*CP45</f>
        <v/>
      </c>
      <c r="CQ46">
        <f>$C46*CQ45</f>
        <v/>
      </c>
      <c r="CR46">
        <f>$C46*CR45</f>
        <v/>
      </c>
      <c r="CS46">
        <f>$C46*CS45</f>
        <v/>
      </c>
      <c r="CT46">
        <f>$C46*CT45</f>
        <v/>
      </c>
      <c r="CU46">
        <f>$C46*CU45</f>
        <v/>
      </c>
      <c r="CV46">
        <f>$C46*CV45</f>
        <v/>
      </c>
      <c r="CW46">
        <f>$C46*CW45</f>
        <v/>
      </c>
      <c r="CX46">
        <f>$C46*CX45</f>
        <v/>
      </c>
      <c r="CY46">
        <f>$C46*CY45</f>
        <v/>
      </c>
      <c r="CZ46">
        <f>$C46*CZ45</f>
        <v/>
      </c>
      <c r="DA46">
        <f>$C46*DA45</f>
        <v/>
      </c>
      <c r="DB46">
        <f>$C46*DB45</f>
        <v/>
      </c>
      <c r="DC46">
        <f>$C46*DC45</f>
        <v/>
      </c>
    </row>
    <row r="47">
      <c r="B47" t="inlineStr">
        <is>
          <t>TSP-050</t>
        </is>
      </c>
      <c r="C47" t="inlineStr">
        <is>
          <t>No. of batches</t>
        </is>
      </c>
      <c r="D47">
        <f>IFERROR(INDEX(PP_Grid[#Data],$DD47,2),0)</f>
        <v/>
      </c>
      <c r="E47">
        <f>IFERROR(INDEX(PP_Grid[#Data],$DD47,3),0)</f>
        <v/>
      </c>
      <c r="F47">
        <f>IFERROR(INDEX(PP_Grid[#Data],$DD47,4),0)</f>
        <v/>
      </c>
      <c r="G47">
        <f>IFERROR(INDEX(PP_Grid[#Data],$DD47,5),0)</f>
        <v/>
      </c>
      <c r="H47">
        <f>IFERROR(INDEX(PP_Grid[#Data],$DD47,6),0)</f>
        <v/>
      </c>
      <c r="I47">
        <f>IFERROR(INDEX(PP_Grid[#Data],$DD47,7),0)</f>
        <v/>
      </c>
      <c r="J47">
        <f>IFERROR(INDEX(PP_Grid[#Data],$DD47,8),0)</f>
        <v/>
      </c>
      <c r="K47">
        <f>IFERROR(INDEX(PP_Grid[#Data],$DD47,9),0)</f>
        <v/>
      </c>
      <c r="L47">
        <f>IFERROR(INDEX(PP_Grid[#Data],$DD47,10),0)</f>
        <v/>
      </c>
      <c r="M47">
        <f>IFERROR(INDEX(PP_Grid[#Data],$DD47,11),0)</f>
        <v/>
      </c>
      <c r="N47">
        <f>IFERROR(INDEX(PP_Grid[#Data],$DD47,12),0)</f>
        <v/>
      </c>
      <c r="O47">
        <f>IFERROR(INDEX(PP_Grid[#Data],$DD47,13),0)</f>
        <v/>
      </c>
      <c r="P47">
        <f>IFERROR(INDEX(PP_Grid[#Data],$DD47,14),0)</f>
        <v/>
      </c>
      <c r="Q47">
        <f>IFERROR(INDEX(PP_Grid[#Data],$DD47,15),0)</f>
        <v/>
      </c>
      <c r="R47">
        <f>IFERROR(INDEX(PP_Grid[#Data],$DD47,16),0)</f>
        <v/>
      </c>
      <c r="S47">
        <f>IFERROR(INDEX(PP_Grid[#Data],$DD47,17),0)</f>
        <v/>
      </c>
      <c r="T47">
        <f>IFERROR(INDEX(PP_Grid[#Data],$DD47,18),0)</f>
        <v/>
      </c>
      <c r="U47">
        <f>IFERROR(INDEX(PP_Grid[#Data],$DD47,19),0)</f>
        <v/>
      </c>
      <c r="V47">
        <f>IFERROR(INDEX(PP_Grid[#Data],$DD47,20),0)</f>
        <v/>
      </c>
      <c r="W47">
        <f>IFERROR(INDEX(PP_Grid[#Data],$DD47,21),0)</f>
        <v/>
      </c>
      <c r="X47">
        <f>IFERROR(INDEX(PP_Grid[#Data],$DD47,22),0)</f>
        <v/>
      </c>
      <c r="Y47">
        <f>IFERROR(INDEX(PP_Grid[#Data],$DD47,23),0)</f>
        <v/>
      </c>
      <c r="Z47">
        <f>IFERROR(INDEX(PP_Grid[#Data],$DD47,24),0)</f>
        <v/>
      </c>
      <c r="AA47">
        <f>IFERROR(INDEX(PP_Grid[#Data],$DD47,25),0)</f>
        <v/>
      </c>
      <c r="AB47">
        <f>IFERROR(INDEX(PP_Grid[#Data],$DD47,26),0)</f>
        <v/>
      </c>
      <c r="AC47">
        <f>IFERROR(INDEX(PP_Grid[#Data],$DD47,27),0)</f>
        <v/>
      </c>
      <c r="AD47">
        <f>IFERROR(INDEX(PP_Grid[#Data],$DD47,28),0)</f>
        <v/>
      </c>
      <c r="AE47">
        <f>IFERROR(INDEX(PP_Grid[#Data],$DD47,29),0)</f>
        <v/>
      </c>
      <c r="AF47">
        <f>IFERROR(INDEX(PP_Grid[#Data],$DD47,30),0)</f>
        <v/>
      </c>
      <c r="AG47">
        <f>IFERROR(INDEX(PP_Grid[#Data],$DD47,31),0)</f>
        <v/>
      </c>
      <c r="AH47">
        <f>IFERROR(INDEX(PP_Grid[#Data],$DD47,32),0)</f>
        <v/>
      </c>
      <c r="AI47">
        <f>IFERROR(INDEX(PP_Grid[#Data],$DD47,33),0)</f>
        <v/>
      </c>
      <c r="AJ47">
        <f>IFERROR(INDEX(PP_Grid[#Data],$DD47,34),0)</f>
        <v/>
      </c>
      <c r="AK47">
        <f>IFERROR(INDEX(PP_Grid[#Data],$DD47,35),0)</f>
        <v/>
      </c>
      <c r="AL47">
        <f>IFERROR(INDEX(PP_Grid[#Data],$DD47,36),0)</f>
        <v/>
      </c>
      <c r="AM47">
        <f>IFERROR(INDEX(PP_Grid[#Data],$DD47,37),0)</f>
        <v/>
      </c>
      <c r="AN47">
        <f>IFERROR(INDEX(PP_Grid[#Data],$DD47,38),0)</f>
        <v/>
      </c>
      <c r="AO47">
        <f>IFERROR(INDEX(PP_Grid[#Data],$DD47,39),0)</f>
        <v/>
      </c>
      <c r="AP47">
        <f>IFERROR(INDEX(PP_Grid[#Data],$DD47,40),0)</f>
        <v/>
      </c>
      <c r="AQ47">
        <f>IFERROR(INDEX(PP_Grid[#Data],$DD47,41),0)</f>
        <v/>
      </c>
      <c r="AR47">
        <f>IFERROR(INDEX(PP_Grid[#Data],$DD47,42),0)</f>
        <v/>
      </c>
      <c r="AS47">
        <f>IFERROR(INDEX(PP_Grid[#Data],$DD47,43),0)</f>
        <v/>
      </c>
      <c r="AT47">
        <f>IFERROR(INDEX(PP_Grid[#Data],$DD47,44),0)</f>
        <v/>
      </c>
      <c r="AU47">
        <f>IFERROR(INDEX(PP_Grid[#Data],$DD47,45),0)</f>
        <v/>
      </c>
      <c r="AV47">
        <f>IFERROR(INDEX(PP_Grid[#Data],$DD47,46),0)</f>
        <v/>
      </c>
      <c r="AW47">
        <f>IFERROR(INDEX(PP_Grid[#Data],$DD47,47),0)</f>
        <v/>
      </c>
      <c r="AX47">
        <f>IFERROR(INDEX(PP_Grid[#Data],$DD47,48),0)</f>
        <v/>
      </c>
      <c r="AY47">
        <f>IFERROR(INDEX(PP_Grid[#Data],$DD47,49),0)</f>
        <v/>
      </c>
      <c r="AZ47">
        <f>IFERROR(INDEX(PP_Grid[#Data],$DD47,50),0)</f>
        <v/>
      </c>
      <c r="BA47">
        <f>IFERROR(INDEX(PP_Grid[#Data],$DD47,51),0)</f>
        <v/>
      </c>
      <c r="BB47">
        <f>IFERROR(INDEX(PP_Grid[#Data],$DD47,52),0)</f>
        <v/>
      </c>
      <c r="BC47">
        <f>IFERROR(INDEX(PP_Grid[#Data],$DD47,53),0)</f>
        <v/>
      </c>
      <c r="BD47">
        <f>IFERROR(INDEX(PP_Grid[#Data],$DD47,54),0)</f>
        <v/>
      </c>
      <c r="BE47">
        <f>IFERROR(INDEX(PP_Grid[#Data],$DD47,55),0)</f>
        <v/>
      </c>
      <c r="BF47">
        <f>IFERROR(INDEX(PP_Grid[#Data],$DD47,56),0)</f>
        <v/>
      </c>
      <c r="BG47">
        <f>IFERROR(INDEX(PP_Grid[#Data],$DD47,57),0)</f>
        <v/>
      </c>
      <c r="BH47">
        <f>IFERROR(INDEX(PP_Grid[#Data],$DD47,58),0)</f>
        <v/>
      </c>
      <c r="BI47">
        <f>IFERROR(INDEX(PP_Grid[#Data],$DD47,59),0)</f>
        <v/>
      </c>
      <c r="BJ47">
        <f>IFERROR(INDEX(PP_Grid[#Data],$DD47,60),0)</f>
        <v/>
      </c>
      <c r="BK47">
        <f>IFERROR(INDEX(PP_Grid[#Data],$DD47,61),0)</f>
        <v/>
      </c>
      <c r="BL47">
        <f>IFERROR(INDEX(PP_Grid[#Data],$DD47,62),0)</f>
        <v/>
      </c>
      <c r="BM47">
        <f>IFERROR(INDEX(PP_Grid[#Data],$DD47,63),0)</f>
        <v/>
      </c>
      <c r="BN47">
        <f>IFERROR(INDEX(PP_Grid[#Data],$DD47,64),0)</f>
        <v/>
      </c>
      <c r="BO47">
        <f>IFERROR(INDEX(PP_Grid[#Data],$DD47,65),0)</f>
        <v/>
      </c>
      <c r="BP47">
        <f>IFERROR(INDEX(PP_Grid[#Data],$DD47,66),0)</f>
        <v/>
      </c>
      <c r="BQ47">
        <f>IFERROR(INDEX(PP_Grid[#Data],$DD47,67),0)</f>
        <v/>
      </c>
      <c r="BR47">
        <f>IFERROR(INDEX(PP_Grid[#Data],$DD47,68),0)</f>
        <v/>
      </c>
      <c r="BS47">
        <f>IFERROR(INDEX(PP_Grid[#Data],$DD47,69),0)</f>
        <v/>
      </c>
      <c r="BT47">
        <f>IFERROR(INDEX(PP_Grid[#Data],$DD47,70),0)</f>
        <v/>
      </c>
      <c r="BU47">
        <f>IFERROR(INDEX(PP_Grid[#Data],$DD47,71),0)</f>
        <v/>
      </c>
      <c r="BV47">
        <f>IFERROR(INDEX(PP_Grid[#Data],$DD47,72),0)</f>
        <v/>
      </c>
      <c r="BW47">
        <f>IFERROR(INDEX(PP_Grid[#Data],$DD47,73),0)</f>
        <v/>
      </c>
      <c r="BX47">
        <f>IFERROR(INDEX(PP_Grid[#Data],$DD47,74),0)</f>
        <v/>
      </c>
      <c r="BY47">
        <f>IFERROR(INDEX(PP_Grid[#Data],$DD47,75),0)</f>
        <v/>
      </c>
      <c r="BZ47">
        <f>IFERROR(INDEX(PP_Grid[#Data],$DD47,76),0)</f>
        <v/>
      </c>
      <c r="CA47">
        <f>IFERROR(INDEX(PP_Grid[#Data],$DD47,77),0)</f>
        <v/>
      </c>
      <c r="CB47">
        <f>IFERROR(INDEX(PP_Grid[#Data],$DD47,78),0)</f>
        <v/>
      </c>
      <c r="CC47">
        <f>IFERROR(INDEX(PP_Grid[#Data],$DD47,79),0)</f>
        <v/>
      </c>
      <c r="CD47">
        <f>IFERROR(INDEX(PP_Grid[#Data],$DD47,80),0)</f>
        <v/>
      </c>
      <c r="CE47">
        <f>IFERROR(INDEX(PP_Grid[#Data],$DD47,81),0)</f>
        <v/>
      </c>
      <c r="CF47">
        <f>IFERROR(INDEX(PP_Grid[#Data],$DD47,82),0)</f>
        <v/>
      </c>
      <c r="CG47">
        <f>IFERROR(INDEX(PP_Grid[#Data],$DD47,83),0)</f>
        <v/>
      </c>
      <c r="CH47">
        <f>IFERROR(INDEX(PP_Grid[#Data],$DD47,84),0)</f>
        <v/>
      </c>
      <c r="CI47">
        <f>IFERROR(INDEX(PP_Grid[#Data],$DD47,85),0)</f>
        <v/>
      </c>
      <c r="CJ47">
        <f>IFERROR(INDEX(PP_Grid[#Data],$DD47,86),0)</f>
        <v/>
      </c>
      <c r="CK47">
        <f>IFERROR(INDEX(PP_Grid[#Data],$DD47,87),0)</f>
        <v/>
      </c>
      <c r="CL47">
        <f>IFERROR(INDEX(PP_Grid[#Data],$DD47,88),0)</f>
        <v/>
      </c>
      <c r="CM47">
        <f>IFERROR(INDEX(PP_Grid[#Data],$DD47,89),0)</f>
        <v/>
      </c>
      <c r="CN47">
        <f>IFERROR(INDEX(PP_Grid[#Data],$DD47,90),0)</f>
        <v/>
      </c>
      <c r="CO47">
        <f>IFERROR(INDEX(PP_Grid[#Data],$DD47,91),0)</f>
        <v/>
      </c>
      <c r="CP47">
        <f>IFERROR(INDEX(PP_Grid[#Data],$DD47,92),0)</f>
        <v/>
      </c>
      <c r="CQ47">
        <f>IFERROR(INDEX(PP_Grid[#Data],$DD47,93),0)</f>
        <v/>
      </c>
      <c r="CR47">
        <f>IFERROR(INDEX(PP_Grid[#Data],$DD47,94),0)</f>
        <v/>
      </c>
      <c r="CS47">
        <f>IFERROR(INDEX(PP_Grid[#Data],$DD47,95),0)</f>
        <v/>
      </c>
      <c r="CT47">
        <f>IFERROR(INDEX(PP_Grid[#Data],$DD47,96),0)</f>
        <v/>
      </c>
      <c r="CU47">
        <f>IFERROR(INDEX(PP_Grid[#Data],$DD47,97),0)</f>
        <v/>
      </c>
      <c r="CV47">
        <f>IFERROR(INDEX(PP_Grid[#Data],$DD47,98),0)</f>
        <v/>
      </c>
      <c r="CW47">
        <f>IFERROR(INDEX(PP_Grid[#Data],$DD47,99),0)</f>
        <v/>
      </c>
      <c r="CX47">
        <f>IFERROR(INDEX(PP_Grid[#Data],$DD47,100),0)</f>
        <v/>
      </c>
      <c r="CY47">
        <f>IFERROR(INDEX(PP_Grid[#Data],$DD47,101),0)</f>
        <v/>
      </c>
      <c r="CZ47">
        <f>IFERROR(INDEX(PP_Grid[#Data],$DD47,102),0)</f>
        <v/>
      </c>
      <c r="DA47">
        <f>IFERROR(INDEX(PP_Grid[#Data],$DD47,103),0)</f>
        <v/>
      </c>
      <c r="DB47">
        <f>IFERROR(INDEX(PP_Grid[#Data],$DD47,104),0)</f>
        <v/>
      </c>
      <c r="DC47">
        <f>IFERROR(INDEX(PP_Grid[#Data],$DD47,105),0)</f>
        <v/>
      </c>
      <c r="DD47" s="7">
        <f>IFERROR(MATCH($B47,PP_Grid[Intermediate],0),99999)</f>
        <v/>
      </c>
    </row>
    <row r="48">
      <c r="B48" t="inlineStr">
        <is>
          <t>使用量(kg)</t>
        </is>
      </c>
      <c r="C48">
        <f>SUMIFS(M_BOM[RM_Qty_Per_Batch],M_BOM[Intermediate],$B47,M_BOM[Part Name],$A44)</f>
        <v/>
      </c>
      <c r="D48">
        <f>$C48*D47</f>
        <v/>
      </c>
      <c r="E48">
        <f>$C48*E47</f>
        <v/>
      </c>
      <c r="F48">
        <f>$C48*F47</f>
        <v/>
      </c>
      <c r="G48">
        <f>$C48*G47</f>
        <v/>
      </c>
      <c r="H48">
        <f>$C48*H47</f>
        <v/>
      </c>
      <c r="I48">
        <f>$C48*I47</f>
        <v/>
      </c>
      <c r="J48">
        <f>$C48*J47</f>
        <v/>
      </c>
      <c r="K48">
        <f>$C48*K47</f>
        <v/>
      </c>
      <c r="L48">
        <f>$C48*L47</f>
        <v/>
      </c>
      <c r="M48">
        <f>$C48*M47</f>
        <v/>
      </c>
      <c r="N48">
        <f>$C48*N47</f>
        <v/>
      </c>
      <c r="O48">
        <f>$C48*O47</f>
        <v/>
      </c>
      <c r="P48">
        <f>$C48*P47</f>
        <v/>
      </c>
      <c r="Q48">
        <f>$C48*Q47</f>
        <v/>
      </c>
      <c r="R48">
        <f>$C48*R47</f>
        <v/>
      </c>
      <c r="S48">
        <f>$C48*S47</f>
        <v/>
      </c>
      <c r="T48">
        <f>$C48*T47</f>
        <v/>
      </c>
      <c r="U48">
        <f>$C48*U47</f>
        <v/>
      </c>
      <c r="V48">
        <f>$C48*V47</f>
        <v/>
      </c>
      <c r="W48">
        <f>$C48*W47</f>
        <v/>
      </c>
      <c r="X48">
        <f>$C48*X47</f>
        <v/>
      </c>
      <c r="Y48">
        <f>$C48*Y47</f>
        <v/>
      </c>
      <c r="Z48">
        <f>$C48*Z47</f>
        <v/>
      </c>
      <c r="AA48">
        <f>$C48*AA47</f>
        <v/>
      </c>
      <c r="AB48">
        <f>$C48*AB47</f>
        <v/>
      </c>
      <c r="AC48">
        <f>$C48*AC47</f>
        <v/>
      </c>
      <c r="AD48">
        <f>$C48*AD47</f>
        <v/>
      </c>
      <c r="AE48">
        <f>$C48*AE47</f>
        <v/>
      </c>
      <c r="AF48">
        <f>$C48*AF47</f>
        <v/>
      </c>
      <c r="AG48">
        <f>$C48*AG47</f>
        <v/>
      </c>
      <c r="AH48">
        <f>$C48*AH47</f>
        <v/>
      </c>
      <c r="AI48">
        <f>$C48*AI47</f>
        <v/>
      </c>
      <c r="AJ48">
        <f>$C48*AJ47</f>
        <v/>
      </c>
      <c r="AK48">
        <f>$C48*AK47</f>
        <v/>
      </c>
      <c r="AL48">
        <f>$C48*AL47</f>
        <v/>
      </c>
      <c r="AM48">
        <f>$C48*AM47</f>
        <v/>
      </c>
      <c r="AN48">
        <f>$C48*AN47</f>
        <v/>
      </c>
      <c r="AO48">
        <f>$C48*AO47</f>
        <v/>
      </c>
      <c r="AP48">
        <f>$C48*AP47</f>
        <v/>
      </c>
      <c r="AQ48">
        <f>$C48*AQ47</f>
        <v/>
      </c>
      <c r="AR48">
        <f>$C48*AR47</f>
        <v/>
      </c>
      <c r="AS48">
        <f>$C48*AS47</f>
        <v/>
      </c>
      <c r="AT48">
        <f>$C48*AT47</f>
        <v/>
      </c>
      <c r="AU48">
        <f>$C48*AU47</f>
        <v/>
      </c>
      <c r="AV48">
        <f>$C48*AV47</f>
        <v/>
      </c>
      <c r="AW48">
        <f>$C48*AW47</f>
        <v/>
      </c>
      <c r="AX48">
        <f>$C48*AX47</f>
        <v/>
      </c>
      <c r="AY48">
        <f>$C48*AY47</f>
        <v/>
      </c>
      <c r="AZ48">
        <f>$C48*AZ47</f>
        <v/>
      </c>
      <c r="BA48">
        <f>$C48*BA47</f>
        <v/>
      </c>
      <c r="BB48">
        <f>$C48*BB47</f>
        <v/>
      </c>
      <c r="BC48">
        <f>$C48*BC47</f>
        <v/>
      </c>
      <c r="BD48">
        <f>$C48*BD47</f>
        <v/>
      </c>
      <c r="BE48">
        <f>$C48*BE47</f>
        <v/>
      </c>
      <c r="BF48">
        <f>$C48*BF47</f>
        <v/>
      </c>
      <c r="BG48">
        <f>$C48*BG47</f>
        <v/>
      </c>
      <c r="BH48">
        <f>$C48*BH47</f>
        <v/>
      </c>
      <c r="BI48">
        <f>$C48*BI47</f>
        <v/>
      </c>
      <c r="BJ48">
        <f>$C48*BJ47</f>
        <v/>
      </c>
      <c r="BK48">
        <f>$C48*BK47</f>
        <v/>
      </c>
      <c r="BL48">
        <f>$C48*BL47</f>
        <v/>
      </c>
      <c r="BM48">
        <f>$C48*BM47</f>
        <v/>
      </c>
      <c r="BN48">
        <f>$C48*BN47</f>
        <v/>
      </c>
      <c r="BO48">
        <f>$C48*BO47</f>
        <v/>
      </c>
      <c r="BP48">
        <f>$C48*BP47</f>
        <v/>
      </c>
      <c r="BQ48">
        <f>$C48*BQ47</f>
        <v/>
      </c>
      <c r="BR48">
        <f>$C48*BR47</f>
        <v/>
      </c>
      <c r="BS48">
        <f>$C48*BS47</f>
        <v/>
      </c>
      <c r="BT48">
        <f>$C48*BT47</f>
        <v/>
      </c>
      <c r="BU48">
        <f>$C48*BU47</f>
        <v/>
      </c>
      <c r="BV48">
        <f>$C48*BV47</f>
        <v/>
      </c>
      <c r="BW48">
        <f>$C48*BW47</f>
        <v/>
      </c>
      <c r="BX48">
        <f>$C48*BX47</f>
        <v/>
      </c>
      <c r="BY48">
        <f>$C48*BY47</f>
        <v/>
      </c>
      <c r="BZ48">
        <f>$C48*BZ47</f>
        <v/>
      </c>
      <c r="CA48">
        <f>$C48*CA47</f>
        <v/>
      </c>
      <c r="CB48">
        <f>$C48*CB47</f>
        <v/>
      </c>
      <c r="CC48">
        <f>$C48*CC47</f>
        <v/>
      </c>
      <c r="CD48">
        <f>$C48*CD47</f>
        <v/>
      </c>
      <c r="CE48">
        <f>$C48*CE47</f>
        <v/>
      </c>
      <c r="CF48">
        <f>$C48*CF47</f>
        <v/>
      </c>
      <c r="CG48">
        <f>$C48*CG47</f>
        <v/>
      </c>
      <c r="CH48">
        <f>$C48*CH47</f>
        <v/>
      </c>
      <c r="CI48">
        <f>$C48*CI47</f>
        <v/>
      </c>
      <c r="CJ48">
        <f>$C48*CJ47</f>
        <v/>
      </c>
      <c r="CK48">
        <f>$C48*CK47</f>
        <v/>
      </c>
      <c r="CL48">
        <f>$C48*CL47</f>
        <v/>
      </c>
      <c r="CM48">
        <f>$C48*CM47</f>
        <v/>
      </c>
      <c r="CN48">
        <f>$C48*CN47</f>
        <v/>
      </c>
      <c r="CO48">
        <f>$C48*CO47</f>
        <v/>
      </c>
      <c r="CP48">
        <f>$C48*CP47</f>
        <v/>
      </c>
      <c r="CQ48">
        <f>$C48*CQ47</f>
        <v/>
      </c>
      <c r="CR48">
        <f>$C48*CR47</f>
        <v/>
      </c>
      <c r="CS48">
        <f>$C48*CS47</f>
        <v/>
      </c>
      <c r="CT48">
        <f>$C48*CT47</f>
        <v/>
      </c>
      <c r="CU48">
        <f>$C48*CU47</f>
        <v/>
      </c>
      <c r="CV48">
        <f>$C48*CV47</f>
        <v/>
      </c>
      <c r="CW48">
        <f>$C48*CW47</f>
        <v/>
      </c>
      <c r="CX48">
        <f>$C48*CX47</f>
        <v/>
      </c>
      <c r="CY48">
        <f>$C48*CY47</f>
        <v/>
      </c>
      <c r="CZ48">
        <f>$C48*CZ47</f>
        <v/>
      </c>
      <c r="DA48">
        <f>$C48*DA47</f>
        <v/>
      </c>
      <c r="DB48">
        <f>$C48*DB47</f>
        <v/>
      </c>
      <c r="DC48">
        <f>$C48*DC47</f>
        <v/>
      </c>
    </row>
    <row r="49">
      <c r="B49" t="inlineStr">
        <is>
          <t>TSP-067</t>
        </is>
      </c>
      <c r="C49" t="inlineStr">
        <is>
          <t>No. of batches</t>
        </is>
      </c>
      <c r="D49">
        <f>IFERROR(INDEX(PP_Grid[#Data],$DD49,2),0)</f>
        <v/>
      </c>
      <c r="E49">
        <f>IFERROR(INDEX(PP_Grid[#Data],$DD49,3),0)</f>
        <v/>
      </c>
      <c r="F49">
        <f>IFERROR(INDEX(PP_Grid[#Data],$DD49,4),0)</f>
        <v/>
      </c>
      <c r="G49">
        <f>IFERROR(INDEX(PP_Grid[#Data],$DD49,5),0)</f>
        <v/>
      </c>
      <c r="H49">
        <f>IFERROR(INDEX(PP_Grid[#Data],$DD49,6),0)</f>
        <v/>
      </c>
      <c r="I49">
        <f>IFERROR(INDEX(PP_Grid[#Data],$DD49,7),0)</f>
        <v/>
      </c>
      <c r="J49">
        <f>IFERROR(INDEX(PP_Grid[#Data],$DD49,8),0)</f>
        <v/>
      </c>
      <c r="K49">
        <f>IFERROR(INDEX(PP_Grid[#Data],$DD49,9),0)</f>
        <v/>
      </c>
      <c r="L49">
        <f>IFERROR(INDEX(PP_Grid[#Data],$DD49,10),0)</f>
        <v/>
      </c>
      <c r="M49">
        <f>IFERROR(INDEX(PP_Grid[#Data],$DD49,11),0)</f>
        <v/>
      </c>
      <c r="N49">
        <f>IFERROR(INDEX(PP_Grid[#Data],$DD49,12),0)</f>
        <v/>
      </c>
      <c r="O49">
        <f>IFERROR(INDEX(PP_Grid[#Data],$DD49,13),0)</f>
        <v/>
      </c>
      <c r="P49">
        <f>IFERROR(INDEX(PP_Grid[#Data],$DD49,14),0)</f>
        <v/>
      </c>
      <c r="Q49">
        <f>IFERROR(INDEX(PP_Grid[#Data],$DD49,15),0)</f>
        <v/>
      </c>
      <c r="R49">
        <f>IFERROR(INDEX(PP_Grid[#Data],$DD49,16),0)</f>
        <v/>
      </c>
      <c r="S49">
        <f>IFERROR(INDEX(PP_Grid[#Data],$DD49,17),0)</f>
        <v/>
      </c>
      <c r="T49">
        <f>IFERROR(INDEX(PP_Grid[#Data],$DD49,18),0)</f>
        <v/>
      </c>
      <c r="U49">
        <f>IFERROR(INDEX(PP_Grid[#Data],$DD49,19),0)</f>
        <v/>
      </c>
      <c r="V49">
        <f>IFERROR(INDEX(PP_Grid[#Data],$DD49,20),0)</f>
        <v/>
      </c>
      <c r="W49">
        <f>IFERROR(INDEX(PP_Grid[#Data],$DD49,21),0)</f>
        <v/>
      </c>
      <c r="X49">
        <f>IFERROR(INDEX(PP_Grid[#Data],$DD49,22),0)</f>
        <v/>
      </c>
      <c r="Y49">
        <f>IFERROR(INDEX(PP_Grid[#Data],$DD49,23),0)</f>
        <v/>
      </c>
      <c r="Z49">
        <f>IFERROR(INDEX(PP_Grid[#Data],$DD49,24),0)</f>
        <v/>
      </c>
      <c r="AA49">
        <f>IFERROR(INDEX(PP_Grid[#Data],$DD49,25),0)</f>
        <v/>
      </c>
      <c r="AB49">
        <f>IFERROR(INDEX(PP_Grid[#Data],$DD49,26),0)</f>
        <v/>
      </c>
      <c r="AC49">
        <f>IFERROR(INDEX(PP_Grid[#Data],$DD49,27),0)</f>
        <v/>
      </c>
      <c r="AD49">
        <f>IFERROR(INDEX(PP_Grid[#Data],$DD49,28),0)</f>
        <v/>
      </c>
      <c r="AE49">
        <f>IFERROR(INDEX(PP_Grid[#Data],$DD49,29),0)</f>
        <v/>
      </c>
      <c r="AF49">
        <f>IFERROR(INDEX(PP_Grid[#Data],$DD49,30),0)</f>
        <v/>
      </c>
      <c r="AG49">
        <f>IFERROR(INDEX(PP_Grid[#Data],$DD49,31),0)</f>
        <v/>
      </c>
      <c r="AH49">
        <f>IFERROR(INDEX(PP_Grid[#Data],$DD49,32),0)</f>
        <v/>
      </c>
      <c r="AI49">
        <f>IFERROR(INDEX(PP_Grid[#Data],$DD49,33),0)</f>
        <v/>
      </c>
      <c r="AJ49">
        <f>IFERROR(INDEX(PP_Grid[#Data],$DD49,34),0)</f>
        <v/>
      </c>
      <c r="AK49">
        <f>IFERROR(INDEX(PP_Grid[#Data],$DD49,35),0)</f>
        <v/>
      </c>
      <c r="AL49">
        <f>IFERROR(INDEX(PP_Grid[#Data],$DD49,36),0)</f>
        <v/>
      </c>
      <c r="AM49">
        <f>IFERROR(INDEX(PP_Grid[#Data],$DD49,37),0)</f>
        <v/>
      </c>
      <c r="AN49">
        <f>IFERROR(INDEX(PP_Grid[#Data],$DD49,38),0)</f>
        <v/>
      </c>
      <c r="AO49">
        <f>IFERROR(INDEX(PP_Grid[#Data],$DD49,39),0)</f>
        <v/>
      </c>
      <c r="AP49">
        <f>IFERROR(INDEX(PP_Grid[#Data],$DD49,40),0)</f>
        <v/>
      </c>
      <c r="AQ49">
        <f>IFERROR(INDEX(PP_Grid[#Data],$DD49,41),0)</f>
        <v/>
      </c>
      <c r="AR49">
        <f>IFERROR(INDEX(PP_Grid[#Data],$DD49,42),0)</f>
        <v/>
      </c>
      <c r="AS49">
        <f>IFERROR(INDEX(PP_Grid[#Data],$DD49,43),0)</f>
        <v/>
      </c>
      <c r="AT49">
        <f>IFERROR(INDEX(PP_Grid[#Data],$DD49,44),0)</f>
        <v/>
      </c>
      <c r="AU49">
        <f>IFERROR(INDEX(PP_Grid[#Data],$DD49,45),0)</f>
        <v/>
      </c>
      <c r="AV49">
        <f>IFERROR(INDEX(PP_Grid[#Data],$DD49,46),0)</f>
        <v/>
      </c>
      <c r="AW49">
        <f>IFERROR(INDEX(PP_Grid[#Data],$DD49,47),0)</f>
        <v/>
      </c>
      <c r="AX49">
        <f>IFERROR(INDEX(PP_Grid[#Data],$DD49,48),0)</f>
        <v/>
      </c>
      <c r="AY49">
        <f>IFERROR(INDEX(PP_Grid[#Data],$DD49,49),0)</f>
        <v/>
      </c>
      <c r="AZ49">
        <f>IFERROR(INDEX(PP_Grid[#Data],$DD49,50),0)</f>
        <v/>
      </c>
      <c r="BA49">
        <f>IFERROR(INDEX(PP_Grid[#Data],$DD49,51),0)</f>
        <v/>
      </c>
      <c r="BB49">
        <f>IFERROR(INDEX(PP_Grid[#Data],$DD49,52),0)</f>
        <v/>
      </c>
      <c r="BC49">
        <f>IFERROR(INDEX(PP_Grid[#Data],$DD49,53),0)</f>
        <v/>
      </c>
      <c r="BD49">
        <f>IFERROR(INDEX(PP_Grid[#Data],$DD49,54),0)</f>
        <v/>
      </c>
      <c r="BE49">
        <f>IFERROR(INDEX(PP_Grid[#Data],$DD49,55),0)</f>
        <v/>
      </c>
      <c r="BF49">
        <f>IFERROR(INDEX(PP_Grid[#Data],$DD49,56),0)</f>
        <v/>
      </c>
      <c r="BG49">
        <f>IFERROR(INDEX(PP_Grid[#Data],$DD49,57),0)</f>
        <v/>
      </c>
      <c r="BH49">
        <f>IFERROR(INDEX(PP_Grid[#Data],$DD49,58),0)</f>
        <v/>
      </c>
      <c r="BI49">
        <f>IFERROR(INDEX(PP_Grid[#Data],$DD49,59),0)</f>
        <v/>
      </c>
      <c r="BJ49">
        <f>IFERROR(INDEX(PP_Grid[#Data],$DD49,60),0)</f>
        <v/>
      </c>
      <c r="BK49">
        <f>IFERROR(INDEX(PP_Grid[#Data],$DD49,61),0)</f>
        <v/>
      </c>
      <c r="BL49">
        <f>IFERROR(INDEX(PP_Grid[#Data],$DD49,62),0)</f>
        <v/>
      </c>
      <c r="BM49">
        <f>IFERROR(INDEX(PP_Grid[#Data],$DD49,63),0)</f>
        <v/>
      </c>
      <c r="BN49">
        <f>IFERROR(INDEX(PP_Grid[#Data],$DD49,64),0)</f>
        <v/>
      </c>
      <c r="BO49">
        <f>IFERROR(INDEX(PP_Grid[#Data],$DD49,65),0)</f>
        <v/>
      </c>
      <c r="BP49">
        <f>IFERROR(INDEX(PP_Grid[#Data],$DD49,66),0)</f>
        <v/>
      </c>
      <c r="BQ49">
        <f>IFERROR(INDEX(PP_Grid[#Data],$DD49,67),0)</f>
        <v/>
      </c>
      <c r="BR49">
        <f>IFERROR(INDEX(PP_Grid[#Data],$DD49,68),0)</f>
        <v/>
      </c>
      <c r="BS49">
        <f>IFERROR(INDEX(PP_Grid[#Data],$DD49,69),0)</f>
        <v/>
      </c>
      <c r="BT49">
        <f>IFERROR(INDEX(PP_Grid[#Data],$DD49,70),0)</f>
        <v/>
      </c>
      <c r="BU49">
        <f>IFERROR(INDEX(PP_Grid[#Data],$DD49,71),0)</f>
        <v/>
      </c>
      <c r="BV49">
        <f>IFERROR(INDEX(PP_Grid[#Data],$DD49,72),0)</f>
        <v/>
      </c>
      <c r="BW49">
        <f>IFERROR(INDEX(PP_Grid[#Data],$DD49,73),0)</f>
        <v/>
      </c>
      <c r="BX49">
        <f>IFERROR(INDEX(PP_Grid[#Data],$DD49,74),0)</f>
        <v/>
      </c>
      <c r="BY49">
        <f>IFERROR(INDEX(PP_Grid[#Data],$DD49,75),0)</f>
        <v/>
      </c>
      <c r="BZ49">
        <f>IFERROR(INDEX(PP_Grid[#Data],$DD49,76),0)</f>
        <v/>
      </c>
      <c r="CA49">
        <f>IFERROR(INDEX(PP_Grid[#Data],$DD49,77),0)</f>
        <v/>
      </c>
      <c r="CB49">
        <f>IFERROR(INDEX(PP_Grid[#Data],$DD49,78),0)</f>
        <v/>
      </c>
      <c r="CC49">
        <f>IFERROR(INDEX(PP_Grid[#Data],$DD49,79),0)</f>
        <v/>
      </c>
      <c r="CD49">
        <f>IFERROR(INDEX(PP_Grid[#Data],$DD49,80),0)</f>
        <v/>
      </c>
      <c r="CE49">
        <f>IFERROR(INDEX(PP_Grid[#Data],$DD49,81),0)</f>
        <v/>
      </c>
      <c r="CF49">
        <f>IFERROR(INDEX(PP_Grid[#Data],$DD49,82),0)</f>
        <v/>
      </c>
      <c r="CG49">
        <f>IFERROR(INDEX(PP_Grid[#Data],$DD49,83),0)</f>
        <v/>
      </c>
      <c r="CH49">
        <f>IFERROR(INDEX(PP_Grid[#Data],$DD49,84),0)</f>
        <v/>
      </c>
      <c r="CI49">
        <f>IFERROR(INDEX(PP_Grid[#Data],$DD49,85),0)</f>
        <v/>
      </c>
      <c r="CJ49">
        <f>IFERROR(INDEX(PP_Grid[#Data],$DD49,86),0)</f>
        <v/>
      </c>
      <c r="CK49">
        <f>IFERROR(INDEX(PP_Grid[#Data],$DD49,87),0)</f>
        <v/>
      </c>
      <c r="CL49">
        <f>IFERROR(INDEX(PP_Grid[#Data],$DD49,88),0)</f>
        <v/>
      </c>
      <c r="CM49">
        <f>IFERROR(INDEX(PP_Grid[#Data],$DD49,89),0)</f>
        <v/>
      </c>
      <c r="CN49">
        <f>IFERROR(INDEX(PP_Grid[#Data],$DD49,90),0)</f>
        <v/>
      </c>
      <c r="CO49">
        <f>IFERROR(INDEX(PP_Grid[#Data],$DD49,91),0)</f>
        <v/>
      </c>
      <c r="CP49">
        <f>IFERROR(INDEX(PP_Grid[#Data],$DD49,92),0)</f>
        <v/>
      </c>
      <c r="CQ49">
        <f>IFERROR(INDEX(PP_Grid[#Data],$DD49,93),0)</f>
        <v/>
      </c>
      <c r="CR49">
        <f>IFERROR(INDEX(PP_Grid[#Data],$DD49,94),0)</f>
        <v/>
      </c>
      <c r="CS49">
        <f>IFERROR(INDEX(PP_Grid[#Data],$DD49,95),0)</f>
        <v/>
      </c>
      <c r="CT49">
        <f>IFERROR(INDEX(PP_Grid[#Data],$DD49,96),0)</f>
        <v/>
      </c>
      <c r="CU49">
        <f>IFERROR(INDEX(PP_Grid[#Data],$DD49,97),0)</f>
        <v/>
      </c>
      <c r="CV49">
        <f>IFERROR(INDEX(PP_Grid[#Data],$DD49,98),0)</f>
        <v/>
      </c>
      <c r="CW49">
        <f>IFERROR(INDEX(PP_Grid[#Data],$DD49,99),0)</f>
        <v/>
      </c>
      <c r="CX49">
        <f>IFERROR(INDEX(PP_Grid[#Data],$DD49,100),0)</f>
        <v/>
      </c>
      <c r="CY49">
        <f>IFERROR(INDEX(PP_Grid[#Data],$DD49,101),0)</f>
        <v/>
      </c>
      <c r="CZ49">
        <f>IFERROR(INDEX(PP_Grid[#Data],$DD49,102),0)</f>
        <v/>
      </c>
      <c r="DA49">
        <f>IFERROR(INDEX(PP_Grid[#Data],$DD49,103),0)</f>
        <v/>
      </c>
      <c r="DB49">
        <f>IFERROR(INDEX(PP_Grid[#Data],$DD49,104),0)</f>
        <v/>
      </c>
      <c r="DC49">
        <f>IFERROR(INDEX(PP_Grid[#Data],$DD49,105),0)</f>
        <v/>
      </c>
      <c r="DD49" s="7">
        <f>IFERROR(MATCH($B49,PP_Grid[Intermediate],0),99999)</f>
        <v/>
      </c>
    </row>
    <row r="50">
      <c r="B50" t="inlineStr">
        <is>
          <t>使用量(kg)</t>
        </is>
      </c>
      <c r="C50">
        <f>SUMIFS(M_BOM[RM_Qty_Per_Batch],M_BOM[Intermediate],$B49,M_BOM[Part Name],$A44)</f>
        <v/>
      </c>
      <c r="D50">
        <f>$C50*D49</f>
        <v/>
      </c>
      <c r="E50">
        <f>$C50*E49</f>
        <v/>
      </c>
      <c r="F50">
        <f>$C50*F49</f>
        <v/>
      </c>
      <c r="G50">
        <f>$C50*G49</f>
        <v/>
      </c>
      <c r="H50">
        <f>$C50*H49</f>
        <v/>
      </c>
      <c r="I50">
        <f>$C50*I49</f>
        <v/>
      </c>
      <c r="J50">
        <f>$C50*J49</f>
        <v/>
      </c>
      <c r="K50">
        <f>$C50*K49</f>
        <v/>
      </c>
      <c r="L50">
        <f>$C50*L49</f>
        <v/>
      </c>
      <c r="M50">
        <f>$C50*M49</f>
        <v/>
      </c>
      <c r="N50">
        <f>$C50*N49</f>
        <v/>
      </c>
      <c r="O50">
        <f>$C50*O49</f>
        <v/>
      </c>
      <c r="P50">
        <f>$C50*P49</f>
        <v/>
      </c>
      <c r="Q50">
        <f>$C50*Q49</f>
        <v/>
      </c>
      <c r="R50">
        <f>$C50*R49</f>
        <v/>
      </c>
      <c r="S50">
        <f>$C50*S49</f>
        <v/>
      </c>
      <c r="T50">
        <f>$C50*T49</f>
        <v/>
      </c>
      <c r="U50">
        <f>$C50*U49</f>
        <v/>
      </c>
      <c r="V50">
        <f>$C50*V49</f>
        <v/>
      </c>
      <c r="W50">
        <f>$C50*W49</f>
        <v/>
      </c>
      <c r="X50">
        <f>$C50*X49</f>
        <v/>
      </c>
      <c r="Y50">
        <f>$C50*Y49</f>
        <v/>
      </c>
      <c r="Z50">
        <f>$C50*Z49</f>
        <v/>
      </c>
      <c r="AA50">
        <f>$C50*AA49</f>
        <v/>
      </c>
      <c r="AB50">
        <f>$C50*AB49</f>
        <v/>
      </c>
      <c r="AC50">
        <f>$C50*AC49</f>
        <v/>
      </c>
      <c r="AD50">
        <f>$C50*AD49</f>
        <v/>
      </c>
      <c r="AE50">
        <f>$C50*AE49</f>
        <v/>
      </c>
      <c r="AF50">
        <f>$C50*AF49</f>
        <v/>
      </c>
      <c r="AG50">
        <f>$C50*AG49</f>
        <v/>
      </c>
      <c r="AH50">
        <f>$C50*AH49</f>
        <v/>
      </c>
      <c r="AI50">
        <f>$C50*AI49</f>
        <v/>
      </c>
      <c r="AJ50">
        <f>$C50*AJ49</f>
        <v/>
      </c>
      <c r="AK50">
        <f>$C50*AK49</f>
        <v/>
      </c>
      <c r="AL50">
        <f>$C50*AL49</f>
        <v/>
      </c>
      <c r="AM50">
        <f>$C50*AM49</f>
        <v/>
      </c>
      <c r="AN50">
        <f>$C50*AN49</f>
        <v/>
      </c>
      <c r="AO50">
        <f>$C50*AO49</f>
        <v/>
      </c>
      <c r="AP50">
        <f>$C50*AP49</f>
        <v/>
      </c>
      <c r="AQ50">
        <f>$C50*AQ49</f>
        <v/>
      </c>
      <c r="AR50">
        <f>$C50*AR49</f>
        <v/>
      </c>
      <c r="AS50">
        <f>$C50*AS49</f>
        <v/>
      </c>
      <c r="AT50">
        <f>$C50*AT49</f>
        <v/>
      </c>
      <c r="AU50">
        <f>$C50*AU49</f>
        <v/>
      </c>
      <c r="AV50">
        <f>$C50*AV49</f>
        <v/>
      </c>
      <c r="AW50">
        <f>$C50*AW49</f>
        <v/>
      </c>
      <c r="AX50">
        <f>$C50*AX49</f>
        <v/>
      </c>
      <c r="AY50">
        <f>$C50*AY49</f>
        <v/>
      </c>
      <c r="AZ50">
        <f>$C50*AZ49</f>
        <v/>
      </c>
      <c r="BA50">
        <f>$C50*BA49</f>
        <v/>
      </c>
      <c r="BB50">
        <f>$C50*BB49</f>
        <v/>
      </c>
      <c r="BC50">
        <f>$C50*BC49</f>
        <v/>
      </c>
      <c r="BD50">
        <f>$C50*BD49</f>
        <v/>
      </c>
      <c r="BE50">
        <f>$C50*BE49</f>
        <v/>
      </c>
      <c r="BF50">
        <f>$C50*BF49</f>
        <v/>
      </c>
      <c r="BG50">
        <f>$C50*BG49</f>
        <v/>
      </c>
      <c r="BH50">
        <f>$C50*BH49</f>
        <v/>
      </c>
      <c r="BI50">
        <f>$C50*BI49</f>
        <v/>
      </c>
      <c r="BJ50">
        <f>$C50*BJ49</f>
        <v/>
      </c>
      <c r="BK50">
        <f>$C50*BK49</f>
        <v/>
      </c>
      <c r="BL50">
        <f>$C50*BL49</f>
        <v/>
      </c>
      <c r="BM50">
        <f>$C50*BM49</f>
        <v/>
      </c>
      <c r="BN50">
        <f>$C50*BN49</f>
        <v/>
      </c>
      <c r="BO50">
        <f>$C50*BO49</f>
        <v/>
      </c>
      <c r="BP50">
        <f>$C50*BP49</f>
        <v/>
      </c>
      <c r="BQ50">
        <f>$C50*BQ49</f>
        <v/>
      </c>
      <c r="BR50">
        <f>$C50*BR49</f>
        <v/>
      </c>
      <c r="BS50">
        <f>$C50*BS49</f>
        <v/>
      </c>
      <c r="BT50">
        <f>$C50*BT49</f>
        <v/>
      </c>
      <c r="BU50">
        <f>$C50*BU49</f>
        <v/>
      </c>
      <c r="BV50">
        <f>$C50*BV49</f>
        <v/>
      </c>
      <c r="BW50">
        <f>$C50*BW49</f>
        <v/>
      </c>
      <c r="BX50">
        <f>$C50*BX49</f>
        <v/>
      </c>
      <c r="BY50">
        <f>$C50*BY49</f>
        <v/>
      </c>
      <c r="BZ50">
        <f>$C50*BZ49</f>
        <v/>
      </c>
      <c r="CA50">
        <f>$C50*CA49</f>
        <v/>
      </c>
      <c r="CB50">
        <f>$C50*CB49</f>
        <v/>
      </c>
      <c r="CC50">
        <f>$C50*CC49</f>
        <v/>
      </c>
      <c r="CD50">
        <f>$C50*CD49</f>
        <v/>
      </c>
      <c r="CE50">
        <f>$C50*CE49</f>
        <v/>
      </c>
      <c r="CF50">
        <f>$C50*CF49</f>
        <v/>
      </c>
      <c r="CG50">
        <f>$C50*CG49</f>
        <v/>
      </c>
      <c r="CH50">
        <f>$C50*CH49</f>
        <v/>
      </c>
      <c r="CI50">
        <f>$C50*CI49</f>
        <v/>
      </c>
      <c r="CJ50">
        <f>$C50*CJ49</f>
        <v/>
      </c>
      <c r="CK50">
        <f>$C50*CK49</f>
        <v/>
      </c>
      <c r="CL50">
        <f>$C50*CL49</f>
        <v/>
      </c>
      <c r="CM50">
        <f>$C50*CM49</f>
        <v/>
      </c>
      <c r="CN50">
        <f>$C50*CN49</f>
        <v/>
      </c>
      <c r="CO50">
        <f>$C50*CO49</f>
        <v/>
      </c>
      <c r="CP50">
        <f>$C50*CP49</f>
        <v/>
      </c>
      <c r="CQ50">
        <f>$C50*CQ49</f>
        <v/>
      </c>
      <c r="CR50">
        <f>$C50*CR49</f>
        <v/>
      </c>
      <c r="CS50">
        <f>$C50*CS49</f>
        <v/>
      </c>
      <c r="CT50">
        <f>$C50*CT49</f>
        <v/>
      </c>
      <c r="CU50">
        <f>$C50*CU49</f>
        <v/>
      </c>
      <c r="CV50">
        <f>$C50*CV49</f>
        <v/>
      </c>
      <c r="CW50">
        <f>$C50*CW49</f>
        <v/>
      </c>
      <c r="CX50">
        <f>$C50*CX49</f>
        <v/>
      </c>
      <c r="CY50">
        <f>$C50*CY49</f>
        <v/>
      </c>
      <c r="CZ50">
        <f>$C50*CZ49</f>
        <v/>
      </c>
      <c r="DA50">
        <f>$C50*DA49</f>
        <v/>
      </c>
      <c r="DB50">
        <f>$C50*DB49</f>
        <v/>
      </c>
      <c r="DC50">
        <f>$C50*DC49</f>
        <v/>
      </c>
    </row>
    <row r="51">
      <c r="B51" t="inlineStr">
        <is>
          <t>TSP-069</t>
        </is>
      </c>
      <c r="C51" t="inlineStr">
        <is>
          <t>No. of batches</t>
        </is>
      </c>
      <c r="D51">
        <f>IFERROR(INDEX(PP_Grid[#Data],$DD51,2),0)</f>
        <v/>
      </c>
      <c r="E51">
        <f>IFERROR(INDEX(PP_Grid[#Data],$DD51,3),0)</f>
        <v/>
      </c>
      <c r="F51">
        <f>IFERROR(INDEX(PP_Grid[#Data],$DD51,4),0)</f>
        <v/>
      </c>
      <c r="G51">
        <f>IFERROR(INDEX(PP_Grid[#Data],$DD51,5),0)</f>
        <v/>
      </c>
      <c r="H51">
        <f>IFERROR(INDEX(PP_Grid[#Data],$DD51,6),0)</f>
        <v/>
      </c>
      <c r="I51">
        <f>IFERROR(INDEX(PP_Grid[#Data],$DD51,7),0)</f>
        <v/>
      </c>
      <c r="J51">
        <f>IFERROR(INDEX(PP_Grid[#Data],$DD51,8),0)</f>
        <v/>
      </c>
      <c r="K51">
        <f>IFERROR(INDEX(PP_Grid[#Data],$DD51,9),0)</f>
        <v/>
      </c>
      <c r="L51">
        <f>IFERROR(INDEX(PP_Grid[#Data],$DD51,10),0)</f>
        <v/>
      </c>
      <c r="M51">
        <f>IFERROR(INDEX(PP_Grid[#Data],$DD51,11),0)</f>
        <v/>
      </c>
      <c r="N51">
        <f>IFERROR(INDEX(PP_Grid[#Data],$DD51,12),0)</f>
        <v/>
      </c>
      <c r="O51">
        <f>IFERROR(INDEX(PP_Grid[#Data],$DD51,13),0)</f>
        <v/>
      </c>
      <c r="P51">
        <f>IFERROR(INDEX(PP_Grid[#Data],$DD51,14),0)</f>
        <v/>
      </c>
      <c r="Q51">
        <f>IFERROR(INDEX(PP_Grid[#Data],$DD51,15),0)</f>
        <v/>
      </c>
      <c r="R51">
        <f>IFERROR(INDEX(PP_Grid[#Data],$DD51,16),0)</f>
        <v/>
      </c>
      <c r="S51">
        <f>IFERROR(INDEX(PP_Grid[#Data],$DD51,17),0)</f>
        <v/>
      </c>
      <c r="T51">
        <f>IFERROR(INDEX(PP_Grid[#Data],$DD51,18),0)</f>
        <v/>
      </c>
      <c r="U51">
        <f>IFERROR(INDEX(PP_Grid[#Data],$DD51,19),0)</f>
        <v/>
      </c>
      <c r="V51">
        <f>IFERROR(INDEX(PP_Grid[#Data],$DD51,20),0)</f>
        <v/>
      </c>
      <c r="W51">
        <f>IFERROR(INDEX(PP_Grid[#Data],$DD51,21),0)</f>
        <v/>
      </c>
      <c r="X51">
        <f>IFERROR(INDEX(PP_Grid[#Data],$DD51,22),0)</f>
        <v/>
      </c>
      <c r="Y51">
        <f>IFERROR(INDEX(PP_Grid[#Data],$DD51,23),0)</f>
        <v/>
      </c>
      <c r="Z51">
        <f>IFERROR(INDEX(PP_Grid[#Data],$DD51,24),0)</f>
        <v/>
      </c>
      <c r="AA51">
        <f>IFERROR(INDEX(PP_Grid[#Data],$DD51,25),0)</f>
        <v/>
      </c>
      <c r="AB51">
        <f>IFERROR(INDEX(PP_Grid[#Data],$DD51,26),0)</f>
        <v/>
      </c>
      <c r="AC51">
        <f>IFERROR(INDEX(PP_Grid[#Data],$DD51,27),0)</f>
        <v/>
      </c>
      <c r="AD51">
        <f>IFERROR(INDEX(PP_Grid[#Data],$DD51,28),0)</f>
        <v/>
      </c>
      <c r="AE51">
        <f>IFERROR(INDEX(PP_Grid[#Data],$DD51,29),0)</f>
        <v/>
      </c>
      <c r="AF51">
        <f>IFERROR(INDEX(PP_Grid[#Data],$DD51,30),0)</f>
        <v/>
      </c>
      <c r="AG51">
        <f>IFERROR(INDEX(PP_Grid[#Data],$DD51,31),0)</f>
        <v/>
      </c>
      <c r="AH51">
        <f>IFERROR(INDEX(PP_Grid[#Data],$DD51,32),0)</f>
        <v/>
      </c>
      <c r="AI51">
        <f>IFERROR(INDEX(PP_Grid[#Data],$DD51,33),0)</f>
        <v/>
      </c>
      <c r="AJ51">
        <f>IFERROR(INDEX(PP_Grid[#Data],$DD51,34),0)</f>
        <v/>
      </c>
      <c r="AK51">
        <f>IFERROR(INDEX(PP_Grid[#Data],$DD51,35),0)</f>
        <v/>
      </c>
      <c r="AL51">
        <f>IFERROR(INDEX(PP_Grid[#Data],$DD51,36),0)</f>
        <v/>
      </c>
      <c r="AM51">
        <f>IFERROR(INDEX(PP_Grid[#Data],$DD51,37),0)</f>
        <v/>
      </c>
      <c r="AN51">
        <f>IFERROR(INDEX(PP_Grid[#Data],$DD51,38),0)</f>
        <v/>
      </c>
      <c r="AO51">
        <f>IFERROR(INDEX(PP_Grid[#Data],$DD51,39),0)</f>
        <v/>
      </c>
      <c r="AP51">
        <f>IFERROR(INDEX(PP_Grid[#Data],$DD51,40),0)</f>
        <v/>
      </c>
      <c r="AQ51">
        <f>IFERROR(INDEX(PP_Grid[#Data],$DD51,41),0)</f>
        <v/>
      </c>
      <c r="AR51">
        <f>IFERROR(INDEX(PP_Grid[#Data],$DD51,42),0)</f>
        <v/>
      </c>
      <c r="AS51">
        <f>IFERROR(INDEX(PP_Grid[#Data],$DD51,43),0)</f>
        <v/>
      </c>
      <c r="AT51">
        <f>IFERROR(INDEX(PP_Grid[#Data],$DD51,44),0)</f>
        <v/>
      </c>
      <c r="AU51">
        <f>IFERROR(INDEX(PP_Grid[#Data],$DD51,45),0)</f>
        <v/>
      </c>
      <c r="AV51">
        <f>IFERROR(INDEX(PP_Grid[#Data],$DD51,46),0)</f>
        <v/>
      </c>
      <c r="AW51">
        <f>IFERROR(INDEX(PP_Grid[#Data],$DD51,47),0)</f>
        <v/>
      </c>
      <c r="AX51">
        <f>IFERROR(INDEX(PP_Grid[#Data],$DD51,48),0)</f>
        <v/>
      </c>
      <c r="AY51">
        <f>IFERROR(INDEX(PP_Grid[#Data],$DD51,49),0)</f>
        <v/>
      </c>
      <c r="AZ51">
        <f>IFERROR(INDEX(PP_Grid[#Data],$DD51,50),0)</f>
        <v/>
      </c>
      <c r="BA51">
        <f>IFERROR(INDEX(PP_Grid[#Data],$DD51,51),0)</f>
        <v/>
      </c>
      <c r="BB51">
        <f>IFERROR(INDEX(PP_Grid[#Data],$DD51,52),0)</f>
        <v/>
      </c>
      <c r="BC51">
        <f>IFERROR(INDEX(PP_Grid[#Data],$DD51,53),0)</f>
        <v/>
      </c>
      <c r="BD51">
        <f>IFERROR(INDEX(PP_Grid[#Data],$DD51,54),0)</f>
        <v/>
      </c>
      <c r="BE51">
        <f>IFERROR(INDEX(PP_Grid[#Data],$DD51,55),0)</f>
        <v/>
      </c>
      <c r="BF51">
        <f>IFERROR(INDEX(PP_Grid[#Data],$DD51,56),0)</f>
        <v/>
      </c>
      <c r="BG51">
        <f>IFERROR(INDEX(PP_Grid[#Data],$DD51,57),0)</f>
        <v/>
      </c>
      <c r="BH51">
        <f>IFERROR(INDEX(PP_Grid[#Data],$DD51,58),0)</f>
        <v/>
      </c>
      <c r="BI51">
        <f>IFERROR(INDEX(PP_Grid[#Data],$DD51,59),0)</f>
        <v/>
      </c>
      <c r="BJ51">
        <f>IFERROR(INDEX(PP_Grid[#Data],$DD51,60),0)</f>
        <v/>
      </c>
      <c r="BK51">
        <f>IFERROR(INDEX(PP_Grid[#Data],$DD51,61),0)</f>
        <v/>
      </c>
      <c r="BL51">
        <f>IFERROR(INDEX(PP_Grid[#Data],$DD51,62),0)</f>
        <v/>
      </c>
      <c r="BM51">
        <f>IFERROR(INDEX(PP_Grid[#Data],$DD51,63),0)</f>
        <v/>
      </c>
      <c r="BN51">
        <f>IFERROR(INDEX(PP_Grid[#Data],$DD51,64),0)</f>
        <v/>
      </c>
      <c r="BO51">
        <f>IFERROR(INDEX(PP_Grid[#Data],$DD51,65),0)</f>
        <v/>
      </c>
      <c r="BP51">
        <f>IFERROR(INDEX(PP_Grid[#Data],$DD51,66),0)</f>
        <v/>
      </c>
      <c r="BQ51">
        <f>IFERROR(INDEX(PP_Grid[#Data],$DD51,67),0)</f>
        <v/>
      </c>
      <c r="BR51">
        <f>IFERROR(INDEX(PP_Grid[#Data],$DD51,68),0)</f>
        <v/>
      </c>
      <c r="BS51">
        <f>IFERROR(INDEX(PP_Grid[#Data],$DD51,69),0)</f>
        <v/>
      </c>
      <c r="BT51">
        <f>IFERROR(INDEX(PP_Grid[#Data],$DD51,70),0)</f>
        <v/>
      </c>
      <c r="BU51">
        <f>IFERROR(INDEX(PP_Grid[#Data],$DD51,71),0)</f>
        <v/>
      </c>
      <c r="BV51">
        <f>IFERROR(INDEX(PP_Grid[#Data],$DD51,72),0)</f>
        <v/>
      </c>
      <c r="BW51">
        <f>IFERROR(INDEX(PP_Grid[#Data],$DD51,73),0)</f>
        <v/>
      </c>
      <c r="BX51">
        <f>IFERROR(INDEX(PP_Grid[#Data],$DD51,74),0)</f>
        <v/>
      </c>
      <c r="BY51">
        <f>IFERROR(INDEX(PP_Grid[#Data],$DD51,75),0)</f>
        <v/>
      </c>
      <c r="BZ51">
        <f>IFERROR(INDEX(PP_Grid[#Data],$DD51,76),0)</f>
        <v/>
      </c>
      <c r="CA51">
        <f>IFERROR(INDEX(PP_Grid[#Data],$DD51,77),0)</f>
        <v/>
      </c>
      <c r="CB51">
        <f>IFERROR(INDEX(PP_Grid[#Data],$DD51,78),0)</f>
        <v/>
      </c>
      <c r="CC51">
        <f>IFERROR(INDEX(PP_Grid[#Data],$DD51,79),0)</f>
        <v/>
      </c>
      <c r="CD51">
        <f>IFERROR(INDEX(PP_Grid[#Data],$DD51,80),0)</f>
        <v/>
      </c>
      <c r="CE51">
        <f>IFERROR(INDEX(PP_Grid[#Data],$DD51,81),0)</f>
        <v/>
      </c>
      <c r="CF51">
        <f>IFERROR(INDEX(PP_Grid[#Data],$DD51,82),0)</f>
        <v/>
      </c>
      <c r="CG51">
        <f>IFERROR(INDEX(PP_Grid[#Data],$DD51,83),0)</f>
        <v/>
      </c>
      <c r="CH51">
        <f>IFERROR(INDEX(PP_Grid[#Data],$DD51,84),0)</f>
        <v/>
      </c>
      <c r="CI51">
        <f>IFERROR(INDEX(PP_Grid[#Data],$DD51,85),0)</f>
        <v/>
      </c>
      <c r="CJ51">
        <f>IFERROR(INDEX(PP_Grid[#Data],$DD51,86),0)</f>
        <v/>
      </c>
      <c r="CK51">
        <f>IFERROR(INDEX(PP_Grid[#Data],$DD51,87),0)</f>
        <v/>
      </c>
      <c r="CL51">
        <f>IFERROR(INDEX(PP_Grid[#Data],$DD51,88),0)</f>
        <v/>
      </c>
      <c r="CM51">
        <f>IFERROR(INDEX(PP_Grid[#Data],$DD51,89),0)</f>
        <v/>
      </c>
      <c r="CN51">
        <f>IFERROR(INDEX(PP_Grid[#Data],$DD51,90),0)</f>
        <v/>
      </c>
      <c r="CO51">
        <f>IFERROR(INDEX(PP_Grid[#Data],$DD51,91),0)</f>
        <v/>
      </c>
      <c r="CP51">
        <f>IFERROR(INDEX(PP_Grid[#Data],$DD51,92),0)</f>
        <v/>
      </c>
      <c r="CQ51">
        <f>IFERROR(INDEX(PP_Grid[#Data],$DD51,93),0)</f>
        <v/>
      </c>
      <c r="CR51">
        <f>IFERROR(INDEX(PP_Grid[#Data],$DD51,94),0)</f>
        <v/>
      </c>
      <c r="CS51">
        <f>IFERROR(INDEX(PP_Grid[#Data],$DD51,95),0)</f>
        <v/>
      </c>
      <c r="CT51">
        <f>IFERROR(INDEX(PP_Grid[#Data],$DD51,96),0)</f>
        <v/>
      </c>
      <c r="CU51">
        <f>IFERROR(INDEX(PP_Grid[#Data],$DD51,97),0)</f>
        <v/>
      </c>
      <c r="CV51">
        <f>IFERROR(INDEX(PP_Grid[#Data],$DD51,98),0)</f>
        <v/>
      </c>
      <c r="CW51">
        <f>IFERROR(INDEX(PP_Grid[#Data],$DD51,99),0)</f>
        <v/>
      </c>
      <c r="CX51">
        <f>IFERROR(INDEX(PP_Grid[#Data],$DD51,100),0)</f>
        <v/>
      </c>
      <c r="CY51">
        <f>IFERROR(INDEX(PP_Grid[#Data],$DD51,101),0)</f>
        <v/>
      </c>
      <c r="CZ51">
        <f>IFERROR(INDEX(PP_Grid[#Data],$DD51,102),0)</f>
        <v/>
      </c>
      <c r="DA51">
        <f>IFERROR(INDEX(PP_Grid[#Data],$DD51,103),0)</f>
        <v/>
      </c>
      <c r="DB51">
        <f>IFERROR(INDEX(PP_Grid[#Data],$DD51,104),0)</f>
        <v/>
      </c>
      <c r="DC51">
        <f>IFERROR(INDEX(PP_Grid[#Data],$DD51,105),0)</f>
        <v/>
      </c>
      <c r="DD51" s="7">
        <f>IFERROR(MATCH($B51,PP_Grid[Intermediate],0),99999)</f>
        <v/>
      </c>
    </row>
    <row r="52">
      <c r="B52" t="inlineStr">
        <is>
          <t>使用量(kg)</t>
        </is>
      </c>
      <c r="C52">
        <f>SUMIFS(M_BOM[RM_Qty_Per_Batch],M_BOM[Intermediate],$B51,M_BOM[Part Name],$A44)</f>
        <v/>
      </c>
      <c r="D52">
        <f>$C52*D51</f>
        <v/>
      </c>
      <c r="E52">
        <f>$C52*E51</f>
        <v/>
      </c>
      <c r="F52">
        <f>$C52*F51</f>
        <v/>
      </c>
      <c r="G52">
        <f>$C52*G51</f>
        <v/>
      </c>
      <c r="H52">
        <f>$C52*H51</f>
        <v/>
      </c>
      <c r="I52">
        <f>$C52*I51</f>
        <v/>
      </c>
      <c r="J52">
        <f>$C52*J51</f>
        <v/>
      </c>
      <c r="K52">
        <f>$C52*K51</f>
        <v/>
      </c>
      <c r="L52">
        <f>$C52*L51</f>
        <v/>
      </c>
      <c r="M52">
        <f>$C52*M51</f>
        <v/>
      </c>
      <c r="N52">
        <f>$C52*N51</f>
        <v/>
      </c>
      <c r="O52">
        <f>$C52*O51</f>
        <v/>
      </c>
      <c r="P52">
        <f>$C52*P51</f>
        <v/>
      </c>
      <c r="Q52">
        <f>$C52*Q51</f>
        <v/>
      </c>
      <c r="R52">
        <f>$C52*R51</f>
        <v/>
      </c>
      <c r="S52">
        <f>$C52*S51</f>
        <v/>
      </c>
      <c r="T52">
        <f>$C52*T51</f>
        <v/>
      </c>
      <c r="U52">
        <f>$C52*U51</f>
        <v/>
      </c>
      <c r="V52">
        <f>$C52*V51</f>
        <v/>
      </c>
      <c r="W52">
        <f>$C52*W51</f>
        <v/>
      </c>
      <c r="X52">
        <f>$C52*X51</f>
        <v/>
      </c>
      <c r="Y52">
        <f>$C52*Y51</f>
        <v/>
      </c>
      <c r="Z52">
        <f>$C52*Z51</f>
        <v/>
      </c>
      <c r="AA52">
        <f>$C52*AA51</f>
        <v/>
      </c>
      <c r="AB52">
        <f>$C52*AB51</f>
        <v/>
      </c>
      <c r="AC52">
        <f>$C52*AC51</f>
        <v/>
      </c>
      <c r="AD52">
        <f>$C52*AD51</f>
        <v/>
      </c>
      <c r="AE52">
        <f>$C52*AE51</f>
        <v/>
      </c>
      <c r="AF52">
        <f>$C52*AF51</f>
        <v/>
      </c>
      <c r="AG52">
        <f>$C52*AG51</f>
        <v/>
      </c>
      <c r="AH52">
        <f>$C52*AH51</f>
        <v/>
      </c>
      <c r="AI52">
        <f>$C52*AI51</f>
        <v/>
      </c>
      <c r="AJ52">
        <f>$C52*AJ51</f>
        <v/>
      </c>
      <c r="AK52">
        <f>$C52*AK51</f>
        <v/>
      </c>
      <c r="AL52">
        <f>$C52*AL51</f>
        <v/>
      </c>
      <c r="AM52">
        <f>$C52*AM51</f>
        <v/>
      </c>
      <c r="AN52">
        <f>$C52*AN51</f>
        <v/>
      </c>
      <c r="AO52">
        <f>$C52*AO51</f>
        <v/>
      </c>
      <c r="AP52">
        <f>$C52*AP51</f>
        <v/>
      </c>
      <c r="AQ52">
        <f>$C52*AQ51</f>
        <v/>
      </c>
      <c r="AR52">
        <f>$C52*AR51</f>
        <v/>
      </c>
      <c r="AS52">
        <f>$C52*AS51</f>
        <v/>
      </c>
      <c r="AT52">
        <f>$C52*AT51</f>
        <v/>
      </c>
      <c r="AU52">
        <f>$C52*AU51</f>
        <v/>
      </c>
      <c r="AV52">
        <f>$C52*AV51</f>
        <v/>
      </c>
      <c r="AW52">
        <f>$C52*AW51</f>
        <v/>
      </c>
      <c r="AX52">
        <f>$C52*AX51</f>
        <v/>
      </c>
      <c r="AY52">
        <f>$C52*AY51</f>
        <v/>
      </c>
      <c r="AZ52">
        <f>$C52*AZ51</f>
        <v/>
      </c>
      <c r="BA52">
        <f>$C52*BA51</f>
        <v/>
      </c>
      <c r="BB52">
        <f>$C52*BB51</f>
        <v/>
      </c>
      <c r="BC52">
        <f>$C52*BC51</f>
        <v/>
      </c>
      <c r="BD52">
        <f>$C52*BD51</f>
        <v/>
      </c>
      <c r="BE52">
        <f>$C52*BE51</f>
        <v/>
      </c>
      <c r="BF52">
        <f>$C52*BF51</f>
        <v/>
      </c>
      <c r="BG52">
        <f>$C52*BG51</f>
        <v/>
      </c>
      <c r="BH52">
        <f>$C52*BH51</f>
        <v/>
      </c>
      <c r="BI52">
        <f>$C52*BI51</f>
        <v/>
      </c>
      <c r="BJ52">
        <f>$C52*BJ51</f>
        <v/>
      </c>
      <c r="BK52">
        <f>$C52*BK51</f>
        <v/>
      </c>
      <c r="BL52">
        <f>$C52*BL51</f>
        <v/>
      </c>
      <c r="BM52">
        <f>$C52*BM51</f>
        <v/>
      </c>
      <c r="BN52">
        <f>$C52*BN51</f>
        <v/>
      </c>
      <c r="BO52">
        <f>$C52*BO51</f>
        <v/>
      </c>
      <c r="BP52">
        <f>$C52*BP51</f>
        <v/>
      </c>
      <c r="BQ52">
        <f>$C52*BQ51</f>
        <v/>
      </c>
      <c r="BR52">
        <f>$C52*BR51</f>
        <v/>
      </c>
      <c r="BS52">
        <f>$C52*BS51</f>
        <v/>
      </c>
      <c r="BT52">
        <f>$C52*BT51</f>
        <v/>
      </c>
      <c r="BU52">
        <f>$C52*BU51</f>
        <v/>
      </c>
      <c r="BV52">
        <f>$C52*BV51</f>
        <v/>
      </c>
      <c r="BW52">
        <f>$C52*BW51</f>
        <v/>
      </c>
      <c r="BX52">
        <f>$C52*BX51</f>
        <v/>
      </c>
      <c r="BY52">
        <f>$C52*BY51</f>
        <v/>
      </c>
      <c r="BZ52">
        <f>$C52*BZ51</f>
        <v/>
      </c>
      <c r="CA52">
        <f>$C52*CA51</f>
        <v/>
      </c>
      <c r="CB52">
        <f>$C52*CB51</f>
        <v/>
      </c>
      <c r="CC52">
        <f>$C52*CC51</f>
        <v/>
      </c>
      <c r="CD52">
        <f>$C52*CD51</f>
        <v/>
      </c>
      <c r="CE52">
        <f>$C52*CE51</f>
        <v/>
      </c>
      <c r="CF52">
        <f>$C52*CF51</f>
        <v/>
      </c>
      <c r="CG52">
        <f>$C52*CG51</f>
        <v/>
      </c>
      <c r="CH52">
        <f>$C52*CH51</f>
        <v/>
      </c>
      <c r="CI52">
        <f>$C52*CI51</f>
        <v/>
      </c>
      <c r="CJ52">
        <f>$C52*CJ51</f>
        <v/>
      </c>
      <c r="CK52">
        <f>$C52*CK51</f>
        <v/>
      </c>
      <c r="CL52">
        <f>$C52*CL51</f>
        <v/>
      </c>
      <c r="CM52">
        <f>$C52*CM51</f>
        <v/>
      </c>
      <c r="CN52">
        <f>$C52*CN51</f>
        <v/>
      </c>
      <c r="CO52">
        <f>$C52*CO51</f>
        <v/>
      </c>
      <c r="CP52">
        <f>$C52*CP51</f>
        <v/>
      </c>
      <c r="CQ52">
        <f>$C52*CQ51</f>
        <v/>
      </c>
      <c r="CR52">
        <f>$C52*CR51</f>
        <v/>
      </c>
      <c r="CS52">
        <f>$C52*CS51</f>
        <v/>
      </c>
      <c r="CT52">
        <f>$C52*CT51</f>
        <v/>
      </c>
      <c r="CU52">
        <f>$C52*CU51</f>
        <v/>
      </c>
      <c r="CV52">
        <f>$C52*CV51</f>
        <v/>
      </c>
      <c r="CW52">
        <f>$C52*CW51</f>
        <v/>
      </c>
      <c r="CX52">
        <f>$C52*CX51</f>
        <v/>
      </c>
      <c r="CY52">
        <f>$C52*CY51</f>
        <v/>
      </c>
      <c r="CZ52">
        <f>$C52*CZ51</f>
        <v/>
      </c>
      <c r="DA52">
        <f>$C52*DA51</f>
        <v/>
      </c>
      <c r="DB52">
        <f>$C52*DB51</f>
        <v/>
      </c>
      <c r="DC52">
        <f>$C52*DC51</f>
        <v/>
      </c>
    </row>
    <row r="53">
      <c r="B53" t="inlineStr">
        <is>
          <t>TSP-077</t>
        </is>
      </c>
      <c r="C53" t="inlineStr">
        <is>
          <t>No. of batches</t>
        </is>
      </c>
      <c r="D53">
        <f>IFERROR(INDEX(PP_Grid[#Data],$DD53,2),0)</f>
        <v/>
      </c>
      <c r="E53">
        <f>IFERROR(INDEX(PP_Grid[#Data],$DD53,3),0)</f>
        <v/>
      </c>
      <c r="F53">
        <f>IFERROR(INDEX(PP_Grid[#Data],$DD53,4),0)</f>
        <v/>
      </c>
      <c r="G53">
        <f>IFERROR(INDEX(PP_Grid[#Data],$DD53,5),0)</f>
        <v/>
      </c>
      <c r="H53">
        <f>IFERROR(INDEX(PP_Grid[#Data],$DD53,6),0)</f>
        <v/>
      </c>
      <c r="I53">
        <f>IFERROR(INDEX(PP_Grid[#Data],$DD53,7),0)</f>
        <v/>
      </c>
      <c r="J53">
        <f>IFERROR(INDEX(PP_Grid[#Data],$DD53,8),0)</f>
        <v/>
      </c>
      <c r="K53">
        <f>IFERROR(INDEX(PP_Grid[#Data],$DD53,9),0)</f>
        <v/>
      </c>
      <c r="L53">
        <f>IFERROR(INDEX(PP_Grid[#Data],$DD53,10),0)</f>
        <v/>
      </c>
      <c r="M53">
        <f>IFERROR(INDEX(PP_Grid[#Data],$DD53,11),0)</f>
        <v/>
      </c>
      <c r="N53">
        <f>IFERROR(INDEX(PP_Grid[#Data],$DD53,12),0)</f>
        <v/>
      </c>
      <c r="O53">
        <f>IFERROR(INDEX(PP_Grid[#Data],$DD53,13),0)</f>
        <v/>
      </c>
      <c r="P53">
        <f>IFERROR(INDEX(PP_Grid[#Data],$DD53,14),0)</f>
        <v/>
      </c>
      <c r="Q53">
        <f>IFERROR(INDEX(PP_Grid[#Data],$DD53,15),0)</f>
        <v/>
      </c>
      <c r="R53">
        <f>IFERROR(INDEX(PP_Grid[#Data],$DD53,16),0)</f>
        <v/>
      </c>
      <c r="S53">
        <f>IFERROR(INDEX(PP_Grid[#Data],$DD53,17),0)</f>
        <v/>
      </c>
      <c r="T53">
        <f>IFERROR(INDEX(PP_Grid[#Data],$DD53,18),0)</f>
        <v/>
      </c>
      <c r="U53">
        <f>IFERROR(INDEX(PP_Grid[#Data],$DD53,19),0)</f>
        <v/>
      </c>
      <c r="V53">
        <f>IFERROR(INDEX(PP_Grid[#Data],$DD53,20),0)</f>
        <v/>
      </c>
      <c r="W53">
        <f>IFERROR(INDEX(PP_Grid[#Data],$DD53,21),0)</f>
        <v/>
      </c>
      <c r="X53">
        <f>IFERROR(INDEX(PP_Grid[#Data],$DD53,22),0)</f>
        <v/>
      </c>
      <c r="Y53">
        <f>IFERROR(INDEX(PP_Grid[#Data],$DD53,23),0)</f>
        <v/>
      </c>
      <c r="Z53">
        <f>IFERROR(INDEX(PP_Grid[#Data],$DD53,24),0)</f>
        <v/>
      </c>
      <c r="AA53">
        <f>IFERROR(INDEX(PP_Grid[#Data],$DD53,25),0)</f>
        <v/>
      </c>
      <c r="AB53">
        <f>IFERROR(INDEX(PP_Grid[#Data],$DD53,26),0)</f>
        <v/>
      </c>
      <c r="AC53">
        <f>IFERROR(INDEX(PP_Grid[#Data],$DD53,27),0)</f>
        <v/>
      </c>
      <c r="AD53">
        <f>IFERROR(INDEX(PP_Grid[#Data],$DD53,28),0)</f>
        <v/>
      </c>
      <c r="AE53">
        <f>IFERROR(INDEX(PP_Grid[#Data],$DD53,29),0)</f>
        <v/>
      </c>
      <c r="AF53">
        <f>IFERROR(INDEX(PP_Grid[#Data],$DD53,30),0)</f>
        <v/>
      </c>
      <c r="AG53">
        <f>IFERROR(INDEX(PP_Grid[#Data],$DD53,31),0)</f>
        <v/>
      </c>
      <c r="AH53">
        <f>IFERROR(INDEX(PP_Grid[#Data],$DD53,32),0)</f>
        <v/>
      </c>
      <c r="AI53">
        <f>IFERROR(INDEX(PP_Grid[#Data],$DD53,33),0)</f>
        <v/>
      </c>
      <c r="AJ53">
        <f>IFERROR(INDEX(PP_Grid[#Data],$DD53,34),0)</f>
        <v/>
      </c>
      <c r="AK53">
        <f>IFERROR(INDEX(PP_Grid[#Data],$DD53,35),0)</f>
        <v/>
      </c>
      <c r="AL53">
        <f>IFERROR(INDEX(PP_Grid[#Data],$DD53,36),0)</f>
        <v/>
      </c>
      <c r="AM53">
        <f>IFERROR(INDEX(PP_Grid[#Data],$DD53,37),0)</f>
        <v/>
      </c>
      <c r="AN53">
        <f>IFERROR(INDEX(PP_Grid[#Data],$DD53,38),0)</f>
        <v/>
      </c>
      <c r="AO53">
        <f>IFERROR(INDEX(PP_Grid[#Data],$DD53,39),0)</f>
        <v/>
      </c>
      <c r="AP53">
        <f>IFERROR(INDEX(PP_Grid[#Data],$DD53,40),0)</f>
        <v/>
      </c>
      <c r="AQ53">
        <f>IFERROR(INDEX(PP_Grid[#Data],$DD53,41),0)</f>
        <v/>
      </c>
      <c r="AR53">
        <f>IFERROR(INDEX(PP_Grid[#Data],$DD53,42),0)</f>
        <v/>
      </c>
      <c r="AS53">
        <f>IFERROR(INDEX(PP_Grid[#Data],$DD53,43),0)</f>
        <v/>
      </c>
      <c r="AT53">
        <f>IFERROR(INDEX(PP_Grid[#Data],$DD53,44),0)</f>
        <v/>
      </c>
      <c r="AU53">
        <f>IFERROR(INDEX(PP_Grid[#Data],$DD53,45),0)</f>
        <v/>
      </c>
      <c r="AV53">
        <f>IFERROR(INDEX(PP_Grid[#Data],$DD53,46),0)</f>
        <v/>
      </c>
      <c r="AW53">
        <f>IFERROR(INDEX(PP_Grid[#Data],$DD53,47),0)</f>
        <v/>
      </c>
      <c r="AX53">
        <f>IFERROR(INDEX(PP_Grid[#Data],$DD53,48),0)</f>
        <v/>
      </c>
      <c r="AY53">
        <f>IFERROR(INDEX(PP_Grid[#Data],$DD53,49),0)</f>
        <v/>
      </c>
      <c r="AZ53">
        <f>IFERROR(INDEX(PP_Grid[#Data],$DD53,50),0)</f>
        <v/>
      </c>
      <c r="BA53">
        <f>IFERROR(INDEX(PP_Grid[#Data],$DD53,51),0)</f>
        <v/>
      </c>
      <c r="BB53">
        <f>IFERROR(INDEX(PP_Grid[#Data],$DD53,52),0)</f>
        <v/>
      </c>
      <c r="BC53">
        <f>IFERROR(INDEX(PP_Grid[#Data],$DD53,53),0)</f>
        <v/>
      </c>
      <c r="BD53">
        <f>IFERROR(INDEX(PP_Grid[#Data],$DD53,54),0)</f>
        <v/>
      </c>
      <c r="BE53">
        <f>IFERROR(INDEX(PP_Grid[#Data],$DD53,55),0)</f>
        <v/>
      </c>
      <c r="BF53">
        <f>IFERROR(INDEX(PP_Grid[#Data],$DD53,56),0)</f>
        <v/>
      </c>
      <c r="BG53">
        <f>IFERROR(INDEX(PP_Grid[#Data],$DD53,57),0)</f>
        <v/>
      </c>
      <c r="BH53">
        <f>IFERROR(INDEX(PP_Grid[#Data],$DD53,58),0)</f>
        <v/>
      </c>
      <c r="BI53">
        <f>IFERROR(INDEX(PP_Grid[#Data],$DD53,59),0)</f>
        <v/>
      </c>
      <c r="BJ53">
        <f>IFERROR(INDEX(PP_Grid[#Data],$DD53,60),0)</f>
        <v/>
      </c>
      <c r="BK53">
        <f>IFERROR(INDEX(PP_Grid[#Data],$DD53,61),0)</f>
        <v/>
      </c>
      <c r="BL53">
        <f>IFERROR(INDEX(PP_Grid[#Data],$DD53,62),0)</f>
        <v/>
      </c>
      <c r="BM53">
        <f>IFERROR(INDEX(PP_Grid[#Data],$DD53,63),0)</f>
        <v/>
      </c>
      <c r="BN53">
        <f>IFERROR(INDEX(PP_Grid[#Data],$DD53,64),0)</f>
        <v/>
      </c>
      <c r="BO53">
        <f>IFERROR(INDEX(PP_Grid[#Data],$DD53,65),0)</f>
        <v/>
      </c>
      <c r="BP53">
        <f>IFERROR(INDEX(PP_Grid[#Data],$DD53,66),0)</f>
        <v/>
      </c>
      <c r="BQ53">
        <f>IFERROR(INDEX(PP_Grid[#Data],$DD53,67),0)</f>
        <v/>
      </c>
      <c r="BR53">
        <f>IFERROR(INDEX(PP_Grid[#Data],$DD53,68),0)</f>
        <v/>
      </c>
      <c r="BS53">
        <f>IFERROR(INDEX(PP_Grid[#Data],$DD53,69),0)</f>
        <v/>
      </c>
      <c r="BT53">
        <f>IFERROR(INDEX(PP_Grid[#Data],$DD53,70),0)</f>
        <v/>
      </c>
      <c r="BU53">
        <f>IFERROR(INDEX(PP_Grid[#Data],$DD53,71),0)</f>
        <v/>
      </c>
      <c r="BV53">
        <f>IFERROR(INDEX(PP_Grid[#Data],$DD53,72),0)</f>
        <v/>
      </c>
      <c r="BW53">
        <f>IFERROR(INDEX(PP_Grid[#Data],$DD53,73),0)</f>
        <v/>
      </c>
      <c r="BX53">
        <f>IFERROR(INDEX(PP_Grid[#Data],$DD53,74),0)</f>
        <v/>
      </c>
      <c r="BY53">
        <f>IFERROR(INDEX(PP_Grid[#Data],$DD53,75),0)</f>
        <v/>
      </c>
      <c r="BZ53">
        <f>IFERROR(INDEX(PP_Grid[#Data],$DD53,76),0)</f>
        <v/>
      </c>
      <c r="CA53">
        <f>IFERROR(INDEX(PP_Grid[#Data],$DD53,77),0)</f>
        <v/>
      </c>
      <c r="CB53">
        <f>IFERROR(INDEX(PP_Grid[#Data],$DD53,78),0)</f>
        <v/>
      </c>
      <c r="CC53">
        <f>IFERROR(INDEX(PP_Grid[#Data],$DD53,79),0)</f>
        <v/>
      </c>
      <c r="CD53">
        <f>IFERROR(INDEX(PP_Grid[#Data],$DD53,80),0)</f>
        <v/>
      </c>
      <c r="CE53">
        <f>IFERROR(INDEX(PP_Grid[#Data],$DD53,81),0)</f>
        <v/>
      </c>
      <c r="CF53">
        <f>IFERROR(INDEX(PP_Grid[#Data],$DD53,82),0)</f>
        <v/>
      </c>
      <c r="CG53">
        <f>IFERROR(INDEX(PP_Grid[#Data],$DD53,83),0)</f>
        <v/>
      </c>
      <c r="CH53">
        <f>IFERROR(INDEX(PP_Grid[#Data],$DD53,84),0)</f>
        <v/>
      </c>
      <c r="CI53">
        <f>IFERROR(INDEX(PP_Grid[#Data],$DD53,85),0)</f>
        <v/>
      </c>
      <c r="CJ53">
        <f>IFERROR(INDEX(PP_Grid[#Data],$DD53,86),0)</f>
        <v/>
      </c>
      <c r="CK53">
        <f>IFERROR(INDEX(PP_Grid[#Data],$DD53,87),0)</f>
        <v/>
      </c>
      <c r="CL53">
        <f>IFERROR(INDEX(PP_Grid[#Data],$DD53,88),0)</f>
        <v/>
      </c>
      <c r="CM53">
        <f>IFERROR(INDEX(PP_Grid[#Data],$DD53,89),0)</f>
        <v/>
      </c>
      <c r="CN53">
        <f>IFERROR(INDEX(PP_Grid[#Data],$DD53,90),0)</f>
        <v/>
      </c>
      <c r="CO53">
        <f>IFERROR(INDEX(PP_Grid[#Data],$DD53,91),0)</f>
        <v/>
      </c>
      <c r="CP53">
        <f>IFERROR(INDEX(PP_Grid[#Data],$DD53,92),0)</f>
        <v/>
      </c>
      <c r="CQ53">
        <f>IFERROR(INDEX(PP_Grid[#Data],$DD53,93),0)</f>
        <v/>
      </c>
      <c r="CR53">
        <f>IFERROR(INDEX(PP_Grid[#Data],$DD53,94),0)</f>
        <v/>
      </c>
      <c r="CS53">
        <f>IFERROR(INDEX(PP_Grid[#Data],$DD53,95),0)</f>
        <v/>
      </c>
      <c r="CT53">
        <f>IFERROR(INDEX(PP_Grid[#Data],$DD53,96),0)</f>
        <v/>
      </c>
      <c r="CU53">
        <f>IFERROR(INDEX(PP_Grid[#Data],$DD53,97),0)</f>
        <v/>
      </c>
      <c r="CV53">
        <f>IFERROR(INDEX(PP_Grid[#Data],$DD53,98),0)</f>
        <v/>
      </c>
      <c r="CW53">
        <f>IFERROR(INDEX(PP_Grid[#Data],$DD53,99),0)</f>
        <v/>
      </c>
      <c r="CX53">
        <f>IFERROR(INDEX(PP_Grid[#Data],$DD53,100),0)</f>
        <v/>
      </c>
      <c r="CY53">
        <f>IFERROR(INDEX(PP_Grid[#Data],$DD53,101),0)</f>
        <v/>
      </c>
      <c r="CZ53">
        <f>IFERROR(INDEX(PP_Grid[#Data],$DD53,102),0)</f>
        <v/>
      </c>
      <c r="DA53">
        <f>IFERROR(INDEX(PP_Grid[#Data],$DD53,103),0)</f>
        <v/>
      </c>
      <c r="DB53">
        <f>IFERROR(INDEX(PP_Grid[#Data],$DD53,104),0)</f>
        <v/>
      </c>
      <c r="DC53">
        <f>IFERROR(INDEX(PP_Grid[#Data],$DD53,105),0)</f>
        <v/>
      </c>
      <c r="DD53" s="7">
        <f>IFERROR(MATCH($B53,PP_Grid[Intermediate],0),99999)</f>
        <v/>
      </c>
    </row>
    <row r="54">
      <c r="B54" t="inlineStr">
        <is>
          <t>使用量(kg)</t>
        </is>
      </c>
      <c r="C54">
        <f>SUMIFS(M_BOM[RM_Qty_Per_Batch],M_BOM[Intermediate],$B53,M_BOM[Part Name],$A44)</f>
        <v/>
      </c>
      <c r="D54">
        <f>$C54*D53</f>
        <v/>
      </c>
      <c r="E54">
        <f>$C54*E53</f>
        <v/>
      </c>
      <c r="F54">
        <f>$C54*F53</f>
        <v/>
      </c>
      <c r="G54">
        <f>$C54*G53</f>
        <v/>
      </c>
      <c r="H54">
        <f>$C54*H53</f>
        <v/>
      </c>
      <c r="I54">
        <f>$C54*I53</f>
        <v/>
      </c>
      <c r="J54">
        <f>$C54*J53</f>
        <v/>
      </c>
      <c r="K54">
        <f>$C54*K53</f>
        <v/>
      </c>
      <c r="L54">
        <f>$C54*L53</f>
        <v/>
      </c>
      <c r="M54">
        <f>$C54*M53</f>
        <v/>
      </c>
      <c r="N54">
        <f>$C54*N53</f>
        <v/>
      </c>
      <c r="O54">
        <f>$C54*O53</f>
        <v/>
      </c>
      <c r="P54">
        <f>$C54*P53</f>
        <v/>
      </c>
      <c r="Q54">
        <f>$C54*Q53</f>
        <v/>
      </c>
      <c r="R54">
        <f>$C54*R53</f>
        <v/>
      </c>
      <c r="S54">
        <f>$C54*S53</f>
        <v/>
      </c>
      <c r="T54">
        <f>$C54*T53</f>
        <v/>
      </c>
      <c r="U54">
        <f>$C54*U53</f>
        <v/>
      </c>
      <c r="V54">
        <f>$C54*V53</f>
        <v/>
      </c>
      <c r="W54">
        <f>$C54*W53</f>
        <v/>
      </c>
      <c r="X54">
        <f>$C54*X53</f>
        <v/>
      </c>
      <c r="Y54">
        <f>$C54*Y53</f>
        <v/>
      </c>
      <c r="Z54">
        <f>$C54*Z53</f>
        <v/>
      </c>
      <c r="AA54">
        <f>$C54*AA53</f>
        <v/>
      </c>
      <c r="AB54">
        <f>$C54*AB53</f>
        <v/>
      </c>
      <c r="AC54">
        <f>$C54*AC53</f>
        <v/>
      </c>
      <c r="AD54">
        <f>$C54*AD53</f>
        <v/>
      </c>
      <c r="AE54">
        <f>$C54*AE53</f>
        <v/>
      </c>
      <c r="AF54">
        <f>$C54*AF53</f>
        <v/>
      </c>
      <c r="AG54">
        <f>$C54*AG53</f>
        <v/>
      </c>
      <c r="AH54">
        <f>$C54*AH53</f>
        <v/>
      </c>
      <c r="AI54">
        <f>$C54*AI53</f>
        <v/>
      </c>
      <c r="AJ54">
        <f>$C54*AJ53</f>
        <v/>
      </c>
      <c r="AK54">
        <f>$C54*AK53</f>
        <v/>
      </c>
      <c r="AL54">
        <f>$C54*AL53</f>
        <v/>
      </c>
      <c r="AM54">
        <f>$C54*AM53</f>
        <v/>
      </c>
      <c r="AN54">
        <f>$C54*AN53</f>
        <v/>
      </c>
      <c r="AO54">
        <f>$C54*AO53</f>
        <v/>
      </c>
      <c r="AP54">
        <f>$C54*AP53</f>
        <v/>
      </c>
      <c r="AQ54">
        <f>$C54*AQ53</f>
        <v/>
      </c>
      <c r="AR54">
        <f>$C54*AR53</f>
        <v/>
      </c>
      <c r="AS54">
        <f>$C54*AS53</f>
        <v/>
      </c>
      <c r="AT54">
        <f>$C54*AT53</f>
        <v/>
      </c>
      <c r="AU54">
        <f>$C54*AU53</f>
        <v/>
      </c>
      <c r="AV54">
        <f>$C54*AV53</f>
        <v/>
      </c>
      <c r="AW54">
        <f>$C54*AW53</f>
        <v/>
      </c>
      <c r="AX54">
        <f>$C54*AX53</f>
        <v/>
      </c>
      <c r="AY54">
        <f>$C54*AY53</f>
        <v/>
      </c>
      <c r="AZ54">
        <f>$C54*AZ53</f>
        <v/>
      </c>
      <c r="BA54">
        <f>$C54*BA53</f>
        <v/>
      </c>
      <c r="BB54">
        <f>$C54*BB53</f>
        <v/>
      </c>
      <c r="BC54">
        <f>$C54*BC53</f>
        <v/>
      </c>
      <c r="BD54">
        <f>$C54*BD53</f>
        <v/>
      </c>
      <c r="BE54">
        <f>$C54*BE53</f>
        <v/>
      </c>
      <c r="BF54">
        <f>$C54*BF53</f>
        <v/>
      </c>
      <c r="BG54">
        <f>$C54*BG53</f>
        <v/>
      </c>
      <c r="BH54">
        <f>$C54*BH53</f>
        <v/>
      </c>
      <c r="BI54">
        <f>$C54*BI53</f>
        <v/>
      </c>
      <c r="BJ54">
        <f>$C54*BJ53</f>
        <v/>
      </c>
      <c r="BK54">
        <f>$C54*BK53</f>
        <v/>
      </c>
      <c r="BL54">
        <f>$C54*BL53</f>
        <v/>
      </c>
      <c r="BM54">
        <f>$C54*BM53</f>
        <v/>
      </c>
      <c r="BN54">
        <f>$C54*BN53</f>
        <v/>
      </c>
      <c r="BO54">
        <f>$C54*BO53</f>
        <v/>
      </c>
      <c r="BP54">
        <f>$C54*BP53</f>
        <v/>
      </c>
      <c r="BQ54">
        <f>$C54*BQ53</f>
        <v/>
      </c>
      <c r="BR54">
        <f>$C54*BR53</f>
        <v/>
      </c>
      <c r="BS54">
        <f>$C54*BS53</f>
        <v/>
      </c>
      <c r="BT54">
        <f>$C54*BT53</f>
        <v/>
      </c>
      <c r="BU54">
        <f>$C54*BU53</f>
        <v/>
      </c>
      <c r="BV54">
        <f>$C54*BV53</f>
        <v/>
      </c>
      <c r="BW54">
        <f>$C54*BW53</f>
        <v/>
      </c>
      <c r="BX54">
        <f>$C54*BX53</f>
        <v/>
      </c>
      <c r="BY54">
        <f>$C54*BY53</f>
        <v/>
      </c>
      <c r="BZ54">
        <f>$C54*BZ53</f>
        <v/>
      </c>
      <c r="CA54">
        <f>$C54*CA53</f>
        <v/>
      </c>
      <c r="CB54">
        <f>$C54*CB53</f>
        <v/>
      </c>
      <c r="CC54">
        <f>$C54*CC53</f>
        <v/>
      </c>
      <c r="CD54">
        <f>$C54*CD53</f>
        <v/>
      </c>
      <c r="CE54">
        <f>$C54*CE53</f>
        <v/>
      </c>
      <c r="CF54">
        <f>$C54*CF53</f>
        <v/>
      </c>
      <c r="CG54">
        <f>$C54*CG53</f>
        <v/>
      </c>
      <c r="CH54">
        <f>$C54*CH53</f>
        <v/>
      </c>
      <c r="CI54">
        <f>$C54*CI53</f>
        <v/>
      </c>
      <c r="CJ54">
        <f>$C54*CJ53</f>
        <v/>
      </c>
      <c r="CK54">
        <f>$C54*CK53</f>
        <v/>
      </c>
      <c r="CL54">
        <f>$C54*CL53</f>
        <v/>
      </c>
      <c r="CM54">
        <f>$C54*CM53</f>
        <v/>
      </c>
      <c r="CN54">
        <f>$C54*CN53</f>
        <v/>
      </c>
      <c r="CO54">
        <f>$C54*CO53</f>
        <v/>
      </c>
      <c r="CP54">
        <f>$C54*CP53</f>
        <v/>
      </c>
      <c r="CQ54">
        <f>$C54*CQ53</f>
        <v/>
      </c>
      <c r="CR54">
        <f>$C54*CR53</f>
        <v/>
      </c>
      <c r="CS54">
        <f>$C54*CS53</f>
        <v/>
      </c>
      <c r="CT54">
        <f>$C54*CT53</f>
        <v/>
      </c>
      <c r="CU54">
        <f>$C54*CU53</f>
        <v/>
      </c>
      <c r="CV54">
        <f>$C54*CV53</f>
        <v/>
      </c>
      <c r="CW54">
        <f>$C54*CW53</f>
        <v/>
      </c>
      <c r="CX54">
        <f>$C54*CX53</f>
        <v/>
      </c>
      <c r="CY54">
        <f>$C54*CY53</f>
        <v/>
      </c>
      <c r="CZ54">
        <f>$C54*CZ53</f>
        <v/>
      </c>
      <c r="DA54">
        <f>$C54*DA53</f>
        <v/>
      </c>
      <c r="DB54">
        <f>$C54*DB53</f>
        <v/>
      </c>
      <c r="DC54">
        <f>$C54*DC53</f>
        <v/>
      </c>
    </row>
    <row r="55">
      <c r="B55" t="inlineStr">
        <is>
          <t>TSP-078</t>
        </is>
      </c>
      <c r="C55" t="inlineStr">
        <is>
          <t>No. of batches</t>
        </is>
      </c>
      <c r="D55">
        <f>IFERROR(INDEX(PP_Grid[#Data],$DD55,2),0)</f>
        <v/>
      </c>
      <c r="E55">
        <f>IFERROR(INDEX(PP_Grid[#Data],$DD55,3),0)</f>
        <v/>
      </c>
      <c r="F55">
        <f>IFERROR(INDEX(PP_Grid[#Data],$DD55,4),0)</f>
        <v/>
      </c>
      <c r="G55">
        <f>IFERROR(INDEX(PP_Grid[#Data],$DD55,5),0)</f>
        <v/>
      </c>
      <c r="H55">
        <f>IFERROR(INDEX(PP_Grid[#Data],$DD55,6),0)</f>
        <v/>
      </c>
      <c r="I55">
        <f>IFERROR(INDEX(PP_Grid[#Data],$DD55,7),0)</f>
        <v/>
      </c>
      <c r="J55">
        <f>IFERROR(INDEX(PP_Grid[#Data],$DD55,8),0)</f>
        <v/>
      </c>
      <c r="K55">
        <f>IFERROR(INDEX(PP_Grid[#Data],$DD55,9),0)</f>
        <v/>
      </c>
      <c r="L55">
        <f>IFERROR(INDEX(PP_Grid[#Data],$DD55,10),0)</f>
        <v/>
      </c>
      <c r="M55">
        <f>IFERROR(INDEX(PP_Grid[#Data],$DD55,11),0)</f>
        <v/>
      </c>
      <c r="N55">
        <f>IFERROR(INDEX(PP_Grid[#Data],$DD55,12),0)</f>
        <v/>
      </c>
      <c r="O55">
        <f>IFERROR(INDEX(PP_Grid[#Data],$DD55,13),0)</f>
        <v/>
      </c>
      <c r="P55">
        <f>IFERROR(INDEX(PP_Grid[#Data],$DD55,14),0)</f>
        <v/>
      </c>
      <c r="Q55">
        <f>IFERROR(INDEX(PP_Grid[#Data],$DD55,15),0)</f>
        <v/>
      </c>
      <c r="R55">
        <f>IFERROR(INDEX(PP_Grid[#Data],$DD55,16),0)</f>
        <v/>
      </c>
      <c r="S55">
        <f>IFERROR(INDEX(PP_Grid[#Data],$DD55,17),0)</f>
        <v/>
      </c>
      <c r="T55">
        <f>IFERROR(INDEX(PP_Grid[#Data],$DD55,18),0)</f>
        <v/>
      </c>
      <c r="U55">
        <f>IFERROR(INDEX(PP_Grid[#Data],$DD55,19),0)</f>
        <v/>
      </c>
      <c r="V55">
        <f>IFERROR(INDEX(PP_Grid[#Data],$DD55,20),0)</f>
        <v/>
      </c>
      <c r="W55">
        <f>IFERROR(INDEX(PP_Grid[#Data],$DD55,21),0)</f>
        <v/>
      </c>
      <c r="X55">
        <f>IFERROR(INDEX(PP_Grid[#Data],$DD55,22),0)</f>
        <v/>
      </c>
      <c r="Y55">
        <f>IFERROR(INDEX(PP_Grid[#Data],$DD55,23),0)</f>
        <v/>
      </c>
      <c r="Z55">
        <f>IFERROR(INDEX(PP_Grid[#Data],$DD55,24),0)</f>
        <v/>
      </c>
      <c r="AA55">
        <f>IFERROR(INDEX(PP_Grid[#Data],$DD55,25),0)</f>
        <v/>
      </c>
      <c r="AB55">
        <f>IFERROR(INDEX(PP_Grid[#Data],$DD55,26),0)</f>
        <v/>
      </c>
      <c r="AC55">
        <f>IFERROR(INDEX(PP_Grid[#Data],$DD55,27),0)</f>
        <v/>
      </c>
      <c r="AD55">
        <f>IFERROR(INDEX(PP_Grid[#Data],$DD55,28),0)</f>
        <v/>
      </c>
      <c r="AE55">
        <f>IFERROR(INDEX(PP_Grid[#Data],$DD55,29),0)</f>
        <v/>
      </c>
      <c r="AF55">
        <f>IFERROR(INDEX(PP_Grid[#Data],$DD55,30),0)</f>
        <v/>
      </c>
      <c r="AG55">
        <f>IFERROR(INDEX(PP_Grid[#Data],$DD55,31),0)</f>
        <v/>
      </c>
      <c r="AH55">
        <f>IFERROR(INDEX(PP_Grid[#Data],$DD55,32),0)</f>
        <v/>
      </c>
      <c r="AI55">
        <f>IFERROR(INDEX(PP_Grid[#Data],$DD55,33),0)</f>
        <v/>
      </c>
      <c r="AJ55">
        <f>IFERROR(INDEX(PP_Grid[#Data],$DD55,34),0)</f>
        <v/>
      </c>
      <c r="AK55">
        <f>IFERROR(INDEX(PP_Grid[#Data],$DD55,35),0)</f>
        <v/>
      </c>
      <c r="AL55">
        <f>IFERROR(INDEX(PP_Grid[#Data],$DD55,36),0)</f>
        <v/>
      </c>
      <c r="AM55">
        <f>IFERROR(INDEX(PP_Grid[#Data],$DD55,37),0)</f>
        <v/>
      </c>
      <c r="AN55">
        <f>IFERROR(INDEX(PP_Grid[#Data],$DD55,38),0)</f>
        <v/>
      </c>
      <c r="AO55">
        <f>IFERROR(INDEX(PP_Grid[#Data],$DD55,39),0)</f>
        <v/>
      </c>
      <c r="AP55">
        <f>IFERROR(INDEX(PP_Grid[#Data],$DD55,40),0)</f>
        <v/>
      </c>
      <c r="AQ55">
        <f>IFERROR(INDEX(PP_Grid[#Data],$DD55,41),0)</f>
        <v/>
      </c>
      <c r="AR55">
        <f>IFERROR(INDEX(PP_Grid[#Data],$DD55,42),0)</f>
        <v/>
      </c>
      <c r="AS55">
        <f>IFERROR(INDEX(PP_Grid[#Data],$DD55,43),0)</f>
        <v/>
      </c>
      <c r="AT55">
        <f>IFERROR(INDEX(PP_Grid[#Data],$DD55,44),0)</f>
        <v/>
      </c>
      <c r="AU55">
        <f>IFERROR(INDEX(PP_Grid[#Data],$DD55,45),0)</f>
        <v/>
      </c>
      <c r="AV55">
        <f>IFERROR(INDEX(PP_Grid[#Data],$DD55,46),0)</f>
        <v/>
      </c>
      <c r="AW55">
        <f>IFERROR(INDEX(PP_Grid[#Data],$DD55,47),0)</f>
        <v/>
      </c>
      <c r="AX55">
        <f>IFERROR(INDEX(PP_Grid[#Data],$DD55,48),0)</f>
        <v/>
      </c>
      <c r="AY55">
        <f>IFERROR(INDEX(PP_Grid[#Data],$DD55,49),0)</f>
        <v/>
      </c>
      <c r="AZ55">
        <f>IFERROR(INDEX(PP_Grid[#Data],$DD55,50),0)</f>
        <v/>
      </c>
      <c r="BA55">
        <f>IFERROR(INDEX(PP_Grid[#Data],$DD55,51),0)</f>
        <v/>
      </c>
      <c r="BB55">
        <f>IFERROR(INDEX(PP_Grid[#Data],$DD55,52),0)</f>
        <v/>
      </c>
      <c r="BC55">
        <f>IFERROR(INDEX(PP_Grid[#Data],$DD55,53),0)</f>
        <v/>
      </c>
      <c r="BD55">
        <f>IFERROR(INDEX(PP_Grid[#Data],$DD55,54),0)</f>
        <v/>
      </c>
      <c r="BE55">
        <f>IFERROR(INDEX(PP_Grid[#Data],$DD55,55),0)</f>
        <v/>
      </c>
      <c r="BF55">
        <f>IFERROR(INDEX(PP_Grid[#Data],$DD55,56),0)</f>
        <v/>
      </c>
      <c r="BG55">
        <f>IFERROR(INDEX(PP_Grid[#Data],$DD55,57),0)</f>
        <v/>
      </c>
      <c r="BH55">
        <f>IFERROR(INDEX(PP_Grid[#Data],$DD55,58),0)</f>
        <v/>
      </c>
      <c r="BI55">
        <f>IFERROR(INDEX(PP_Grid[#Data],$DD55,59),0)</f>
        <v/>
      </c>
      <c r="BJ55">
        <f>IFERROR(INDEX(PP_Grid[#Data],$DD55,60),0)</f>
        <v/>
      </c>
      <c r="BK55">
        <f>IFERROR(INDEX(PP_Grid[#Data],$DD55,61),0)</f>
        <v/>
      </c>
      <c r="BL55">
        <f>IFERROR(INDEX(PP_Grid[#Data],$DD55,62),0)</f>
        <v/>
      </c>
      <c r="BM55">
        <f>IFERROR(INDEX(PP_Grid[#Data],$DD55,63),0)</f>
        <v/>
      </c>
      <c r="BN55">
        <f>IFERROR(INDEX(PP_Grid[#Data],$DD55,64),0)</f>
        <v/>
      </c>
      <c r="BO55">
        <f>IFERROR(INDEX(PP_Grid[#Data],$DD55,65),0)</f>
        <v/>
      </c>
      <c r="BP55">
        <f>IFERROR(INDEX(PP_Grid[#Data],$DD55,66),0)</f>
        <v/>
      </c>
      <c r="BQ55">
        <f>IFERROR(INDEX(PP_Grid[#Data],$DD55,67),0)</f>
        <v/>
      </c>
      <c r="BR55">
        <f>IFERROR(INDEX(PP_Grid[#Data],$DD55,68),0)</f>
        <v/>
      </c>
      <c r="BS55">
        <f>IFERROR(INDEX(PP_Grid[#Data],$DD55,69),0)</f>
        <v/>
      </c>
      <c r="BT55">
        <f>IFERROR(INDEX(PP_Grid[#Data],$DD55,70),0)</f>
        <v/>
      </c>
      <c r="BU55">
        <f>IFERROR(INDEX(PP_Grid[#Data],$DD55,71),0)</f>
        <v/>
      </c>
      <c r="BV55">
        <f>IFERROR(INDEX(PP_Grid[#Data],$DD55,72),0)</f>
        <v/>
      </c>
      <c r="BW55">
        <f>IFERROR(INDEX(PP_Grid[#Data],$DD55,73),0)</f>
        <v/>
      </c>
      <c r="BX55">
        <f>IFERROR(INDEX(PP_Grid[#Data],$DD55,74),0)</f>
        <v/>
      </c>
      <c r="BY55">
        <f>IFERROR(INDEX(PP_Grid[#Data],$DD55,75),0)</f>
        <v/>
      </c>
      <c r="BZ55">
        <f>IFERROR(INDEX(PP_Grid[#Data],$DD55,76),0)</f>
        <v/>
      </c>
      <c r="CA55">
        <f>IFERROR(INDEX(PP_Grid[#Data],$DD55,77),0)</f>
        <v/>
      </c>
      <c r="CB55">
        <f>IFERROR(INDEX(PP_Grid[#Data],$DD55,78),0)</f>
        <v/>
      </c>
      <c r="CC55">
        <f>IFERROR(INDEX(PP_Grid[#Data],$DD55,79),0)</f>
        <v/>
      </c>
      <c r="CD55">
        <f>IFERROR(INDEX(PP_Grid[#Data],$DD55,80),0)</f>
        <v/>
      </c>
      <c r="CE55">
        <f>IFERROR(INDEX(PP_Grid[#Data],$DD55,81),0)</f>
        <v/>
      </c>
      <c r="CF55">
        <f>IFERROR(INDEX(PP_Grid[#Data],$DD55,82),0)</f>
        <v/>
      </c>
      <c r="CG55">
        <f>IFERROR(INDEX(PP_Grid[#Data],$DD55,83),0)</f>
        <v/>
      </c>
      <c r="CH55">
        <f>IFERROR(INDEX(PP_Grid[#Data],$DD55,84),0)</f>
        <v/>
      </c>
      <c r="CI55">
        <f>IFERROR(INDEX(PP_Grid[#Data],$DD55,85),0)</f>
        <v/>
      </c>
      <c r="CJ55">
        <f>IFERROR(INDEX(PP_Grid[#Data],$DD55,86),0)</f>
        <v/>
      </c>
      <c r="CK55">
        <f>IFERROR(INDEX(PP_Grid[#Data],$DD55,87),0)</f>
        <v/>
      </c>
      <c r="CL55">
        <f>IFERROR(INDEX(PP_Grid[#Data],$DD55,88),0)</f>
        <v/>
      </c>
      <c r="CM55">
        <f>IFERROR(INDEX(PP_Grid[#Data],$DD55,89),0)</f>
        <v/>
      </c>
      <c r="CN55">
        <f>IFERROR(INDEX(PP_Grid[#Data],$DD55,90),0)</f>
        <v/>
      </c>
      <c r="CO55">
        <f>IFERROR(INDEX(PP_Grid[#Data],$DD55,91),0)</f>
        <v/>
      </c>
      <c r="CP55">
        <f>IFERROR(INDEX(PP_Grid[#Data],$DD55,92),0)</f>
        <v/>
      </c>
      <c r="CQ55">
        <f>IFERROR(INDEX(PP_Grid[#Data],$DD55,93),0)</f>
        <v/>
      </c>
      <c r="CR55">
        <f>IFERROR(INDEX(PP_Grid[#Data],$DD55,94),0)</f>
        <v/>
      </c>
      <c r="CS55">
        <f>IFERROR(INDEX(PP_Grid[#Data],$DD55,95),0)</f>
        <v/>
      </c>
      <c r="CT55">
        <f>IFERROR(INDEX(PP_Grid[#Data],$DD55,96),0)</f>
        <v/>
      </c>
      <c r="CU55">
        <f>IFERROR(INDEX(PP_Grid[#Data],$DD55,97),0)</f>
        <v/>
      </c>
      <c r="CV55">
        <f>IFERROR(INDEX(PP_Grid[#Data],$DD55,98),0)</f>
        <v/>
      </c>
      <c r="CW55">
        <f>IFERROR(INDEX(PP_Grid[#Data],$DD55,99),0)</f>
        <v/>
      </c>
      <c r="CX55">
        <f>IFERROR(INDEX(PP_Grid[#Data],$DD55,100),0)</f>
        <v/>
      </c>
      <c r="CY55">
        <f>IFERROR(INDEX(PP_Grid[#Data],$DD55,101),0)</f>
        <v/>
      </c>
      <c r="CZ55">
        <f>IFERROR(INDEX(PP_Grid[#Data],$DD55,102),0)</f>
        <v/>
      </c>
      <c r="DA55">
        <f>IFERROR(INDEX(PP_Grid[#Data],$DD55,103),0)</f>
        <v/>
      </c>
      <c r="DB55">
        <f>IFERROR(INDEX(PP_Grid[#Data],$DD55,104),0)</f>
        <v/>
      </c>
      <c r="DC55">
        <f>IFERROR(INDEX(PP_Grid[#Data],$DD55,105),0)</f>
        <v/>
      </c>
      <c r="DD55" s="7">
        <f>IFERROR(MATCH($B55,PP_Grid[Intermediate],0),99999)</f>
        <v/>
      </c>
    </row>
    <row r="56">
      <c r="B56" t="inlineStr">
        <is>
          <t>使用量(kg)</t>
        </is>
      </c>
      <c r="C56">
        <f>SUMIFS(M_BOM[RM_Qty_Per_Batch],M_BOM[Intermediate],$B55,M_BOM[Part Name],$A44)</f>
        <v/>
      </c>
      <c r="D56">
        <f>$C56*D55</f>
        <v/>
      </c>
      <c r="E56">
        <f>$C56*E55</f>
        <v/>
      </c>
      <c r="F56">
        <f>$C56*F55</f>
        <v/>
      </c>
      <c r="G56">
        <f>$C56*G55</f>
        <v/>
      </c>
      <c r="H56">
        <f>$C56*H55</f>
        <v/>
      </c>
      <c r="I56">
        <f>$C56*I55</f>
        <v/>
      </c>
      <c r="J56">
        <f>$C56*J55</f>
        <v/>
      </c>
      <c r="K56">
        <f>$C56*K55</f>
        <v/>
      </c>
      <c r="L56">
        <f>$C56*L55</f>
        <v/>
      </c>
      <c r="M56">
        <f>$C56*M55</f>
        <v/>
      </c>
      <c r="N56">
        <f>$C56*N55</f>
        <v/>
      </c>
      <c r="O56">
        <f>$C56*O55</f>
        <v/>
      </c>
      <c r="P56">
        <f>$C56*P55</f>
        <v/>
      </c>
      <c r="Q56">
        <f>$C56*Q55</f>
        <v/>
      </c>
      <c r="R56">
        <f>$C56*R55</f>
        <v/>
      </c>
      <c r="S56">
        <f>$C56*S55</f>
        <v/>
      </c>
      <c r="T56">
        <f>$C56*T55</f>
        <v/>
      </c>
      <c r="U56">
        <f>$C56*U55</f>
        <v/>
      </c>
      <c r="V56">
        <f>$C56*V55</f>
        <v/>
      </c>
      <c r="W56">
        <f>$C56*W55</f>
        <v/>
      </c>
      <c r="X56">
        <f>$C56*X55</f>
        <v/>
      </c>
      <c r="Y56">
        <f>$C56*Y55</f>
        <v/>
      </c>
      <c r="Z56">
        <f>$C56*Z55</f>
        <v/>
      </c>
      <c r="AA56">
        <f>$C56*AA55</f>
        <v/>
      </c>
      <c r="AB56">
        <f>$C56*AB55</f>
        <v/>
      </c>
      <c r="AC56">
        <f>$C56*AC55</f>
        <v/>
      </c>
      <c r="AD56">
        <f>$C56*AD55</f>
        <v/>
      </c>
      <c r="AE56">
        <f>$C56*AE55</f>
        <v/>
      </c>
      <c r="AF56">
        <f>$C56*AF55</f>
        <v/>
      </c>
      <c r="AG56">
        <f>$C56*AG55</f>
        <v/>
      </c>
      <c r="AH56">
        <f>$C56*AH55</f>
        <v/>
      </c>
      <c r="AI56">
        <f>$C56*AI55</f>
        <v/>
      </c>
      <c r="AJ56">
        <f>$C56*AJ55</f>
        <v/>
      </c>
      <c r="AK56">
        <f>$C56*AK55</f>
        <v/>
      </c>
      <c r="AL56">
        <f>$C56*AL55</f>
        <v/>
      </c>
      <c r="AM56">
        <f>$C56*AM55</f>
        <v/>
      </c>
      <c r="AN56">
        <f>$C56*AN55</f>
        <v/>
      </c>
      <c r="AO56">
        <f>$C56*AO55</f>
        <v/>
      </c>
      <c r="AP56">
        <f>$C56*AP55</f>
        <v/>
      </c>
      <c r="AQ56">
        <f>$C56*AQ55</f>
        <v/>
      </c>
      <c r="AR56">
        <f>$C56*AR55</f>
        <v/>
      </c>
      <c r="AS56">
        <f>$C56*AS55</f>
        <v/>
      </c>
      <c r="AT56">
        <f>$C56*AT55</f>
        <v/>
      </c>
      <c r="AU56">
        <f>$C56*AU55</f>
        <v/>
      </c>
      <c r="AV56">
        <f>$C56*AV55</f>
        <v/>
      </c>
      <c r="AW56">
        <f>$C56*AW55</f>
        <v/>
      </c>
      <c r="AX56">
        <f>$C56*AX55</f>
        <v/>
      </c>
      <c r="AY56">
        <f>$C56*AY55</f>
        <v/>
      </c>
      <c r="AZ56">
        <f>$C56*AZ55</f>
        <v/>
      </c>
      <c r="BA56">
        <f>$C56*BA55</f>
        <v/>
      </c>
      <c r="BB56">
        <f>$C56*BB55</f>
        <v/>
      </c>
      <c r="BC56">
        <f>$C56*BC55</f>
        <v/>
      </c>
      <c r="BD56">
        <f>$C56*BD55</f>
        <v/>
      </c>
      <c r="BE56">
        <f>$C56*BE55</f>
        <v/>
      </c>
      <c r="BF56">
        <f>$C56*BF55</f>
        <v/>
      </c>
      <c r="BG56">
        <f>$C56*BG55</f>
        <v/>
      </c>
      <c r="BH56">
        <f>$C56*BH55</f>
        <v/>
      </c>
      <c r="BI56">
        <f>$C56*BI55</f>
        <v/>
      </c>
      <c r="BJ56">
        <f>$C56*BJ55</f>
        <v/>
      </c>
      <c r="BK56">
        <f>$C56*BK55</f>
        <v/>
      </c>
      <c r="BL56">
        <f>$C56*BL55</f>
        <v/>
      </c>
      <c r="BM56">
        <f>$C56*BM55</f>
        <v/>
      </c>
      <c r="BN56">
        <f>$C56*BN55</f>
        <v/>
      </c>
      <c r="BO56">
        <f>$C56*BO55</f>
        <v/>
      </c>
      <c r="BP56">
        <f>$C56*BP55</f>
        <v/>
      </c>
      <c r="BQ56">
        <f>$C56*BQ55</f>
        <v/>
      </c>
      <c r="BR56">
        <f>$C56*BR55</f>
        <v/>
      </c>
      <c r="BS56">
        <f>$C56*BS55</f>
        <v/>
      </c>
      <c r="BT56">
        <f>$C56*BT55</f>
        <v/>
      </c>
      <c r="BU56">
        <f>$C56*BU55</f>
        <v/>
      </c>
      <c r="BV56">
        <f>$C56*BV55</f>
        <v/>
      </c>
      <c r="BW56">
        <f>$C56*BW55</f>
        <v/>
      </c>
      <c r="BX56">
        <f>$C56*BX55</f>
        <v/>
      </c>
      <c r="BY56">
        <f>$C56*BY55</f>
        <v/>
      </c>
      <c r="BZ56">
        <f>$C56*BZ55</f>
        <v/>
      </c>
      <c r="CA56">
        <f>$C56*CA55</f>
        <v/>
      </c>
      <c r="CB56">
        <f>$C56*CB55</f>
        <v/>
      </c>
      <c r="CC56">
        <f>$C56*CC55</f>
        <v/>
      </c>
      <c r="CD56">
        <f>$C56*CD55</f>
        <v/>
      </c>
      <c r="CE56">
        <f>$C56*CE55</f>
        <v/>
      </c>
      <c r="CF56">
        <f>$C56*CF55</f>
        <v/>
      </c>
      <c r="CG56">
        <f>$C56*CG55</f>
        <v/>
      </c>
      <c r="CH56">
        <f>$C56*CH55</f>
        <v/>
      </c>
      <c r="CI56">
        <f>$C56*CI55</f>
        <v/>
      </c>
      <c r="CJ56">
        <f>$C56*CJ55</f>
        <v/>
      </c>
      <c r="CK56">
        <f>$C56*CK55</f>
        <v/>
      </c>
      <c r="CL56">
        <f>$C56*CL55</f>
        <v/>
      </c>
      <c r="CM56">
        <f>$C56*CM55</f>
        <v/>
      </c>
      <c r="CN56">
        <f>$C56*CN55</f>
        <v/>
      </c>
      <c r="CO56">
        <f>$C56*CO55</f>
        <v/>
      </c>
      <c r="CP56">
        <f>$C56*CP55</f>
        <v/>
      </c>
      <c r="CQ56">
        <f>$C56*CQ55</f>
        <v/>
      </c>
      <c r="CR56">
        <f>$C56*CR55</f>
        <v/>
      </c>
      <c r="CS56">
        <f>$C56*CS55</f>
        <v/>
      </c>
      <c r="CT56">
        <f>$C56*CT55</f>
        <v/>
      </c>
      <c r="CU56">
        <f>$C56*CU55</f>
        <v/>
      </c>
      <c r="CV56">
        <f>$C56*CV55</f>
        <v/>
      </c>
      <c r="CW56">
        <f>$C56*CW55</f>
        <v/>
      </c>
      <c r="CX56">
        <f>$C56*CX55</f>
        <v/>
      </c>
      <c r="CY56">
        <f>$C56*CY55</f>
        <v/>
      </c>
      <c r="CZ56">
        <f>$C56*CZ55</f>
        <v/>
      </c>
      <c r="DA56">
        <f>$C56*DA55</f>
        <v/>
      </c>
      <c r="DB56">
        <f>$C56*DB55</f>
        <v/>
      </c>
      <c r="DC56">
        <f>$C56*DC55</f>
        <v/>
      </c>
    </row>
    <row r="57">
      <c r="B57" t="inlineStr">
        <is>
          <t>TSP-080</t>
        </is>
      </c>
      <c r="C57" t="inlineStr">
        <is>
          <t>No. of batches</t>
        </is>
      </c>
      <c r="D57">
        <f>IFERROR(INDEX(PP_Grid[#Data],$DD57,2),0)</f>
        <v/>
      </c>
      <c r="E57">
        <f>IFERROR(INDEX(PP_Grid[#Data],$DD57,3),0)</f>
        <v/>
      </c>
      <c r="F57">
        <f>IFERROR(INDEX(PP_Grid[#Data],$DD57,4),0)</f>
        <v/>
      </c>
      <c r="G57">
        <f>IFERROR(INDEX(PP_Grid[#Data],$DD57,5),0)</f>
        <v/>
      </c>
      <c r="H57">
        <f>IFERROR(INDEX(PP_Grid[#Data],$DD57,6),0)</f>
        <v/>
      </c>
      <c r="I57">
        <f>IFERROR(INDEX(PP_Grid[#Data],$DD57,7),0)</f>
        <v/>
      </c>
      <c r="J57">
        <f>IFERROR(INDEX(PP_Grid[#Data],$DD57,8),0)</f>
        <v/>
      </c>
      <c r="K57">
        <f>IFERROR(INDEX(PP_Grid[#Data],$DD57,9),0)</f>
        <v/>
      </c>
      <c r="L57">
        <f>IFERROR(INDEX(PP_Grid[#Data],$DD57,10),0)</f>
        <v/>
      </c>
      <c r="M57">
        <f>IFERROR(INDEX(PP_Grid[#Data],$DD57,11),0)</f>
        <v/>
      </c>
      <c r="N57">
        <f>IFERROR(INDEX(PP_Grid[#Data],$DD57,12),0)</f>
        <v/>
      </c>
      <c r="O57">
        <f>IFERROR(INDEX(PP_Grid[#Data],$DD57,13),0)</f>
        <v/>
      </c>
      <c r="P57">
        <f>IFERROR(INDEX(PP_Grid[#Data],$DD57,14),0)</f>
        <v/>
      </c>
      <c r="Q57">
        <f>IFERROR(INDEX(PP_Grid[#Data],$DD57,15),0)</f>
        <v/>
      </c>
      <c r="R57">
        <f>IFERROR(INDEX(PP_Grid[#Data],$DD57,16),0)</f>
        <v/>
      </c>
      <c r="S57">
        <f>IFERROR(INDEX(PP_Grid[#Data],$DD57,17),0)</f>
        <v/>
      </c>
      <c r="T57">
        <f>IFERROR(INDEX(PP_Grid[#Data],$DD57,18),0)</f>
        <v/>
      </c>
      <c r="U57">
        <f>IFERROR(INDEX(PP_Grid[#Data],$DD57,19),0)</f>
        <v/>
      </c>
      <c r="V57">
        <f>IFERROR(INDEX(PP_Grid[#Data],$DD57,20),0)</f>
        <v/>
      </c>
      <c r="W57">
        <f>IFERROR(INDEX(PP_Grid[#Data],$DD57,21),0)</f>
        <v/>
      </c>
      <c r="X57">
        <f>IFERROR(INDEX(PP_Grid[#Data],$DD57,22),0)</f>
        <v/>
      </c>
      <c r="Y57">
        <f>IFERROR(INDEX(PP_Grid[#Data],$DD57,23),0)</f>
        <v/>
      </c>
      <c r="Z57">
        <f>IFERROR(INDEX(PP_Grid[#Data],$DD57,24),0)</f>
        <v/>
      </c>
      <c r="AA57">
        <f>IFERROR(INDEX(PP_Grid[#Data],$DD57,25),0)</f>
        <v/>
      </c>
      <c r="AB57">
        <f>IFERROR(INDEX(PP_Grid[#Data],$DD57,26),0)</f>
        <v/>
      </c>
      <c r="AC57">
        <f>IFERROR(INDEX(PP_Grid[#Data],$DD57,27),0)</f>
        <v/>
      </c>
      <c r="AD57">
        <f>IFERROR(INDEX(PP_Grid[#Data],$DD57,28),0)</f>
        <v/>
      </c>
      <c r="AE57">
        <f>IFERROR(INDEX(PP_Grid[#Data],$DD57,29),0)</f>
        <v/>
      </c>
      <c r="AF57">
        <f>IFERROR(INDEX(PP_Grid[#Data],$DD57,30),0)</f>
        <v/>
      </c>
      <c r="AG57">
        <f>IFERROR(INDEX(PP_Grid[#Data],$DD57,31),0)</f>
        <v/>
      </c>
      <c r="AH57">
        <f>IFERROR(INDEX(PP_Grid[#Data],$DD57,32),0)</f>
        <v/>
      </c>
      <c r="AI57">
        <f>IFERROR(INDEX(PP_Grid[#Data],$DD57,33),0)</f>
        <v/>
      </c>
      <c r="AJ57">
        <f>IFERROR(INDEX(PP_Grid[#Data],$DD57,34),0)</f>
        <v/>
      </c>
      <c r="AK57">
        <f>IFERROR(INDEX(PP_Grid[#Data],$DD57,35),0)</f>
        <v/>
      </c>
      <c r="AL57">
        <f>IFERROR(INDEX(PP_Grid[#Data],$DD57,36),0)</f>
        <v/>
      </c>
      <c r="AM57">
        <f>IFERROR(INDEX(PP_Grid[#Data],$DD57,37),0)</f>
        <v/>
      </c>
      <c r="AN57">
        <f>IFERROR(INDEX(PP_Grid[#Data],$DD57,38),0)</f>
        <v/>
      </c>
      <c r="AO57">
        <f>IFERROR(INDEX(PP_Grid[#Data],$DD57,39),0)</f>
        <v/>
      </c>
      <c r="AP57">
        <f>IFERROR(INDEX(PP_Grid[#Data],$DD57,40),0)</f>
        <v/>
      </c>
      <c r="AQ57">
        <f>IFERROR(INDEX(PP_Grid[#Data],$DD57,41),0)</f>
        <v/>
      </c>
      <c r="AR57">
        <f>IFERROR(INDEX(PP_Grid[#Data],$DD57,42),0)</f>
        <v/>
      </c>
      <c r="AS57">
        <f>IFERROR(INDEX(PP_Grid[#Data],$DD57,43),0)</f>
        <v/>
      </c>
      <c r="AT57">
        <f>IFERROR(INDEX(PP_Grid[#Data],$DD57,44),0)</f>
        <v/>
      </c>
      <c r="AU57">
        <f>IFERROR(INDEX(PP_Grid[#Data],$DD57,45),0)</f>
        <v/>
      </c>
      <c r="AV57">
        <f>IFERROR(INDEX(PP_Grid[#Data],$DD57,46),0)</f>
        <v/>
      </c>
      <c r="AW57">
        <f>IFERROR(INDEX(PP_Grid[#Data],$DD57,47),0)</f>
        <v/>
      </c>
      <c r="AX57">
        <f>IFERROR(INDEX(PP_Grid[#Data],$DD57,48),0)</f>
        <v/>
      </c>
      <c r="AY57">
        <f>IFERROR(INDEX(PP_Grid[#Data],$DD57,49),0)</f>
        <v/>
      </c>
      <c r="AZ57">
        <f>IFERROR(INDEX(PP_Grid[#Data],$DD57,50),0)</f>
        <v/>
      </c>
      <c r="BA57">
        <f>IFERROR(INDEX(PP_Grid[#Data],$DD57,51),0)</f>
        <v/>
      </c>
      <c r="BB57">
        <f>IFERROR(INDEX(PP_Grid[#Data],$DD57,52),0)</f>
        <v/>
      </c>
      <c r="BC57">
        <f>IFERROR(INDEX(PP_Grid[#Data],$DD57,53),0)</f>
        <v/>
      </c>
      <c r="BD57">
        <f>IFERROR(INDEX(PP_Grid[#Data],$DD57,54),0)</f>
        <v/>
      </c>
      <c r="BE57">
        <f>IFERROR(INDEX(PP_Grid[#Data],$DD57,55),0)</f>
        <v/>
      </c>
      <c r="BF57">
        <f>IFERROR(INDEX(PP_Grid[#Data],$DD57,56),0)</f>
        <v/>
      </c>
      <c r="BG57">
        <f>IFERROR(INDEX(PP_Grid[#Data],$DD57,57),0)</f>
        <v/>
      </c>
      <c r="BH57">
        <f>IFERROR(INDEX(PP_Grid[#Data],$DD57,58),0)</f>
        <v/>
      </c>
      <c r="BI57">
        <f>IFERROR(INDEX(PP_Grid[#Data],$DD57,59),0)</f>
        <v/>
      </c>
      <c r="BJ57">
        <f>IFERROR(INDEX(PP_Grid[#Data],$DD57,60),0)</f>
        <v/>
      </c>
      <c r="BK57">
        <f>IFERROR(INDEX(PP_Grid[#Data],$DD57,61),0)</f>
        <v/>
      </c>
      <c r="BL57">
        <f>IFERROR(INDEX(PP_Grid[#Data],$DD57,62),0)</f>
        <v/>
      </c>
      <c r="BM57">
        <f>IFERROR(INDEX(PP_Grid[#Data],$DD57,63),0)</f>
        <v/>
      </c>
      <c r="BN57">
        <f>IFERROR(INDEX(PP_Grid[#Data],$DD57,64),0)</f>
        <v/>
      </c>
      <c r="BO57">
        <f>IFERROR(INDEX(PP_Grid[#Data],$DD57,65),0)</f>
        <v/>
      </c>
      <c r="BP57">
        <f>IFERROR(INDEX(PP_Grid[#Data],$DD57,66),0)</f>
        <v/>
      </c>
      <c r="BQ57">
        <f>IFERROR(INDEX(PP_Grid[#Data],$DD57,67),0)</f>
        <v/>
      </c>
      <c r="BR57">
        <f>IFERROR(INDEX(PP_Grid[#Data],$DD57,68),0)</f>
        <v/>
      </c>
      <c r="BS57">
        <f>IFERROR(INDEX(PP_Grid[#Data],$DD57,69),0)</f>
        <v/>
      </c>
      <c r="BT57">
        <f>IFERROR(INDEX(PP_Grid[#Data],$DD57,70),0)</f>
        <v/>
      </c>
      <c r="BU57">
        <f>IFERROR(INDEX(PP_Grid[#Data],$DD57,71),0)</f>
        <v/>
      </c>
      <c r="BV57">
        <f>IFERROR(INDEX(PP_Grid[#Data],$DD57,72),0)</f>
        <v/>
      </c>
      <c r="BW57">
        <f>IFERROR(INDEX(PP_Grid[#Data],$DD57,73),0)</f>
        <v/>
      </c>
      <c r="BX57">
        <f>IFERROR(INDEX(PP_Grid[#Data],$DD57,74),0)</f>
        <v/>
      </c>
      <c r="BY57">
        <f>IFERROR(INDEX(PP_Grid[#Data],$DD57,75),0)</f>
        <v/>
      </c>
      <c r="BZ57">
        <f>IFERROR(INDEX(PP_Grid[#Data],$DD57,76),0)</f>
        <v/>
      </c>
      <c r="CA57">
        <f>IFERROR(INDEX(PP_Grid[#Data],$DD57,77),0)</f>
        <v/>
      </c>
      <c r="CB57">
        <f>IFERROR(INDEX(PP_Grid[#Data],$DD57,78),0)</f>
        <v/>
      </c>
      <c r="CC57">
        <f>IFERROR(INDEX(PP_Grid[#Data],$DD57,79),0)</f>
        <v/>
      </c>
      <c r="CD57">
        <f>IFERROR(INDEX(PP_Grid[#Data],$DD57,80),0)</f>
        <v/>
      </c>
      <c r="CE57">
        <f>IFERROR(INDEX(PP_Grid[#Data],$DD57,81),0)</f>
        <v/>
      </c>
      <c r="CF57">
        <f>IFERROR(INDEX(PP_Grid[#Data],$DD57,82),0)</f>
        <v/>
      </c>
      <c r="CG57">
        <f>IFERROR(INDEX(PP_Grid[#Data],$DD57,83),0)</f>
        <v/>
      </c>
      <c r="CH57">
        <f>IFERROR(INDEX(PP_Grid[#Data],$DD57,84),0)</f>
        <v/>
      </c>
      <c r="CI57">
        <f>IFERROR(INDEX(PP_Grid[#Data],$DD57,85),0)</f>
        <v/>
      </c>
      <c r="CJ57">
        <f>IFERROR(INDEX(PP_Grid[#Data],$DD57,86),0)</f>
        <v/>
      </c>
      <c r="CK57">
        <f>IFERROR(INDEX(PP_Grid[#Data],$DD57,87),0)</f>
        <v/>
      </c>
      <c r="CL57">
        <f>IFERROR(INDEX(PP_Grid[#Data],$DD57,88),0)</f>
        <v/>
      </c>
      <c r="CM57">
        <f>IFERROR(INDEX(PP_Grid[#Data],$DD57,89),0)</f>
        <v/>
      </c>
      <c r="CN57">
        <f>IFERROR(INDEX(PP_Grid[#Data],$DD57,90),0)</f>
        <v/>
      </c>
      <c r="CO57">
        <f>IFERROR(INDEX(PP_Grid[#Data],$DD57,91),0)</f>
        <v/>
      </c>
      <c r="CP57">
        <f>IFERROR(INDEX(PP_Grid[#Data],$DD57,92),0)</f>
        <v/>
      </c>
      <c r="CQ57">
        <f>IFERROR(INDEX(PP_Grid[#Data],$DD57,93),0)</f>
        <v/>
      </c>
      <c r="CR57">
        <f>IFERROR(INDEX(PP_Grid[#Data],$DD57,94),0)</f>
        <v/>
      </c>
      <c r="CS57">
        <f>IFERROR(INDEX(PP_Grid[#Data],$DD57,95),0)</f>
        <v/>
      </c>
      <c r="CT57">
        <f>IFERROR(INDEX(PP_Grid[#Data],$DD57,96),0)</f>
        <v/>
      </c>
      <c r="CU57">
        <f>IFERROR(INDEX(PP_Grid[#Data],$DD57,97),0)</f>
        <v/>
      </c>
      <c r="CV57">
        <f>IFERROR(INDEX(PP_Grid[#Data],$DD57,98),0)</f>
        <v/>
      </c>
      <c r="CW57">
        <f>IFERROR(INDEX(PP_Grid[#Data],$DD57,99),0)</f>
        <v/>
      </c>
      <c r="CX57">
        <f>IFERROR(INDEX(PP_Grid[#Data],$DD57,100),0)</f>
        <v/>
      </c>
      <c r="CY57">
        <f>IFERROR(INDEX(PP_Grid[#Data],$DD57,101),0)</f>
        <v/>
      </c>
      <c r="CZ57">
        <f>IFERROR(INDEX(PP_Grid[#Data],$DD57,102),0)</f>
        <v/>
      </c>
      <c r="DA57">
        <f>IFERROR(INDEX(PP_Grid[#Data],$DD57,103),0)</f>
        <v/>
      </c>
      <c r="DB57">
        <f>IFERROR(INDEX(PP_Grid[#Data],$DD57,104),0)</f>
        <v/>
      </c>
      <c r="DC57">
        <f>IFERROR(INDEX(PP_Grid[#Data],$DD57,105),0)</f>
        <v/>
      </c>
      <c r="DD57" s="7">
        <f>IFERROR(MATCH($B57,PP_Grid[Intermediate],0),99999)</f>
        <v/>
      </c>
    </row>
    <row r="58">
      <c r="B58" t="inlineStr">
        <is>
          <t>使用量(kg)</t>
        </is>
      </c>
      <c r="C58">
        <f>SUMIFS(M_BOM[RM_Qty_Per_Batch],M_BOM[Intermediate],$B57,M_BOM[Part Name],$A44)</f>
        <v/>
      </c>
      <c r="D58">
        <f>$C58*D57</f>
        <v/>
      </c>
      <c r="E58">
        <f>$C58*E57</f>
        <v/>
      </c>
      <c r="F58">
        <f>$C58*F57</f>
        <v/>
      </c>
      <c r="G58">
        <f>$C58*G57</f>
        <v/>
      </c>
      <c r="H58">
        <f>$C58*H57</f>
        <v/>
      </c>
      <c r="I58">
        <f>$C58*I57</f>
        <v/>
      </c>
      <c r="J58">
        <f>$C58*J57</f>
        <v/>
      </c>
      <c r="K58">
        <f>$C58*K57</f>
        <v/>
      </c>
      <c r="L58">
        <f>$C58*L57</f>
        <v/>
      </c>
      <c r="M58">
        <f>$C58*M57</f>
        <v/>
      </c>
      <c r="N58">
        <f>$C58*N57</f>
        <v/>
      </c>
      <c r="O58">
        <f>$C58*O57</f>
        <v/>
      </c>
      <c r="P58">
        <f>$C58*P57</f>
        <v/>
      </c>
      <c r="Q58">
        <f>$C58*Q57</f>
        <v/>
      </c>
      <c r="R58">
        <f>$C58*R57</f>
        <v/>
      </c>
      <c r="S58">
        <f>$C58*S57</f>
        <v/>
      </c>
      <c r="T58">
        <f>$C58*T57</f>
        <v/>
      </c>
      <c r="U58">
        <f>$C58*U57</f>
        <v/>
      </c>
      <c r="V58">
        <f>$C58*V57</f>
        <v/>
      </c>
      <c r="W58">
        <f>$C58*W57</f>
        <v/>
      </c>
      <c r="X58">
        <f>$C58*X57</f>
        <v/>
      </c>
      <c r="Y58">
        <f>$C58*Y57</f>
        <v/>
      </c>
      <c r="Z58">
        <f>$C58*Z57</f>
        <v/>
      </c>
      <c r="AA58">
        <f>$C58*AA57</f>
        <v/>
      </c>
      <c r="AB58">
        <f>$C58*AB57</f>
        <v/>
      </c>
      <c r="AC58">
        <f>$C58*AC57</f>
        <v/>
      </c>
      <c r="AD58">
        <f>$C58*AD57</f>
        <v/>
      </c>
      <c r="AE58">
        <f>$C58*AE57</f>
        <v/>
      </c>
      <c r="AF58">
        <f>$C58*AF57</f>
        <v/>
      </c>
      <c r="AG58">
        <f>$C58*AG57</f>
        <v/>
      </c>
      <c r="AH58">
        <f>$C58*AH57</f>
        <v/>
      </c>
      <c r="AI58">
        <f>$C58*AI57</f>
        <v/>
      </c>
      <c r="AJ58">
        <f>$C58*AJ57</f>
        <v/>
      </c>
      <c r="AK58">
        <f>$C58*AK57</f>
        <v/>
      </c>
      <c r="AL58">
        <f>$C58*AL57</f>
        <v/>
      </c>
      <c r="AM58">
        <f>$C58*AM57</f>
        <v/>
      </c>
      <c r="AN58">
        <f>$C58*AN57</f>
        <v/>
      </c>
      <c r="AO58">
        <f>$C58*AO57</f>
        <v/>
      </c>
      <c r="AP58">
        <f>$C58*AP57</f>
        <v/>
      </c>
      <c r="AQ58">
        <f>$C58*AQ57</f>
        <v/>
      </c>
      <c r="AR58">
        <f>$C58*AR57</f>
        <v/>
      </c>
      <c r="AS58">
        <f>$C58*AS57</f>
        <v/>
      </c>
      <c r="AT58">
        <f>$C58*AT57</f>
        <v/>
      </c>
      <c r="AU58">
        <f>$C58*AU57</f>
        <v/>
      </c>
      <c r="AV58">
        <f>$C58*AV57</f>
        <v/>
      </c>
      <c r="AW58">
        <f>$C58*AW57</f>
        <v/>
      </c>
      <c r="AX58">
        <f>$C58*AX57</f>
        <v/>
      </c>
      <c r="AY58">
        <f>$C58*AY57</f>
        <v/>
      </c>
      <c r="AZ58">
        <f>$C58*AZ57</f>
        <v/>
      </c>
      <c r="BA58">
        <f>$C58*BA57</f>
        <v/>
      </c>
      <c r="BB58">
        <f>$C58*BB57</f>
        <v/>
      </c>
      <c r="BC58">
        <f>$C58*BC57</f>
        <v/>
      </c>
      <c r="BD58">
        <f>$C58*BD57</f>
        <v/>
      </c>
      <c r="BE58">
        <f>$C58*BE57</f>
        <v/>
      </c>
      <c r="BF58">
        <f>$C58*BF57</f>
        <v/>
      </c>
      <c r="BG58">
        <f>$C58*BG57</f>
        <v/>
      </c>
      <c r="BH58">
        <f>$C58*BH57</f>
        <v/>
      </c>
      <c r="BI58">
        <f>$C58*BI57</f>
        <v/>
      </c>
      <c r="BJ58">
        <f>$C58*BJ57</f>
        <v/>
      </c>
      <c r="BK58">
        <f>$C58*BK57</f>
        <v/>
      </c>
      <c r="BL58">
        <f>$C58*BL57</f>
        <v/>
      </c>
      <c r="BM58">
        <f>$C58*BM57</f>
        <v/>
      </c>
      <c r="BN58">
        <f>$C58*BN57</f>
        <v/>
      </c>
      <c r="BO58">
        <f>$C58*BO57</f>
        <v/>
      </c>
      <c r="BP58">
        <f>$C58*BP57</f>
        <v/>
      </c>
      <c r="BQ58">
        <f>$C58*BQ57</f>
        <v/>
      </c>
      <c r="BR58">
        <f>$C58*BR57</f>
        <v/>
      </c>
      <c r="BS58">
        <f>$C58*BS57</f>
        <v/>
      </c>
      <c r="BT58">
        <f>$C58*BT57</f>
        <v/>
      </c>
      <c r="BU58">
        <f>$C58*BU57</f>
        <v/>
      </c>
      <c r="BV58">
        <f>$C58*BV57</f>
        <v/>
      </c>
      <c r="BW58">
        <f>$C58*BW57</f>
        <v/>
      </c>
      <c r="BX58">
        <f>$C58*BX57</f>
        <v/>
      </c>
      <c r="BY58">
        <f>$C58*BY57</f>
        <v/>
      </c>
      <c r="BZ58">
        <f>$C58*BZ57</f>
        <v/>
      </c>
      <c r="CA58">
        <f>$C58*CA57</f>
        <v/>
      </c>
      <c r="CB58">
        <f>$C58*CB57</f>
        <v/>
      </c>
      <c r="CC58">
        <f>$C58*CC57</f>
        <v/>
      </c>
      <c r="CD58">
        <f>$C58*CD57</f>
        <v/>
      </c>
      <c r="CE58">
        <f>$C58*CE57</f>
        <v/>
      </c>
      <c r="CF58">
        <f>$C58*CF57</f>
        <v/>
      </c>
      <c r="CG58">
        <f>$C58*CG57</f>
        <v/>
      </c>
      <c r="CH58">
        <f>$C58*CH57</f>
        <v/>
      </c>
      <c r="CI58">
        <f>$C58*CI57</f>
        <v/>
      </c>
      <c r="CJ58">
        <f>$C58*CJ57</f>
        <v/>
      </c>
      <c r="CK58">
        <f>$C58*CK57</f>
        <v/>
      </c>
      <c r="CL58">
        <f>$C58*CL57</f>
        <v/>
      </c>
      <c r="CM58">
        <f>$C58*CM57</f>
        <v/>
      </c>
      <c r="CN58">
        <f>$C58*CN57</f>
        <v/>
      </c>
      <c r="CO58">
        <f>$C58*CO57</f>
        <v/>
      </c>
      <c r="CP58">
        <f>$C58*CP57</f>
        <v/>
      </c>
      <c r="CQ58">
        <f>$C58*CQ57</f>
        <v/>
      </c>
      <c r="CR58">
        <f>$C58*CR57</f>
        <v/>
      </c>
      <c r="CS58">
        <f>$C58*CS57</f>
        <v/>
      </c>
      <c r="CT58">
        <f>$C58*CT57</f>
        <v/>
      </c>
      <c r="CU58">
        <f>$C58*CU57</f>
        <v/>
      </c>
      <c r="CV58">
        <f>$C58*CV57</f>
        <v/>
      </c>
      <c r="CW58">
        <f>$C58*CW57</f>
        <v/>
      </c>
      <c r="CX58">
        <f>$C58*CX57</f>
        <v/>
      </c>
      <c r="CY58">
        <f>$C58*CY57</f>
        <v/>
      </c>
      <c r="CZ58">
        <f>$C58*CZ57</f>
        <v/>
      </c>
      <c r="DA58">
        <f>$C58*DA57</f>
        <v/>
      </c>
      <c r="DB58">
        <f>$C58*DB57</f>
        <v/>
      </c>
      <c r="DC58">
        <f>$C58*DC57</f>
        <v/>
      </c>
    </row>
    <row r="59">
      <c r="B59" t="inlineStr">
        <is>
          <t>TSP-089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7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Name],$A44)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t="inlineStr">
        <is>
          <t>TSP-104</t>
        </is>
      </c>
      <c r="C61" t="inlineStr">
        <is>
          <t>No. of batches</t>
        </is>
      </c>
      <c r="D61">
        <f>IFERROR(INDEX(PP_Grid[#Data],$DD61,2),0)</f>
        <v/>
      </c>
      <c r="E61">
        <f>IFERROR(INDEX(PP_Grid[#Data],$DD61,3),0)</f>
        <v/>
      </c>
      <c r="F61">
        <f>IFERROR(INDEX(PP_Grid[#Data],$DD61,4),0)</f>
        <v/>
      </c>
      <c r="G61">
        <f>IFERROR(INDEX(PP_Grid[#Data],$DD61,5),0)</f>
        <v/>
      </c>
      <c r="H61">
        <f>IFERROR(INDEX(PP_Grid[#Data],$DD61,6),0)</f>
        <v/>
      </c>
      <c r="I61">
        <f>IFERROR(INDEX(PP_Grid[#Data],$DD61,7),0)</f>
        <v/>
      </c>
      <c r="J61">
        <f>IFERROR(INDEX(PP_Grid[#Data],$DD61,8),0)</f>
        <v/>
      </c>
      <c r="K61">
        <f>IFERROR(INDEX(PP_Grid[#Data],$DD61,9),0)</f>
        <v/>
      </c>
      <c r="L61">
        <f>IFERROR(INDEX(PP_Grid[#Data],$DD61,10),0)</f>
        <v/>
      </c>
      <c r="M61">
        <f>IFERROR(INDEX(PP_Grid[#Data],$DD61,11),0)</f>
        <v/>
      </c>
      <c r="N61">
        <f>IFERROR(INDEX(PP_Grid[#Data],$DD61,12),0)</f>
        <v/>
      </c>
      <c r="O61">
        <f>IFERROR(INDEX(PP_Grid[#Data],$DD61,13),0)</f>
        <v/>
      </c>
      <c r="P61">
        <f>IFERROR(INDEX(PP_Grid[#Data],$DD61,14),0)</f>
        <v/>
      </c>
      <c r="Q61">
        <f>IFERROR(INDEX(PP_Grid[#Data],$DD61,15),0)</f>
        <v/>
      </c>
      <c r="R61">
        <f>IFERROR(INDEX(PP_Grid[#Data],$DD61,16),0)</f>
        <v/>
      </c>
      <c r="S61">
        <f>IFERROR(INDEX(PP_Grid[#Data],$DD61,17),0)</f>
        <v/>
      </c>
      <c r="T61">
        <f>IFERROR(INDEX(PP_Grid[#Data],$DD61,18),0)</f>
        <v/>
      </c>
      <c r="U61">
        <f>IFERROR(INDEX(PP_Grid[#Data],$DD61,19),0)</f>
        <v/>
      </c>
      <c r="V61">
        <f>IFERROR(INDEX(PP_Grid[#Data],$DD61,20),0)</f>
        <v/>
      </c>
      <c r="W61">
        <f>IFERROR(INDEX(PP_Grid[#Data],$DD61,21),0)</f>
        <v/>
      </c>
      <c r="X61">
        <f>IFERROR(INDEX(PP_Grid[#Data],$DD61,22),0)</f>
        <v/>
      </c>
      <c r="Y61">
        <f>IFERROR(INDEX(PP_Grid[#Data],$DD61,23),0)</f>
        <v/>
      </c>
      <c r="Z61">
        <f>IFERROR(INDEX(PP_Grid[#Data],$DD61,24),0)</f>
        <v/>
      </c>
      <c r="AA61">
        <f>IFERROR(INDEX(PP_Grid[#Data],$DD61,25),0)</f>
        <v/>
      </c>
      <c r="AB61">
        <f>IFERROR(INDEX(PP_Grid[#Data],$DD61,26),0)</f>
        <v/>
      </c>
      <c r="AC61">
        <f>IFERROR(INDEX(PP_Grid[#Data],$DD61,27),0)</f>
        <v/>
      </c>
      <c r="AD61">
        <f>IFERROR(INDEX(PP_Grid[#Data],$DD61,28),0)</f>
        <v/>
      </c>
      <c r="AE61">
        <f>IFERROR(INDEX(PP_Grid[#Data],$DD61,29),0)</f>
        <v/>
      </c>
      <c r="AF61">
        <f>IFERROR(INDEX(PP_Grid[#Data],$DD61,30),0)</f>
        <v/>
      </c>
      <c r="AG61">
        <f>IFERROR(INDEX(PP_Grid[#Data],$DD61,31),0)</f>
        <v/>
      </c>
      <c r="AH61">
        <f>IFERROR(INDEX(PP_Grid[#Data],$DD61,32),0)</f>
        <v/>
      </c>
      <c r="AI61">
        <f>IFERROR(INDEX(PP_Grid[#Data],$DD61,33),0)</f>
        <v/>
      </c>
      <c r="AJ61">
        <f>IFERROR(INDEX(PP_Grid[#Data],$DD61,34),0)</f>
        <v/>
      </c>
      <c r="AK61">
        <f>IFERROR(INDEX(PP_Grid[#Data],$DD61,35),0)</f>
        <v/>
      </c>
      <c r="AL61">
        <f>IFERROR(INDEX(PP_Grid[#Data],$DD61,36),0)</f>
        <v/>
      </c>
      <c r="AM61">
        <f>IFERROR(INDEX(PP_Grid[#Data],$DD61,37),0)</f>
        <v/>
      </c>
      <c r="AN61">
        <f>IFERROR(INDEX(PP_Grid[#Data],$DD61,38),0)</f>
        <v/>
      </c>
      <c r="AO61">
        <f>IFERROR(INDEX(PP_Grid[#Data],$DD61,39),0)</f>
        <v/>
      </c>
      <c r="AP61">
        <f>IFERROR(INDEX(PP_Grid[#Data],$DD61,40),0)</f>
        <v/>
      </c>
      <c r="AQ61">
        <f>IFERROR(INDEX(PP_Grid[#Data],$DD61,41),0)</f>
        <v/>
      </c>
      <c r="AR61">
        <f>IFERROR(INDEX(PP_Grid[#Data],$DD61,42),0)</f>
        <v/>
      </c>
      <c r="AS61">
        <f>IFERROR(INDEX(PP_Grid[#Data],$DD61,43),0)</f>
        <v/>
      </c>
      <c r="AT61">
        <f>IFERROR(INDEX(PP_Grid[#Data],$DD61,44),0)</f>
        <v/>
      </c>
      <c r="AU61">
        <f>IFERROR(INDEX(PP_Grid[#Data],$DD61,45),0)</f>
        <v/>
      </c>
      <c r="AV61">
        <f>IFERROR(INDEX(PP_Grid[#Data],$DD61,46),0)</f>
        <v/>
      </c>
      <c r="AW61">
        <f>IFERROR(INDEX(PP_Grid[#Data],$DD61,47),0)</f>
        <v/>
      </c>
      <c r="AX61">
        <f>IFERROR(INDEX(PP_Grid[#Data],$DD61,48),0)</f>
        <v/>
      </c>
      <c r="AY61">
        <f>IFERROR(INDEX(PP_Grid[#Data],$DD61,49),0)</f>
        <v/>
      </c>
      <c r="AZ61">
        <f>IFERROR(INDEX(PP_Grid[#Data],$DD61,50),0)</f>
        <v/>
      </c>
      <c r="BA61">
        <f>IFERROR(INDEX(PP_Grid[#Data],$DD61,51),0)</f>
        <v/>
      </c>
      <c r="BB61">
        <f>IFERROR(INDEX(PP_Grid[#Data],$DD61,52),0)</f>
        <v/>
      </c>
      <c r="BC61">
        <f>IFERROR(INDEX(PP_Grid[#Data],$DD61,53),0)</f>
        <v/>
      </c>
      <c r="BD61">
        <f>IFERROR(INDEX(PP_Grid[#Data],$DD61,54),0)</f>
        <v/>
      </c>
      <c r="BE61">
        <f>IFERROR(INDEX(PP_Grid[#Data],$DD61,55),0)</f>
        <v/>
      </c>
      <c r="BF61">
        <f>IFERROR(INDEX(PP_Grid[#Data],$DD61,56),0)</f>
        <v/>
      </c>
      <c r="BG61">
        <f>IFERROR(INDEX(PP_Grid[#Data],$DD61,57),0)</f>
        <v/>
      </c>
      <c r="BH61">
        <f>IFERROR(INDEX(PP_Grid[#Data],$DD61,58),0)</f>
        <v/>
      </c>
      <c r="BI61">
        <f>IFERROR(INDEX(PP_Grid[#Data],$DD61,59),0)</f>
        <v/>
      </c>
      <c r="BJ61">
        <f>IFERROR(INDEX(PP_Grid[#Data],$DD61,60),0)</f>
        <v/>
      </c>
      <c r="BK61">
        <f>IFERROR(INDEX(PP_Grid[#Data],$DD61,61),0)</f>
        <v/>
      </c>
      <c r="BL61">
        <f>IFERROR(INDEX(PP_Grid[#Data],$DD61,62),0)</f>
        <v/>
      </c>
      <c r="BM61">
        <f>IFERROR(INDEX(PP_Grid[#Data],$DD61,63),0)</f>
        <v/>
      </c>
      <c r="BN61">
        <f>IFERROR(INDEX(PP_Grid[#Data],$DD61,64),0)</f>
        <v/>
      </c>
      <c r="BO61">
        <f>IFERROR(INDEX(PP_Grid[#Data],$DD61,65),0)</f>
        <v/>
      </c>
      <c r="BP61">
        <f>IFERROR(INDEX(PP_Grid[#Data],$DD61,66),0)</f>
        <v/>
      </c>
      <c r="BQ61">
        <f>IFERROR(INDEX(PP_Grid[#Data],$DD61,67),0)</f>
        <v/>
      </c>
      <c r="BR61">
        <f>IFERROR(INDEX(PP_Grid[#Data],$DD61,68),0)</f>
        <v/>
      </c>
      <c r="BS61">
        <f>IFERROR(INDEX(PP_Grid[#Data],$DD61,69),0)</f>
        <v/>
      </c>
      <c r="BT61">
        <f>IFERROR(INDEX(PP_Grid[#Data],$DD61,70),0)</f>
        <v/>
      </c>
      <c r="BU61">
        <f>IFERROR(INDEX(PP_Grid[#Data],$DD61,71),0)</f>
        <v/>
      </c>
      <c r="BV61">
        <f>IFERROR(INDEX(PP_Grid[#Data],$DD61,72),0)</f>
        <v/>
      </c>
      <c r="BW61">
        <f>IFERROR(INDEX(PP_Grid[#Data],$DD61,73),0)</f>
        <v/>
      </c>
      <c r="BX61">
        <f>IFERROR(INDEX(PP_Grid[#Data],$DD61,74),0)</f>
        <v/>
      </c>
      <c r="BY61">
        <f>IFERROR(INDEX(PP_Grid[#Data],$DD61,75),0)</f>
        <v/>
      </c>
      <c r="BZ61">
        <f>IFERROR(INDEX(PP_Grid[#Data],$DD61,76),0)</f>
        <v/>
      </c>
      <c r="CA61">
        <f>IFERROR(INDEX(PP_Grid[#Data],$DD61,77),0)</f>
        <v/>
      </c>
      <c r="CB61">
        <f>IFERROR(INDEX(PP_Grid[#Data],$DD61,78),0)</f>
        <v/>
      </c>
      <c r="CC61">
        <f>IFERROR(INDEX(PP_Grid[#Data],$DD61,79),0)</f>
        <v/>
      </c>
      <c r="CD61">
        <f>IFERROR(INDEX(PP_Grid[#Data],$DD61,80),0)</f>
        <v/>
      </c>
      <c r="CE61">
        <f>IFERROR(INDEX(PP_Grid[#Data],$DD61,81),0)</f>
        <v/>
      </c>
      <c r="CF61">
        <f>IFERROR(INDEX(PP_Grid[#Data],$DD61,82),0)</f>
        <v/>
      </c>
      <c r="CG61">
        <f>IFERROR(INDEX(PP_Grid[#Data],$DD61,83),0)</f>
        <v/>
      </c>
      <c r="CH61">
        <f>IFERROR(INDEX(PP_Grid[#Data],$DD61,84),0)</f>
        <v/>
      </c>
      <c r="CI61">
        <f>IFERROR(INDEX(PP_Grid[#Data],$DD61,85),0)</f>
        <v/>
      </c>
      <c r="CJ61">
        <f>IFERROR(INDEX(PP_Grid[#Data],$DD61,86),0)</f>
        <v/>
      </c>
      <c r="CK61">
        <f>IFERROR(INDEX(PP_Grid[#Data],$DD61,87),0)</f>
        <v/>
      </c>
      <c r="CL61">
        <f>IFERROR(INDEX(PP_Grid[#Data],$DD61,88),0)</f>
        <v/>
      </c>
      <c r="CM61">
        <f>IFERROR(INDEX(PP_Grid[#Data],$DD61,89),0)</f>
        <v/>
      </c>
      <c r="CN61">
        <f>IFERROR(INDEX(PP_Grid[#Data],$DD61,90),0)</f>
        <v/>
      </c>
      <c r="CO61">
        <f>IFERROR(INDEX(PP_Grid[#Data],$DD61,91),0)</f>
        <v/>
      </c>
      <c r="CP61">
        <f>IFERROR(INDEX(PP_Grid[#Data],$DD61,92),0)</f>
        <v/>
      </c>
      <c r="CQ61">
        <f>IFERROR(INDEX(PP_Grid[#Data],$DD61,93),0)</f>
        <v/>
      </c>
      <c r="CR61">
        <f>IFERROR(INDEX(PP_Grid[#Data],$DD61,94),0)</f>
        <v/>
      </c>
      <c r="CS61">
        <f>IFERROR(INDEX(PP_Grid[#Data],$DD61,95),0)</f>
        <v/>
      </c>
      <c r="CT61">
        <f>IFERROR(INDEX(PP_Grid[#Data],$DD61,96),0)</f>
        <v/>
      </c>
      <c r="CU61">
        <f>IFERROR(INDEX(PP_Grid[#Data],$DD61,97),0)</f>
        <v/>
      </c>
      <c r="CV61">
        <f>IFERROR(INDEX(PP_Grid[#Data],$DD61,98),0)</f>
        <v/>
      </c>
      <c r="CW61">
        <f>IFERROR(INDEX(PP_Grid[#Data],$DD61,99),0)</f>
        <v/>
      </c>
      <c r="CX61">
        <f>IFERROR(INDEX(PP_Grid[#Data],$DD61,100),0)</f>
        <v/>
      </c>
      <c r="CY61">
        <f>IFERROR(INDEX(PP_Grid[#Data],$DD61,101),0)</f>
        <v/>
      </c>
      <c r="CZ61">
        <f>IFERROR(INDEX(PP_Grid[#Data],$DD61,102),0)</f>
        <v/>
      </c>
      <c r="DA61">
        <f>IFERROR(INDEX(PP_Grid[#Data],$DD61,103),0)</f>
        <v/>
      </c>
      <c r="DB61">
        <f>IFERROR(INDEX(PP_Grid[#Data],$DD61,104),0)</f>
        <v/>
      </c>
      <c r="DC61">
        <f>IFERROR(INDEX(PP_Grid[#Data],$DD61,105),0)</f>
        <v/>
      </c>
      <c r="DD61" s="7">
        <f>IFERROR(MATCH($B61,PP_Grid[Intermediate],0),99999)</f>
        <v/>
      </c>
    </row>
    <row r="62">
      <c r="B62" t="inlineStr">
        <is>
          <t>使用量(kg)</t>
        </is>
      </c>
      <c r="C62">
        <f>SUMIFS(M_BOM[RM_Qty_Per_Batch],M_BOM[Intermediate],$B61,M_BOM[Part Name],$A44)</f>
        <v/>
      </c>
      <c r="D62">
        <f>$C62*D61</f>
        <v/>
      </c>
      <c r="E62">
        <f>$C62*E61</f>
        <v/>
      </c>
      <c r="F62">
        <f>$C62*F61</f>
        <v/>
      </c>
      <c r="G62">
        <f>$C62*G61</f>
        <v/>
      </c>
      <c r="H62">
        <f>$C62*H61</f>
        <v/>
      </c>
      <c r="I62">
        <f>$C62*I61</f>
        <v/>
      </c>
      <c r="J62">
        <f>$C62*J61</f>
        <v/>
      </c>
      <c r="K62">
        <f>$C62*K61</f>
        <v/>
      </c>
      <c r="L62">
        <f>$C62*L61</f>
        <v/>
      </c>
      <c r="M62">
        <f>$C62*M61</f>
        <v/>
      </c>
      <c r="N62">
        <f>$C62*N61</f>
        <v/>
      </c>
      <c r="O62">
        <f>$C62*O61</f>
        <v/>
      </c>
      <c r="P62">
        <f>$C62*P61</f>
        <v/>
      </c>
      <c r="Q62">
        <f>$C62*Q61</f>
        <v/>
      </c>
      <c r="R62">
        <f>$C62*R61</f>
        <v/>
      </c>
      <c r="S62">
        <f>$C62*S61</f>
        <v/>
      </c>
      <c r="T62">
        <f>$C62*T61</f>
        <v/>
      </c>
      <c r="U62">
        <f>$C62*U61</f>
        <v/>
      </c>
      <c r="V62">
        <f>$C62*V61</f>
        <v/>
      </c>
      <c r="W62">
        <f>$C62*W61</f>
        <v/>
      </c>
      <c r="X62">
        <f>$C62*X61</f>
        <v/>
      </c>
      <c r="Y62">
        <f>$C62*Y61</f>
        <v/>
      </c>
      <c r="Z62">
        <f>$C62*Z61</f>
        <v/>
      </c>
      <c r="AA62">
        <f>$C62*AA61</f>
        <v/>
      </c>
      <c r="AB62">
        <f>$C62*AB61</f>
        <v/>
      </c>
      <c r="AC62">
        <f>$C62*AC61</f>
        <v/>
      </c>
      <c r="AD62">
        <f>$C62*AD61</f>
        <v/>
      </c>
      <c r="AE62">
        <f>$C62*AE61</f>
        <v/>
      </c>
      <c r="AF62">
        <f>$C62*AF61</f>
        <v/>
      </c>
      <c r="AG62">
        <f>$C62*AG61</f>
        <v/>
      </c>
      <c r="AH62">
        <f>$C62*AH61</f>
        <v/>
      </c>
      <c r="AI62">
        <f>$C62*AI61</f>
        <v/>
      </c>
      <c r="AJ62">
        <f>$C62*AJ61</f>
        <v/>
      </c>
      <c r="AK62">
        <f>$C62*AK61</f>
        <v/>
      </c>
      <c r="AL62">
        <f>$C62*AL61</f>
        <v/>
      </c>
      <c r="AM62">
        <f>$C62*AM61</f>
        <v/>
      </c>
      <c r="AN62">
        <f>$C62*AN61</f>
        <v/>
      </c>
      <c r="AO62">
        <f>$C62*AO61</f>
        <v/>
      </c>
      <c r="AP62">
        <f>$C62*AP61</f>
        <v/>
      </c>
      <c r="AQ62">
        <f>$C62*AQ61</f>
        <v/>
      </c>
      <c r="AR62">
        <f>$C62*AR61</f>
        <v/>
      </c>
      <c r="AS62">
        <f>$C62*AS61</f>
        <v/>
      </c>
      <c r="AT62">
        <f>$C62*AT61</f>
        <v/>
      </c>
      <c r="AU62">
        <f>$C62*AU61</f>
        <v/>
      </c>
      <c r="AV62">
        <f>$C62*AV61</f>
        <v/>
      </c>
      <c r="AW62">
        <f>$C62*AW61</f>
        <v/>
      </c>
      <c r="AX62">
        <f>$C62*AX61</f>
        <v/>
      </c>
      <c r="AY62">
        <f>$C62*AY61</f>
        <v/>
      </c>
      <c r="AZ62">
        <f>$C62*AZ61</f>
        <v/>
      </c>
      <c r="BA62">
        <f>$C62*BA61</f>
        <v/>
      </c>
      <c r="BB62">
        <f>$C62*BB61</f>
        <v/>
      </c>
      <c r="BC62">
        <f>$C62*BC61</f>
        <v/>
      </c>
      <c r="BD62">
        <f>$C62*BD61</f>
        <v/>
      </c>
      <c r="BE62">
        <f>$C62*BE61</f>
        <v/>
      </c>
      <c r="BF62">
        <f>$C62*BF61</f>
        <v/>
      </c>
      <c r="BG62">
        <f>$C62*BG61</f>
        <v/>
      </c>
      <c r="BH62">
        <f>$C62*BH61</f>
        <v/>
      </c>
      <c r="BI62">
        <f>$C62*BI61</f>
        <v/>
      </c>
      <c r="BJ62">
        <f>$C62*BJ61</f>
        <v/>
      </c>
      <c r="BK62">
        <f>$C62*BK61</f>
        <v/>
      </c>
      <c r="BL62">
        <f>$C62*BL61</f>
        <v/>
      </c>
      <c r="BM62">
        <f>$C62*BM61</f>
        <v/>
      </c>
      <c r="BN62">
        <f>$C62*BN61</f>
        <v/>
      </c>
      <c r="BO62">
        <f>$C62*BO61</f>
        <v/>
      </c>
      <c r="BP62">
        <f>$C62*BP61</f>
        <v/>
      </c>
      <c r="BQ62">
        <f>$C62*BQ61</f>
        <v/>
      </c>
      <c r="BR62">
        <f>$C62*BR61</f>
        <v/>
      </c>
      <c r="BS62">
        <f>$C62*BS61</f>
        <v/>
      </c>
      <c r="BT62">
        <f>$C62*BT61</f>
        <v/>
      </c>
      <c r="BU62">
        <f>$C62*BU61</f>
        <v/>
      </c>
      <c r="BV62">
        <f>$C62*BV61</f>
        <v/>
      </c>
      <c r="BW62">
        <f>$C62*BW61</f>
        <v/>
      </c>
      <c r="BX62">
        <f>$C62*BX61</f>
        <v/>
      </c>
      <c r="BY62">
        <f>$C62*BY61</f>
        <v/>
      </c>
      <c r="BZ62">
        <f>$C62*BZ61</f>
        <v/>
      </c>
      <c r="CA62">
        <f>$C62*CA61</f>
        <v/>
      </c>
      <c r="CB62">
        <f>$C62*CB61</f>
        <v/>
      </c>
      <c r="CC62">
        <f>$C62*CC61</f>
        <v/>
      </c>
      <c r="CD62">
        <f>$C62*CD61</f>
        <v/>
      </c>
      <c r="CE62">
        <f>$C62*CE61</f>
        <v/>
      </c>
      <c r="CF62">
        <f>$C62*CF61</f>
        <v/>
      </c>
      <c r="CG62">
        <f>$C62*CG61</f>
        <v/>
      </c>
      <c r="CH62">
        <f>$C62*CH61</f>
        <v/>
      </c>
      <c r="CI62">
        <f>$C62*CI61</f>
        <v/>
      </c>
      <c r="CJ62">
        <f>$C62*CJ61</f>
        <v/>
      </c>
      <c r="CK62">
        <f>$C62*CK61</f>
        <v/>
      </c>
      <c r="CL62">
        <f>$C62*CL61</f>
        <v/>
      </c>
      <c r="CM62">
        <f>$C62*CM61</f>
        <v/>
      </c>
      <c r="CN62">
        <f>$C62*CN61</f>
        <v/>
      </c>
      <c r="CO62">
        <f>$C62*CO61</f>
        <v/>
      </c>
      <c r="CP62">
        <f>$C62*CP61</f>
        <v/>
      </c>
      <c r="CQ62">
        <f>$C62*CQ61</f>
        <v/>
      </c>
      <c r="CR62">
        <f>$C62*CR61</f>
        <v/>
      </c>
      <c r="CS62">
        <f>$C62*CS61</f>
        <v/>
      </c>
      <c r="CT62">
        <f>$C62*CT61</f>
        <v/>
      </c>
      <c r="CU62">
        <f>$C62*CU61</f>
        <v/>
      </c>
      <c r="CV62">
        <f>$C62*CV61</f>
        <v/>
      </c>
      <c r="CW62">
        <f>$C62*CW61</f>
        <v/>
      </c>
      <c r="CX62">
        <f>$C62*CX61</f>
        <v/>
      </c>
      <c r="CY62">
        <f>$C62*CY61</f>
        <v/>
      </c>
      <c r="CZ62">
        <f>$C62*CZ61</f>
        <v/>
      </c>
      <c r="DA62">
        <f>$C62*DA61</f>
        <v/>
      </c>
      <c r="DB62">
        <f>$C62*DB61</f>
        <v/>
      </c>
      <c r="DC62">
        <f>$C62*DC61</f>
        <v/>
      </c>
    </row>
    <row r="63">
      <c r="B63" t="inlineStr">
        <is>
          <t>TSP-105</t>
        </is>
      </c>
      <c r="C63" t="inlineStr">
        <is>
          <t>No. of batches</t>
        </is>
      </c>
      <c r="D63">
        <f>IFERROR(INDEX(PP_Grid[#Data],$DD63,2),0)</f>
        <v/>
      </c>
      <c r="E63">
        <f>IFERROR(INDEX(PP_Grid[#Data],$DD63,3),0)</f>
        <v/>
      </c>
      <c r="F63">
        <f>IFERROR(INDEX(PP_Grid[#Data],$DD63,4),0)</f>
        <v/>
      </c>
      <c r="G63">
        <f>IFERROR(INDEX(PP_Grid[#Data],$DD63,5),0)</f>
        <v/>
      </c>
      <c r="H63">
        <f>IFERROR(INDEX(PP_Grid[#Data],$DD63,6),0)</f>
        <v/>
      </c>
      <c r="I63">
        <f>IFERROR(INDEX(PP_Grid[#Data],$DD63,7),0)</f>
        <v/>
      </c>
      <c r="J63">
        <f>IFERROR(INDEX(PP_Grid[#Data],$DD63,8),0)</f>
        <v/>
      </c>
      <c r="K63">
        <f>IFERROR(INDEX(PP_Grid[#Data],$DD63,9),0)</f>
        <v/>
      </c>
      <c r="L63">
        <f>IFERROR(INDEX(PP_Grid[#Data],$DD63,10),0)</f>
        <v/>
      </c>
      <c r="M63">
        <f>IFERROR(INDEX(PP_Grid[#Data],$DD63,11),0)</f>
        <v/>
      </c>
      <c r="N63">
        <f>IFERROR(INDEX(PP_Grid[#Data],$DD63,12),0)</f>
        <v/>
      </c>
      <c r="O63">
        <f>IFERROR(INDEX(PP_Grid[#Data],$DD63,13),0)</f>
        <v/>
      </c>
      <c r="P63">
        <f>IFERROR(INDEX(PP_Grid[#Data],$DD63,14),0)</f>
        <v/>
      </c>
      <c r="Q63">
        <f>IFERROR(INDEX(PP_Grid[#Data],$DD63,15),0)</f>
        <v/>
      </c>
      <c r="R63">
        <f>IFERROR(INDEX(PP_Grid[#Data],$DD63,16),0)</f>
        <v/>
      </c>
      <c r="S63">
        <f>IFERROR(INDEX(PP_Grid[#Data],$DD63,17),0)</f>
        <v/>
      </c>
      <c r="T63">
        <f>IFERROR(INDEX(PP_Grid[#Data],$DD63,18),0)</f>
        <v/>
      </c>
      <c r="U63">
        <f>IFERROR(INDEX(PP_Grid[#Data],$DD63,19),0)</f>
        <v/>
      </c>
      <c r="V63">
        <f>IFERROR(INDEX(PP_Grid[#Data],$DD63,20),0)</f>
        <v/>
      </c>
      <c r="W63">
        <f>IFERROR(INDEX(PP_Grid[#Data],$DD63,21),0)</f>
        <v/>
      </c>
      <c r="X63">
        <f>IFERROR(INDEX(PP_Grid[#Data],$DD63,22),0)</f>
        <v/>
      </c>
      <c r="Y63">
        <f>IFERROR(INDEX(PP_Grid[#Data],$DD63,23),0)</f>
        <v/>
      </c>
      <c r="Z63">
        <f>IFERROR(INDEX(PP_Grid[#Data],$DD63,24),0)</f>
        <v/>
      </c>
      <c r="AA63">
        <f>IFERROR(INDEX(PP_Grid[#Data],$DD63,25),0)</f>
        <v/>
      </c>
      <c r="AB63">
        <f>IFERROR(INDEX(PP_Grid[#Data],$DD63,26),0)</f>
        <v/>
      </c>
      <c r="AC63">
        <f>IFERROR(INDEX(PP_Grid[#Data],$DD63,27),0)</f>
        <v/>
      </c>
      <c r="AD63">
        <f>IFERROR(INDEX(PP_Grid[#Data],$DD63,28),0)</f>
        <v/>
      </c>
      <c r="AE63">
        <f>IFERROR(INDEX(PP_Grid[#Data],$DD63,29),0)</f>
        <v/>
      </c>
      <c r="AF63">
        <f>IFERROR(INDEX(PP_Grid[#Data],$DD63,30),0)</f>
        <v/>
      </c>
      <c r="AG63">
        <f>IFERROR(INDEX(PP_Grid[#Data],$DD63,31),0)</f>
        <v/>
      </c>
      <c r="AH63">
        <f>IFERROR(INDEX(PP_Grid[#Data],$DD63,32),0)</f>
        <v/>
      </c>
      <c r="AI63">
        <f>IFERROR(INDEX(PP_Grid[#Data],$DD63,33),0)</f>
        <v/>
      </c>
      <c r="AJ63">
        <f>IFERROR(INDEX(PP_Grid[#Data],$DD63,34),0)</f>
        <v/>
      </c>
      <c r="AK63">
        <f>IFERROR(INDEX(PP_Grid[#Data],$DD63,35),0)</f>
        <v/>
      </c>
      <c r="AL63">
        <f>IFERROR(INDEX(PP_Grid[#Data],$DD63,36),0)</f>
        <v/>
      </c>
      <c r="AM63">
        <f>IFERROR(INDEX(PP_Grid[#Data],$DD63,37),0)</f>
        <v/>
      </c>
      <c r="AN63">
        <f>IFERROR(INDEX(PP_Grid[#Data],$DD63,38),0)</f>
        <v/>
      </c>
      <c r="AO63">
        <f>IFERROR(INDEX(PP_Grid[#Data],$DD63,39),0)</f>
        <v/>
      </c>
      <c r="AP63">
        <f>IFERROR(INDEX(PP_Grid[#Data],$DD63,40),0)</f>
        <v/>
      </c>
      <c r="AQ63">
        <f>IFERROR(INDEX(PP_Grid[#Data],$DD63,41),0)</f>
        <v/>
      </c>
      <c r="AR63">
        <f>IFERROR(INDEX(PP_Grid[#Data],$DD63,42),0)</f>
        <v/>
      </c>
      <c r="AS63">
        <f>IFERROR(INDEX(PP_Grid[#Data],$DD63,43),0)</f>
        <v/>
      </c>
      <c r="AT63">
        <f>IFERROR(INDEX(PP_Grid[#Data],$DD63,44),0)</f>
        <v/>
      </c>
      <c r="AU63">
        <f>IFERROR(INDEX(PP_Grid[#Data],$DD63,45),0)</f>
        <v/>
      </c>
      <c r="AV63">
        <f>IFERROR(INDEX(PP_Grid[#Data],$DD63,46),0)</f>
        <v/>
      </c>
      <c r="AW63">
        <f>IFERROR(INDEX(PP_Grid[#Data],$DD63,47),0)</f>
        <v/>
      </c>
      <c r="AX63">
        <f>IFERROR(INDEX(PP_Grid[#Data],$DD63,48),0)</f>
        <v/>
      </c>
      <c r="AY63">
        <f>IFERROR(INDEX(PP_Grid[#Data],$DD63,49),0)</f>
        <v/>
      </c>
      <c r="AZ63">
        <f>IFERROR(INDEX(PP_Grid[#Data],$DD63,50),0)</f>
        <v/>
      </c>
      <c r="BA63">
        <f>IFERROR(INDEX(PP_Grid[#Data],$DD63,51),0)</f>
        <v/>
      </c>
      <c r="BB63">
        <f>IFERROR(INDEX(PP_Grid[#Data],$DD63,52),0)</f>
        <v/>
      </c>
      <c r="BC63">
        <f>IFERROR(INDEX(PP_Grid[#Data],$DD63,53),0)</f>
        <v/>
      </c>
      <c r="BD63">
        <f>IFERROR(INDEX(PP_Grid[#Data],$DD63,54),0)</f>
        <v/>
      </c>
      <c r="BE63">
        <f>IFERROR(INDEX(PP_Grid[#Data],$DD63,55),0)</f>
        <v/>
      </c>
      <c r="BF63">
        <f>IFERROR(INDEX(PP_Grid[#Data],$DD63,56),0)</f>
        <v/>
      </c>
      <c r="BG63">
        <f>IFERROR(INDEX(PP_Grid[#Data],$DD63,57),0)</f>
        <v/>
      </c>
      <c r="BH63">
        <f>IFERROR(INDEX(PP_Grid[#Data],$DD63,58),0)</f>
        <v/>
      </c>
      <c r="BI63">
        <f>IFERROR(INDEX(PP_Grid[#Data],$DD63,59),0)</f>
        <v/>
      </c>
      <c r="BJ63">
        <f>IFERROR(INDEX(PP_Grid[#Data],$DD63,60),0)</f>
        <v/>
      </c>
      <c r="BK63">
        <f>IFERROR(INDEX(PP_Grid[#Data],$DD63,61),0)</f>
        <v/>
      </c>
      <c r="BL63">
        <f>IFERROR(INDEX(PP_Grid[#Data],$DD63,62),0)</f>
        <v/>
      </c>
      <c r="BM63">
        <f>IFERROR(INDEX(PP_Grid[#Data],$DD63,63),0)</f>
        <v/>
      </c>
      <c r="BN63">
        <f>IFERROR(INDEX(PP_Grid[#Data],$DD63,64),0)</f>
        <v/>
      </c>
      <c r="BO63">
        <f>IFERROR(INDEX(PP_Grid[#Data],$DD63,65),0)</f>
        <v/>
      </c>
      <c r="BP63">
        <f>IFERROR(INDEX(PP_Grid[#Data],$DD63,66),0)</f>
        <v/>
      </c>
      <c r="BQ63">
        <f>IFERROR(INDEX(PP_Grid[#Data],$DD63,67),0)</f>
        <v/>
      </c>
      <c r="BR63">
        <f>IFERROR(INDEX(PP_Grid[#Data],$DD63,68),0)</f>
        <v/>
      </c>
      <c r="BS63">
        <f>IFERROR(INDEX(PP_Grid[#Data],$DD63,69),0)</f>
        <v/>
      </c>
      <c r="BT63">
        <f>IFERROR(INDEX(PP_Grid[#Data],$DD63,70),0)</f>
        <v/>
      </c>
      <c r="BU63">
        <f>IFERROR(INDEX(PP_Grid[#Data],$DD63,71),0)</f>
        <v/>
      </c>
      <c r="BV63">
        <f>IFERROR(INDEX(PP_Grid[#Data],$DD63,72),0)</f>
        <v/>
      </c>
      <c r="BW63">
        <f>IFERROR(INDEX(PP_Grid[#Data],$DD63,73),0)</f>
        <v/>
      </c>
      <c r="BX63">
        <f>IFERROR(INDEX(PP_Grid[#Data],$DD63,74),0)</f>
        <v/>
      </c>
      <c r="BY63">
        <f>IFERROR(INDEX(PP_Grid[#Data],$DD63,75),0)</f>
        <v/>
      </c>
      <c r="BZ63">
        <f>IFERROR(INDEX(PP_Grid[#Data],$DD63,76),0)</f>
        <v/>
      </c>
      <c r="CA63">
        <f>IFERROR(INDEX(PP_Grid[#Data],$DD63,77),0)</f>
        <v/>
      </c>
      <c r="CB63">
        <f>IFERROR(INDEX(PP_Grid[#Data],$DD63,78),0)</f>
        <v/>
      </c>
      <c r="CC63">
        <f>IFERROR(INDEX(PP_Grid[#Data],$DD63,79),0)</f>
        <v/>
      </c>
      <c r="CD63">
        <f>IFERROR(INDEX(PP_Grid[#Data],$DD63,80),0)</f>
        <v/>
      </c>
      <c r="CE63">
        <f>IFERROR(INDEX(PP_Grid[#Data],$DD63,81),0)</f>
        <v/>
      </c>
      <c r="CF63">
        <f>IFERROR(INDEX(PP_Grid[#Data],$DD63,82),0)</f>
        <v/>
      </c>
      <c r="CG63">
        <f>IFERROR(INDEX(PP_Grid[#Data],$DD63,83),0)</f>
        <v/>
      </c>
      <c r="CH63">
        <f>IFERROR(INDEX(PP_Grid[#Data],$DD63,84),0)</f>
        <v/>
      </c>
      <c r="CI63">
        <f>IFERROR(INDEX(PP_Grid[#Data],$DD63,85),0)</f>
        <v/>
      </c>
      <c r="CJ63">
        <f>IFERROR(INDEX(PP_Grid[#Data],$DD63,86),0)</f>
        <v/>
      </c>
      <c r="CK63">
        <f>IFERROR(INDEX(PP_Grid[#Data],$DD63,87),0)</f>
        <v/>
      </c>
      <c r="CL63">
        <f>IFERROR(INDEX(PP_Grid[#Data],$DD63,88),0)</f>
        <v/>
      </c>
      <c r="CM63">
        <f>IFERROR(INDEX(PP_Grid[#Data],$DD63,89),0)</f>
        <v/>
      </c>
      <c r="CN63">
        <f>IFERROR(INDEX(PP_Grid[#Data],$DD63,90),0)</f>
        <v/>
      </c>
      <c r="CO63">
        <f>IFERROR(INDEX(PP_Grid[#Data],$DD63,91),0)</f>
        <v/>
      </c>
      <c r="CP63">
        <f>IFERROR(INDEX(PP_Grid[#Data],$DD63,92),0)</f>
        <v/>
      </c>
      <c r="CQ63">
        <f>IFERROR(INDEX(PP_Grid[#Data],$DD63,93),0)</f>
        <v/>
      </c>
      <c r="CR63">
        <f>IFERROR(INDEX(PP_Grid[#Data],$DD63,94),0)</f>
        <v/>
      </c>
      <c r="CS63">
        <f>IFERROR(INDEX(PP_Grid[#Data],$DD63,95),0)</f>
        <v/>
      </c>
      <c r="CT63">
        <f>IFERROR(INDEX(PP_Grid[#Data],$DD63,96),0)</f>
        <v/>
      </c>
      <c r="CU63">
        <f>IFERROR(INDEX(PP_Grid[#Data],$DD63,97),0)</f>
        <v/>
      </c>
      <c r="CV63">
        <f>IFERROR(INDEX(PP_Grid[#Data],$DD63,98),0)</f>
        <v/>
      </c>
      <c r="CW63">
        <f>IFERROR(INDEX(PP_Grid[#Data],$DD63,99),0)</f>
        <v/>
      </c>
      <c r="CX63">
        <f>IFERROR(INDEX(PP_Grid[#Data],$DD63,100),0)</f>
        <v/>
      </c>
      <c r="CY63">
        <f>IFERROR(INDEX(PP_Grid[#Data],$DD63,101),0)</f>
        <v/>
      </c>
      <c r="CZ63">
        <f>IFERROR(INDEX(PP_Grid[#Data],$DD63,102),0)</f>
        <v/>
      </c>
      <c r="DA63">
        <f>IFERROR(INDEX(PP_Grid[#Data],$DD63,103),0)</f>
        <v/>
      </c>
      <c r="DB63">
        <f>IFERROR(INDEX(PP_Grid[#Data],$DD63,104),0)</f>
        <v/>
      </c>
      <c r="DC63">
        <f>IFERROR(INDEX(PP_Grid[#Data],$DD63,105),0)</f>
        <v/>
      </c>
      <c r="DD63" s="7">
        <f>IFERROR(MATCH($B63,PP_Grid[Intermediate],0),99999)</f>
        <v/>
      </c>
    </row>
    <row r="64">
      <c r="B64" t="inlineStr">
        <is>
          <t>使用量(kg)</t>
        </is>
      </c>
      <c r="C64">
        <f>SUMIFS(M_BOM[RM_Qty_Per_Batch],M_BOM[Intermediate],$B63,M_BOM[Part Name],$A44)</f>
        <v/>
      </c>
      <c r="D64">
        <f>$C64*D63</f>
        <v/>
      </c>
      <c r="E64">
        <f>$C64*E63</f>
        <v/>
      </c>
      <c r="F64">
        <f>$C64*F63</f>
        <v/>
      </c>
      <c r="G64">
        <f>$C64*G63</f>
        <v/>
      </c>
      <c r="H64">
        <f>$C64*H63</f>
        <v/>
      </c>
      <c r="I64">
        <f>$C64*I63</f>
        <v/>
      </c>
      <c r="J64">
        <f>$C64*J63</f>
        <v/>
      </c>
      <c r="K64">
        <f>$C64*K63</f>
        <v/>
      </c>
      <c r="L64">
        <f>$C64*L63</f>
        <v/>
      </c>
      <c r="M64">
        <f>$C64*M63</f>
        <v/>
      </c>
      <c r="N64">
        <f>$C64*N63</f>
        <v/>
      </c>
      <c r="O64">
        <f>$C64*O63</f>
        <v/>
      </c>
      <c r="P64">
        <f>$C64*P63</f>
        <v/>
      </c>
      <c r="Q64">
        <f>$C64*Q63</f>
        <v/>
      </c>
      <c r="R64">
        <f>$C64*R63</f>
        <v/>
      </c>
      <c r="S64">
        <f>$C64*S63</f>
        <v/>
      </c>
      <c r="T64">
        <f>$C64*T63</f>
        <v/>
      </c>
      <c r="U64">
        <f>$C64*U63</f>
        <v/>
      </c>
      <c r="V64">
        <f>$C64*V63</f>
        <v/>
      </c>
      <c r="W64">
        <f>$C64*W63</f>
        <v/>
      </c>
      <c r="X64">
        <f>$C64*X63</f>
        <v/>
      </c>
      <c r="Y64">
        <f>$C64*Y63</f>
        <v/>
      </c>
      <c r="Z64">
        <f>$C64*Z63</f>
        <v/>
      </c>
      <c r="AA64">
        <f>$C64*AA63</f>
        <v/>
      </c>
      <c r="AB64">
        <f>$C64*AB63</f>
        <v/>
      </c>
      <c r="AC64">
        <f>$C64*AC63</f>
        <v/>
      </c>
      <c r="AD64">
        <f>$C64*AD63</f>
        <v/>
      </c>
      <c r="AE64">
        <f>$C64*AE63</f>
        <v/>
      </c>
      <c r="AF64">
        <f>$C64*AF63</f>
        <v/>
      </c>
      <c r="AG64">
        <f>$C64*AG63</f>
        <v/>
      </c>
      <c r="AH64">
        <f>$C64*AH63</f>
        <v/>
      </c>
      <c r="AI64">
        <f>$C64*AI63</f>
        <v/>
      </c>
      <c r="AJ64">
        <f>$C64*AJ63</f>
        <v/>
      </c>
      <c r="AK64">
        <f>$C64*AK63</f>
        <v/>
      </c>
      <c r="AL64">
        <f>$C64*AL63</f>
        <v/>
      </c>
      <c r="AM64">
        <f>$C64*AM63</f>
        <v/>
      </c>
      <c r="AN64">
        <f>$C64*AN63</f>
        <v/>
      </c>
      <c r="AO64">
        <f>$C64*AO63</f>
        <v/>
      </c>
      <c r="AP64">
        <f>$C64*AP63</f>
        <v/>
      </c>
      <c r="AQ64">
        <f>$C64*AQ63</f>
        <v/>
      </c>
      <c r="AR64">
        <f>$C64*AR63</f>
        <v/>
      </c>
      <c r="AS64">
        <f>$C64*AS63</f>
        <v/>
      </c>
      <c r="AT64">
        <f>$C64*AT63</f>
        <v/>
      </c>
      <c r="AU64">
        <f>$C64*AU63</f>
        <v/>
      </c>
      <c r="AV64">
        <f>$C64*AV63</f>
        <v/>
      </c>
      <c r="AW64">
        <f>$C64*AW63</f>
        <v/>
      </c>
      <c r="AX64">
        <f>$C64*AX63</f>
        <v/>
      </c>
      <c r="AY64">
        <f>$C64*AY63</f>
        <v/>
      </c>
      <c r="AZ64">
        <f>$C64*AZ63</f>
        <v/>
      </c>
      <c r="BA64">
        <f>$C64*BA63</f>
        <v/>
      </c>
      <c r="BB64">
        <f>$C64*BB63</f>
        <v/>
      </c>
      <c r="BC64">
        <f>$C64*BC63</f>
        <v/>
      </c>
      <c r="BD64">
        <f>$C64*BD63</f>
        <v/>
      </c>
      <c r="BE64">
        <f>$C64*BE63</f>
        <v/>
      </c>
      <c r="BF64">
        <f>$C64*BF63</f>
        <v/>
      </c>
      <c r="BG64">
        <f>$C64*BG63</f>
        <v/>
      </c>
      <c r="BH64">
        <f>$C64*BH63</f>
        <v/>
      </c>
      <c r="BI64">
        <f>$C64*BI63</f>
        <v/>
      </c>
      <c r="BJ64">
        <f>$C64*BJ63</f>
        <v/>
      </c>
      <c r="BK64">
        <f>$C64*BK63</f>
        <v/>
      </c>
      <c r="BL64">
        <f>$C64*BL63</f>
        <v/>
      </c>
      <c r="BM64">
        <f>$C64*BM63</f>
        <v/>
      </c>
      <c r="BN64">
        <f>$C64*BN63</f>
        <v/>
      </c>
      <c r="BO64">
        <f>$C64*BO63</f>
        <v/>
      </c>
      <c r="BP64">
        <f>$C64*BP63</f>
        <v/>
      </c>
      <c r="BQ64">
        <f>$C64*BQ63</f>
        <v/>
      </c>
      <c r="BR64">
        <f>$C64*BR63</f>
        <v/>
      </c>
      <c r="BS64">
        <f>$C64*BS63</f>
        <v/>
      </c>
      <c r="BT64">
        <f>$C64*BT63</f>
        <v/>
      </c>
      <c r="BU64">
        <f>$C64*BU63</f>
        <v/>
      </c>
      <c r="BV64">
        <f>$C64*BV63</f>
        <v/>
      </c>
      <c r="BW64">
        <f>$C64*BW63</f>
        <v/>
      </c>
      <c r="BX64">
        <f>$C64*BX63</f>
        <v/>
      </c>
      <c r="BY64">
        <f>$C64*BY63</f>
        <v/>
      </c>
      <c r="BZ64">
        <f>$C64*BZ63</f>
        <v/>
      </c>
      <c r="CA64">
        <f>$C64*CA63</f>
        <v/>
      </c>
      <c r="CB64">
        <f>$C64*CB63</f>
        <v/>
      </c>
      <c r="CC64">
        <f>$C64*CC63</f>
        <v/>
      </c>
      <c r="CD64">
        <f>$C64*CD63</f>
        <v/>
      </c>
      <c r="CE64">
        <f>$C64*CE63</f>
        <v/>
      </c>
      <c r="CF64">
        <f>$C64*CF63</f>
        <v/>
      </c>
      <c r="CG64">
        <f>$C64*CG63</f>
        <v/>
      </c>
      <c r="CH64">
        <f>$C64*CH63</f>
        <v/>
      </c>
      <c r="CI64">
        <f>$C64*CI63</f>
        <v/>
      </c>
      <c r="CJ64">
        <f>$C64*CJ63</f>
        <v/>
      </c>
      <c r="CK64">
        <f>$C64*CK63</f>
        <v/>
      </c>
      <c r="CL64">
        <f>$C64*CL63</f>
        <v/>
      </c>
      <c r="CM64">
        <f>$C64*CM63</f>
        <v/>
      </c>
      <c r="CN64">
        <f>$C64*CN63</f>
        <v/>
      </c>
      <c r="CO64">
        <f>$C64*CO63</f>
        <v/>
      </c>
      <c r="CP64">
        <f>$C64*CP63</f>
        <v/>
      </c>
      <c r="CQ64">
        <f>$C64*CQ63</f>
        <v/>
      </c>
      <c r="CR64">
        <f>$C64*CR63</f>
        <v/>
      </c>
      <c r="CS64">
        <f>$C64*CS63</f>
        <v/>
      </c>
      <c r="CT64">
        <f>$C64*CT63</f>
        <v/>
      </c>
      <c r="CU64">
        <f>$C64*CU63</f>
        <v/>
      </c>
      <c r="CV64">
        <f>$C64*CV63</f>
        <v/>
      </c>
      <c r="CW64">
        <f>$C64*CW63</f>
        <v/>
      </c>
      <c r="CX64">
        <f>$C64*CX63</f>
        <v/>
      </c>
      <c r="CY64">
        <f>$C64*CY63</f>
        <v/>
      </c>
      <c r="CZ64">
        <f>$C64*CZ63</f>
        <v/>
      </c>
      <c r="DA64">
        <f>$C64*DA63</f>
        <v/>
      </c>
      <c r="DB64">
        <f>$C64*DB63</f>
        <v/>
      </c>
      <c r="DC64">
        <f>$C64*DC63</f>
        <v/>
      </c>
    </row>
    <row r="65">
      <c r="B65" t="inlineStr">
        <is>
          <t>TSP-199</t>
        </is>
      </c>
      <c r="C65" t="inlineStr">
        <is>
          <t>No. of batches</t>
        </is>
      </c>
      <c r="D65">
        <f>IFERROR(INDEX(PP_Grid[#Data],$DD65,2),0)</f>
        <v/>
      </c>
      <c r="E65">
        <f>IFERROR(INDEX(PP_Grid[#Data],$DD65,3),0)</f>
        <v/>
      </c>
      <c r="F65">
        <f>IFERROR(INDEX(PP_Grid[#Data],$DD65,4),0)</f>
        <v/>
      </c>
      <c r="G65">
        <f>IFERROR(INDEX(PP_Grid[#Data],$DD65,5),0)</f>
        <v/>
      </c>
      <c r="H65">
        <f>IFERROR(INDEX(PP_Grid[#Data],$DD65,6),0)</f>
        <v/>
      </c>
      <c r="I65">
        <f>IFERROR(INDEX(PP_Grid[#Data],$DD65,7),0)</f>
        <v/>
      </c>
      <c r="J65">
        <f>IFERROR(INDEX(PP_Grid[#Data],$DD65,8),0)</f>
        <v/>
      </c>
      <c r="K65">
        <f>IFERROR(INDEX(PP_Grid[#Data],$DD65,9),0)</f>
        <v/>
      </c>
      <c r="L65">
        <f>IFERROR(INDEX(PP_Grid[#Data],$DD65,10),0)</f>
        <v/>
      </c>
      <c r="M65">
        <f>IFERROR(INDEX(PP_Grid[#Data],$DD65,11),0)</f>
        <v/>
      </c>
      <c r="N65">
        <f>IFERROR(INDEX(PP_Grid[#Data],$DD65,12),0)</f>
        <v/>
      </c>
      <c r="O65">
        <f>IFERROR(INDEX(PP_Grid[#Data],$DD65,13),0)</f>
        <v/>
      </c>
      <c r="P65">
        <f>IFERROR(INDEX(PP_Grid[#Data],$DD65,14),0)</f>
        <v/>
      </c>
      <c r="Q65">
        <f>IFERROR(INDEX(PP_Grid[#Data],$DD65,15),0)</f>
        <v/>
      </c>
      <c r="R65">
        <f>IFERROR(INDEX(PP_Grid[#Data],$DD65,16),0)</f>
        <v/>
      </c>
      <c r="S65">
        <f>IFERROR(INDEX(PP_Grid[#Data],$DD65,17),0)</f>
        <v/>
      </c>
      <c r="T65">
        <f>IFERROR(INDEX(PP_Grid[#Data],$DD65,18),0)</f>
        <v/>
      </c>
      <c r="U65">
        <f>IFERROR(INDEX(PP_Grid[#Data],$DD65,19),0)</f>
        <v/>
      </c>
      <c r="V65">
        <f>IFERROR(INDEX(PP_Grid[#Data],$DD65,20),0)</f>
        <v/>
      </c>
      <c r="W65">
        <f>IFERROR(INDEX(PP_Grid[#Data],$DD65,21),0)</f>
        <v/>
      </c>
      <c r="X65">
        <f>IFERROR(INDEX(PP_Grid[#Data],$DD65,22),0)</f>
        <v/>
      </c>
      <c r="Y65">
        <f>IFERROR(INDEX(PP_Grid[#Data],$DD65,23),0)</f>
        <v/>
      </c>
      <c r="Z65">
        <f>IFERROR(INDEX(PP_Grid[#Data],$DD65,24),0)</f>
        <v/>
      </c>
      <c r="AA65">
        <f>IFERROR(INDEX(PP_Grid[#Data],$DD65,25),0)</f>
        <v/>
      </c>
      <c r="AB65">
        <f>IFERROR(INDEX(PP_Grid[#Data],$DD65,26),0)</f>
        <v/>
      </c>
      <c r="AC65">
        <f>IFERROR(INDEX(PP_Grid[#Data],$DD65,27),0)</f>
        <v/>
      </c>
      <c r="AD65">
        <f>IFERROR(INDEX(PP_Grid[#Data],$DD65,28),0)</f>
        <v/>
      </c>
      <c r="AE65">
        <f>IFERROR(INDEX(PP_Grid[#Data],$DD65,29),0)</f>
        <v/>
      </c>
      <c r="AF65">
        <f>IFERROR(INDEX(PP_Grid[#Data],$DD65,30),0)</f>
        <v/>
      </c>
      <c r="AG65">
        <f>IFERROR(INDEX(PP_Grid[#Data],$DD65,31),0)</f>
        <v/>
      </c>
      <c r="AH65">
        <f>IFERROR(INDEX(PP_Grid[#Data],$DD65,32),0)</f>
        <v/>
      </c>
      <c r="AI65">
        <f>IFERROR(INDEX(PP_Grid[#Data],$DD65,33),0)</f>
        <v/>
      </c>
      <c r="AJ65">
        <f>IFERROR(INDEX(PP_Grid[#Data],$DD65,34),0)</f>
        <v/>
      </c>
      <c r="AK65">
        <f>IFERROR(INDEX(PP_Grid[#Data],$DD65,35),0)</f>
        <v/>
      </c>
      <c r="AL65">
        <f>IFERROR(INDEX(PP_Grid[#Data],$DD65,36),0)</f>
        <v/>
      </c>
      <c r="AM65">
        <f>IFERROR(INDEX(PP_Grid[#Data],$DD65,37),0)</f>
        <v/>
      </c>
      <c r="AN65">
        <f>IFERROR(INDEX(PP_Grid[#Data],$DD65,38),0)</f>
        <v/>
      </c>
      <c r="AO65">
        <f>IFERROR(INDEX(PP_Grid[#Data],$DD65,39),0)</f>
        <v/>
      </c>
      <c r="AP65">
        <f>IFERROR(INDEX(PP_Grid[#Data],$DD65,40),0)</f>
        <v/>
      </c>
      <c r="AQ65">
        <f>IFERROR(INDEX(PP_Grid[#Data],$DD65,41),0)</f>
        <v/>
      </c>
      <c r="AR65">
        <f>IFERROR(INDEX(PP_Grid[#Data],$DD65,42),0)</f>
        <v/>
      </c>
      <c r="AS65">
        <f>IFERROR(INDEX(PP_Grid[#Data],$DD65,43),0)</f>
        <v/>
      </c>
      <c r="AT65">
        <f>IFERROR(INDEX(PP_Grid[#Data],$DD65,44),0)</f>
        <v/>
      </c>
      <c r="AU65">
        <f>IFERROR(INDEX(PP_Grid[#Data],$DD65,45),0)</f>
        <v/>
      </c>
      <c r="AV65">
        <f>IFERROR(INDEX(PP_Grid[#Data],$DD65,46),0)</f>
        <v/>
      </c>
      <c r="AW65">
        <f>IFERROR(INDEX(PP_Grid[#Data],$DD65,47),0)</f>
        <v/>
      </c>
      <c r="AX65">
        <f>IFERROR(INDEX(PP_Grid[#Data],$DD65,48),0)</f>
        <v/>
      </c>
      <c r="AY65">
        <f>IFERROR(INDEX(PP_Grid[#Data],$DD65,49),0)</f>
        <v/>
      </c>
      <c r="AZ65">
        <f>IFERROR(INDEX(PP_Grid[#Data],$DD65,50),0)</f>
        <v/>
      </c>
      <c r="BA65">
        <f>IFERROR(INDEX(PP_Grid[#Data],$DD65,51),0)</f>
        <v/>
      </c>
      <c r="BB65">
        <f>IFERROR(INDEX(PP_Grid[#Data],$DD65,52),0)</f>
        <v/>
      </c>
      <c r="BC65">
        <f>IFERROR(INDEX(PP_Grid[#Data],$DD65,53),0)</f>
        <v/>
      </c>
      <c r="BD65">
        <f>IFERROR(INDEX(PP_Grid[#Data],$DD65,54),0)</f>
        <v/>
      </c>
      <c r="BE65">
        <f>IFERROR(INDEX(PP_Grid[#Data],$DD65,55),0)</f>
        <v/>
      </c>
      <c r="BF65">
        <f>IFERROR(INDEX(PP_Grid[#Data],$DD65,56),0)</f>
        <v/>
      </c>
      <c r="BG65">
        <f>IFERROR(INDEX(PP_Grid[#Data],$DD65,57),0)</f>
        <v/>
      </c>
      <c r="BH65">
        <f>IFERROR(INDEX(PP_Grid[#Data],$DD65,58),0)</f>
        <v/>
      </c>
      <c r="BI65">
        <f>IFERROR(INDEX(PP_Grid[#Data],$DD65,59),0)</f>
        <v/>
      </c>
      <c r="BJ65">
        <f>IFERROR(INDEX(PP_Grid[#Data],$DD65,60),0)</f>
        <v/>
      </c>
      <c r="BK65">
        <f>IFERROR(INDEX(PP_Grid[#Data],$DD65,61),0)</f>
        <v/>
      </c>
      <c r="BL65">
        <f>IFERROR(INDEX(PP_Grid[#Data],$DD65,62),0)</f>
        <v/>
      </c>
      <c r="BM65">
        <f>IFERROR(INDEX(PP_Grid[#Data],$DD65,63),0)</f>
        <v/>
      </c>
      <c r="BN65">
        <f>IFERROR(INDEX(PP_Grid[#Data],$DD65,64),0)</f>
        <v/>
      </c>
      <c r="BO65">
        <f>IFERROR(INDEX(PP_Grid[#Data],$DD65,65),0)</f>
        <v/>
      </c>
      <c r="BP65">
        <f>IFERROR(INDEX(PP_Grid[#Data],$DD65,66),0)</f>
        <v/>
      </c>
      <c r="BQ65">
        <f>IFERROR(INDEX(PP_Grid[#Data],$DD65,67),0)</f>
        <v/>
      </c>
      <c r="BR65">
        <f>IFERROR(INDEX(PP_Grid[#Data],$DD65,68),0)</f>
        <v/>
      </c>
      <c r="BS65">
        <f>IFERROR(INDEX(PP_Grid[#Data],$DD65,69),0)</f>
        <v/>
      </c>
      <c r="BT65">
        <f>IFERROR(INDEX(PP_Grid[#Data],$DD65,70),0)</f>
        <v/>
      </c>
      <c r="BU65">
        <f>IFERROR(INDEX(PP_Grid[#Data],$DD65,71),0)</f>
        <v/>
      </c>
      <c r="BV65">
        <f>IFERROR(INDEX(PP_Grid[#Data],$DD65,72),0)</f>
        <v/>
      </c>
      <c r="BW65">
        <f>IFERROR(INDEX(PP_Grid[#Data],$DD65,73),0)</f>
        <v/>
      </c>
      <c r="BX65">
        <f>IFERROR(INDEX(PP_Grid[#Data],$DD65,74),0)</f>
        <v/>
      </c>
      <c r="BY65">
        <f>IFERROR(INDEX(PP_Grid[#Data],$DD65,75),0)</f>
        <v/>
      </c>
      <c r="BZ65">
        <f>IFERROR(INDEX(PP_Grid[#Data],$DD65,76),0)</f>
        <v/>
      </c>
      <c r="CA65">
        <f>IFERROR(INDEX(PP_Grid[#Data],$DD65,77),0)</f>
        <v/>
      </c>
      <c r="CB65">
        <f>IFERROR(INDEX(PP_Grid[#Data],$DD65,78),0)</f>
        <v/>
      </c>
      <c r="CC65">
        <f>IFERROR(INDEX(PP_Grid[#Data],$DD65,79),0)</f>
        <v/>
      </c>
      <c r="CD65">
        <f>IFERROR(INDEX(PP_Grid[#Data],$DD65,80),0)</f>
        <v/>
      </c>
      <c r="CE65">
        <f>IFERROR(INDEX(PP_Grid[#Data],$DD65,81),0)</f>
        <v/>
      </c>
      <c r="CF65">
        <f>IFERROR(INDEX(PP_Grid[#Data],$DD65,82),0)</f>
        <v/>
      </c>
      <c r="CG65">
        <f>IFERROR(INDEX(PP_Grid[#Data],$DD65,83),0)</f>
        <v/>
      </c>
      <c r="CH65">
        <f>IFERROR(INDEX(PP_Grid[#Data],$DD65,84),0)</f>
        <v/>
      </c>
      <c r="CI65">
        <f>IFERROR(INDEX(PP_Grid[#Data],$DD65,85),0)</f>
        <v/>
      </c>
      <c r="CJ65">
        <f>IFERROR(INDEX(PP_Grid[#Data],$DD65,86),0)</f>
        <v/>
      </c>
      <c r="CK65">
        <f>IFERROR(INDEX(PP_Grid[#Data],$DD65,87),0)</f>
        <v/>
      </c>
      <c r="CL65">
        <f>IFERROR(INDEX(PP_Grid[#Data],$DD65,88),0)</f>
        <v/>
      </c>
      <c r="CM65">
        <f>IFERROR(INDEX(PP_Grid[#Data],$DD65,89),0)</f>
        <v/>
      </c>
      <c r="CN65">
        <f>IFERROR(INDEX(PP_Grid[#Data],$DD65,90),0)</f>
        <v/>
      </c>
      <c r="CO65">
        <f>IFERROR(INDEX(PP_Grid[#Data],$DD65,91),0)</f>
        <v/>
      </c>
      <c r="CP65">
        <f>IFERROR(INDEX(PP_Grid[#Data],$DD65,92),0)</f>
        <v/>
      </c>
      <c r="CQ65">
        <f>IFERROR(INDEX(PP_Grid[#Data],$DD65,93),0)</f>
        <v/>
      </c>
      <c r="CR65">
        <f>IFERROR(INDEX(PP_Grid[#Data],$DD65,94),0)</f>
        <v/>
      </c>
      <c r="CS65">
        <f>IFERROR(INDEX(PP_Grid[#Data],$DD65,95),0)</f>
        <v/>
      </c>
      <c r="CT65">
        <f>IFERROR(INDEX(PP_Grid[#Data],$DD65,96),0)</f>
        <v/>
      </c>
      <c r="CU65">
        <f>IFERROR(INDEX(PP_Grid[#Data],$DD65,97),0)</f>
        <v/>
      </c>
      <c r="CV65">
        <f>IFERROR(INDEX(PP_Grid[#Data],$DD65,98),0)</f>
        <v/>
      </c>
      <c r="CW65">
        <f>IFERROR(INDEX(PP_Grid[#Data],$DD65,99),0)</f>
        <v/>
      </c>
      <c r="CX65">
        <f>IFERROR(INDEX(PP_Grid[#Data],$DD65,100),0)</f>
        <v/>
      </c>
      <c r="CY65">
        <f>IFERROR(INDEX(PP_Grid[#Data],$DD65,101),0)</f>
        <v/>
      </c>
      <c r="CZ65">
        <f>IFERROR(INDEX(PP_Grid[#Data],$DD65,102),0)</f>
        <v/>
      </c>
      <c r="DA65">
        <f>IFERROR(INDEX(PP_Grid[#Data],$DD65,103),0)</f>
        <v/>
      </c>
      <c r="DB65">
        <f>IFERROR(INDEX(PP_Grid[#Data],$DD65,104),0)</f>
        <v/>
      </c>
      <c r="DC65">
        <f>IFERROR(INDEX(PP_Grid[#Data],$DD65,105),0)</f>
        <v/>
      </c>
      <c r="DD65" s="7">
        <f>IFERROR(MATCH($B65,PP_Grid[Intermediate],0),99999)</f>
        <v/>
      </c>
    </row>
    <row r="66">
      <c r="B66" t="inlineStr">
        <is>
          <t>使用量(kg)</t>
        </is>
      </c>
      <c r="C66">
        <f>SUMIFS(M_BOM[RM_Qty_Per_Batch],M_BOM[Intermediate],$B65,M_BOM[Part Name],$A44)</f>
        <v/>
      </c>
      <c r="D66">
        <f>$C66*D65</f>
        <v/>
      </c>
      <c r="E66">
        <f>$C66*E65</f>
        <v/>
      </c>
      <c r="F66">
        <f>$C66*F65</f>
        <v/>
      </c>
      <c r="G66">
        <f>$C66*G65</f>
        <v/>
      </c>
      <c r="H66">
        <f>$C66*H65</f>
        <v/>
      </c>
      <c r="I66">
        <f>$C66*I65</f>
        <v/>
      </c>
      <c r="J66">
        <f>$C66*J65</f>
        <v/>
      </c>
      <c r="K66">
        <f>$C66*K65</f>
        <v/>
      </c>
      <c r="L66">
        <f>$C66*L65</f>
        <v/>
      </c>
      <c r="M66">
        <f>$C66*M65</f>
        <v/>
      </c>
      <c r="N66">
        <f>$C66*N65</f>
        <v/>
      </c>
      <c r="O66">
        <f>$C66*O65</f>
        <v/>
      </c>
      <c r="P66">
        <f>$C66*P65</f>
        <v/>
      </c>
      <c r="Q66">
        <f>$C66*Q65</f>
        <v/>
      </c>
      <c r="R66">
        <f>$C66*R65</f>
        <v/>
      </c>
      <c r="S66">
        <f>$C66*S65</f>
        <v/>
      </c>
      <c r="T66">
        <f>$C66*T65</f>
        <v/>
      </c>
      <c r="U66">
        <f>$C66*U65</f>
        <v/>
      </c>
      <c r="V66">
        <f>$C66*V65</f>
        <v/>
      </c>
      <c r="W66">
        <f>$C66*W65</f>
        <v/>
      </c>
      <c r="X66">
        <f>$C66*X65</f>
        <v/>
      </c>
      <c r="Y66">
        <f>$C66*Y65</f>
        <v/>
      </c>
      <c r="Z66">
        <f>$C66*Z65</f>
        <v/>
      </c>
      <c r="AA66">
        <f>$C66*AA65</f>
        <v/>
      </c>
      <c r="AB66">
        <f>$C66*AB65</f>
        <v/>
      </c>
      <c r="AC66">
        <f>$C66*AC65</f>
        <v/>
      </c>
      <c r="AD66">
        <f>$C66*AD65</f>
        <v/>
      </c>
      <c r="AE66">
        <f>$C66*AE65</f>
        <v/>
      </c>
      <c r="AF66">
        <f>$C66*AF65</f>
        <v/>
      </c>
      <c r="AG66">
        <f>$C66*AG65</f>
        <v/>
      </c>
      <c r="AH66">
        <f>$C66*AH65</f>
        <v/>
      </c>
      <c r="AI66">
        <f>$C66*AI65</f>
        <v/>
      </c>
      <c r="AJ66">
        <f>$C66*AJ65</f>
        <v/>
      </c>
      <c r="AK66">
        <f>$C66*AK65</f>
        <v/>
      </c>
      <c r="AL66">
        <f>$C66*AL65</f>
        <v/>
      </c>
      <c r="AM66">
        <f>$C66*AM65</f>
        <v/>
      </c>
      <c r="AN66">
        <f>$C66*AN65</f>
        <v/>
      </c>
      <c r="AO66">
        <f>$C66*AO65</f>
        <v/>
      </c>
      <c r="AP66">
        <f>$C66*AP65</f>
        <v/>
      </c>
      <c r="AQ66">
        <f>$C66*AQ65</f>
        <v/>
      </c>
      <c r="AR66">
        <f>$C66*AR65</f>
        <v/>
      </c>
      <c r="AS66">
        <f>$C66*AS65</f>
        <v/>
      </c>
      <c r="AT66">
        <f>$C66*AT65</f>
        <v/>
      </c>
      <c r="AU66">
        <f>$C66*AU65</f>
        <v/>
      </c>
      <c r="AV66">
        <f>$C66*AV65</f>
        <v/>
      </c>
      <c r="AW66">
        <f>$C66*AW65</f>
        <v/>
      </c>
      <c r="AX66">
        <f>$C66*AX65</f>
        <v/>
      </c>
      <c r="AY66">
        <f>$C66*AY65</f>
        <v/>
      </c>
      <c r="AZ66">
        <f>$C66*AZ65</f>
        <v/>
      </c>
      <c r="BA66">
        <f>$C66*BA65</f>
        <v/>
      </c>
      <c r="BB66">
        <f>$C66*BB65</f>
        <v/>
      </c>
      <c r="BC66">
        <f>$C66*BC65</f>
        <v/>
      </c>
      <c r="BD66">
        <f>$C66*BD65</f>
        <v/>
      </c>
      <c r="BE66">
        <f>$C66*BE65</f>
        <v/>
      </c>
      <c r="BF66">
        <f>$C66*BF65</f>
        <v/>
      </c>
      <c r="BG66">
        <f>$C66*BG65</f>
        <v/>
      </c>
      <c r="BH66">
        <f>$C66*BH65</f>
        <v/>
      </c>
      <c r="BI66">
        <f>$C66*BI65</f>
        <v/>
      </c>
      <c r="BJ66">
        <f>$C66*BJ65</f>
        <v/>
      </c>
      <c r="BK66">
        <f>$C66*BK65</f>
        <v/>
      </c>
      <c r="BL66">
        <f>$C66*BL65</f>
        <v/>
      </c>
      <c r="BM66">
        <f>$C66*BM65</f>
        <v/>
      </c>
      <c r="BN66">
        <f>$C66*BN65</f>
        <v/>
      </c>
      <c r="BO66">
        <f>$C66*BO65</f>
        <v/>
      </c>
      <c r="BP66">
        <f>$C66*BP65</f>
        <v/>
      </c>
      <c r="BQ66">
        <f>$C66*BQ65</f>
        <v/>
      </c>
      <c r="BR66">
        <f>$C66*BR65</f>
        <v/>
      </c>
      <c r="BS66">
        <f>$C66*BS65</f>
        <v/>
      </c>
      <c r="BT66">
        <f>$C66*BT65</f>
        <v/>
      </c>
      <c r="BU66">
        <f>$C66*BU65</f>
        <v/>
      </c>
      <c r="BV66">
        <f>$C66*BV65</f>
        <v/>
      </c>
      <c r="BW66">
        <f>$C66*BW65</f>
        <v/>
      </c>
      <c r="BX66">
        <f>$C66*BX65</f>
        <v/>
      </c>
      <c r="BY66">
        <f>$C66*BY65</f>
        <v/>
      </c>
      <c r="BZ66">
        <f>$C66*BZ65</f>
        <v/>
      </c>
      <c r="CA66">
        <f>$C66*CA65</f>
        <v/>
      </c>
      <c r="CB66">
        <f>$C66*CB65</f>
        <v/>
      </c>
      <c r="CC66">
        <f>$C66*CC65</f>
        <v/>
      </c>
      <c r="CD66">
        <f>$C66*CD65</f>
        <v/>
      </c>
      <c r="CE66">
        <f>$C66*CE65</f>
        <v/>
      </c>
      <c r="CF66">
        <f>$C66*CF65</f>
        <v/>
      </c>
      <c r="CG66">
        <f>$C66*CG65</f>
        <v/>
      </c>
      <c r="CH66">
        <f>$C66*CH65</f>
        <v/>
      </c>
      <c r="CI66">
        <f>$C66*CI65</f>
        <v/>
      </c>
      <c r="CJ66">
        <f>$C66*CJ65</f>
        <v/>
      </c>
      <c r="CK66">
        <f>$C66*CK65</f>
        <v/>
      </c>
      <c r="CL66">
        <f>$C66*CL65</f>
        <v/>
      </c>
      <c r="CM66">
        <f>$C66*CM65</f>
        <v/>
      </c>
      <c r="CN66">
        <f>$C66*CN65</f>
        <v/>
      </c>
      <c r="CO66">
        <f>$C66*CO65</f>
        <v/>
      </c>
      <c r="CP66">
        <f>$C66*CP65</f>
        <v/>
      </c>
      <c r="CQ66">
        <f>$C66*CQ65</f>
        <v/>
      </c>
      <c r="CR66">
        <f>$C66*CR65</f>
        <v/>
      </c>
      <c r="CS66">
        <f>$C66*CS65</f>
        <v/>
      </c>
      <c r="CT66">
        <f>$C66*CT65</f>
        <v/>
      </c>
      <c r="CU66">
        <f>$C66*CU65</f>
        <v/>
      </c>
      <c r="CV66">
        <f>$C66*CV65</f>
        <v/>
      </c>
      <c r="CW66">
        <f>$C66*CW65</f>
        <v/>
      </c>
      <c r="CX66">
        <f>$C66*CX65</f>
        <v/>
      </c>
      <c r="CY66">
        <f>$C66*CY65</f>
        <v/>
      </c>
      <c r="CZ66">
        <f>$C66*CZ65</f>
        <v/>
      </c>
      <c r="DA66">
        <f>$C66*DA65</f>
        <v/>
      </c>
      <c r="DB66">
        <f>$C66*DB65</f>
        <v/>
      </c>
      <c r="DC66">
        <f>$C66*DC65</f>
        <v/>
      </c>
    </row>
    <row r="67">
      <c r="B67" t="inlineStr">
        <is>
          <t>TSP-205</t>
        </is>
      </c>
      <c r="C67" t="inlineStr">
        <is>
          <t>No. of batches</t>
        </is>
      </c>
      <c r="D67">
        <f>IFERROR(INDEX(PP_Grid[#Data],$DD67,2),0)</f>
        <v/>
      </c>
      <c r="E67">
        <f>IFERROR(INDEX(PP_Grid[#Data],$DD67,3),0)</f>
        <v/>
      </c>
      <c r="F67">
        <f>IFERROR(INDEX(PP_Grid[#Data],$DD67,4),0)</f>
        <v/>
      </c>
      <c r="G67">
        <f>IFERROR(INDEX(PP_Grid[#Data],$DD67,5),0)</f>
        <v/>
      </c>
      <c r="H67">
        <f>IFERROR(INDEX(PP_Grid[#Data],$DD67,6),0)</f>
        <v/>
      </c>
      <c r="I67">
        <f>IFERROR(INDEX(PP_Grid[#Data],$DD67,7),0)</f>
        <v/>
      </c>
      <c r="J67">
        <f>IFERROR(INDEX(PP_Grid[#Data],$DD67,8),0)</f>
        <v/>
      </c>
      <c r="K67">
        <f>IFERROR(INDEX(PP_Grid[#Data],$DD67,9),0)</f>
        <v/>
      </c>
      <c r="L67">
        <f>IFERROR(INDEX(PP_Grid[#Data],$DD67,10),0)</f>
        <v/>
      </c>
      <c r="M67">
        <f>IFERROR(INDEX(PP_Grid[#Data],$DD67,11),0)</f>
        <v/>
      </c>
      <c r="N67">
        <f>IFERROR(INDEX(PP_Grid[#Data],$DD67,12),0)</f>
        <v/>
      </c>
      <c r="O67">
        <f>IFERROR(INDEX(PP_Grid[#Data],$DD67,13),0)</f>
        <v/>
      </c>
      <c r="P67">
        <f>IFERROR(INDEX(PP_Grid[#Data],$DD67,14),0)</f>
        <v/>
      </c>
      <c r="Q67">
        <f>IFERROR(INDEX(PP_Grid[#Data],$DD67,15),0)</f>
        <v/>
      </c>
      <c r="R67">
        <f>IFERROR(INDEX(PP_Grid[#Data],$DD67,16),0)</f>
        <v/>
      </c>
      <c r="S67">
        <f>IFERROR(INDEX(PP_Grid[#Data],$DD67,17),0)</f>
        <v/>
      </c>
      <c r="T67">
        <f>IFERROR(INDEX(PP_Grid[#Data],$DD67,18),0)</f>
        <v/>
      </c>
      <c r="U67">
        <f>IFERROR(INDEX(PP_Grid[#Data],$DD67,19),0)</f>
        <v/>
      </c>
      <c r="V67">
        <f>IFERROR(INDEX(PP_Grid[#Data],$DD67,20),0)</f>
        <v/>
      </c>
      <c r="W67">
        <f>IFERROR(INDEX(PP_Grid[#Data],$DD67,21),0)</f>
        <v/>
      </c>
      <c r="X67">
        <f>IFERROR(INDEX(PP_Grid[#Data],$DD67,22),0)</f>
        <v/>
      </c>
      <c r="Y67">
        <f>IFERROR(INDEX(PP_Grid[#Data],$DD67,23),0)</f>
        <v/>
      </c>
      <c r="Z67">
        <f>IFERROR(INDEX(PP_Grid[#Data],$DD67,24),0)</f>
        <v/>
      </c>
      <c r="AA67">
        <f>IFERROR(INDEX(PP_Grid[#Data],$DD67,25),0)</f>
        <v/>
      </c>
      <c r="AB67">
        <f>IFERROR(INDEX(PP_Grid[#Data],$DD67,26),0)</f>
        <v/>
      </c>
      <c r="AC67">
        <f>IFERROR(INDEX(PP_Grid[#Data],$DD67,27),0)</f>
        <v/>
      </c>
      <c r="AD67">
        <f>IFERROR(INDEX(PP_Grid[#Data],$DD67,28),0)</f>
        <v/>
      </c>
      <c r="AE67">
        <f>IFERROR(INDEX(PP_Grid[#Data],$DD67,29),0)</f>
        <v/>
      </c>
      <c r="AF67">
        <f>IFERROR(INDEX(PP_Grid[#Data],$DD67,30),0)</f>
        <v/>
      </c>
      <c r="AG67">
        <f>IFERROR(INDEX(PP_Grid[#Data],$DD67,31),0)</f>
        <v/>
      </c>
      <c r="AH67">
        <f>IFERROR(INDEX(PP_Grid[#Data],$DD67,32),0)</f>
        <v/>
      </c>
      <c r="AI67">
        <f>IFERROR(INDEX(PP_Grid[#Data],$DD67,33),0)</f>
        <v/>
      </c>
      <c r="AJ67">
        <f>IFERROR(INDEX(PP_Grid[#Data],$DD67,34),0)</f>
        <v/>
      </c>
      <c r="AK67">
        <f>IFERROR(INDEX(PP_Grid[#Data],$DD67,35),0)</f>
        <v/>
      </c>
      <c r="AL67">
        <f>IFERROR(INDEX(PP_Grid[#Data],$DD67,36),0)</f>
        <v/>
      </c>
      <c r="AM67">
        <f>IFERROR(INDEX(PP_Grid[#Data],$DD67,37),0)</f>
        <v/>
      </c>
      <c r="AN67">
        <f>IFERROR(INDEX(PP_Grid[#Data],$DD67,38),0)</f>
        <v/>
      </c>
      <c r="AO67">
        <f>IFERROR(INDEX(PP_Grid[#Data],$DD67,39),0)</f>
        <v/>
      </c>
      <c r="AP67">
        <f>IFERROR(INDEX(PP_Grid[#Data],$DD67,40),0)</f>
        <v/>
      </c>
      <c r="AQ67">
        <f>IFERROR(INDEX(PP_Grid[#Data],$DD67,41),0)</f>
        <v/>
      </c>
      <c r="AR67">
        <f>IFERROR(INDEX(PP_Grid[#Data],$DD67,42),0)</f>
        <v/>
      </c>
      <c r="AS67">
        <f>IFERROR(INDEX(PP_Grid[#Data],$DD67,43),0)</f>
        <v/>
      </c>
      <c r="AT67">
        <f>IFERROR(INDEX(PP_Grid[#Data],$DD67,44),0)</f>
        <v/>
      </c>
      <c r="AU67">
        <f>IFERROR(INDEX(PP_Grid[#Data],$DD67,45),0)</f>
        <v/>
      </c>
      <c r="AV67">
        <f>IFERROR(INDEX(PP_Grid[#Data],$DD67,46),0)</f>
        <v/>
      </c>
      <c r="AW67">
        <f>IFERROR(INDEX(PP_Grid[#Data],$DD67,47),0)</f>
        <v/>
      </c>
      <c r="AX67">
        <f>IFERROR(INDEX(PP_Grid[#Data],$DD67,48),0)</f>
        <v/>
      </c>
      <c r="AY67">
        <f>IFERROR(INDEX(PP_Grid[#Data],$DD67,49),0)</f>
        <v/>
      </c>
      <c r="AZ67">
        <f>IFERROR(INDEX(PP_Grid[#Data],$DD67,50),0)</f>
        <v/>
      </c>
      <c r="BA67">
        <f>IFERROR(INDEX(PP_Grid[#Data],$DD67,51),0)</f>
        <v/>
      </c>
      <c r="BB67">
        <f>IFERROR(INDEX(PP_Grid[#Data],$DD67,52),0)</f>
        <v/>
      </c>
      <c r="BC67">
        <f>IFERROR(INDEX(PP_Grid[#Data],$DD67,53),0)</f>
        <v/>
      </c>
      <c r="BD67">
        <f>IFERROR(INDEX(PP_Grid[#Data],$DD67,54),0)</f>
        <v/>
      </c>
      <c r="BE67">
        <f>IFERROR(INDEX(PP_Grid[#Data],$DD67,55),0)</f>
        <v/>
      </c>
      <c r="BF67">
        <f>IFERROR(INDEX(PP_Grid[#Data],$DD67,56),0)</f>
        <v/>
      </c>
      <c r="BG67">
        <f>IFERROR(INDEX(PP_Grid[#Data],$DD67,57),0)</f>
        <v/>
      </c>
      <c r="BH67">
        <f>IFERROR(INDEX(PP_Grid[#Data],$DD67,58),0)</f>
        <v/>
      </c>
      <c r="BI67">
        <f>IFERROR(INDEX(PP_Grid[#Data],$DD67,59),0)</f>
        <v/>
      </c>
      <c r="BJ67">
        <f>IFERROR(INDEX(PP_Grid[#Data],$DD67,60),0)</f>
        <v/>
      </c>
      <c r="BK67">
        <f>IFERROR(INDEX(PP_Grid[#Data],$DD67,61),0)</f>
        <v/>
      </c>
      <c r="BL67">
        <f>IFERROR(INDEX(PP_Grid[#Data],$DD67,62),0)</f>
        <v/>
      </c>
      <c r="BM67">
        <f>IFERROR(INDEX(PP_Grid[#Data],$DD67,63),0)</f>
        <v/>
      </c>
      <c r="BN67">
        <f>IFERROR(INDEX(PP_Grid[#Data],$DD67,64),0)</f>
        <v/>
      </c>
      <c r="BO67">
        <f>IFERROR(INDEX(PP_Grid[#Data],$DD67,65),0)</f>
        <v/>
      </c>
      <c r="BP67">
        <f>IFERROR(INDEX(PP_Grid[#Data],$DD67,66),0)</f>
        <v/>
      </c>
      <c r="BQ67">
        <f>IFERROR(INDEX(PP_Grid[#Data],$DD67,67),0)</f>
        <v/>
      </c>
      <c r="BR67">
        <f>IFERROR(INDEX(PP_Grid[#Data],$DD67,68),0)</f>
        <v/>
      </c>
      <c r="BS67">
        <f>IFERROR(INDEX(PP_Grid[#Data],$DD67,69),0)</f>
        <v/>
      </c>
      <c r="BT67">
        <f>IFERROR(INDEX(PP_Grid[#Data],$DD67,70),0)</f>
        <v/>
      </c>
      <c r="BU67">
        <f>IFERROR(INDEX(PP_Grid[#Data],$DD67,71),0)</f>
        <v/>
      </c>
      <c r="BV67">
        <f>IFERROR(INDEX(PP_Grid[#Data],$DD67,72),0)</f>
        <v/>
      </c>
      <c r="BW67">
        <f>IFERROR(INDEX(PP_Grid[#Data],$DD67,73),0)</f>
        <v/>
      </c>
      <c r="BX67">
        <f>IFERROR(INDEX(PP_Grid[#Data],$DD67,74),0)</f>
        <v/>
      </c>
      <c r="BY67">
        <f>IFERROR(INDEX(PP_Grid[#Data],$DD67,75),0)</f>
        <v/>
      </c>
      <c r="BZ67">
        <f>IFERROR(INDEX(PP_Grid[#Data],$DD67,76),0)</f>
        <v/>
      </c>
      <c r="CA67">
        <f>IFERROR(INDEX(PP_Grid[#Data],$DD67,77),0)</f>
        <v/>
      </c>
      <c r="CB67">
        <f>IFERROR(INDEX(PP_Grid[#Data],$DD67,78),0)</f>
        <v/>
      </c>
      <c r="CC67">
        <f>IFERROR(INDEX(PP_Grid[#Data],$DD67,79),0)</f>
        <v/>
      </c>
      <c r="CD67">
        <f>IFERROR(INDEX(PP_Grid[#Data],$DD67,80),0)</f>
        <v/>
      </c>
      <c r="CE67">
        <f>IFERROR(INDEX(PP_Grid[#Data],$DD67,81),0)</f>
        <v/>
      </c>
      <c r="CF67">
        <f>IFERROR(INDEX(PP_Grid[#Data],$DD67,82),0)</f>
        <v/>
      </c>
      <c r="CG67">
        <f>IFERROR(INDEX(PP_Grid[#Data],$DD67,83),0)</f>
        <v/>
      </c>
      <c r="CH67">
        <f>IFERROR(INDEX(PP_Grid[#Data],$DD67,84),0)</f>
        <v/>
      </c>
      <c r="CI67">
        <f>IFERROR(INDEX(PP_Grid[#Data],$DD67,85),0)</f>
        <v/>
      </c>
      <c r="CJ67">
        <f>IFERROR(INDEX(PP_Grid[#Data],$DD67,86),0)</f>
        <v/>
      </c>
      <c r="CK67">
        <f>IFERROR(INDEX(PP_Grid[#Data],$DD67,87),0)</f>
        <v/>
      </c>
      <c r="CL67">
        <f>IFERROR(INDEX(PP_Grid[#Data],$DD67,88),0)</f>
        <v/>
      </c>
      <c r="CM67">
        <f>IFERROR(INDEX(PP_Grid[#Data],$DD67,89),0)</f>
        <v/>
      </c>
      <c r="CN67">
        <f>IFERROR(INDEX(PP_Grid[#Data],$DD67,90),0)</f>
        <v/>
      </c>
      <c r="CO67">
        <f>IFERROR(INDEX(PP_Grid[#Data],$DD67,91),0)</f>
        <v/>
      </c>
      <c r="CP67">
        <f>IFERROR(INDEX(PP_Grid[#Data],$DD67,92),0)</f>
        <v/>
      </c>
      <c r="CQ67">
        <f>IFERROR(INDEX(PP_Grid[#Data],$DD67,93),0)</f>
        <v/>
      </c>
      <c r="CR67">
        <f>IFERROR(INDEX(PP_Grid[#Data],$DD67,94),0)</f>
        <v/>
      </c>
      <c r="CS67">
        <f>IFERROR(INDEX(PP_Grid[#Data],$DD67,95),0)</f>
        <v/>
      </c>
      <c r="CT67">
        <f>IFERROR(INDEX(PP_Grid[#Data],$DD67,96),0)</f>
        <v/>
      </c>
      <c r="CU67">
        <f>IFERROR(INDEX(PP_Grid[#Data],$DD67,97),0)</f>
        <v/>
      </c>
      <c r="CV67">
        <f>IFERROR(INDEX(PP_Grid[#Data],$DD67,98),0)</f>
        <v/>
      </c>
      <c r="CW67">
        <f>IFERROR(INDEX(PP_Grid[#Data],$DD67,99),0)</f>
        <v/>
      </c>
      <c r="CX67">
        <f>IFERROR(INDEX(PP_Grid[#Data],$DD67,100),0)</f>
        <v/>
      </c>
      <c r="CY67">
        <f>IFERROR(INDEX(PP_Grid[#Data],$DD67,101),0)</f>
        <v/>
      </c>
      <c r="CZ67">
        <f>IFERROR(INDEX(PP_Grid[#Data],$DD67,102),0)</f>
        <v/>
      </c>
      <c r="DA67">
        <f>IFERROR(INDEX(PP_Grid[#Data],$DD67,103),0)</f>
        <v/>
      </c>
      <c r="DB67">
        <f>IFERROR(INDEX(PP_Grid[#Data],$DD67,104),0)</f>
        <v/>
      </c>
      <c r="DC67">
        <f>IFERROR(INDEX(PP_Grid[#Data],$DD67,105),0)</f>
        <v/>
      </c>
      <c r="DD67" s="7">
        <f>IFERROR(MATCH($B67,PP_Grid[Intermediate],0),99999)</f>
        <v/>
      </c>
    </row>
    <row r="68">
      <c r="B68" t="inlineStr">
        <is>
          <t>使用量(kg)</t>
        </is>
      </c>
      <c r="C68">
        <f>SUMIFS(M_BOM[RM_Qty_Per_Batch],M_BOM[Intermediate],$B67,M_BOM[Part Name],$A44)</f>
        <v/>
      </c>
      <c r="D68">
        <f>$C68*D67</f>
        <v/>
      </c>
      <c r="E68">
        <f>$C68*E67</f>
        <v/>
      </c>
      <c r="F68">
        <f>$C68*F67</f>
        <v/>
      </c>
      <c r="G68">
        <f>$C68*G67</f>
        <v/>
      </c>
      <c r="H68">
        <f>$C68*H67</f>
        <v/>
      </c>
      <c r="I68">
        <f>$C68*I67</f>
        <v/>
      </c>
      <c r="J68">
        <f>$C68*J67</f>
        <v/>
      </c>
      <c r="K68">
        <f>$C68*K67</f>
        <v/>
      </c>
      <c r="L68">
        <f>$C68*L67</f>
        <v/>
      </c>
      <c r="M68">
        <f>$C68*M67</f>
        <v/>
      </c>
      <c r="N68">
        <f>$C68*N67</f>
        <v/>
      </c>
      <c r="O68">
        <f>$C68*O67</f>
        <v/>
      </c>
      <c r="P68">
        <f>$C68*P67</f>
        <v/>
      </c>
      <c r="Q68">
        <f>$C68*Q67</f>
        <v/>
      </c>
      <c r="R68">
        <f>$C68*R67</f>
        <v/>
      </c>
      <c r="S68">
        <f>$C68*S67</f>
        <v/>
      </c>
      <c r="T68">
        <f>$C68*T67</f>
        <v/>
      </c>
      <c r="U68">
        <f>$C68*U67</f>
        <v/>
      </c>
      <c r="V68">
        <f>$C68*V67</f>
        <v/>
      </c>
      <c r="W68">
        <f>$C68*W67</f>
        <v/>
      </c>
      <c r="X68">
        <f>$C68*X67</f>
        <v/>
      </c>
      <c r="Y68">
        <f>$C68*Y67</f>
        <v/>
      </c>
      <c r="Z68">
        <f>$C68*Z67</f>
        <v/>
      </c>
      <c r="AA68">
        <f>$C68*AA67</f>
        <v/>
      </c>
      <c r="AB68">
        <f>$C68*AB67</f>
        <v/>
      </c>
      <c r="AC68">
        <f>$C68*AC67</f>
        <v/>
      </c>
      <c r="AD68">
        <f>$C68*AD67</f>
        <v/>
      </c>
      <c r="AE68">
        <f>$C68*AE67</f>
        <v/>
      </c>
      <c r="AF68">
        <f>$C68*AF67</f>
        <v/>
      </c>
      <c r="AG68">
        <f>$C68*AG67</f>
        <v/>
      </c>
      <c r="AH68">
        <f>$C68*AH67</f>
        <v/>
      </c>
      <c r="AI68">
        <f>$C68*AI67</f>
        <v/>
      </c>
      <c r="AJ68">
        <f>$C68*AJ67</f>
        <v/>
      </c>
      <c r="AK68">
        <f>$C68*AK67</f>
        <v/>
      </c>
      <c r="AL68">
        <f>$C68*AL67</f>
        <v/>
      </c>
      <c r="AM68">
        <f>$C68*AM67</f>
        <v/>
      </c>
      <c r="AN68">
        <f>$C68*AN67</f>
        <v/>
      </c>
      <c r="AO68">
        <f>$C68*AO67</f>
        <v/>
      </c>
      <c r="AP68">
        <f>$C68*AP67</f>
        <v/>
      </c>
      <c r="AQ68">
        <f>$C68*AQ67</f>
        <v/>
      </c>
      <c r="AR68">
        <f>$C68*AR67</f>
        <v/>
      </c>
      <c r="AS68">
        <f>$C68*AS67</f>
        <v/>
      </c>
      <c r="AT68">
        <f>$C68*AT67</f>
        <v/>
      </c>
      <c r="AU68">
        <f>$C68*AU67</f>
        <v/>
      </c>
      <c r="AV68">
        <f>$C68*AV67</f>
        <v/>
      </c>
      <c r="AW68">
        <f>$C68*AW67</f>
        <v/>
      </c>
      <c r="AX68">
        <f>$C68*AX67</f>
        <v/>
      </c>
      <c r="AY68">
        <f>$C68*AY67</f>
        <v/>
      </c>
      <c r="AZ68">
        <f>$C68*AZ67</f>
        <v/>
      </c>
      <c r="BA68">
        <f>$C68*BA67</f>
        <v/>
      </c>
      <c r="BB68">
        <f>$C68*BB67</f>
        <v/>
      </c>
      <c r="BC68">
        <f>$C68*BC67</f>
        <v/>
      </c>
      <c r="BD68">
        <f>$C68*BD67</f>
        <v/>
      </c>
      <c r="BE68">
        <f>$C68*BE67</f>
        <v/>
      </c>
      <c r="BF68">
        <f>$C68*BF67</f>
        <v/>
      </c>
      <c r="BG68">
        <f>$C68*BG67</f>
        <v/>
      </c>
      <c r="BH68">
        <f>$C68*BH67</f>
        <v/>
      </c>
      <c r="BI68">
        <f>$C68*BI67</f>
        <v/>
      </c>
      <c r="BJ68">
        <f>$C68*BJ67</f>
        <v/>
      </c>
      <c r="BK68">
        <f>$C68*BK67</f>
        <v/>
      </c>
      <c r="BL68">
        <f>$C68*BL67</f>
        <v/>
      </c>
      <c r="BM68">
        <f>$C68*BM67</f>
        <v/>
      </c>
      <c r="BN68">
        <f>$C68*BN67</f>
        <v/>
      </c>
      <c r="BO68">
        <f>$C68*BO67</f>
        <v/>
      </c>
      <c r="BP68">
        <f>$C68*BP67</f>
        <v/>
      </c>
      <c r="BQ68">
        <f>$C68*BQ67</f>
        <v/>
      </c>
      <c r="BR68">
        <f>$C68*BR67</f>
        <v/>
      </c>
      <c r="BS68">
        <f>$C68*BS67</f>
        <v/>
      </c>
      <c r="BT68">
        <f>$C68*BT67</f>
        <v/>
      </c>
      <c r="BU68">
        <f>$C68*BU67</f>
        <v/>
      </c>
      <c r="BV68">
        <f>$C68*BV67</f>
        <v/>
      </c>
      <c r="BW68">
        <f>$C68*BW67</f>
        <v/>
      </c>
      <c r="BX68">
        <f>$C68*BX67</f>
        <v/>
      </c>
      <c r="BY68">
        <f>$C68*BY67</f>
        <v/>
      </c>
      <c r="BZ68">
        <f>$C68*BZ67</f>
        <v/>
      </c>
      <c r="CA68">
        <f>$C68*CA67</f>
        <v/>
      </c>
      <c r="CB68">
        <f>$C68*CB67</f>
        <v/>
      </c>
      <c r="CC68">
        <f>$C68*CC67</f>
        <v/>
      </c>
      <c r="CD68">
        <f>$C68*CD67</f>
        <v/>
      </c>
      <c r="CE68">
        <f>$C68*CE67</f>
        <v/>
      </c>
      <c r="CF68">
        <f>$C68*CF67</f>
        <v/>
      </c>
      <c r="CG68">
        <f>$C68*CG67</f>
        <v/>
      </c>
      <c r="CH68">
        <f>$C68*CH67</f>
        <v/>
      </c>
      <c r="CI68">
        <f>$C68*CI67</f>
        <v/>
      </c>
      <c r="CJ68">
        <f>$C68*CJ67</f>
        <v/>
      </c>
      <c r="CK68">
        <f>$C68*CK67</f>
        <v/>
      </c>
      <c r="CL68">
        <f>$C68*CL67</f>
        <v/>
      </c>
      <c r="CM68">
        <f>$C68*CM67</f>
        <v/>
      </c>
      <c r="CN68">
        <f>$C68*CN67</f>
        <v/>
      </c>
      <c r="CO68">
        <f>$C68*CO67</f>
        <v/>
      </c>
      <c r="CP68">
        <f>$C68*CP67</f>
        <v/>
      </c>
      <c r="CQ68">
        <f>$C68*CQ67</f>
        <v/>
      </c>
      <c r="CR68">
        <f>$C68*CR67</f>
        <v/>
      </c>
      <c r="CS68">
        <f>$C68*CS67</f>
        <v/>
      </c>
      <c r="CT68">
        <f>$C68*CT67</f>
        <v/>
      </c>
      <c r="CU68">
        <f>$C68*CU67</f>
        <v/>
      </c>
      <c r="CV68">
        <f>$C68*CV67</f>
        <v/>
      </c>
      <c r="CW68">
        <f>$C68*CW67</f>
        <v/>
      </c>
      <c r="CX68">
        <f>$C68*CX67</f>
        <v/>
      </c>
      <c r="CY68">
        <f>$C68*CY67</f>
        <v/>
      </c>
      <c r="CZ68">
        <f>$C68*CZ67</f>
        <v/>
      </c>
      <c r="DA68">
        <f>$C68*DA67</f>
        <v/>
      </c>
      <c r="DB68">
        <f>$C68*DB67</f>
        <v/>
      </c>
      <c r="DC68">
        <f>$C68*DC67</f>
        <v/>
      </c>
    </row>
    <row r="69">
      <c r="B69" t="inlineStr">
        <is>
          <t>TSP-206</t>
        </is>
      </c>
      <c r="C69" t="inlineStr">
        <is>
          <t>No. of batches</t>
        </is>
      </c>
      <c r="D69">
        <f>IFERROR(INDEX(PP_Grid[#Data],$DD69,2),0)</f>
        <v/>
      </c>
      <c r="E69">
        <f>IFERROR(INDEX(PP_Grid[#Data],$DD69,3),0)</f>
        <v/>
      </c>
      <c r="F69">
        <f>IFERROR(INDEX(PP_Grid[#Data],$DD69,4),0)</f>
        <v/>
      </c>
      <c r="G69">
        <f>IFERROR(INDEX(PP_Grid[#Data],$DD69,5),0)</f>
        <v/>
      </c>
      <c r="H69">
        <f>IFERROR(INDEX(PP_Grid[#Data],$DD69,6),0)</f>
        <v/>
      </c>
      <c r="I69">
        <f>IFERROR(INDEX(PP_Grid[#Data],$DD69,7),0)</f>
        <v/>
      </c>
      <c r="J69">
        <f>IFERROR(INDEX(PP_Grid[#Data],$DD69,8),0)</f>
        <v/>
      </c>
      <c r="K69">
        <f>IFERROR(INDEX(PP_Grid[#Data],$DD69,9),0)</f>
        <v/>
      </c>
      <c r="L69">
        <f>IFERROR(INDEX(PP_Grid[#Data],$DD69,10),0)</f>
        <v/>
      </c>
      <c r="M69">
        <f>IFERROR(INDEX(PP_Grid[#Data],$DD69,11),0)</f>
        <v/>
      </c>
      <c r="N69">
        <f>IFERROR(INDEX(PP_Grid[#Data],$DD69,12),0)</f>
        <v/>
      </c>
      <c r="O69">
        <f>IFERROR(INDEX(PP_Grid[#Data],$DD69,13),0)</f>
        <v/>
      </c>
      <c r="P69">
        <f>IFERROR(INDEX(PP_Grid[#Data],$DD69,14),0)</f>
        <v/>
      </c>
      <c r="Q69">
        <f>IFERROR(INDEX(PP_Grid[#Data],$DD69,15),0)</f>
        <v/>
      </c>
      <c r="R69">
        <f>IFERROR(INDEX(PP_Grid[#Data],$DD69,16),0)</f>
        <v/>
      </c>
      <c r="S69">
        <f>IFERROR(INDEX(PP_Grid[#Data],$DD69,17),0)</f>
        <v/>
      </c>
      <c r="T69">
        <f>IFERROR(INDEX(PP_Grid[#Data],$DD69,18),0)</f>
        <v/>
      </c>
      <c r="U69">
        <f>IFERROR(INDEX(PP_Grid[#Data],$DD69,19),0)</f>
        <v/>
      </c>
      <c r="V69">
        <f>IFERROR(INDEX(PP_Grid[#Data],$DD69,20),0)</f>
        <v/>
      </c>
      <c r="W69">
        <f>IFERROR(INDEX(PP_Grid[#Data],$DD69,21),0)</f>
        <v/>
      </c>
      <c r="X69">
        <f>IFERROR(INDEX(PP_Grid[#Data],$DD69,22),0)</f>
        <v/>
      </c>
      <c r="Y69">
        <f>IFERROR(INDEX(PP_Grid[#Data],$DD69,23),0)</f>
        <v/>
      </c>
      <c r="Z69">
        <f>IFERROR(INDEX(PP_Grid[#Data],$DD69,24),0)</f>
        <v/>
      </c>
      <c r="AA69">
        <f>IFERROR(INDEX(PP_Grid[#Data],$DD69,25),0)</f>
        <v/>
      </c>
      <c r="AB69">
        <f>IFERROR(INDEX(PP_Grid[#Data],$DD69,26),0)</f>
        <v/>
      </c>
      <c r="AC69">
        <f>IFERROR(INDEX(PP_Grid[#Data],$DD69,27),0)</f>
        <v/>
      </c>
      <c r="AD69">
        <f>IFERROR(INDEX(PP_Grid[#Data],$DD69,28),0)</f>
        <v/>
      </c>
      <c r="AE69">
        <f>IFERROR(INDEX(PP_Grid[#Data],$DD69,29),0)</f>
        <v/>
      </c>
      <c r="AF69">
        <f>IFERROR(INDEX(PP_Grid[#Data],$DD69,30),0)</f>
        <v/>
      </c>
      <c r="AG69">
        <f>IFERROR(INDEX(PP_Grid[#Data],$DD69,31),0)</f>
        <v/>
      </c>
      <c r="AH69">
        <f>IFERROR(INDEX(PP_Grid[#Data],$DD69,32),0)</f>
        <v/>
      </c>
      <c r="AI69">
        <f>IFERROR(INDEX(PP_Grid[#Data],$DD69,33),0)</f>
        <v/>
      </c>
      <c r="AJ69">
        <f>IFERROR(INDEX(PP_Grid[#Data],$DD69,34),0)</f>
        <v/>
      </c>
      <c r="AK69">
        <f>IFERROR(INDEX(PP_Grid[#Data],$DD69,35),0)</f>
        <v/>
      </c>
      <c r="AL69">
        <f>IFERROR(INDEX(PP_Grid[#Data],$DD69,36),0)</f>
        <v/>
      </c>
      <c r="AM69">
        <f>IFERROR(INDEX(PP_Grid[#Data],$DD69,37),0)</f>
        <v/>
      </c>
      <c r="AN69">
        <f>IFERROR(INDEX(PP_Grid[#Data],$DD69,38),0)</f>
        <v/>
      </c>
      <c r="AO69">
        <f>IFERROR(INDEX(PP_Grid[#Data],$DD69,39),0)</f>
        <v/>
      </c>
      <c r="AP69">
        <f>IFERROR(INDEX(PP_Grid[#Data],$DD69,40),0)</f>
        <v/>
      </c>
      <c r="AQ69">
        <f>IFERROR(INDEX(PP_Grid[#Data],$DD69,41),0)</f>
        <v/>
      </c>
      <c r="AR69">
        <f>IFERROR(INDEX(PP_Grid[#Data],$DD69,42),0)</f>
        <v/>
      </c>
      <c r="AS69">
        <f>IFERROR(INDEX(PP_Grid[#Data],$DD69,43),0)</f>
        <v/>
      </c>
      <c r="AT69">
        <f>IFERROR(INDEX(PP_Grid[#Data],$DD69,44),0)</f>
        <v/>
      </c>
      <c r="AU69">
        <f>IFERROR(INDEX(PP_Grid[#Data],$DD69,45),0)</f>
        <v/>
      </c>
      <c r="AV69">
        <f>IFERROR(INDEX(PP_Grid[#Data],$DD69,46),0)</f>
        <v/>
      </c>
      <c r="AW69">
        <f>IFERROR(INDEX(PP_Grid[#Data],$DD69,47),0)</f>
        <v/>
      </c>
      <c r="AX69">
        <f>IFERROR(INDEX(PP_Grid[#Data],$DD69,48),0)</f>
        <v/>
      </c>
      <c r="AY69">
        <f>IFERROR(INDEX(PP_Grid[#Data],$DD69,49),0)</f>
        <v/>
      </c>
      <c r="AZ69">
        <f>IFERROR(INDEX(PP_Grid[#Data],$DD69,50),0)</f>
        <v/>
      </c>
      <c r="BA69">
        <f>IFERROR(INDEX(PP_Grid[#Data],$DD69,51),0)</f>
        <v/>
      </c>
      <c r="BB69">
        <f>IFERROR(INDEX(PP_Grid[#Data],$DD69,52),0)</f>
        <v/>
      </c>
      <c r="BC69">
        <f>IFERROR(INDEX(PP_Grid[#Data],$DD69,53),0)</f>
        <v/>
      </c>
      <c r="BD69">
        <f>IFERROR(INDEX(PP_Grid[#Data],$DD69,54),0)</f>
        <v/>
      </c>
      <c r="BE69">
        <f>IFERROR(INDEX(PP_Grid[#Data],$DD69,55),0)</f>
        <v/>
      </c>
      <c r="BF69">
        <f>IFERROR(INDEX(PP_Grid[#Data],$DD69,56),0)</f>
        <v/>
      </c>
      <c r="BG69">
        <f>IFERROR(INDEX(PP_Grid[#Data],$DD69,57),0)</f>
        <v/>
      </c>
      <c r="BH69">
        <f>IFERROR(INDEX(PP_Grid[#Data],$DD69,58),0)</f>
        <v/>
      </c>
      <c r="BI69">
        <f>IFERROR(INDEX(PP_Grid[#Data],$DD69,59),0)</f>
        <v/>
      </c>
      <c r="BJ69">
        <f>IFERROR(INDEX(PP_Grid[#Data],$DD69,60),0)</f>
        <v/>
      </c>
      <c r="BK69">
        <f>IFERROR(INDEX(PP_Grid[#Data],$DD69,61),0)</f>
        <v/>
      </c>
      <c r="BL69">
        <f>IFERROR(INDEX(PP_Grid[#Data],$DD69,62),0)</f>
        <v/>
      </c>
      <c r="BM69">
        <f>IFERROR(INDEX(PP_Grid[#Data],$DD69,63),0)</f>
        <v/>
      </c>
      <c r="BN69">
        <f>IFERROR(INDEX(PP_Grid[#Data],$DD69,64),0)</f>
        <v/>
      </c>
      <c r="BO69">
        <f>IFERROR(INDEX(PP_Grid[#Data],$DD69,65),0)</f>
        <v/>
      </c>
      <c r="BP69">
        <f>IFERROR(INDEX(PP_Grid[#Data],$DD69,66),0)</f>
        <v/>
      </c>
      <c r="BQ69">
        <f>IFERROR(INDEX(PP_Grid[#Data],$DD69,67),0)</f>
        <v/>
      </c>
      <c r="BR69">
        <f>IFERROR(INDEX(PP_Grid[#Data],$DD69,68),0)</f>
        <v/>
      </c>
      <c r="BS69">
        <f>IFERROR(INDEX(PP_Grid[#Data],$DD69,69),0)</f>
        <v/>
      </c>
      <c r="BT69">
        <f>IFERROR(INDEX(PP_Grid[#Data],$DD69,70),0)</f>
        <v/>
      </c>
      <c r="BU69">
        <f>IFERROR(INDEX(PP_Grid[#Data],$DD69,71),0)</f>
        <v/>
      </c>
      <c r="BV69">
        <f>IFERROR(INDEX(PP_Grid[#Data],$DD69,72),0)</f>
        <v/>
      </c>
      <c r="BW69">
        <f>IFERROR(INDEX(PP_Grid[#Data],$DD69,73),0)</f>
        <v/>
      </c>
      <c r="BX69">
        <f>IFERROR(INDEX(PP_Grid[#Data],$DD69,74),0)</f>
        <v/>
      </c>
      <c r="BY69">
        <f>IFERROR(INDEX(PP_Grid[#Data],$DD69,75),0)</f>
        <v/>
      </c>
      <c r="BZ69">
        <f>IFERROR(INDEX(PP_Grid[#Data],$DD69,76),0)</f>
        <v/>
      </c>
      <c r="CA69">
        <f>IFERROR(INDEX(PP_Grid[#Data],$DD69,77),0)</f>
        <v/>
      </c>
      <c r="CB69">
        <f>IFERROR(INDEX(PP_Grid[#Data],$DD69,78),0)</f>
        <v/>
      </c>
      <c r="CC69">
        <f>IFERROR(INDEX(PP_Grid[#Data],$DD69,79),0)</f>
        <v/>
      </c>
      <c r="CD69">
        <f>IFERROR(INDEX(PP_Grid[#Data],$DD69,80),0)</f>
        <v/>
      </c>
      <c r="CE69">
        <f>IFERROR(INDEX(PP_Grid[#Data],$DD69,81),0)</f>
        <v/>
      </c>
      <c r="CF69">
        <f>IFERROR(INDEX(PP_Grid[#Data],$DD69,82),0)</f>
        <v/>
      </c>
      <c r="CG69">
        <f>IFERROR(INDEX(PP_Grid[#Data],$DD69,83),0)</f>
        <v/>
      </c>
      <c r="CH69">
        <f>IFERROR(INDEX(PP_Grid[#Data],$DD69,84),0)</f>
        <v/>
      </c>
      <c r="CI69">
        <f>IFERROR(INDEX(PP_Grid[#Data],$DD69,85),0)</f>
        <v/>
      </c>
      <c r="CJ69">
        <f>IFERROR(INDEX(PP_Grid[#Data],$DD69,86),0)</f>
        <v/>
      </c>
      <c r="CK69">
        <f>IFERROR(INDEX(PP_Grid[#Data],$DD69,87),0)</f>
        <v/>
      </c>
      <c r="CL69">
        <f>IFERROR(INDEX(PP_Grid[#Data],$DD69,88),0)</f>
        <v/>
      </c>
      <c r="CM69">
        <f>IFERROR(INDEX(PP_Grid[#Data],$DD69,89),0)</f>
        <v/>
      </c>
      <c r="CN69">
        <f>IFERROR(INDEX(PP_Grid[#Data],$DD69,90),0)</f>
        <v/>
      </c>
      <c r="CO69">
        <f>IFERROR(INDEX(PP_Grid[#Data],$DD69,91),0)</f>
        <v/>
      </c>
      <c r="CP69">
        <f>IFERROR(INDEX(PP_Grid[#Data],$DD69,92),0)</f>
        <v/>
      </c>
      <c r="CQ69">
        <f>IFERROR(INDEX(PP_Grid[#Data],$DD69,93),0)</f>
        <v/>
      </c>
      <c r="CR69">
        <f>IFERROR(INDEX(PP_Grid[#Data],$DD69,94),0)</f>
        <v/>
      </c>
      <c r="CS69">
        <f>IFERROR(INDEX(PP_Grid[#Data],$DD69,95),0)</f>
        <v/>
      </c>
      <c r="CT69">
        <f>IFERROR(INDEX(PP_Grid[#Data],$DD69,96),0)</f>
        <v/>
      </c>
      <c r="CU69">
        <f>IFERROR(INDEX(PP_Grid[#Data],$DD69,97),0)</f>
        <v/>
      </c>
      <c r="CV69">
        <f>IFERROR(INDEX(PP_Grid[#Data],$DD69,98),0)</f>
        <v/>
      </c>
      <c r="CW69">
        <f>IFERROR(INDEX(PP_Grid[#Data],$DD69,99),0)</f>
        <v/>
      </c>
      <c r="CX69">
        <f>IFERROR(INDEX(PP_Grid[#Data],$DD69,100),0)</f>
        <v/>
      </c>
      <c r="CY69">
        <f>IFERROR(INDEX(PP_Grid[#Data],$DD69,101),0)</f>
        <v/>
      </c>
      <c r="CZ69">
        <f>IFERROR(INDEX(PP_Grid[#Data],$DD69,102),0)</f>
        <v/>
      </c>
      <c r="DA69">
        <f>IFERROR(INDEX(PP_Grid[#Data],$DD69,103),0)</f>
        <v/>
      </c>
      <c r="DB69">
        <f>IFERROR(INDEX(PP_Grid[#Data],$DD69,104),0)</f>
        <v/>
      </c>
      <c r="DC69">
        <f>IFERROR(INDEX(PP_Grid[#Data],$DD69,105),0)</f>
        <v/>
      </c>
      <c r="DD69" s="7">
        <f>IFERROR(MATCH($B69,PP_Grid[Intermediate],0),99999)</f>
        <v/>
      </c>
    </row>
    <row r="70">
      <c r="B70" t="inlineStr">
        <is>
          <t>使用量(kg)</t>
        </is>
      </c>
      <c r="C70">
        <f>SUMIFS(M_BOM[RM_Qty_Per_Batch],M_BOM[Intermediate],$B69,M_BOM[Part Name],$A44)</f>
        <v/>
      </c>
      <c r="D70">
        <f>$C70*D69</f>
        <v/>
      </c>
      <c r="E70">
        <f>$C70*E69</f>
        <v/>
      </c>
      <c r="F70">
        <f>$C70*F69</f>
        <v/>
      </c>
      <c r="G70">
        <f>$C70*G69</f>
        <v/>
      </c>
      <c r="H70">
        <f>$C70*H69</f>
        <v/>
      </c>
      <c r="I70">
        <f>$C70*I69</f>
        <v/>
      </c>
      <c r="J70">
        <f>$C70*J69</f>
        <v/>
      </c>
      <c r="K70">
        <f>$C70*K69</f>
        <v/>
      </c>
      <c r="L70">
        <f>$C70*L69</f>
        <v/>
      </c>
      <c r="M70">
        <f>$C70*M69</f>
        <v/>
      </c>
      <c r="N70">
        <f>$C70*N69</f>
        <v/>
      </c>
      <c r="O70">
        <f>$C70*O69</f>
        <v/>
      </c>
      <c r="P70">
        <f>$C70*P69</f>
        <v/>
      </c>
      <c r="Q70">
        <f>$C70*Q69</f>
        <v/>
      </c>
      <c r="R70">
        <f>$C70*R69</f>
        <v/>
      </c>
      <c r="S70">
        <f>$C70*S69</f>
        <v/>
      </c>
      <c r="T70">
        <f>$C70*T69</f>
        <v/>
      </c>
      <c r="U70">
        <f>$C70*U69</f>
        <v/>
      </c>
      <c r="V70">
        <f>$C70*V69</f>
        <v/>
      </c>
      <c r="W70">
        <f>$C70*W69</f>
        <v/>
      </c>
      <c r="X70">
        <f>$C70*X69</f>
        <v/>
      </c>
      <c r="Y70">
        <f>$C70*Y69</f>
        <v/>
      </c>
      <c r="Z70">
        <f>$C70*Z69</f>
        <v/>
      </c>
      <c r="AA70">
        <f>$C70*AA69</f>
        <v/>
      </c>
      <c r="AB70">
        <f>$C70*AB69</f>
        <v/>
      </c>
      <c r="AC70">
        <f>$C70*AC69</f>
        <v/>
      </c>
      <c r="AD70">
        <f>$C70*AD69</f>
        <v/>
      </c>
      <c r="AE70">
        <f>$C70*AE69</f>
        <v/>
      </c>
      <c r="AF70">
        <f>$C70*AF69</f>
        <v/>
      </c>
      <c r="AG70">
        <f>$C70*AG69</f>
        <v/>
      </c>
      <c r="AH70">
        <f>$C70*AH69</f>
        <v/>
      </c>
      <c r="AI70">
        <f>$C70*AI69</f>
        <v/>
      </c>
      <c r="AJ70">
        <f>$C70*AJ69</f>
        <v/>
      </c>
      <c r="AK70">
        <f>$C70*AK69</f>
        <v/>
      </c>
      <c r="AL70">
        <f>$C70*AL69</f>
        <v/>
      </c>
      <c r="AM70">
        <f>$C70*AM69</f>
        <v/>
      </c>
      <c r="AN70">
        <f>$C70*AN69</f>
        <v/>
      </c>
      <c r="AO70">
        <f>$C70*AO69</f>
        <v/>
      </c>
      <c r="AP70">
        <f>$C70*AP69</f>
        <v/>
      </c>
      <c r="AQ70">
        <f>$C70*AQ69</f>
        <v/>
      </c>
      <c r="AR70">
        <f>$C70*AR69</f>
        <v/>
      </c>
      <c r="AS70">
        <f>$C70*AS69</f>
        <v/>
      </c>
      <c r="AT70">
        <f>$C70*AT69</f>
        <v/>
      </c>
      <c r="AU70">
        <f>$C70*AU69</f>
        <v/>
      </c>
      <c r="AV70">
        <f>$C70*AV69</f>
        <v/>
      </c>
      <c r="AW70">
        <f>$C70*AW69</f>
        <v/>
      </c>
      <c r="AX70">
        <f>$C70*AX69</f>
        <v/>
      </c>
      <c r="AY70">
        <f>$C70*AY69</f>
        <v/>
      </c>
      <c r="AZ70">
        <f>$C70*AZ69</f>
        <v/>
      </c>
      <c r="BA70">
        <f>$C70*BA69</f>
        <v/>
      </c>
      <c r="BB70">
        <f>$C70*BB69</f>
        <v/>
      </c>
      <c r="BC70">
        <f>$C70*BC69</f>
        <v/>
      </c>
      <c r="BD70">
        <f>$C70*BD69</f>
        <v/>
      </c>
      <c r="BE70">
        <f>$C70*BE69</f>
        <v/>
      </c>
      <c r="BF70">
        <f>$C70*BF69</f>
        <v/>
      </c>
      <c r="BG70">
        <f>$C70*BG69</f>
        <v/>
      </c>
      <c r="BH70">
        <f>$C70*BH69</f>
        <v/>
      </c>
      <c r="BI70">
        <f>$C70*BI69</f>
        <v/>
      </c>
      <c r="BJ70">
        <f>$C70*BJ69</f>
        <v/>
      </c>
      <c r="BK70">
        <f>$C70*BK69</f>
        <v/>
      </c>
      <c r="BL70">
        <f>$C70*BL69</f>
        <v/>
      </c>
      <c r="BM70">
        <f>$C70*BM69</f>
        <v/>
      </c>
      <c r="BN70">
        <f>$C70*BN69</f>
        <v/>
      </c>
      <c r="BO70">
        <f>$C70*BO69</f>
        <v/>
      </c>
      <c r="BP70">
        <f>$C70*BP69</f>
        <v/>
      </c>
      <c r="BQ70">
        <f>$C70*BQ69</f>
        <v/>
      </c>
      <c r="BR70">
        <f>$C70*BR69</f>
        <v/>
      </c>
      <c r="BS70">
        <f>$C70*BS69</f>
        <v/>
      </c>
      <c r="BT70">
        <f>$C70*BT69</f>
        <v/>
      </c>
      <c r="BU70">
        <f>$C70*BU69</f>
        <v/>
      </c>
      <c r="BV70">
        <f>$C70*BV69</f>
        <v/>
      </c>
      <c r="BW70">
        <f>$C70*BW69</f>
        <v/>
      </c>
      <c r="BX70">
        <f>$C70*BX69</f>
        <v/>
      </c>
      <c r="BY70">
        <f>$C70*BY69</f>
        <v/>
      </c>
      <c r="BZ70">
        <f>$C70*BZ69</f>
        <v/>
      </c>
      <c r="CA70">
        <f>$C70*CA69</f>
        <v/>
      </c>
      <c r="CB70">
        <f>$C70*CB69</f>
        <v/>
      </c>
      <c r="CC70">
        <f>$C70*CC69</f>
        <v/>
      </c>
      <c r="CD70">
        <f>$C70*CD69</f>
        <v/>
      </c>
      <c r="CE70">
        <f>$C70*CE69</f>
        <v/>
      </c>
      <c r="CF70">
        <f>$C70*CF69</f>
        <v/>
      </c>
      <c r="CG70">
        <f>$C70*CG69</f>
        <v/>
      </c>
      <c r="CH70">
        <f>$C70*CH69</f>
        <v/>
      </c>
      <c r="CI70">
        <f>$C70*CI69</f>
        <v/>
      </c>
      <c r="CJ70">
        <f>$C70*CJ69</f>
        <v/>
      </c>
      <c r="CK70">
        <f>$C70*CK69</f>
        <v/>
      </c>
      <c r="CL70">
        <f>$C70*CL69</f>
        <v/>
      </c>
      <c r="CM70">
        <f>$C70*CM69</f>
        <v/>
      </c>
      <c r="CN70">
        <f>$C70*CN69</f>
        <v/>
      </c>
      <c r="CO70">
        <f>$C70*CO69</f>
        <v/>
      </c>
      <c r="CP70">
        <f>$C70*CP69</f>
        <v/>
      </c>
      <c r="CQ70">
        <f>$C70*CQ69</f>
        <v/>
      </c>
      <c r="CR70">
        <f>$C70*CR69</f>
        <v/>
      </c>
      <c r="CS70">
        <f>$C70*CS69</f>
        <v/>
      </c>
      <c r="CT70">
        <f>$C70*CT69</f>
        <v/>
      </c>
      <c r="CU70">
        <f>$C70*CU69</f>
        <v/>
      </c>
      <c r="CV70">
        <f>$C70*CV69</f>
        <v/>
      </c>
      <c r="CW70">
        <f>$C70*CW69</f>
        <v/>
      </c>
      <c r="CX70">
        <f>$C70*CX69</f>
        <v/>
      </c>
      <c r="CY70">
        <f>$C70*CY69</f>
        <v/>
      </c>
      <c r="CZ70">
        <f>$C70*CZ69</f>
        <v/>
      </c>
      <c r="DA70">
        <f>$C70*DA69</f>
        <v/>
      </c>
      <c r="DB70">
        <f>$C70*DB69</f>
        <v/>
      </c>
      <c r="DC70">
        <f>$C70*DC69</f>
        <v/>
      </c>
    </row>
    <row r="71">
      <c r="B71" t="inlineStr">
        <is>
          <t>TSP-218</t>
        </is>
      </c>
      <c r="C71" t="inlineStr">
        <is>
          <t>No. of batches</t>
        </is>
      </c>
      <c r="D71">
        <f>IFERROR(INDEX(PP_Grid[#Data],$DD71,2),0)</f>
        <v/>
      </c>
      <c r="E71">
        <f>IFERROR(INDEX(PP_Grid[#Data],$DD71,3),0)</f>
        <v/>
      </c>
      <c r="F71">
        <f>IFERROR(INDEX(PP_Grid[#Data],$DD71,4),0)</f>
        <v/>
      </c>
      <c r="G71">
        <f>IFERROR(INDEX(PP_Grid[#Data],$DD71,5),0)</f>
        <v/>
      </c>
      <c r="H71">
        <f>IFERROR(INDEX(PP_Grid[#Data],$DD71,6),0)</f>
        <v/>
      </c>
      <c r="I71">
        <f>IFERROR(INDEX(PP_Grid[#Data],$DD71,7),0)</f>
        <v/>
      </c>
      <c r="J71">
        <f>IFERROR(INDEX(PP_Grid[#Data],$DD71,8),0)</f>
        <v/>
      </c>
      <c r="K71">
        <f>IFERROR(INDEX(PP_Grid[#Data],$DD71,9),0)</f>
        <v/>
      </c>
      <c r="L71">
        <f>IFERROR(INDEX(PP_Grid[#Data],$DD71,10),0)</f>
        <v/>
      </c>
      <c r="M71">
        <f>IFERROR(INDEX(PP_Grid[#Data],$DD71,11),0)</f>
        <v/>
      </c>
      <c r="N71">
        <f>IFERROR(INDEX(PP_Grid[#Data],$DD71,12),0)</f>
        <v/>
      </c>
      <c r="O71">
        <f>IFERROR(INDEX(PP_Grid[#Data],$DD71,13),0)</f>
        <v/>
      </c>
      <c r="P71">
        <f>IFERROR(INDEX(PP_Grid[#Data],$DD71,14),0)</f>
        <v/>
      </c>
      <c r="Q71">
        <f>IFERROR(INDEX(PP_Grid[#Data],$DD71,15),0)</f>
        <v/>
      </c>
      <c r="R71">
        <f>IFERROR(INDEX(PP_Grid[#Data],$DD71,16),0)</f>
        <v/>
      </c>
      <c r="S71">
        <f>IFERROR(INDEX(PP_Grid[#Data],$DD71,17),0)</f>
        <v/>
      </c>
      <c r="T71">
        <f>IFERROR(INDEX(PP_Grid[#Data],$DD71,18),0)</f>
        <v/>
      </c>
      <c r="U71">
        <f>IFERROR(INDEX(PP_Grid[#Data],$DD71,19),0)</f>
        <v/>
      </c>
      <c r="V71">
        <f>IFERROR(INDEX(PP_Grid[#Data],$DD71,20),0)</f>
        <v/>
      </c>
      <c r="W71">
        <f>IFERROR(INDEX(PP_Grid[#Data],$DD71,21),0)</f>
        <v/>
      </c>
      <c r="X71">
        <f>IFERROR(INDEX(PP_Grid[#Data],$DD71,22),0)</f>
        <v/>
      </c>
      <c r="Y71">
        <f>IFERROR(INDEX(PP_Grid[#Data],$DD71,23),0)</f>
        <v/>
      </c>
      <c r="Z71">
        <f>IFERROR(INDEX(PP_Grid[#Data],$DD71,24),0)</f>
        <v/>
      </c>
      <c r="AA71">
        <f>IFERROR(INDEX(PP_Grid[#Data],$DD71,25),0)</f>
        <v/>
      </c>
      <c r="AB71">
        <f>IFERROR(INDEX(PP_Grid[#Data],$DD71,26),0)</f>
        <v/>
      </c>
      <c r="AC71">
        <f>IFERROR(INDEX(PP_Grid[#Data],$DD71,27),0)</f>
        <v/>
      </c>
      <c r="AD71">
        <f>IFERROR(INDEX(PP_Grid[#Data],$DD71,28),0)</f>
        <v/>
      </c>
      <c r="AE71">
        <f>IFERROR(INDEX(PP_Grid[#Data],$DD71,29),0)</f>
        <v/>
      </c>
      <c r="AF71">
        <f>IFERROR(INDEX(PP_Grid[#Data],$DD71,30),0)</f>
        <v/>
      </c>
      <c r="AG71">
        <f>IFERROR(INDEX(PP_Grid[#Data],$DD71,31),0)</f>
        <v/>
      </c>
      <c r="AH71">
        <f>IFERROR(INDEX(PP_Grid[#Data],$DD71,32),0)</f>
        <v/>
      </c>
      <c r="AI71">
        <f>IFERROR(INDEX(PP_Grid[#Data],$DD71,33),0)</f>
        <v/>
      </c>
      <c r="AJ71">
        <f>IFERROR(INDEX(PP_Grid[#Data],$DD71,34),0)</f>
        <v/>
      </c>
      <c r="AK71">
        <f>IFERROR(INDEX(PP_Grid[#Data],$DD71,35),0)</f>
        <v/>
      </c>
      <c r="AL71">
        <f>IFERROR(INDEX(PP_Grid[#Data],$DD71,36),0)</f>
        <v/>
      </c>
      <c r="AM71">
        <f>IFERROR(INDEX(PP_Grid[#Data],$DD71,37),0)</f>
        <v/>
      </c>
      <c r="AN71">
        <f>IFERROR(INDEX(PP_Grid[#Data],$DD71,38),0)</f>
        <v/>
      </c>
      <c r="AO71">
        <f>IFERROR(INDEX(PP_Grid[#Data],$DD71,39),0)</f>
        <v/>
      </c>
      <c r="AP71">
        <f>IFERROR(INDEX(PP_Grid[#Data],$DD71,40),0)</f>
        <v/>
      </c>
      <c r="AQ71">
        <f>IFERROR(INDEX(PP_Grid[#Data],$DD71,41),0)</f>
        <v/>
      </c>
      <c r="AR71">
        <f>IFERROR(INDEX(PP_Grid[#Data],$DD71,42),0)</f>
        <v/>
      </c>
      <c r="AS71">
        <f>IFERROR(INDEX(PP_Grid[#Data],$DD71,43),0)</f>
        <v/>
      </c>
      <c r="AT71">
        <f>IFERROR(INDEX(PP_Grid[#Data],$DD71,44),0)</f>
        <v/>
      </c>
      <c r="AU71">
        <f>IFERROR(INDEX(PP_Grid[#Data],$DD71,45),0)</f>
        <v/>
      </c>
      <c r="AV71">
        <f>IFERROR(INDEX(PP_Grid[#Data],$DD71,46),0)</f>
        <v/>
      </c>
      <c r="AW71">
        <f>IFERROR(INDEX(PP_Grid[#Data],$DD71,47),0)</f>
        <v/>
      </c>
      <c r="AX71">
        <f>IFERROR(INDEX(PP_Grid[#Data],$DD71,48),0)</f>
        <v/>
      </c>
      <c r="AY71">
        <f>IFERROR(INDEX(PP_Grid[#Data],$DD71,49),0)</f>
        <v/>
      </c>
      <c r="AZ71">
        <f>IFERROR(INDEX(PP_Grid[#Data],$DD71,50),0)</f>
        <v/>
      </c>
      <c r="BA71">
        <f>IFERROR(INDEX(PP_Grid[#Data],$DD71,51),0)</f>
        <v/>
      </c>
      <c r="BB71">
        <f>IFERROR(INDEX(PP_Grid[#Data],$DD71,52),0)</f>
        <v/>
      </c>
      <c r="BC71">
        <f>IFERROR(INDEX(PP_Grid[#Data],$DD71,53),0)</f>
        <v/>
      </c>
      <c r="BD71">
        <f>IFERROR(INDEX(PP_Grid[#Data],$DD71,54),0)</f>
        <v/>
      </c>
      <c r="BE71">
        <f>IFERROR(INDEX(PP_Grid[#Data],$DD71,55),0)</f>
        <v/>
      </c>
      <c r="BF71">
        <f>IFERROR(INDEX(PP_Grid[#Data],$DD71,56),0)</f>
        <v/>
      </c>
      <c r="BG71">
        <f>IFERROR(INDEX(PP_Grid[#Data],$DD71,57),0)</f>
        <v/>
      </c>
      <c r="BH71">
        <f>IFERROR(INDEX(PP_Grid[#Data],$DD71,58),0)</f>
        <v/>
      </c>
      <c r="BI71">
        <f>IFERROR(INDEX(PP_Grid[#Data],$DD71,59),0)</f>
        <v/>
      </c>
      <c r="BJ71">
        <f>IFERROR(INDEX(PP_Grid[#Data],$DD71,60),0)</f>
        <v/>
      </c>
      <c r="BK71">
        <f>IFERROR(INDEX(PP_Grid[#Data],$DD71,61),0)</f>
        <v/>
      </c>
      <c r="BL71">
        <f>IFERROR(INDEX(PP_Grid[#Data],$DD71,62),0)</f>
        <v/>
      </c>
      <c r="BM71">
        <f>IFERROR(INDEX(PP_Grid[#Data],$DD71,63),0)</f>
        <v/>
      </c>
      <c r="BN71">
        <f>IFERROR(INDEX(PP_Grid[#Data],$DD71,64),0)</f>
        <v/>
      </c>
      <c r="BO71">
        <f>IFERROR(INDEX(PP_Grid[#Data],$DD71,65),0)</f>
        <v/>
      </c>
      <c r="BP71">
        <f>IFERROR(INDEX(PP_Grid[#Data],$DD71,66),0)</f>
        <v/>
      </c>
      <c r="BQ71">
        <f>IFERROR(INDEX(PP_Grid[#Data],$DD71,67),0)</f>
        <v/>
      </c>
      <c r="BR71">
        <f>IFERROR(INDEX(PP_Grid[#Data],$DD71,68),0)</f>
        <v/>
      </c>
      <c r="BS71">
        <f>IFERROR(INDEX(PP_Grid[#Data],$DD71,69),0)</f>
        <v/>
      </c>
      <c r="BT71">
        <f>IFERROR(INDEX(PP_Grid[#Data],$DD71,70),0)</f>
        <v/>
      </c>
      <c r="BU71">
        <f>IFERROR(INDEX(PP_Grid[#Data],$DD71,71),0)</f>
        <v/>
      </c>
      <c r="BV71">
        <f>IFERROR(INDEX(PP_Grid[#Data],$DD71,72),0)</f>
        <v/>
      </c>
      <c r="BW71">
        <f>IFERROR(INDEX(PP_Grid[#Data],$DD71,73),0)</f>
        <v/>
      </c>
      <c r="BX71">
        <f>IFERROR(INDEX(PP_Grid[#Data],$DD71,74),0)</f>
        <v/>
      </c>
      <c r="BY71">
        <f>IFERROR(INDEX(PP_Grid[#Data],$DD71,75),0)</f>
        <v/>
      </c>
      <c r="BZ71">
        <f>IFERROR(INDEX(PP_Grid[#Data],$DD71,76),0)</f>
        <v/>
      </c>
      <c r="CA71">
        <f>IFERROR(INDEX(PP_Grid[#Data],$DD71,77),0)</f>
        <v/>
      </c>
      <c r="CB71">
        <f>IFERROR(INDEX(PP_Grid[#Data],$DD71,78),0)</f>
        <v/>
      </c>
      <c r="CC71">
        <f>IFERROR(INDEX(PP_Grid[#Data],$DD71,79),0)</f>
        <v/>
      </c>
      <c r="CD71">
        <f>IFERROR(INDEX(PP_Grid[#Data],$DD71,80),0)</f>
        <v/>
      </c>
      <c r="CE71">
        <f>IFERROR(INDEX(PP_Grid[#Data],$DD71,81),0)</f>
        <v/>
      </c>
      <c r="CF71">
        <f>IFERROR(INDEX(PP_Grid[#Data],$DD71,82),0)</f>
        <v/>
      </c>
      <c r="CG71">
        <f>IFERROR(INDEX(PP_Grid[#Data],$DD71,83),0)</f>
        <v/>
      </c>
      <c r="CH71">
        <f>IFERROR(INDEX(PP_Grid[#Data],$DD71,84),0)</f>
        <v/>
      </c>
      <c r="CI71">
        <f>IFERROR(INDEX(PP_Grid[#Data],$DD71,85),0)</f>
        <v/>
      </c>
      <c r="CJ71">
        <f>IFERROR(INDEX(PP_Grid[#Data],$DD71,86),0)</f>
        <v/>
      </c>
      <c r="CK71">
        <f>IFERROR(INDEX(PP_Grid[#Data],$DD71,87),0)</f>
        <v/>
      </c>
      <c r="CL71">
        <f>IFERROR(INDEX(PP_Grid[#Data],$DD71,88),0)</f>
        <v/>
      </c>
      <c r="CM71">
        <f>IFERROR(INDEX(PP_Grid[#Data],$DD71,89),0)</f>
        <v/>
      </c>
      <c r="CN71">
        <f>IFERROR(INDEX(PP_Grid[#Data],$DD71,90),0)</f>
        <v/>
      </c>
      <c r="CO71">
        <f>IFERROR(INDEX(PP_Grid[#Data],$DD71,91),0)</f>
        <v/>
      </c>
      <c r="CP71">
        <f>IFERROR(INDEX(PP_Grid[#Data],$DD71,92),0)</f>
        <v/>
      </c>
      <c r="CQ71">
        <f>IFERROR(INDEX(PP_Grid[#Data],$DD71,93),0)</f>
        <v/>
      </c>
      <c r="CR71">
        <f>IFERROR(INDEX(PP_Grid[#Data],$DD71,94),0)</f>
        <v/>
      </c>
      <c r="CS71">
        <f>IFERROR(INDEX(PP_Grid[#Data],$DD71,95),0)</f>
        <v/>
      </c>
      <c r="CT71">
        <f>IFERROR(INDEX(PP_Grid[#Data],$DD71,96),0)</f>
        <v/>
      </c>
      <c r="CU71">
        <f>IFERROR(INDEX(PP_Grid[#Data],$DD71,97),0)</f>
        <v/>
      </c>
      <c r="CV71">
        <f>IFERROR(INDEX(PP_Grid[#Data],$DD71,98),0)</f>
        <v/>
      </c>
      <c r="CW71">
        <f>IFERROR(INDEX(PP_Grid[#Data],$DD71,99),0)</f>
        <v/>
      </c>
      <c r="CX71">
        <f>IFERROR(INDEX(PP_Grid[#Data],$DD71,100),0)</f>
        <v/>
      </c>
      <c r="CY71">
        <f>IFERROR(INDEX(PP_Grid[#Data],$DD71,101),0)</f>
        <v/>
      </c>
      <c r="CZ71">
        <f>IFERROR(INDEX(PP_Grid[#Data],$DD71,102),0)</f>
        <v/>
      </c>
      <c r="DA71">
        <f>IFERROR(INDEX(PP_Grid[#Data],$DD71,103),0)</f>
        <v/>
      </c>
      <c r="DB71">
        <f>IFERROR(INDEX(PP_Grid[#Data],$DD71,104),0)</f>
        <v/>
      </c>
      <c r="DC71">
        <f>IFERROR(INDEX(PP_Grid[#Data],$DD71,105),0)</f>
        <v/>
      </c>
      <c r="DD71" s="7">
        <f>IFERROR(MATCH($B71,PP_Grid[Intermediate],0),99999)</f>
        <v/>
      </c>
    </row>
    <row r="72">
      <c r="B72" t="inlineStr">
        <is>
          <t>使用量(kg)</t>
        </is>
      </c>
      <c r="C72">
        <f>SUMIFS(M_BOM[RM_Qty_Per_Batch],M_BOM[Intermediate],$B71,M_BOM[Part Name],$A44)</f>
        <v/>
      </c>
      <c r="D72">
        <f>$C72*D71</f>
        <v/>
      </c>
      <c r="E72">
        <f>$C72*E71</f>
        <v/>
      </c>
      <c r="F72">
        <f>$C72*F71</f>
        <v/>
      </c>
      <c r="G72">
        <f>$C72*G71</f>
        <v/>
      </c>
      <c r="H72">
        <f>$C72*H71</f>
        <v/>
      </c>
      <c r="I72">
        <f>$C72*I71</f>
        <v/>
      </c>
      <c r="J72">
        <f>$C72*J71</f>
        <v/>
      </c>
      <c r="K72">
        <f>$C72*K71</f>
        <v/>
      </c>
      <c r="L72">
        <f>$C72*L71</f>
        <v/>
      </c>
      <c r="M72">
        <f>$C72*M71</f>
        <v/>
      </c>
      <c r="N72">
        <f>$C72*N71</f>
        <v/>
      </c>
      <c r="O72">
        <f>$C72*O71</f>
        <v/>
      </c>
      <c r="P72">
        <f>$C72*P71</f>
        <v/>
      </c>
      <c r="Q72">
        <f>$C72*Q71</f>
        <v/>
      </c>
      <c r="R72">
        <f>$C72*R71</f>
        <v/>
      </c>
      <c r="S72">
        <f>$C72*S71</f>
        <v/>
      </c>
      <c r="T72">
        <f>$C72*T71</f>
        <v/>
      </c>
      <c r="U72">
        <f>$C72*U71</f>
        <v/>
      </c>
      <c r="V72">
        <f>$C72*V71</f>
        <v/>
      </c>
      <c r="W72">
        <f>$C72*W71</f>
        <v/>
      </c>
      <c r="X72">
        <f>$C72*X71</f>
        <v/>
      </c>
      <c r="Y72">
        <f>$C72*Y71</f>
        <v/>
      </c>
      <c r="Z72">
        <f>$C72*Z71</f>
        <v/>
      </c>
      <c r="AA72">
        <f>$C72*AA71</f>
        <v/>
      </c>
      <c r="AB72">
        <f>$C72*AB71</f>
        <v/>
      </c>
      <c r="AC72">
        <f>$C72*AC71</f>
        <v/>
      </c>
      <c r="AD72">
        <f>$C72*AD71</f>
        <v/>
      </c>
      <c r="AE72">
        <f>$C72*AE71</f>
        <v/>
      </c>
      <c r="AF72">
        <f>$C72*AF71</f>
        <v/>
      </c>
      <c r="AG72">
        <f>$C72*AG71</f>
        <v/>
      </c>
      <c r="AH72">
        <f>$C72*AH71</f>
        <v/>
      </c>
      <c r="AI72">
        <f>$C72*AI71</f>
        <v/>
      </c>
      <c r="AJ72">
        <f>$C72*AJ71</f>
        <v/>
      </c>
      <c r="AK72">
        <f>$C72*AK71</f>
        <v/>
      </c>
      <c r="AL72">
        <f>$C72*AL71</f>
        <v/>
      </c>
      <c r="AM72">
        <f>$C72*AM71</f>
        <v/>
      </c>
      <c r="AN72">
        <f>$C72*AN71</f>
        <v/>
      </c>
      <c r="AO72">
        <f>$C72*AO71</f>
        <v/>
      </c>
      <c r="AP72">
        <f>$C72*AP71</f>
        <v/>
      </c>
      <c r="AQ72">
        <f>$C72*AQ71</f>
        <v/>
      </c>
      <c r="AR72">
        <f>$C72*AR71</f>
        <v/>
      </c>
      <c r="AS72">
        <f>$C72*AS71</f>
        <v/>
      </c>
      <c r="AT72">
        <f>$C72*AT71</f>
        <v/>
      </c>
      <c r="AU72">
        <f>$C72*AU71</f>
        <v/>
      </c>
      <c r="AV72">
        <f>$C72*AV71</f>
        <v/>
      </c>
      <c r="AW72">
        <f>$C72*AW71</f>
        <v/>
      </c>
      <c r="AX72">
        <f>$C72*AX71</f>
        <v/>
      </c>
      <c r="AY72">
        <f>$C72*AY71</f>
        <v/>
      </c>
      <c r="AZ72">
        <f>$C72*AZ71</f>
        <v/>
      </c>
      <c r="BA72">
        <f>$C72*BA71</f>
        <v/>
      </c>
      <c r="BB72">
        <f>$C72*BB71</f>
        <v/>
      </c>
      <c r="BC72">
        <f>$C72*BC71</f>
        <v/>
      </c>
      <c r="BD72">
        <f>$C72*BD71</f>
        <v/>
      </c>
      <c r="BE72">
        <f>$C72*BE71</f>
        <v/>
      </c>
      <c r="BF72">
        <f>$C72*BF71</f>
        <v/>
      </c>
      <c r="BG72">
        <f>$C72*BG71</f>
        <v/>
      </c>
      <c r="BH72">
        <f>$C72*BH71</f>
        <v/>
      </c>
      <c r="BI72">
        <f>$C72*BI71</f>
        <v/>
      </c>
      <c r="BJ72">
        <f>$C72*BJ71</f>
        <v/>
      </c>
      <c r="BK72">
        <f>$C72*BK71</f>
        <v/>
      </c>
      <c r="BL72">
        <f>$C72*BL71</f>
        <v/>
      </c>
      <c r="BM72">
        <f>$C72*BM71</f>
        <v/>
      </c>
      <c r="BN72">
        <f>$C72*BN71</f>
        <v/>
      </c>
      <c r="BO72">
        <f>$C72*BO71</f>
        <v/>
      </c>
      <c r="BP72">
        <f>$C72*BP71</f>
        <v/>
      </c>
      <c r="BQ72">
        <f>$C72*BQ71</f>
        <v/>
      </c>
      <c r="BR72">
        <f>$C72*BR71</f>
        <v/>
      </c>
      <c r="BS72">
        <f>$C72*BS71</f>
        <v/>
      </c>
      <c r="BT72">
        <f>$C72*BT71</f>
        <v/>
      </c>
      <c r="BU72">
        <f>$C72*BU71</f>
        <v/>
      </c>
      <c r="BV72">
        <f>$C72*BV71</f>
        <v/>
      </c>
      <c r="BW72">
        <f>$C72*BW71</f>
        <v/>
      </c>
      <c r="BX72">
        <f>$C72*BX71</f>
        <v/>
      </c>
      <c r="BY72">
        <f>$C72*BY71</f>
        <v/>
      </c>
      <c r="BZ72">
        <f>$C72*BZ71</f>
        <v/>
      </c>
      <c r="CA72">
        <f>$C72*CA71</f>
        <v/>
      </c>
      <c r="CB72">
        <f>$C72*CB71</f>
        <v/>
      </c>
      <c r="CC72">
        <f>$C72*CC71</f>
        <v/>
      </c>
      <c r="CD72">
        <f>$C72*CD71</f>
        <v/>
      </c>
      <c r="CE72">
        <f>$C72*CE71</f>
        <v/>
      </c>
      <c r="CF72">
        <f>$C72*CF71</f>
        <v/>
      </c>
      <c r="CG72">
        <f>$C72*CG71</f>
        <v/>
      </c>
      <c r="CH72">
        <f>$C72*CH71</f>
        <v/>
      </c>
      <c r="CI72">
        <f>$C72*CI71</f>
        <v/>
      </c>
      <c r="CJ72">
        <f>$C72*CJ71</f>
        <v/>
      </c>
      <c r="CK72">
        <f>$C72*CK71</f>
        <v/>
      </c>
      <c r="CL72">
        <f>$C72*CL71</f>
        <v/>
      </c>
      <c r="CM72">
        <f>$C72*CM71</f>
        <v/>
      </c>
      <c r="CN72">
        <f>$C72*CN71</f>
        <v/>
      </c>
      <c r="CO72">
        <f>$C72*CO71</f>
        <v/>
      </c>
      <c r="CP72">
        <f>$C72*CP71</f>
        <v/>
      </c>
      <c r="CQ72">
        <f>$C72*CQ71</f>
        <v/>
      </c>
      <c r="CR72">
        <f>$C72*CR71</f>
        <v/>
      </c>
      <c r="CS72">
        <f>$C72*CS71</f>
        <v/>
      </c>
      <c r="CT72">
        <f>$C72*CT71</f>
        <v/>
      </c>
      <c r="CU72">
        <f>$C72*CU71</f>
        <v/>
      </c>
      <c r="CV72">
        <f>$C72*CV71</f>
        <v/>
      </c>
      <c r="CW72">
        <f>$C72*CW71</f>
        <v/>
      </c>
      <c r="CX72">
        <f>$C72*CX71</f>
        <v/>
      </c>
      <c r="CY72">
        <f>$C72*CY71</f>
        <v/>
      </c>
      <c r="CZ72">
        <f>$C72*CZ71</f>
        <v/>
      </c>
      <c r="DA72">
        <f>$C72*DA71</f>
        <v/>
      </c>
      <c r="DB72">
        <f>$C72*DB71</f>
        <v/>
      </c>
      <c r="DC72">
        <f>$C72*DC71</f>
        <v/>
      </c>
    </row>
    <row r="73">
      <c r="B73" t="inlineStr">
        <is>
          <t>TSP-219</t>
        </is>
      </c>
      <c r="C73" t="inlineStr">
        <is>
          <t>No. of batches</t>
        </is>
      </c>
      <c r="D73">
        <f>IFERROR(INDEX(PP_Grid[#Data],$DD73,2),0)</f>
        <v/>
      </c>
      <c r="E73">
        <f>IFERROR(INDEX(PP_Grid[#Data],$DD73,3),0)</f>
        <v/>
      </c>
      <c r="F73">
        <f>IFERROR(INDEX(PP_Grid[#Data],$DD73,4),0)</f>
        <v/>
      </c>
      <c r="G73">
        <f>IFERROR(INDEX(PP_Grid[#Data],$DD73,5),0)</f>
        <v/>
      </c>
      <c r="H73">
        <f>IFERROR(INDEX(PP_Grid[#Data],$DD73,6),0)</f>
        <v/>
      </c>
      <c r="I73">
        <f>IFERROR(INDEX(PP_Grid[#Data],$DD73,7),0)</f>
        <v/>
      </c>
      <c r="J73">
        <f>IFERROR(INDEX(PP_Grid[#Data],$DD73,8),0)</f>
        <v/>
      </c>
      <c r="K73">
        <f>IFERROR(INDEX(PP_Grid[#Data],$DD73,9),0)</f>
        <v/>
      </c>
      <c r="L73">
        <f>IFERROR(INDEX(PP_Grid[#Data],$DD73,10),0)</f>
        <v/>
      </c>
      <c r="M73">
        <f>IFERROR(INDEX(PP_Grid[#Data],$DD73,11),0)</f>
        <v/>
      </c>
      <c r="N73">
        <f>IFERROR(INDEX(PP_Grid[#Data],$DD73,12),0)</f>
        <v/>
      </c>
      <c r="O73">
        <f>IFERROR(INDEX(PP_Grid[#Data],$DD73,13),0)</f>
        <v/>
      </c>
      <c r="P73">
        <f>IFERROR(INDEX(PP_Grid[#Data],$DD73,14),0)</f>
        <v/>
      </c>
      <c r="Q73">
        <f>IFERROR(INDEX(PP_Grid[#Data],$DD73,15),0)</f>
        <v/>
      </c>
      <c r="R73">
        <f>IFERROR(INDEX(PP_Grid[#Data],$DD73,16),0)</f>
        <v/>
      </c>
      <c r="S73">
        <f>IFERROR(INDEX(PP_Grid[#Data],$DD73,17),0)</f>
        <v/>
      </c>
      <c r="T73">
        <f>IFERROR(INDEX(PP_Grid[#Data],$DD73,18),0)</f>
        <v/>
      </c>
      <c r="U73">
        <f>IFERROR(INDEX(PP_Grid[#Data],$DD73,19),0)</f>
        <v/>
      </c>
      <c r="V73">
        <f>IFERROR(INDEX(PP_Grid[#Data],$DD73,20),0)</f>
        <v/>
      </c>
      <c r="W73">
        <f>IFERROR(INDEX(PP_Grid[#Data],$DD73,21),0)</f>
        <v/>
      </c>
      <c r="X73">
        <f>IFERROR(INDEX(PP_Grid[#Data],$DD73,22),0)</f>
        <v/>
      </c>
      <c r="Y73">
        <f>IFERROR(INDEX(PP_Grid[#Data],$DD73,23),0)</f>
        <v/>
      </c>
      <c r="Z73">
        <f>IFERROR(INDEX(PP_Grid[#Data],$DD73,24),0)</f>
        <v/>
      </c>
      <c r="AA73">
        <f>IFERROR(INDEX(PP_Grid[#Data],$DD73,25),0)</f>
        <v/>
      </c>
      <c r="AB73">
        <f>IFERROR(INDEX(PP_Grid[#Data],$DD73,26),0)</f>
        <v/>
      </c>
      <c r="AC73">
        <f>IFERROR(INDEX(PP_Grid[#Data],$DD73,27),0)</f>
        <v/>
      </c>
      <c r="AD73">
        <f>IFERROR(INDEX(PP_Grid[#Data],$DD73,28),0)</f>
        <v/>
      </c>
      <c r="AE73">
        <f>IFERROR(INDEX(PP_Grid[#Data],$DD73,29),0)</f>
        <v/>
      </c>
      <c r="AF73">
        <f>IFERROR(INDEX(PP_Grid[#Data],$DD73,30),0)</f>
        <v/>
      </c>
      <c r="AG73">
        <f>IFERROR(INDEX(PP_Grid[#Data],$DD73,31),0)</f>
        <v/>
      </c>
      <c r="AH73">
        <f>IFERROR(INDEX(PP_Grid[#Data],$DD73,32),0)</f>
        <v/>
      </c>
      <c r="AI73">
        <f>IFERROR(INDEX(PP_Grid[#Data],$DD73,33),0)</f>
        <v/>
      </c>
      <c r="AJ73">
        <f>IFERROR(INDEX(PP_Grid[#Data],$DD73,34),0)</f>
        <v/>
      </c>
      <c r="AK73">
        <f>IFERROR(INDEX(PP_Grid[#Data],$DD73,35),0)</f>
        <v/>
      </c>
      <c r="AL73">
        <f>IFERROR(INDEX(PP_Grid[#Data],$DD73,36),0)</f>
        <v/>
      </c>
      <c r="AM73">
        <f>IFERROR(INDEX(PP_Grid[#Data],$DD73,37),0)</f>
        <v/>
      </c>
      <c r="AN73">
        <f>IFERROR(INDEX(PP_Grid[#Data],$DD73,38),0)</f>
        <v/>
      </c>
      <c r="AO73">
        <f>IFERROR(INDEX(PP_Grid[#Data],$DD73,39),0)</f>
        <v/>
      </c>
      <c r="AP73">
        <f>IFERROR(INDEX(PP_Grid[#Data],$DD73,40),0)</f>
        <v/>
      </c>
      <c r="AQ73">
        <f>IFERROR(INDEX(PP_Grid[#Data],$DD73,41),0)</f>
        <v/>
      </c>
      <c r="AR73">
        <f>IFERROR(INDEX(PP_Grid[#Data],$DD73,42),0)</f>
        <v/>
      </c>
      <c r="AS73">
        <f>IFERROR(INDEX(PP_Grid[#Data],$DD73,43),0)</f>
        <v/>
      </c>
      <c r="AT73">
        <f>IFERROR(INDEX(PP_Grid[#Data],$DD73,44),0)</f>
        <v/>
      </c>
      <c r="AU73">
        <f>IFERROR(INDEX(PP_Grid[#Data],$DD73,45),0)</f>
        <v/>
      </c>
      <c r="AV73">
        <f>IFERROR(INDEX(PP_Grid[#Data],$DD73,46),0)</f>
        <v/>
      </c>
      <c r="AW73">
        <f>IFERROR(INDEX(PP_Grid[#Data],$DD73,47),0)</f>
        <v/>
      </c>
      <c r="AX73">
        <f>IFERROR(INDEX(PP_Grid[#Data],$DD73,48),0)</f>
        <v/>
      </c>
      <c r="AY73">
        <f>IFERROR(INDEX(PP_Grid[#Data],$DD73,49),0)</f>
        <v/>
      </c>
      <c r="AZ73">
        <f>IFERROR(INDEX(PP_Grid[#Data],$DD73,50),0)</f>
        <v/>
      </c>
      <c r="BA73">
        <f>IFERROR(INDEX(PP_Grid[#Data],$DD73,51),0)</f>
        <v/>
      </c>
      <c r="BB73">
        <f>IFERROR(INDEX(PP_Grid[#Data],$DD73,52),0)</f>
        <v/>
      </c>
      <c r="BC73">
        <f>IFERROR(INDEX(PP_Grid[#Data],$DD73,53),0)</f>
        <v/>
      </c>
      <c r="BD73">
        <f>IFERROR(INDEX(PP_Grid[#Data],$DD73,54),0)</f>
        <v/>
      </c>
      <c r="BE73">
        <f>IFERROR(INDEX(PP_Grid[#Data],$DD73,55),0)</f>
        <v/>
      </c>
      <c r="BF73">
        <f>IFERROR(INDEX(PP_Grid[#Data],$DD73,56),0)</f>
        <v/>
      </c>
      <c r="BG73">
        <f>IFERROR(INDEX(PP_Grid[#Data],$DD73,57),0)</f>
        <v/>
      </c>
      <c r="BH73">
        <f>IFERROR(INDEX(PP_Grid[#Data],$DD73,58),0)</f>
        <v/>
      </c>
      <c r="BI73">
        <f>IFERROR(INDEX(PP_Grid[#Data],$DD73,59),0)</f>
        <v/>
      </c>
      <c r="BJ73">
        <f>IFERROR(INDEX(PP_Grid[#Data],$DD73,60),0)</f>
        <v/>
      </c>
      <c r="BK73">
        <f>IFERROR(INDEX(PP_Grid[#Data],$DD73,61),0)</f>
        <v/>
      </c>
      <c r="BL73">
        <f>IFERROR(INDEX(PP_Grid[#Data],$DD73,62),0)</f>
        <v/>
      </c>
      <c r="BM73">
        <f>IFERROR(INDEX(PP_Grid[#Data],$DD73,63),0)</f>
        <v/>
      </c>
      <c r="BN73">
        <f>IFERROR(INDEX(PP_Grid[#Data],$DD73,64),0)</f>
        <v/>
      </c>
      <c r="BO73">
        <f>IFERROR(INDEX(PP_Grid[#Data],$DD73,65),0)</f>
        <v/>
      </c>
      <c r="BP73">
        <f>IFERROR(INDEX(PP_Grid[#Data],$DD73,66),0)</f>
        <v/>
      </c>
      <c r="BQ73">
        <f>IFERROR(INDEX(PP_Grid[#Data],$DD73,67),0)</f>
        <v/>
      </c>
      <c r="BR73">
        <f>IFERROR(INDEX(PP_Grid[#Data],$DD73,68),0)</f>
        <v/>
      </c>
      <c r="BS73">
        <f>IFERROR(INDEX(PP_Grid[#Data],$DD73,69),0)</f>
        <v/>
      </c>
      <c r="BT73">
        <f>IFERROR(INDEX(PP_Grid[#Data],$DD73,70),0)</f>
        <v/>
      </c>
      <c r="BU73">
        <f>IFERROR(INDEX(PP_Grid[#Data],$DD73,71),0)</f>
        <v/>
      </c>
      <c r="BV73">
        <f>IFERROR(INDEX(PP_Grid[#Data],$DD73,72),0)</f>
        <v/>
      </c>
      <c r="BW73">
        <f>IFERROR(INDEX(PP_Grid[#Data],$DD73,73),0)</f>
        <v/>
      </c>
      <c r="BX73">
        <f>IFERROR(INDEX(PP_Grid[#Data],$DD73,74),0)</f>
        <v/>
      </c>
      <c r="BY73">
        <f>IFERROR(INDEX(PP_Grid[#Data],$DD73,75),0)</f>
        <v/>
      </c>
      <c r="BZ73">
        <f>IFERROR(INDEX(PP_Grid[#Data],$DD73,76),0)</f>
        <v/>
      </c>
      <c r="CA73">
        <f>IFERROR(INDEX(PP_Grid[#Data],$DD73,77),0)</f>
        <v/>
      </c>
      <c r="CB73">
        <f>IFERROR(INDEX(PP_Grid[#Data],$DD73,78),0)</f>
        <v/>
      </c>
      <c r="CC73">
        <f>IFERROR(INDEX(PP_Grid[#Data],$DD73,79),0)</f>
        <v/>
      </c>
      <c r="CD73">
        <f>IFERROR(INDEX(PP_Grid[#Data],$DD73,80),0)</f>
        <v/>
      </c>
      <c r="CE73">
        <f>IFERROR(INDEX(PP_Grid[#Data],$DD73,81),0)</f>
        <v/>
      </c>
      <c r="CF73">
        <f>IFERROR(INDEX(PP_Grid[#Data],$DD73,82),0)</f>
        <v/>
      </c>
      <c r="CG73">
        <f>IFERROR(INDEX(PP_Grid[#Data],$DD73,83),0)</f>
        <v/>
      </c>
      <c r="CH73">
        <f>IFERROR(INDEX(PP_Grid[#Data],$DD73,84),0)</f>
        <v/>
      </c>
      <c r="CI73">
        <f>IFERROR(INDEX(PP_Grid[#Data],$DD73,85),0)</f>
        <v/>
      </c>
      <c r="CJ73">
        <f>IFERROR(INDEX(PP_Grid[#Data],$DD73,86),0)</f>
        <v/>
      </c>
      <c r="CK73">
        <f>IFERROR(INDEX(PP_Grid[#Data],$DD73,87),0)</f>
        <v/>
      </c>
      <c r="CL73">
        <f>IFERROR(INDEX(PP_Grid[#Data],$DD73,88),0)</f>
        <v/>
      </c>
      <c r="CM73">
        <f>IFERROR(INDEX(PP_Grid[#Data],$DD73,89),0)</f>
        <v/>
      </c>
      <c r="CN73">
        <f>IFERROR(INDEX(PP_Grid[#Data],$DD73,90),0)</f>
        <v/>
      </c>
      <c r="CO73">
        <f>IFERROR(INDEX(PP_Grid[#Data],$DD73,91),0)</f>
        <v/>
      </c>
      <c r="CP73">
        <f>IFERROR(INDEX(PP_Grid[#Data],$DD73,92),0)</f>
        <v/>
      </c>
      <c r="CQ73">
        <f>IFERROR(INDEX(PP_Grid[#Data],$DD73,93),0)</f>
        <v/>
      </c>
      <c r="CR73">
        <f>IFERROR(INDEX(PP_Grid[#Data],$DD73,94),0)</f>
        <v/>
      </c>
      <c r="CS73">
        <f>IFERROR(INDEX(PP_Grid[#Data],$DD73,95),0)</f>
        <v/>
      </c>
      <c r="CT73">
        <f>IFERROR(INDEX(PP_Grid[#Data],$DD73,96),0)</f>
        <v/>
      </c>
      <c r="CU73">
        <f>IFERROR(INDEX(PP_Grid[#Data],$DD73,97),0)</f>
        <v/>
      </c>
      <c r="CV73">
        <f>IFERROR(INDEX(PP_Grid[#Data],$DD73,98),0)</f>
        <v/>
      </c>
      <c r="CW73">
        <f>IFERROR(INDEX(PP_Grid[#Data],$DD73,99),0)</f>
        <v/>
      </c>
      <c r="CX73">
        <f>IFERROR(INDEX(PP_Grid[#Data],$DD73,100),0)</f>
        <v/>
      </c>
      <c r="CY73">
        <f>IFERROR(INDEX(PP_Grid[#Data],$DD73,101),0)</f>
        <v/>
      </c>
      <c r="CZ73">
        <f>IFERROR(INDEX(PP_Grid[#Data],$DD73,102),0)</f>
        <v/>
      </c>
      <c r="DA73">
        <f>IFERROR(INDEX(PP_Grid[#Data],$DD73,103),0)</f>
        <v/>
      </c>
      <c r="DB73">
        <f>IFERROR(INDEX(PP_Grid[#Data],$DD73,104),0)</f>
        <v/>
      </c>
      <c r="DC73">
        <f>IFERROR(INDEX(PP_Grid[#Data],$DD73,105),0)</f>
        <v/>
      </c>
      <c r="DD73" s="7">
        <f>IFERROR(MATCH($B73,PP_Grid[Intermediate],0),99999)</f>
        <v/>
      </c>
    </row>
    <row r="74">
      <c r="B74" t="inlineStr">
        <is>
          <t>使用量(kg)</t>
        </is>
      </c>
      <c r="C74">
        <f>SUMIFS(M_BOM[RM_Qty_Per_Batch],M_BOM[Intermediate],$B73,M_BOM[Part Name],$A44)</f>
        <v/>
      </c>
      <c r="D74">
        <f>$C74*D73</f>
        <v/>
      </c>
      <c r="E74">
        <f>$C74*E73</f>
        <v/>
      </c>
      <c r="F74">
        <f>$C74*F73</f>
        <v/>
      </c>
      <c r="G74">
        <f>$C74*G73</f>
        <v/>
      </c>
      <c r="H74">
        <f>$C74*H73</f>
        <v/>
      </c>
      <c r="I74">
        <f>$C74*I73</f>
        <v/>
      </c>
      <c r="J74">
        <f>$C74*J73</f>
        <v/>
      </c>
      <c r="K74">
        <f>$C74*K73</f>
        <v/>
      </c>
      <c r="L74">
        <f>$C74*L73</f>
        <v/>
      </c>
      <c r="M74">
        <f>$C74*M73</f>
        <v/>
      </c>
      <c r="N74">
        <f>$C74*N73</f>
        <v/>
      </c>
      <c r="O74">
        <f>$C74*O73</f>
        <v/>
      </c>
      <c r="P74">
        <f>$C74*P73</f>
        <v/>
      </c>
      <c r="Q74">
        <f>$C74*Q73</f>
        <v/>
      </c>
      <c r="R74">
        <f>$C74*R73</f>
        <v/>
      </c>
      <c r="S74">
        <f>$C74*S73</f>
        <v/>
      </c>
      <c r="T74">
        <f>$C74*T73</f>
        <v/>
      </c>
      <c r="U74">
        <f>$C74*U73</f>
        <v/>
      </c>
      <c r="V74">
        <f>$C74*V73</f>
        <v/>
      </c>
      <c r="W74">
        <f>$C74*W73</f>
        <v/>
      </c>
      <c r="X74">
        <f>$C74*X73</f>
        <v/>
      </c>
      <c r="Y74">
        <f>$C74*Y73</f>
        <v/>
      </c>
      <c r="Z74">
        <f>$C74*Z73</f>
        <v/>
      </c>
      <c r="AA74">
        <f>$C74*AA73</f>
        <v/>
      </c>
      <c r="AB74">
        <f>$C74*AB73</f>
        <v/>
      </c>
      <c r="AC74">
        <f>$C74*AC73</f>
        <v/>
      </c>
      <c r="AD74">
        <f>$C74*AD73</f>
        <v/>
      </c>
      <c r="AE74">
        <f>$C74*AE73</f>
        <v/>
      </c>
      <c r="AF74">
        <f>$C74*AF73</f>
        <v/>
      </c>
      <c r="AG74">
        <f>$C74*AG73</f>
        <v/>
      </c>
      <c r="AH74">
        <f>$C74*AH73</f>
        <v/>
      </c>
      <c r="AI74">
        <f>$C74*AI73</f>
        <v/>
      </c>
      <c r="AJ74">
        <f>$C74*AJ73</f>
        <v/>
      </c>
      <c r="AK74">
        <f>$C74*AK73</f>
        <v/>
      </c>
      <c r="AL74">
        <f>$C74*AL73</f>
        <v/>
      </c>
      <c r="AM74">
        <f>$C74*AM73</f>
        <v/>
      </c>
      <c r="AN74">
        <f>$C74*AN73</f>
        <v/>
      </c>
      <c r="AO74">
        <f>$C74*AO73</f>
        <v/>
      </c>
      <c r="AP74">
        <f>$C74*AP73</f>
        <v/>
      </c>
      <c r="AQ74">
        <f>$C74*AQ73</f>
        <v/>
      </c>
      <c r="AR74">
        <f>$C74*AR73</f>
        <v/>
      </c>
      <c r="AS74">
        <f>$C74*AS73</f>
        <v/>
      </c>
      <c r="AT74">
        <f>$C74*AT73</f>
        <v/>
      </c>
      <c r="AU74">
        <f>$C74*AU73</f>
        <v/>
      </c>
      <c r="AV74">
        <f>$C74*AV73</f>
        <v/>
      </c>
      <c r="AW74">
        <f>$C74*AW73</f>
        <v/>
      </c>
      <c r="AX74">
        <f>$C74*AX73</f>
        <v/>
      </c>
      <c r="AY74">
        <f>$C74*AY73</f>
        <v/>
      </c>
      <c r="AZ74">
        <f>$C74*AZ73</f>
        <v/>
      </c>
      <c r="BA74">
        <f>$C74*BA73</f>
        <v/>
      </c>
      <c r="BB74">
        <f>$C74*BB73</f>
        <v/>
      </c>
      <c r="BC74">
        <f>$C74*BC73</f>
        <v/>
      </c>
      <c r="BD74">
        <f>$C74*BD73</f>
        <v/>
      </c>
      <c r="BE74">
        <f>$C74*BE73</f>
        <v/>
      </c>
      <c r="BF74">
        <f>$C74*BF73</f>
        <v/>
      </c>
      <c r="BG74">
        <f>$C74*BG73</f>
        <v/>
      </c>
      <c r="BH74">
        <f>$C74*BH73</f>
        <v/>
      </c>
      <c r="BI74">
        <f>$C74*BI73</f>
        <v/>
      </c>
      <c r="BJ74">
        <f>$C74*BJ73</f>
        <v/>
      </c>
      <c r="BK74">
        <f>$C74*BK73</f>
        <v/>
      </c>
      <c r="BL74">
        <f>$C74*BL73</f>
        <v/>
      </c>
      <c r="BM74">
        <f>$C74*BM73</f>
        <v/>
      </c>
      <c r="BN74">
        <f>$C74*BN73</f>
        <v/>
      </c>
      <c r="BO74">
        <f>$C74*BO73</f>
        <v/>
      </c>
      <c r="BP74">
        <f>$C74*BP73</f>
        <v/>
      </c>
      <c r="BQ74">
        <f>$C74*BQ73</f>
        <v/>
      </c>
      <c r="BR74">
        <f>$C74*BR73</f>
        <v/>
      </c>
      <c r="BS74">
        <f>$C74*BS73</f>
        <v/>
      </c>
      <c r="BT74">
        <f>$C74*BT73</f>
        <v/>
      </c>
      <c r="BU74">
        <f>$C74*BU73</f>
        <v/>
      </c>
      <c r="BV74">
        <f>$C74*BV73</f>
        <v/>
      </c>
      <c r="BW74">
        <f>$C74*BW73</f>
        <v/>
      </c>
      <c r="BX74">
        <f>$C74*BX73</f>
        <v/>
      </c>
      <c r="BY74">
        <f>$C74*BY73</f>
        <v/>
      </c>
      <c r="BZ74">
        <f>$C74*BZ73</f>
        <v/>
      </c>
      <c r="CA74">
        <f>$C74*CA73</f>
        <v/>
      </c>
      <c r="CB74">
        <f>$C74*CB73</f>
        <v/>
      </c>
      <c r="CC74">
        <f>$C74*CC73</f>
        <v/>
      </c>
      <c r="CD74">
        <f>$C74*CD73</f>
        <v/>
      </c>
      <c r="CE74">
        <f>$C74*CE73</f>
        <v/>
      </c>
      <c r="CF74">
        <f>$C74*CF73</f>
        <v/>
      </c>
      <c r="CG74">
        <f>$C74*CG73</f>
        <v/>
      </c>
      <c r="CH74">
        <f>$C74*CH73</f>
        <v/>
      </c>
      <c r="CI74">
        <f>$C74*CI73</f>
        <v/>
      </c>
      <c r="CJ74">
        <f>$C74*CJ73</f>
        <v/>
      </c>
      <c r="CK74">
        <f>$C74*CK73</f>
        <v/>
      </c>
      <c r="CL74">
        <f>$C74*CL73</f>
        <v/>
      </c>
      <c r="CM74">
        <f>$C74*CM73</f>
        <v/>
      </c>
      <c r="CN74">
        <f>$C74*CN73</f>
        <v/>
      </c>
      <c r="CO74">
        <f>$C74*CO73</f>
        <v/>
      </c>
      <c r="CP74">
        <f>$C74*CP73</f>
        <v/>
      </c>
      <c r="CQ74">
        <f>$C74*CQ73</f>
        <v/>
      </c>
      <c r="CR74">
        <f>$C74*CR73</f>
        <v/>
      </c>
      <c r="CS74">
        <f>$C74*CS73</f>
        <v/>
      </c>
      <c r="CT74">
        <f>$C74*CT73</f>
        <v/>
      </c>
      <c r="CU74">
        <f>$C74*CU73</f>
        <v/>
      </c>
      <c r="CV74">
        <f>$C74*CV73</f>
        <v/>
      </c>
      <c r="CW74">
        <f>$C74*CW73</f>
        <v/>
      </c>
      <c r="CX74">
        <f>$C74*CX73</f>
        <v/>
      </c>
      <c r="CY74">
        <f>$C74*CY73</f>
        <v/>
      </c>
      <c r="CZ74">
        <f>$C74*CZ73</f>
        <v/>
      </c>
      <c r="DA74">
        <f>$C74*DA73</f>
        <v/>
      </c>
      <c r="DB74">
        <f>$C74*DB73</f>
        <v/>
      </c>
      <c r="DC74">
        <f>$C74*DC73</f>
        <v/>
      </c>
    </row>
    <row r="75">
      <c r="B75" t="inlineStr">
        <is>
          <t>TSP-224</t>
        </is>
      </c>
      <c r="C75" t="inlineStr">
        <is>
          <t>No. of batches</t>
        </is>
      </c>
      <c r="D75">
        <f>IFERROR(INDEX(PP_Grid[#Data],$DD75,2),0)</f>
        <v/>
      </c>
      <c r="E75">
        <f>IFERROR(INDEX(PP_Grid[#Data],$DD75,3),0)</f>
        <v/>
      </c>
      <c r="F75">
        <f>IFERROR(INDEX(PP_Grid[#Data],$DD75,4),0)</f>
        <v/>
      </c>
      <c r="G75">
        <f>IFERROR(INDEX(PP_Grid[#Data],$DD75,5),0)</f>
        <v/>
      </c>
      <c r="H75">
        <f>IFERROR(INDEX(PP_Grid[#Data],$DD75,6),0)</f>
        <v/>
      </c>
      <c r="I75">
        <f>IFERROR(INDEX(PP_Grid[#Data],$DD75,7),0)</f>
        <v/>
      </c>
      <c r="J75">
        <f>IFERROR(INDEX(PP_Grid[#Data],$DD75,8),0)</f>
        <v/>
      </c>
      <c r="K75">
        <f>IFERROR(INDEX(PP_Grid[#Data],$DD75,9),0)</f>
        <v/>
      </c>
      <c r="L75">
        <f>IFERROR(INDEX(PP_Grid[#Data],$DD75,10),0)</f>
        <v/>
      </c>
      <c r="M75">
        <f>IFERROR(INDEX(PP_Grid[#Data],$DD75,11),0)</f>
        <v/>
      </c>
      <c r="N75">
        <f>IFERROR(INDEX(PP_Grid[#Data],$DD75,12),0)</f>
        <v/>
      </c>
      <c r="O75">
        <f>IFERROR(INDEX(PP_Grid[#Data],$DD75,13),0)</f>
        <v/>
      </c>
      <c r="P75">
        <f>IFERROR(INDEX(PP_Grid[#Data],$DD75,14),0)</f>
        <v/>
      </c>
      <c r="Q75">
        <f>IFERROR(INDEX(PP_Grid[#Data],$DD75,15),0)</f>
        <v/>
      </c>
      <c r="R75">
        <f>IFERROR(INDEX(PP_Grid[#Data],$DD75,16),0)</f>
        <v/>
      </c>
      <c r="S75">
        <f>IFERROR(INDEX(PP_Grid[#Data],$DD75,17),0)</f>
        <v/>
      </c>
      <c r="T75">
        <f>IFERROR(INDEX(PP_Grid[#Data],$DD75,18),0)</f>
        <v/>
      </c>
      <c r="U75">
        <f>IFERROR(INDEX(PP_Grid[#Data],$DD75,19),0)</f>
        <v/>
      </c>
      <c r="V75">
        <f>IFERROR(INDEX(PP_Grid[#Data],$DD75,20),0)</f>
        <v/>
      </c>
      <c r="W75">
        <f>IFERROR(INDEX(PP_Grid[#Data],$DD75,21),0)</f>
        <v/>
      </c>
      <c r="X75">
        <f>IFERROR(INDEX(PP_Grid[#Data],$DD75,22),0)</f>
        <v/>
      </c>
      <c r="Y75">
        <f>IFERROR(INDEX(PP_Grid[#Data],$DD75,23),0)</f>
        <v/>
      </c>
      <c r="Z75">
        <f>IFERROR(INDEX(PP_Grid[#Data],$DD75,24),0)</f>
        <v/>
      </c>
      <c r="AA75">
        <f>IFERROR(INDEX(PP_Grid[#Data],$DD75,25),0)</f>
        <v/>
      </c>
      <c r="AB75">
        <f>IFERROR(INDEX(PP_Grid[#Data],$DD75,26),0)</f>
        <v/>
      </c>
      <c r="AC75">
        <f>IFERROR(INDEX(PP_Grid[#Data],$DD75,27),0)</f>
        <v/>
      </c>
      <c r="AD75">
        <f>IFERROR(INDEX(PP_Grid[#Data],$DD75,28),0)</f>
        <v/>
      </c>
      <c r="AE75">
        <f>IFERROR(INDEX(PP_Grid[#Data],$DD75,29),0)</f>
        <v/>
      </c>
      <c r="AF75">
        <f>IFERROR(INDEX(PP_Grid[#Data],$DD75,30),0)</f>
        <v/>
      </c>
      <c r="AG75">
        <f>IFERROR(INDEX(PP_Grid[#Data],$DD75,31),0)</f>
        <v/>
      </c>
      <c r="AH75">
        <f>IFERROR(INDEX(PP_Grid[#Data],$DD75,32),0)</f>
        <v/>
      </c>
      <c r="AI75">
        <f>IFERROR(INDEX(PP_Grid[#Data],$DD75,33),0)</f>
        <v/>
      </c>
      <c r="AJ75">
        <f>IFERROR(INDEX(PP_Grid[#Data],$DD75,34),0)</f>
        <v/>
      </c>
      <c r="AK75">
        <f>IFERROR(INDEX(PP_Grid[#Data],$DD75,35),0)</f>
        <v/>
      </c>
      <c r="AL75">
        <f>IFERROR(INDEX(PP_Grid[#Data],$DD75,36),0)</f>
        <v/>
      </c>
      <c r="AM75">
        <f>IFERROR(INDEX(PP_Grid[#Data],$DD75,37),0)</f>
        <v/>
      </c>
      <c r="AN75">
        <f>IFERROR(INDEX(PP_Grid[#Data],$DD75,38),0)</f>
        <v/>
      </c>
      <c r="AO75">
        <f>IFERROR(INDEX(PP_Grid[#Data],$DD75,39),0)</f>
        <v/>
      </c>
      <c r="AP75">
        <f>IFERROR(INDEX(PP_Grid[#Data],$DD75,40),0)</f>
        <v/>
      </c>
      <c r="AQ75">
        <f>IFERROR(INDEX(PP_Grid[#Data],$DD75,41),0)</f>
        <v/>
      </c>
      <c r="AR75">
        <f>IFERROR(INDEX(PP_Grid[#Data],$DD75,42),0)</f>
        <v/>
      </c>
      <c r="AS75">
        <f>IFERROR(INDEX(PP_Grid[#Data],$DD75,43),0)</f>
        <v/>
      </c>
      <c r="AT75">
        <f>IFERROR(INDEX(PP_Grid[#Data],$DD75,44),0)</f>
        <v/>
      </c>
      <c r="AU75">
        <f>IFERROR(INDEX(PP_Grid[#Data],$DD75,45),0)</f>
        <v/>
      </c>
      <c r="AV75">
        <f>IFERROR(INDEX(PP_Grid[#Data],$DD75,46),0)</f>
        <v/>
      </c>
      <c r="AW75">
        <f>IFERROR(INDEX(PP_Grid[#Data],$DD75,47),0)</f>
        <v/>
      </c>
      <c r="AX75">
        <f>IFERROR(INDEX(PP_Grid[#Data],$DD75,48),0)</f>
        <v/>
      </c>
      <c r="AY75">
        <f>IFERROR(INDEX(PP_Grid[#Data],$DD75,49),0)</f>
        <v/>
      </c>
      <c r="AZ75">
        <f>IFERROR(INDEX(PP_Grid[#Data],$DD75,50),0)</f>
        <v/>
      </c>
      <c r="BA75">
        <f>IFERROR(INDEX(PP_Grid[#Data],$DD75,51),0)</f>
        <v/>
      </c>
      <c r="BB75">
        <f>IFERROR(INDEX(PP_Grid[#Data],$DD75,52),0)</f>
        <v/>
      </c>
      <c r="BC75">
        <f>IFERROR(INDEX(PP_Grid[#Data],$DD75,53),0)</f>
        <v/>
      </c>
      <c r="BD75">
        <f>IFERROR(INDEX(PP_Grid[#Data],$DD75,54),0)</f>
        <v/>
      </c>
      <c r="BE75">
        <f>IFERROR(INDEX(PP_Grid[#Data],$DD75,55),0)</f>
        <v/>
      </c>
      <c r="BF75">
        <f>IFERROR(INDEX(PP_Grid[#Data],$DD75,56),0)</f>
        <v/>
      </c>
      <c r="BG75">
        <f>IFERROR(INDEX(PP_Grid[#Data],$DD75,57),0)</f>
        <v/>
      </c>
      <c r="BH75">
        <f>IFERROR(INDEX(PP_Grid[#Data],$DD75,58),0)</f>
        <v/>
      </c>
      <c r="BI75">
        <f>IFERROR(INDEX(PP_Grid[#Data],$DD75,59),0)</f>
        <v/>
      </c>
      <c r="BJ75">
        <f>IFERROR(INDEX(PP_Grid[#Data],$DD75,60),0)</f>
        <v/>
      </c>
      <c r="BK75">
        <f>IFERROR(INDEX(PP_Grid[#Data],$DD75,61),0)</f>
        <v/>
      </c>
      <c r="BL75">
        <f>IFERROR(INDEX(PP_Grid[#Data],$DD75,62),0)</f>
        <v/>
      </c>
      <c r="BM75">
        <f>IFERROR(INDEX(PP_Grid[#Data],$DD75,63),0)</f>
        <v/>
      </c>
      <c r="BN75">
        <f>IFERROR(INDEX(PP_Grid[#Data],$DD75,64),0)</f>
        <v/>
      </c>
      <c r="BO75">
        <f>IFERROR(INDEX(PP_Grid[#Data],$DD75,65),0)</f>
        <v/>
      </c>
      <c r="BP75">
        <f>IFERROR(INDEX(PP_Grid[#Data],$DD75,66),0)</f>
        <v/>
      </c>
      <c r="BQ75">
        <f>IFERROR(INDEX(PP_Grid[#Data],$DD75,67),0)</f>
        <v/>
      </c>
      <c r="BR75">
        <f>IFERROR(INDEX(PP_Grid[#Data],$DD75,68),0)</f>
        <v/>
      </c>
      <c r="BS75">
        <f>IFERROR(INDEX(PP_Grid[#Data],$DD75,69),0)</f>
        <v/>
      </c>
      <c r="BT75">
        <f>IFERROR(INDEX(PP_Grid[#Data],$DD75,70),0)</f>
        <v/>
      </c>
      <c r="BU75">
        <f>IFERROR(INDEX(PP_Grid[#Data],$DD75,71),0)</f>
        <v/>
      </c>
      <c r="BV75">
        <f>IFERROR(INDEX(PP_Grid[#Data],$DD75,72),0)</f>
        <v/>
      </c>
      <c r="BW75">
        <f>IFERROR(INDEX(PP_Grid[#Data],$DD75,73),0)</f>
        <v/>
      </c>
      <c r="BX75">
        <f>IFERROR(INDEX(PP_Grid[#Data],$DD75,74),0)</f>
        <v/>
      </c>
      <c r="BY75">
        <f>IFERROR(INDEX(PP_Grid[#Data],$DD75,75),0)</f>
        <v/>
      </c>
      <c r="BZ75">
        <f>IFERROR(INDEX(PP_Grid[#Data],$DD75,76),0)</f>
        <v/>
      </c>
      <c r="CA75">
        <f>IFERROR(INDEX(PP_Grid[#Data],$DD75,77),0)</f>
        <v/>
      </c>
      <c r="CB75">
        <f>IFERROR(INDEX(PP_Grid[#Data],$DD75,78),0)</f>
        <v/>
      </c>
      <c r="CC75">
        <f>IFERROR(INDEX(PP_Grid[#Data],$DD75,79),0)</f>
        <v/>
      </c>
      <c r="CD75">
        <f>IFERROR(INDEX(PP_Grid[#Data],$DD75,80),0)</f>
        <v/>
      </c>
      <c r="CE75">
        <f>IFERROR(INDEX(PP_Grid[#Data],$DD75,81),0)</f>
        <v/>
      </c>
      <c r="CF75">
        <f>IFERROR(INDEX(PP_Grid[#Data],$DD75,82),0)</f>
        <v/>
      </c>
      <c r="CG75">
        <f>IFERROR(INDEX(PP_Grid[#Data],$DD75,83),0)</f>
        <v/>
      </c>
      <c r="CH75">
        <f>IFERROR(INDEX(PP_Grid[#Data],$DD75,84),0)</f>
        <v/>
      </c>
      <c r="CI75">
        <f>IFERROR(INDEX(PP_Grid[#Data],$DD75,85),0)</f>
        <v/>
      </c>
      <c r="CJ75">
        <f>IFERROR(INDEX(PP_Grid[#Data],$DD75,86),0)</f>
        <v/>
      </c>
      <c r="CK75">
        <f>IFERROR(INDEX(PP_Grid[#Data],$DD75,87),0)</f>
        <v/>
      </c>
      <c r="CL75">
        <f>IFERROR(INDEX(PP_Grid[#Data],$DD75,88),0)</f>
        <v/>
      </c>
      <c r="CM75">
        <f>IFERROR(INDEX(PP_Grid[#Data],$DD75,89),0)</f>
        <v/>
      </c>
      <c r="CN75">
        <f>IFERROR(INDEX(PP_Grid[#Data],$DD75,90),0)</f>
        <v/>
      </c>
      <c r="CO75">
        <f>IFERROR(INDEX(PP_Grid[#Data],$DD75,91),0)</f>
        <v/>
      </c>
      <c r="CP75">
        <f>IFERROR(INDEX(PP_Grid[#Data],$DD75,92),0)</f>
        <v/>
      </c>
      <c r="CQ75">
        <f>IFERROR(INDEX(PP_Grid[#Data],$DD75,93),0)</f>
        <v/>
      </c>
      <c r="CR75">
        <f>IFERROR(INDEX(PP_Grid[#Data],$DD75,94),0)</f>
        <v/>
      </c>
      <c r="CS75">
        <f>IFERROR(INDEX(PP_Grid[#Data],$DD75,95),0)</f>
        <v/>
      </c>
      <c r="CT75">
        <f>IFERROR(INDEX(PP_Grid[#Data],$DD75,96),0)</f>
        <v/>
      </c>
      <c r="CU75">
        <f>IFERROR(INDEX(PP_Grid[#Data],$DD75,97),0)</f>
        <v/>
      </c>
      <c r="CV75">
        <f>IFERROR(INDEX(PP_Grid[#Data],$DD75,98),0)</f>
        <v/>
      </c>
      <c r="CW75">
        <f>IFERROR(INDEX(PP_Grid[#Data],$DD75,99),0)</f>
        <v/>
      </c>
      <c r="CX75">
        <f>IFERROR(INDEX(PP_Grid[#Data],$DD75,100),0)</f>
        <v/>
      </c>
      <c r="CY75">
        <f>IFERROR(INDEX(PP_Grid[#Data],$DD75,101),0)</f>
        <v/>
      </c>
      <c r="CZ75">
        <f>IFERROR(INDEX(PP_Grid[#Data],$DD75,102),0)</f>
        <v/>
      </c>
      <c r="DA75">
        <f>IFERROR(INDEX(PP_Grid[#Data],$DD75,103),0)</f>
        <v/>
      </c>
      <c r="DB75">
        <f>IFERROR(INDEX(PP_Grid[#Data],$DD75,104),0)</f>
        <v/>
      </c>
      <c r="DC75">
        <f>IFERROR(INDEX(PP_Grid[#Data],$DD75,105),0)</f>
        <v/>
      </c>
      <c r="DD75" s="7">
        <f>IFERROR(MATCH($B75,PP_Grid[Intermediate],0),99999)</f>
        <v/>
      </c>
    </row>
    <row r="76">
      <c r="B76" t="inlineStr">
        <is>
          <t>使用量(kg)</t>
        </is>
      </c>
      <c r="C76">
        <f>SUMIFS(M_BOM[RM_Qty_Per_Batch],M_BOM[Intermediate],$B75,M_BOM[Part Name],$A44)</f>
        <v/>
      </c>
      <c r="D76">
        <f>$C76*D75</f>
        <v/>
      </c>
      <c r="E76">
        <f>$C76*E75</f>
        <v/>
      </c>
      <c r="F76">
        <f>$C76*F75</f>
        <v/>
      </c>
      <c r="G76">
        <f>$C76*G75</f>
        <v/>
      </c>
      <c r="H76">
        <f>$C76*H75</f>
        <v/>
      </c>
      <c r="I76">
        <f>$C76*I75</f>
        <v/>
      </c>
      <c r="J76">
        <f>$C76*J75</f>
        <v/>
      </c>
      <c r="K76">
        <f>$C76*K75</f>
        <v/>
      </c>
      <c r="L76">
        <f>$C76*L75</f>
        <v/>
      </c>
      <c r="M76">
        <f>$C76*M75</f>
        <v/>
      </c>
      <c r="N76">
        <f>$C76*N75</f>
        <v/>
      </c>
      <c r="O76">
        <f>$C76*O75</f>
        <v/>
      </c>
      <c r="P76">
        <f>$C76*P75</f>
        <v/>
      </c>
      <c r="Q76">
        <f>$C76*Q75</f>
        <v/>
      </c>
      <c r="R76">
        <f>$C76*R75</f>
        <v/>
      </c>
      <c r="S76">
        <f>$C76*S75</f>
        <v/>
      </c>
      <c r="T76">
        <f>$C76*T75</f>
        <v/>
      </c>
      <c r="U76">
        <f>$C76*U75</f>
        <v/>
      </c>
      <c r="V76">
        <f>$C76*V75</f>
        <v/>
      </c>
      <c r="W76">
        <f>$C76*W75</f>
        <v/>
      </c>
      <c r="X76">
        <f>$C76*X75</f>
        <v/>
      </c>
      <c r="Y76">
        <f>$C76*Y75</f>
        <v/>
      </c>
      <c r="Z76">
        <f>$C76*Z75</f>
        <v/>
      </c>
      <c r="AA76">
        <f>$C76*AA75</f>
        <v/>
      </c>
      <c r="AB76">
        <f>$C76*AB75</f>
        <v/>
      </c>
      <c r="AC76">
        <f>$C76*AC75</f>
        <v/>
      </c>
      <c r="AD76">
        <f>$C76*AD75</f>
        <v/>
      </c>
      <c r="AE76">
        <f>$C76*AE75</f>
        <v/>
      </c>
      <c r="AF76">
        <f>$C76*AF75</f>
        <v/>
      </c>
      <c r="AG76">
        <f>$C76*AG75</f>
        <v/>
      </c>
      <c r="AH76">
        <f>$C76*AH75</f>
        <v/>
      </c>
      <c r="AI76">
        <f>$C76*AI75</f>
        <v/>
      </c>
      <c r="AJ76">
        <f>$C76*AJ75</f>
        <v/>
      </c>
      <c r="AK76">
        <f>$C76*AK75</f>
        <v/>
      </c>
      <c r="AL76">
        <f>$C76*AL75</f>
        <v/>
      </c>
      <c r="AM76">
        <f>$C76*AM75</f>
        <v/>
      </c>
      <c r="AN76">
        <f>$C76*AN75</f>
        <v/>
      </c>
      <c r="AO76">
        <f>$C76*AO75</f>
        <v/>
      </c>
      <c r="AP76">
        <f>$C76*AP75</f>
        <v/>
      </c>
      <c r="AQ76">
        <f>$C76*AQ75</f>
        <v/>
      </c>
      <c r="AR76">
        <f>$C76*AR75</f>
        <v/>
      </c>
      <c r="AS76">
        <f>$C76*AS75</f>
        <v/>
      </c>
      <c r="AT76">
        <f>$C76*AT75</f>
        <v/>
      </c>
      <c r="AU76">
        <f>$C76*AU75</f>
        <v/>
      </c>
      <c r="AV76">
        <f>$C76*AV75</f>
        <v/>
      </c>
      <c r="AW76">
        <f>$C76*AW75</f>
        <v/>
      </c>
      <c r="AX76">
        <f>$C76*AX75</f>
        <v/>
      </c>
      <c r="AY76">
        <f>$C76*AY75</f>
        <v/>
      </c>
      <c r="AZ76">
        <f>$C76*AZ75</f>
        <v/>
      </c>
      <c r="BA76">
        <f>$C76*BA75</f>
        <v/>
      </c>
      <c r="BB76">
        <f>$C76*BB75</f>
        <v/>
      </c>
      <c r="BC76">
        <f>$C76*BC75</f>
        <v/>
      </c>
      <c r="BD76">
        <f>$C76*BD75</f>
        <v/>
      </c>
      <c r="BE76">
        <f>$C76*BE75</f>
        <v/>
      </c>
      <c r="BF76">
        <f>$C76*BF75</f>
        <v/>
      </c>
      <c r="BG76">
        <f>$C76*BG75</f>
        <v/>
      </c>
      <c r="BH76">
        <f>$C76*BH75</f>
        <v/>
      </c>
      <c r="BI76">
        <f>$C76*BI75</f>
        <v/>
      </c>
      <c r="BJ76">
        <f>$C76*BJ75</f>
        <v/>
      </c>
      <c r="BK76">
        <f>$C76*BK75</f>
        <v/>
      </c>
      <c r="BL76">
        <f>$C76*BL75</f>
        <v/>
      </c>
      <c r="BM76">
        <f>$C76*BM75</f>
        <v/>
      </c>
      <c r="BN76">
        <f>$C76*BN75</f>
        <v/>
      </c>
      <c r="BO76">
        <f>$C76*BO75</f>
        <v/>
      </c>
      <c r="BP76">
        <f>$C76*BP75</f>
        <v/>
      </c>
      <c r="BQ76">
        <f>$C76*BQ75</f>
        <v/>
      </c>
      <c r="BR76">
        <f>$C76*BR75</f>
        <v/>
      </c>
      <c r="BS76">
        <f>$C76*BS75</f>
        <v/>
      </c>
      <c r="BT76">
        <f>$C76*BT75</f>
        <v/>
      </c>
      <c r="BU76">
        <f>$C76*BU75</f>
        <v/>
      </c>
      <c r="BV76">
        <f>$C76*BV75</f>
        <v/>
      </c>
      <c r="BW76">
        <f>$C76*BW75</f>
        <v/>
      </c>
      <c r="BX76">
        <f>$C76*BX75</f>
        <v/>
      </c>
      <c r="BY76">
        <f>$C76*BY75</f>
        <v/>
      </c>
      <c r="BZ76">
        <f>$C76*BZ75</f>
        <v/>
      </c>
      <c r="CA76">
        <f>$C76*CA75</f>
        <v/>
      </c>
      <c r="CB76">
        <f>$C76*CB75</f>
        <v/>
      </c>
      <c r="CC76">
        <f>$C76*CC75</f>
        <v/>
      </c>
      <c r="CD76">
        <f>$C76*CD75</f>
        <v/>
      </c>
      <c r="CE76">
        <f>$C76*CE75</f>
        <v/>
      </c>
      <c r="CF76">
        <f>$C76*CF75</f>
        <v/>
      </c>
      <c r="CG76">
        <f>$C76*CG75</f>
        <v/>
      </c>
      <c r="CH76">
        <f>$C76*CH75</f>
        <v/>
      </c>
      <c r="CI76">
        <f>$C76*CI75</f>
        <v/>
      </c>
      <c r="CJ76">
        <f>$C76*CJ75</f>
        <v/>
      </c>
      <c r="CK76">
        <f>$C76*CK75</f>
        <v/>
      </c>
      <c r="CL76">
        <f>$C76*CL75</f>
        <v/>
      </c>
      <c r="CM76">
        <f>$C76*CM75</f>
        <v/>
      </c>
      <c r="CN76">
        <f>$C76*CN75</f>
        <v/>
      </c>
      <c r="CO76">
        <f>$C76*CO75</f>
        <v/>
      </c>
      <c r="CP76">
        <f>$C76*CP75</f>
        <v/>
      </c>
      <c r="CQ76">
        <f>$C76*CQ75</f>
        <v/>
      </c>
      <c r="CR76">
        <f>$C76*CR75</f>
        <v/>
      </c>
      <c r="CS76">
        <f>$C76*CS75</f>
        <v/>
      </c>
      <c r="CT76">
        <f>$C76*CT75</f>
        <v/>
      </c>
      <c r="CU76">
        <f>$C76*CU75</f>
        <v/>
      </c>
      <c r="CV76">
        <f>$C76*CV75</f>
        <v/>
      </c>
      <c r="CW76">
        <f>$C76*CW75</f>
        <v/>
      </c>
      <c r="CX76">
        <f>$C76*CX75</f>
        <v/>
      </c>
      <c r="CY76">
        <f>$C76*CY75</f>
        <v/>
      </c>
      <c r="CZ76">
        <f>$C76*CZ75</f>
        <v/>
      </c>
      <c r="DA76">
        <f>$C76*DA75</f>
        <v/>
      </c>
      <c r="DB76">
        <f>$C76*DB75</f>
        <v/>
      </c>
      <c r="DC76">
        <f>$C76*DC75</f>
        <v/>
      </c>
    </row>
    <row r="77">
      <c r="B77" t="inlineStr">
        <is>
          <t>TSP-225</t>
        </is>
      </c>
      <c r="C77" t="inlineStr">
        <is>
          <t>No. of batches</t>
        </is>
      </c>
      <c r="D77">
        <f>IFERROR(INDEX(PP_Grid[#Data],$DD77,2),0)</f>
        <v/>
      </c>
      <c r="E77">
        <f>IFERROR(INDEX(PP_Grid[#Data],$DD77,3),0)</f>
        <v/>
      </c>
      <c r="F77">
        <f>IFERROR(INDEX(PP_Grid[#Data],$DD77,4),0)</f>
        <v/>
      </c>
      <c r="G77">
        <f>IFERROR(INDEX(PP_Grid[#Data],$DD77,5),0)</f>
        <v/>
      </c>
      <c r="H77">
        <f>IFERROR(INDEX(PP_Grid[#Data],$DD77,6),0)</f>
        <v/>
      </c>
      <c r="I77">
        <f>IFERROR(INDEX(PP_Grid[#Data],$DD77,7),0)</f>
        <v/>
      </c>
      <c r="J77">
        <f>IFERROR(INDEX(PP_Grid[#Data],$DD77,8),0)</f>
        <v/>
      </c>
      <c r="K77">
        <f>IFERROR(INDEX(PP_Grid[#Data],$DD77,9),0)</f>
        <v/>
      </c>
      <c r="L77">
        <f>IFERROR(INDEX(PP_Grid[#Data],$DD77,10),0)</f>
        <v/>
      </c>
      <c r="M77">
        <f>IFERROR(INDEX(PP_Grid[#Data],$DD77,11),0)</f>
        <v/>
      </c>
      <c r="N77">
        <f>IFERROR(INDEX(PP_Grid[#Data],$DD77,12),0)</f>
        <v/>
      </c>
      <c r="O77">
        <f>IFERROR(INDEX(PP_Grid[#Data],$DD77,13),0)</f>
        <v/>
      </c>
      <c r="P77">
        <f>IFERROR(INDEX(PP_Grid[#Data],$DD77,14),0)</f>
        <v/>
      </c>
      <c r="Q77">
        <f>IFERROR(INDEX(PP_Grid[#Data],$DD77,15),0)</f>
        <v/>
      </c>
      <c r="R77">
        <f>IFERROR(INDEX(PP_Grid[#Data],$DD77,16),0)</f>
        <v/>
      </c>
      <c r="S77">
        <f>IFERROR(INDEX(PP_Grid[#Data],$DD77,17),0)</f>
        <v/>
      </c>
      <c r="T77">
        <f>IFERROR(INDEX(PP_Grid[#Data],$DD77,18),0)</f>
        <v/>
      </c>
      <c r="U77">
        <f>IFERROR(INDEX(PP_Grid[#Data],$DD77,19),0)</f>
        <v/>
      </c>
      <c r="V77">
        <f>IFERROR(INDEX(PP_Grid[#Data],$DD77,20),0)</f>
        <v/>
      </c>
      <c r="W77">
        <f>IFERROR(INDEX(PP_Grid[#Data],$DD77,21),0)</f>
        <v/>
      </c>
      <c r="X77">
        <f>IFERROR(INDEX(PP_Grid[#Data],$DD77,22),0)</f>
        <v/>
      </c>
      <c r="Y77">
        <f>IFERROR(INDEX(PP_Grid[#Data],$DD77,23),0)</f>
        <v/>
      </c>
      <c r="Z77">
        <f>IFERROR(INDEX(PP_Grid[#Data],$DD77,24),0)</f>
        <v/>
      </c>
      <c r="AA77">
        <f>IFERROR(INDEX(PP_Grid[#Data],$DD77,25),0)</f>
        <v/>
      </c>
      <c r="AB77">
        <f>IFERROR(INDEX(PP_Grid[#Data],$DD77,26),0)</f>
        <v/>
      </c>
      <c r="AC77">
        <f>IFERROR(INDEX(PP_Grid[#Data],$DD77,27),0)</f>
        <v/>
      </c>
      <c r="AD77">
        <f>IFERROR(INDEX(PP_Grid[#Data],$DD77,28),0)</f>
        <v/>
      </c>
      <c r="AE77">
        <f>IFERROR(INDEX(PP_Grid[#Data],$DD77,29),0)</f>
        <v/>
      </c>
      <c r="AF77">
        <f>IFERROR(INDEX(PP_Grid[#Data],$DD77,30),0)</f>
        <v/>
      </c>
      <c r="AG77">
        <f>IFERROR(INDEX(PP_Grid[#Data],$DD77,31),0)</f>
        <v/>
      </c>
      <c r="AH77">
        <f>IFERROR(INDEX(PP_Grid[#Data],$DD77,32),0)</f>
        <v/>
      </c>
      <c r="AI77">
        <f>IFERROR(INDEX(PP_Grid[#Data],$DD77,33),0)</f>
        <v/>
      </c>
      <c r="AJ77">
        <f>IFERROR(INDEX(PP_Grid[#Data],$DD77,34),0)</f>
        <v/>
      </c>
      <c r="AK77">
        <f>IFERROR(INDEX(PP_Grid[#Data],$DD77,35),0)</f>
        <v/>
      </c>
      <c r="AL77">
        <f>IFERROR(INDEX(PP_Grid[#Data],$DD77,36),0)</f>
        <v/>
      </c>
      <c r="AM77">
        <f>IFERROR(INDEX(PP_Grid[#Data],$DD77,37),0)</f>
        <v/>
      </c>
      <c r="AN77">
        <f>IFERROR(INDEX(PP_Grid[#Data],$DD77,38),0)</f>
        <v/>
      </c>
      <c r="AO77">
        <f>IFERROR(INDEX(PP_Grid[#Data],$DD77,39),0)</f>
        <v/>
      </c>
      <c r="AP77">
        <f>IFERROR(INDEX(PP_Grid[#Data],$DD77,40),0)</f>
        <v/>
      </c>
      <c r="AQ77">
        <f>IFERROR(INDEX(PP_Grid[#Data],$DD77,41),0)</f>
        <v/>
      </c>
      <c r="AR77">
        <f>IFERROR(INDEX(PP_Grid[#Data],$DD77,42),0)</f>
        <v/>
      </c>
      <c r="AS77">
        <f>IFERROR(INDEX(PP_Grid[#Data],$DD77,43),0)</f>
        <v/>
      </c>
      <c r="AT77">
        <f>IFERROR(INDEX(PP_Grid[#Data],$DD77,44),0)</f>
        <v/>
      </c>
      <c r="AU77">
        <f>IFERROR(INDEX(PP_Grid[#Data],$DD77,45),0)</f>
        <v/>
      </c>
      <c r="AV77">
        <f>IFERROR(INDEX(PP_Grid[#Data],$DD77,46),0)</f>
        <v/>
      </c>
      <c r="AW77">
        <f>IFERROR(INDEX(PP_Grid[#Data],$DD77,47),0)</f>
        <v/>
      </c>
      <c r="AX77">
        <f>IFERROR(INDEX(PP_Grid[#Data],$DD77,48),0)</f>
        <v/>
      </c>
      <c r="AY77">
        <f>IFERROR(INDEX(PP_Grid[#Data],$DD77,49),0)</f>
        <v/>
      </c>
      <c r="AZ77">
        <f>IFERROR(INDEX(PP_Grid[#Data],$DD77,50),0)</f>
        <v/>
      </c>
      <c r="BA77">
        <f>IFERROR(INDEX(PP_Grid[#Data],$DD77,51),0)</f>
        <v/>
      </c>
      <c r="BB77">
        <f>IFERROR(INDEX(PP_Grid[#Data],$DD77,52),0)</f>
        <v/>
      </c>
      <c r="BC77">
        <f>IFERROR(INDEX(PP_Grid[#Data],$DD77,53),0)</f>
        <v/>
      </c>
      <c r="BD77">
        <f>IFERROR(INDEX(PP_Grid[#Data],$DD77,54),0)</f>
        <v/>
      </c>
      <c r="BE77">
        <f>IFERROR(INDEX(PP_Grid[#Data],$DD77,55),0)</f>
        <v/>
      </c>
      <c r="BF77">
        <f>IFERROR(INDEX(PP_Grid[#Data],$DD77,56),0)</f>
        <v/>
      </c>
      <c r="BG77">
        <f>IFERROR(INDEX(PP_Grid[#Data],$DD77,57),0)</f>
        <v/>
      </c>
      <c r="BH77">
        <f>IFERROR(INDEX(PP_Grid[#Data],$DD77,58),0)</f>
        <v/>
      </c>
      <c r="BI77">
        <f>IFERROR(INDEX(PP_Grid[#Data],$DD77,59),0)</f>
        <v/>
      </c>
      <c r="BJ77">
        <f>IFERROR(INDEX(PP_Grid[#Data],$DD77,60),0)</f>
        <v/>
      </c>
      <c r="BK77">
        <f>IFERROR(INDEX(PP_Grid[#Data],$DD77,61),0)</f>
        <v/>
      </c>
      <c r="BL77">
        <f>IFERROR(INDEX(PP_Grid[#Data],$DD77,62),0)</f>
        <v/>
      </c>
      <c r="BM77">
        <f>IFERROR(INDEX(PP_Grid[#Data],$DD77,63),0)</f>
        <v/>
      </c>
      <c r="BN77">
        <f>IFERROR(INDEX(PP_Grid[#Data],$DD77,64),0)</f>
        <v/>
      </c>
      <c r="BO77">
        <f>IFERROR(INDEX(PP_Grid[#Data],$DD77,65),0)</f>
        <v/>
      </c>
      <c r="BP77">
        <f>IFERROR(INDEX(PP_Grid[#Data],$DD77,66),0)</f>
        <v/>
      </c>
      <c r="BQ77">
        <f>IFERROR(INDEX(PP_Grid[#Data],$DD77,67),0)</f>
        <v/>
      </c>
      <c r="BR77">
        <f>IFERROR(INDEX(PP_Grid[#Data],$DD77,68),0)</f>
        <v/>
      </c>
      <c r="BS77">
        <f>IFERROR(INDEX(PP_Grid[#Data],$DD77,69),0)</f>
        <v/>
      </c>
      <c r="BT77">
        <f>IFERROR(INDEX(PP_Grid[#Data],$DD77,70),0)</f>
        <v/>
      </c>
      <c r="BU77">
        <f>IFERROR(INDEX(PP_Grid[#Data],$DD77,71),0)</f>
        <v/>
      </c>
      <c r="BV77">
        <f>IFERROR(INDEX(PP_Grid[#Data],$DD77,72),0)</f>
        <v/>
      </c>
      <c r="BW77">
        <f>IFERROR(INDEX(PP_Grid[#Data],$DD77,73),0)</f>
        <v/>
      </c>
      <c r="BX77">
        <f>IFERROR(INDEX(PP_Grid[#Data],$DD77,74),0)</f>
        <v/>
      </c>
      <c r="BY77">
        <f>IFERROR(INDEX(PP_Grid[#Data],$DD77,75),0)</f>
        <v/>
      </c>
      <c r="BZ77">
        <f>IFERROR(INDEX(PP_Grid[#Data],$DD77,76),0)</f>
        <v/>
      </c>
      <c r="CA77">
        <f>IFERROR(INDEX(PP_Grid[#Data],$DD77,77),0)</f>
        <v/>
      </c>
      <c r="CB77">
        <f>IFERROR(INDEX(PP_Grid[#Data],$DD77,78),0)</f>
        <v/>
      </c>
      <c r="CC77">
        <f>IFERROR(INDEX(PP_Grid[#Data],$DD77,79),0)</f>
        <v/>
      </c>
      <c r="CD77">
        <f>IFERROR(INDEX(PP_Grid[#Data],$DD77,80),0)</f>
        <v/>
      </c>
      <c r="CE77">
        <f>IFERROR(INDEX(PP_Grid[#Data],$DD77,81),0)</f>
        <v/>
      </c>
      <c r="CF77">
        <f>IFERROR(INDEX(PP_Grid[#Data],$DD77,82),0)</f>
        <v/>
      </c>
      <c r="CG77">
        <f>IFERROR(INDEX(PP_Grid[#Data],$DD77,83),0)</f>
        <v/>
      </c>
      <c r="CH77">
        <f>IFERROR(INDEX(PP_Grid[#Data],$DD77,84),0)</f>
        <v/>
      </c>
      <c r="CI77">
        <f>IFERROR(INDEX(PP_Grid[#Data],$DD77,85),0)</f>
        <v/>
      </c>
      <c r="CJ77">
        <f>IFERROR(INDEX(PP_Grid[#Data],$DD77,86),0)</f>
        <v/>
      </c>
      <c r="CK77">
        <f>IFERROR(INDEX(PP_Grid[#Data],$DD77,87),0)</f>
        <v/>
      </c>
      <c r="CL77">
        <f>IFERROR(INDEX(PP_Grid[#Data],$DD77,88),0)</f>
        <v/>
      </c>
      <c r="CM77">
        <f>IFERROR(INDEX(PP_Grid[#Data],$DD77,89),0)</f>
        <v/>
      </c>
      <c r="CN77">
        <f>IFERROR(INDEX(PP_Grid[#Data],$DD77,90),0)</f>
        <v/>
      </c>
      <c r="CO77">
        <f>IFERROR(INDEX(PP_Grid[#Data],$DD77,91),0)</f>
        <v/>
      </c>
      <c r="CP77">
        <f>IFERROR(INDEX(PP_Grid[#Data],$DD77,92),0)</f>
        <v/>
      </c>
      <c r="CQ77">
        <f>IFERROR(INDEX(PP_Grid[#Data],$DD77,93),0)</f>
        <v/>
      </c>
      <c r="CR77">
        <f>IFERROR(INDEX(PP_Grid[#Data],$DD77,94),0)</f>
        <v/>
      </c>
      <c r="CS77">
        <f>IFERROR(INDEX(PP_Grid[#Data],$DD77,95),0)</f>
        <v/>
      </c>
      <c r="CT77">
        <f>IFERROR(INDEX(PP_Grid[#Data],$DD77,96),0)</f>
        <v/>
      </c>
      <c r="CU77">
        <f>IFERROR(INDEX(PP_Grid[#Data],$DD77,97),0)</f>
        <v/>
      </c>
      <c r="CV77">
        <f>IFERROR(INDEX(PP_Grid[#Data],$DD77,98),0)</f>
        <v/>
      </c>
      <c r="CW77">
        <f>IFERROR(INDEX(PP_Grid[#Data],$DD77,99),0)</f>
        <v/>
      </c>
      <c r="CX77">
        <f>IFERROR(INDEX(PP_Grid[#Data],$DD77,100),0)</f>
        <v/>
      </c>
      <c r="CY77">
        <f>IFERROR(INDEX(PP_Grid[#Data],$DD77,101),0)</f>
        <v/>
      </c>
      <c r="CZ77">
        <f>IFERROR(INDEX(PP_Grid[#Data],$DD77,102),0)</f>
        <v/>
      </c>
      <c r="DA77">
        <f>IFERROR(INDEX(PP_Grid[#Data],$DD77,103),0)</f>
        <v/>
      </c>
      <c r="DB77">
        <f>IFERROR(INDEX(PP_Grid[#Data],$DD77,104),0)</f>
        <v/>
      </c>
      <c r="DC77">
        <f>IFERROR(INDEX(PP_Grid[#Data],$DD77,105),0)</f>
        <v/>
      </c>
      <c r="DD77" s="7">
        <f>IFERROR(MATCH($B77,PP_Grid[Intermediate],0),99999)</f>
        <v/>
      </c>
    </row>
    <row r="78">
      <c r="B78" t="inlineStr">
        <is>
          <t>使用量(kg)</t>
        </is>
      </c>
      <c r="C78">
        <f>SUMIFS(M_BOM[RM_Qty_Per_Batch],M_BOM[Intermediate],$B77,M_BOM[Part Name],$A44)</f>
        <v/>
      </c>
      <c r="D78">
        <f>$C78*D77</f>
        <v/>
      </c>
      <c r="E78">
        <f>$C78*E77</f>
        <v/>
      </c>
      <c r="F78">
        <f>$C78*F77</f>
        <v/>
      </c>
      <c r="G78">
        <f>$C78*G77</f>
        <v/>
      </c>
      <c r="H78">
        <f>$C78*H77</f>
        <v/>
      </c>
      <c r="I78">
        <f>$C78*I77</f>
        <v/>
      </c>
      <c r="J78">
        <f>$C78*J77</f>
        <v/>
      </c>
      <c r="K78">
        <f>$C78*K77</f>
        <v/>
      </c>
      <c r="L78">
        <f>$C78*L77</f>
        <v/>
      </c>
      <c r="M78">
        <f>$C78*M77</f>
        <v/>
      </c>
      <c r="N78">
        <f>$C78*N77</f>
        <v/>
      </c>
      <c r="O78">
        <f>$C78*O77</f>
        <v/>
      </c>
      <c r="P78">
        <f>$C78*P77</f>
        <v/>
      </c>
      <c r="Q78">
        <f>$C78*Q77</f>
        <v/>
      </c>
      <c r="R78">
        <f>$C78*R77</f>
        <v/>
      </c>
      <c r="S78">
        <f>$C78*S77</f>
        <v/>
      </c>
      <c r="T78">
        <f>$C78*T77</f>
        <v/>
      </c>
      <c r="U78">
        <f>$C78*U77</f>
        <v/>
      </c>
      <c r="V78">
        <f>$C78*V77</f>
        <v/>
      </c>
      <c r="W78">
        <f>$C78*W77</f>
        <v/>
      </c>
      <c r="X78">
        <f>$C78*X77</f>
        <v/>
      </c>
      <c r="Y78">
        <f>$C78*Y77</f>
        <v/>
      </c>
      <c r="Z78">
        <f>$C78*Z77</f>
        <v/>
      </c>
      <c r="AA78">
        <f>$C78*AA77</f>
        <v/>
      </c>
      <c r="AB78">
        <f>$C78*AB77</f>
        <v/>
      </c>
      <c r="AC78">
        <f>$C78*AC77</f>
        <v/>
      </c>
      <c r="AD78">
        <f>$C78*AD77</f>
        <v/>
      </c>
      <c r="AE78">
        <f>$C78*AE77</f>
        <v/>
      </c>
      <c r="AF78">
        <f>$C78*AF77</f>
        <v/>
      </c>
      <c r="AG78">
        <f>$C78*AG77</f>
        <v/>
      </c>
      <c r="AH78">
        <f>$C78*AH77</f>
        <v/>
      </c>
      <c r="AI78">
        <f>$C78*AI77</f>
        <v/>
      </c>
      <c r="AJ78">
        <f>$C78*AJ77</f>
        <v/>
      </c>
      <c r="AK78">
        <f>$C78*AK77</f>
        <v/>
      </c>
      <c r="AL78">
        <f>$C78*AL77</f>
        <v/>
      </c>
      <c r="AM78">
        <f>$C78*AM77</f>
        <v/>
      </c>
      <c r="AN78">
        <f>$C78*AN77</f>
        <v/>
      </c>
      <c r="AO78">
        <f>$C78*AO77</f>
        <v/>
      </c>
      <c r="AP78">
        <f>$C78*AP77</f>
        <v/>
      </c>
      <c r="AQ78">
        <f>$C78*AQ77</f>
        <v/>
      </c>
      <c r="AR78">
        <f>$C78*AR77</f>
        <v/>
      </c>
      <c r="AS78">
        <f>$C78*AS77</f>
        <v/>
      </c>
      <c r="AT78">
        <f>$C78*AT77</f>
        <v/>
      </c>
      <c r="AU78">
        <f>$C78*AU77</f>
        <v/>
      </c>
      <c r="AV78">
        <f>$C78*AV77</f>
        <v/>
      </c>
      <c r="AW78">
        <f>$C78*AW77</f>
        <v/>
      </c>
      <c r="AX78">
        <f>$C78*AX77</f>
        <v/>
      </c>
      <c r="AY78">
        <f>$C78*AY77</f>
        <v/>
      </c>
      <c r="AZ78">
        <f>$C78*AZ77</f>
        <v/>
      </c>
      <c r="BA78">
        <f>$C78*BA77</f>
        <v/>
      </c>
      <c r="BB78">
        <f>$C78*BB77</f>
        <v/>
      </c>
      <c r="BC78">
        <f>$C78*BC77</f>
        <v/>
      </c>
      <c r="BD78">
        <f>$C78*BD77</f>
        <v/>
      </c>
      <c r="BE78">
        <f>$C78*BE77</f>
        <v/>
      </c>
      <c r="BF78">
        <f>$C78*BF77</f>
        <v/>
      </c>
      <c r="BG78">
        <f>$C78*BG77</f>
        <v/>
      </c>
      <c r="BH78">
        <f>$C78*BH77</f>
        <v/>
      </c>
      <c r="BI78">
        <f>$C78*BI77</f>
        <v/>
      </c>
      <c r="BJ78">
        <f>$C78*BJ77</f>
        <v/>
      </c>
      <c r="BK78">
        <f>$C78*BK77</f>
        <v/>
      </c>
      <c r="BL78">
        <f>$C78*BL77</f>
        <v/>
      </c>
      <c r="BM78">
        <f>$C78*BM77</f>
        <v/>
      </c>
      <c r="BN78">
        <f>$C78*BN77</f>
        <v/>
      </c>
      <c r="BO78">
        <f>$C78*BO77</f>
        <v/>
      </c>
      <c r="BP78">
        <f>$C78*BP77</f>
        <v/>
      </c>
      <c r="BQ78">
        <f>$C78*BQ77</f>
        <v/>
      </c>
      <c r="BR78">
        <f>$C78*BR77</f>
        <v/>
      </c>
      <c r="BS78">
        <f>$C78*BS77</f>
        <v/>
      </c>
      <c r="BT78">
        <f>$C78*BT77</f>
        <v/>
      </c>
      <c r="BU78">
        <f>$C78*BU77</f>
        <v/>
      </c>
      <c r="BV78">
        <f>$C78*BV77</f>
        <v/>
      </c>
      <c r="BW78">
        <f>$C78*BW77</f>
        <v/>
      </c>
      <c r="BX78">
        <f>$C78*BX77</f>
        <v/>
      </c>
      <c r="BY78">
        <f>$C78*BY77</f>
        <v/>
      </c>
      <c r="BZ78">
        <f>$C78*BZ77</f>
        <v/>
      </c>
      <c r="CA78">
        <f>$C78*CA77</f>
        <v/>
      </c>
      <c r="CB78">
        <f>$C78*CB77</f>
        <v/>
      </c>
      <c r="CC78">
        <f>$C78*CC77</f>
        <v/>
      </c>
      <c r="CD78">
        <f>$C78*CD77</f>
        <v/>
      </c>
      <c r="CE78">
        <f>$C78*CE77</f>
        <v/>
      </c>
      <c r="CF78">
        <f>$C78*CF77</f>
        <v/>
      </c>
      <c r="CG78">
        <f>$C78*CG77</f>
        <v/>
      </c>
      <c r="CH78">
        <f>$C78*CH77</f>
        <v/>
      </c>
      <c r="CI78">
        <f>$C78*CI77</f>
        <v/>
      </c>
      <c r="CJ78">
        <f>$C78*CJ77</f>
        <v/>
      </c>
      <c r="CK78">
        <f>$C78*CK77</f>
        <v/>
      </c>
      <c r="CL78">
        <f>$C78*CL77</f>
        <v/>
      </c>
      <c r="CM78">
        <f>$C78*CM77</f>
        <v/>
      </c>
      <c r="CN78">
        <f>$C78*CN77</f>
        <v/>
      </c>
      <c r="CO78">
        <f>$C78*CO77</f>
        <v/>
      </c>
      <c r="CP78">
        <f>$C78*CP77</f>
        <v/>
      </c>
      <c r="CQ78">
        <f>$C78*CQ77</f>
        <v/>
      </c>
      <c r="CR78">
        <f>$C78*CR77</f>
        <v/>
      </c>
      <c r="CS78">
        <f>$C78*CS77</f>
        <v/>
      </c>
      <c r="CT78">
        <f>$C78*CT77</f>
        <v/>
      </c>
      <c r="CU78">
        <f>$C78*CU77</f>
        <v/>
      </c>
      <c r="CV78">
        <f>$C78*CV77</f>
        <v/>
      </c>
      <c r="CW78">
        <f>$C78*CW77</f>
        <v/>
      </c>
      <c r="CX78">
        <f>$C78*CX77</f>
        <v/>
      </c>
      <c r="CY78">
        <f>$C78*CY77</f>
        <v/>
      </c>
      <c r="CZ78">
        <f>$C78*CZ77</f>
        <v/>
      </c>
      <c r="DA78">
        <f>$C78*DA77</f>
        <v/>
      </c>
      <c r="DB78">
        <f>$C78*DB77</f>
        <v/>
      </c>
      <c r="DC78">
        <f>$C78*DC77</f>
        <v/>
      </c>
    </row>
    <row r="79">
      <c r="B79" t="inlineStr">
        <is>
          <t>TSP-360</t>
        </is>
      </c>
      <c r="C79" t="inlineStr">
        <is>
          <t>No. of batches</t>
        </is>
      </c>
      <c r="D79">
        <f>IFERROR(INDEX(PP_Grid[#Data],$DD79,2),0)</f>
        <v/>
      </c>
      <c r="E79">
        <f>IFERROR(INDEX(PP_Grid[#Data],$DD79,3),0)</f>
        <v/>
      </c>
      <c r="F79">
        <f>IFERROR(INDEX(PP_Grid[#Data],$DD79,4),0)</f>
        <v/>
      </c>
      <c r="G79">
        <f>IFERROR(INDEX(PP_Grid[#Data],$DD79,5),0)</f>
        <v/>
      </c>
      <c r="H79">
        <f>IFERROR(INDEX(PP_Grid[#Data],$DD79,6),0)</f>
        <v/>
      </c>
      <c r="I79">
        <f>IFERROR(INDEX(PP_Grid[#Data],$DD79,7),0)</f>
        <v/>
      </c>
      <c r="J79">
        <f>IFERROR(INDEX(PP_Grid[#Data],$DD79,8),0)</f>
        <v/>
      </c>
      <c r="K79">
        <f>IFERROR(INDEX(PP_Grid[#Data],$DD79,9),0)</f>
        <v/>
      </c>
      <c r="L79">
        <f>IFERROR(INDEX(PP_Grid[#Data],$DD79,10),0)</f>
        <v/>
      </c>
      <c r="M79">
        <f>IFERROR(INDEX(PP_Grid[#Data],$DD79,11),0)</f>
        <v/>
      </c>
      <c r="N79">
        <f>IFERROR(INDEX(PP_Grid[#Data],$DD79,12),0)</f>
        <v/>
      </c>
      <c r="O79">
        <f>IFERROR(INDEX(PP_Grid[#Data],$DD79,13),0)</f>
        <v/>
      </c>
      <c r="P79">
        <f>IFERROR(INDEX(PP_Grid[#Data],$DD79,14),0)</f>
        <v/>
      </c>
      <c r="Q79">
        <f>IFERROR(INDEX(PP_Grid[#Data],$DD79,15),0)</f>
        <v/>
      </c>
      <c r="R79">
        <f>IFERROR(INDEX(PP_Grid[#Data],$DD79,16),0)</f>
        <v/>
      </c>
      <c r="S79">
        <f>IFERROR(INDEX(PP_Grid[#Data],$DD79,17),0)</f>
        <v/>
      </c>
      <c r="T79">
        <f>IFERROR(INDEX(PP_Grid[#Data],$DD79,18),0)</f>
        <v/>
      </c>
      <c r="U79">
        <f>IFERROR(INDEX(PP_Grid[#Data],$DD79,19),0)</f>
        <v/>
      </c>
      <c r="V79">
        <f>IFERROR(INDEX(PP_Grid[#Data],$DD79,20),0)</f>
        <v/>
      </c>
      <c r="W79">
        <f>IFERROR(INDEX(PP_Grid[#Data],$DD79,21),0)</f>
        <v/>
      </c>
      <c r="X79">
        <f>IFERROR(INDEX(PP_Grid[#Data],$DD79,22),0)</f>
        <v/>
      </c>
      <c r="Y79">
        <f>IFERROR(INDEX(PP_Grid[#Data],$DD79,23),0)</f>
        <v/>
      </c>
      <c r="Z79">
        <f>IFERROR(INDEX(PP_Grid[#Data],$DD79,24),0)</f>
        <v/>
      </c>
      <c r="AA79">
        <f>IFERROR(INDEX(PP_Grid[#Data],$DD79,25),0)</f>
        <v/>
      </c>
      <c r="AB79">
        <f>IFERROR(INDEX(PP_Grid[#Data],$DD79,26),0)</f>
        <v/>
      </c>
      <c r="AC79">
        <f>IFERROR(INDEX(PP_Grid[#Data],$DD79,27),0)</f>
        <v/>
      </c>
      <c r="AD79">
        <f>IFERROR(INDEX(PP_Grid[#Data],$DD79,28),0)</f>
        <v/>
      </c>
      <c r="AE79">
        <f>IFERROR(INDEX(PP_Grid[#Data],$DD79,29),0)</f>
        <v/>
      </c>
      <c r="AF79">
        <f>IFERROR(INDEX(PP_Grid[#Data],$DD79,30),0)</f>
        <v/>
      </c>
      <c r="AG79">
        <f>IFERROR(INDEX(PP_Grid[#Data],$DD79,31),0)</f>
        <v/>
      </c>
      <c r="AH79">
        <f>IFERROR(INDEX(PP_Grid[#Data],$DD79,32),0)</f>
        <v/>
      </c>
      <c r="AI79">
        <f>IFERROR(INDEX(PP_Grid[#Data],$DD79,33),0)</f>
        <v/>
      </c>
      <c r="AJ79">
        <f>IFERROR(INDEX(PP_Grid[#Data],$DD79,34),0)</f>
        <v/>
      </c>
      <c r="AK79">
        <f>IFERROR(INDEX(PP_Grid[#Data],$DD79,35),0)</f>
        <v/>
      </c>
      <c r="AL79">
        <f>IFERROR(INDEX(PP_Grid[#Data],$DD79,36),0)</f>
        <v/>
      </c>
      <c r="AM79">
        <f>IFERROR(INDEX(PP_Grid[#Data],$DD79,37),0)</f>
        <v/>
      </c>
      <c r="AN79">
        <f>IFERROR(INDEX(PP_Grid[#Data],$DD79,38),0)</f>
        <v/>
      </c>
      <c r="AO79">
        <f>IFERROR(INDEX(PP_Grid[#Data],$DD79,39),0)</f>
        <v/>
      </c>
      <c r="AP79">
        <f>IFERROR(INDEX(PP_Grid[#Data],$DD79,40),0)</f>
        <v/>
      </c>
      <c r="AQ79">
        <f>IFERROR(INDEX(PP_Grid[#Data],$DD79,41),0)</f>
        <v/>
      </c>
      <c r="AR79">
        <f>IFERROR(INDEX(PP_Grid[#Data],$DD79,42),0)</f>
        <v/>
      </c>
      <c r="AS79">
        <f>IFERROR(INDEX(PP_Grid[#Data],$DD79,43),0)</f>
        <v/>
      </c>
      <c r="AT79">
        <f>IFERROR(INDEX(PP_Grid[#Data],$DD79,44),0)</f>
        <v/>
      </c>
      <c r="AU79">
        <f>IFERROR(INDEX(PP_Grid[#Data],$DD79,45),0)</f>
        <v/>
      </c>
      <c r="AV79">
        <f>IFERROR(INDEX(PP_Grid[#Data],$DD79,46),0)</f>
        <v/>
      </c>
      <c r="AW79">
        <f>IFERROR(INDEX(PP_Grid[#Data],$DD79,47),0)</f>
        <v/>
      </c>
      <c r="AX79">
        <f>IFERROR(INDEX(PP_Grid[#Data],$DD79,48),0)</f>
        <v/>
      </c>
      <c r="AY79">
        <f>IFERROR(INDEX(PP_Grid[#Data],$DD79,49),0)</f>
        <v/>
      </c>
      <c r="AZ79">
        <f>IFERROR(INDEX(PP_Grid[#Data],$DD79,50),0)</f>
        <v/>
      </c>
      <c r="BA79">
        <f>IFERROR(INDEX(PP_Grid[#Data],$DD79,51),0)</f>
        <v/>
      </c>
      <c r="BB79">
        <f>IFERROR(INDEX(PP_Grid[#Data],$DD79,52),0)</f>
        <v/>
      </c>
      <c r="BC79">
        <f>IFERROR(INDEX(PP_Grid[#Data],$DD79,53),0)</f>
        <v/>
      </c>
      <c r="BD79">
        <f>IFERROR(INDEX(PP_Grid[#Data],$DD79,54),0)</f>
        <v/>
      </c>
      <c r="BE79">
        <f>IFERROR(INDEX(PP_Grid[#Data],$DD79,55),0)</f>
        <v/>
      </c>
      <c r="BF79">
        <f>IFERROR(INDEX(PP_Grid[#Data],$DD79,56),0)</f>
        <v/>
      </c>
      <c r="BG79">
        <f>IFERROR(INDEX(PP_Grid[#Data],$DD79,57),0)</f>
        <v/>
      </c>
      <c r="BH79">
        <f>IFERROR(INDEX(PP_Grid[#Data],$DD79,58),0)</f>
        <v/>
      </c>
      <c r="BI79">
        <f>IFERROR(INDEX(PP_Grid[#Data],$DD79,59),0)</f>
        <v/>
      </c>
      <c r="BJ79">
        <f>IFERROR(INDEX(PP_Grid[#Data],$DD79,60),0)</f>
        <v/>
      </c>
      <c r="BK79">
        <f>IFERROR(INDEX(PP_Grid[#Data],$DD79,61),0)</f>
        <v/>
      </c>
      <c r="BL79">
        <f>IFERROR(INDEX(PP_Grid[#Data],$DD79,62),0)</f>
        <v/>
      </c>
      <c r="BM79">
        <f>IFERROR(INDEX(PP_Grid[#Data],$DD79,63),0)</f>
        <v/>
      </c>
      <c r="BN79">
        <f>IFERROR(INDEX(PP_Grid[#Data],$DD79,64),0)</f>
        <v/>
      </c>
      <c r="BO79">
        <f>IFERROR(INDEX(PP_Grid[#Data],$DD79,65),0)</f>
        <v/>
      </c>
      <c r="BP79">
        <f>IFERROR(INDEX(PP_Grid[#Data],$DD79,66),0)</f>
        <v/>
      </c>
      <c r="BQ79">
        <f>IFERROR(INDEX(PP_Grid[#Data],$DD79,67),0)</f>
        <v/>
      </c>
      <c r="BR79">
        <f>IFERROR(INDEX(PP_Grid[#Data],$DD79,68),0)</f>
        <v/>
      </c>
      <c r="BS79">
        <f>IFERROR(INDEX(PP_Grid[#Data],$DD79,69),0)</f>
        <v/>
      </c>
      <c r="BT79">
        <f>IFERROR(INDEX(PP_Grid[#Data],$DD79,70),0)</f>
        <v/>
      </c>
      <c r="BU79">
        <f>IFERROR(INDEX(PP_Grid[#Data],$DD79,71),0)</f>
        <v/>
      </c>
      <c r="BV79">
        <f>IFERROR(INDEX(PP_Grid[#Data],$DD79,72),0)</f>
        <v/>
      </c>
      <c r="BW79">
        <f>IFERROR(INDEX(PP_Grid[#Data],$DD79,73),0)</f>
        <v/>
      </c>
      <c r="BX79">
        <f>IFERROR(INDEX(PP_Grid[#Data],$DD79,74),0)</f>
        <v/>
      </c>
      <c r="BY79">
        <f>IFERROR(INDEX(PP_Grid[#Data],$DD79,75),0)</f>
        <v/>
      </c>
      <c r="BZ79">
        <f>IFERROR(INDEX(PP_Grid[#Data],$DD79,76),0)</f>
        <v/>
      </c>
      <c r="CA79">
        <f>IFERROR(INDEX(PP_Grid[#Data],$DD79,77),0)</f>
        <v/>
      </c>
      <c r="CB79">
        <f>IFERROR(INDEX(PP_Grid[#Data],$DD79,78),0)</f>
        <v/>
      </c>
      <c r="CC79">
        <f>IFERROR(INDEX(PP_Grid[#Data],$DD79,79),0)</f>
        <v/>
      </c>
      <c r="CD79">
        <f>IFERROR(INDEX(PP_Grid[#Data],$DD79,80),0)</f>
        <v/>
      </c>
      <c r="CE79">
        <f>IFERROR(INDEX(PP_Grid[#Data],$DD79,81),0)</f>
        <v/>
      </c>
      <c r="CF79">
        <f>IFERROR(INDEX(PP_Grid[#Data],$DD79,82),0)</f>
        <v/>
      </c>
      <c r="CG79">
        <f>IFERROR(INDEX(PP_Grid[#Data],$DD79,83),0)</f>
        <v/>
      </c>
      <c r="CH79">
        <f>IFERROR(INDEX(PP_Grid[#Data],$DD79,84),0)</f>
        <v/>
      </c>
      <c r="CI79">
        <f>IFERROR(INDEX(PP_Grid[#Data],$DD79,85),0)</f>
        <v/>
      </c>
      <c r="CJ79">
        <f>IFERROR(INDEX(PP_Grid[#Data],$DD79,86),0)</f>
        <v/>
      </c>
      <c r="CK79">
        <f>IFERROR(INDEX(PP_Grid[#Data],$DD79,87),0)</f>
        <v/>
      </c>
      <c r="CL79">
        <f>IFERROR(INDEX(PP_Grid[#Data],$DD79,88),0)</f>
        <v/>
      </c>
      <c r="CM79">
        <f>IFERROR(INDEX(PP_Grid[#Data],$DD79,89),0)</f>
        <v/>
      </c>
      <c r="CN79">
        <f>IFERROR(INDEX(PP_Grid[#Data],$DD79,90),0)</f>
        <v/>
      </c>
      <c r="CO79">
        <f>IFERROR(INDEX(PP_Grid[#Data],$DD79,91),0)</f>
        <v/>
      </c>
      <c r="CP79">
        <f>IFERROR(INDEX(PP_Grid[#Data],$DD79,92),0)</f>
        <v/>
      </c>
      <c r="CQ79">
        <f>IFERROR(INDEX(PP_Grid[#Data],$DD79,93),0)</f>
        <v/>
      </c>
      <c r="CR79">
        <f>IFERROR(INDEX(PP_Grid[#Data],$DD79,94),0)</f>
        <v/>
      </c>
      <c r="CS79">
        <f>IFERROR(INDEX(PP_Grid[#Data],$DD79,95),0)</f>
        <v/>
      </c>
      <c r="CT79">
        <f>IFERROR(INDEX(PP_Grid[#Data],$DD79,96),0)</f>
        <v/>
      </c>
      <c r="CU79">
        <f>IFERROR(INDEX(PP_Grid[#Data],$DD79,97),0)</f>
        <v/>
      </c>
      <c r="CV79">
        <f>IFERROR(INDEX(PP_Grid[#Data],$DD79,98),0)</f>
        <v/>
      </c>
      <c r="CW79">
        <f>IFERROR(INDEX(PP_Grid[#Data],$DD79,99),0)</f>
        <v/>
      </c>
      <c r="CX79">
        <f>IFERROR(INDEX(PP_Grid[#Data],$DD79,100),0)</f>
        <v/>
      </c>
      <c r="CY79">
        <f>IFERROR(INDEX(PP_Grid[#Data],$DD79,101),0)</f>
        <v/>
      </c>
      <c r="CZ79">
        <f>IFERROR(INDEX(PP_Grid[#Data],$DD79,102),0)</f>
        <v/>
      </c>
      <c r="DA79">
        <f>IFERROR(INDEX(PP_Grid[#Data],$DD79,103),0)</f>
        <v/>
      </c>
      <c r="DB79">
        <f>IFERROR(INDEX(PP_Grid[#Data],$DD79,104),0)</f>
        <v/>
      </c>
      <c r="DC79">
        <f>IFERROR(INDEX(PP_Grid[#Data],$DD79,105),0)</f>
        <v/>
      </c>
      <c r="DD79" s="7">
        <f>IFERROR(MATCH($B79,PP_Grid[Intermediate],0),99999)</f>
        <v/>
      </c>
    </row>
    <row r="80">
      <c r="B80" t="inlineStr">
        <is>
          <t>使用量(kg)</t>
        </is>
      </c>
      <c r="C80">
        <f>SUMIFS(M_BOM[RM_Qty_Per_Batch],M_BOM[Intermediate],$B79,M_BOM[Part Name],$A44)</f>
        <v/>
      </c>
      <c r="D80">
        <f>$C80*D79</f>
        <v/>
      </c>
      <c r="E80">
        <f>$C80*E79</f>
        <v/>
      </c>
      <c r="F80">
        <f>$C80*F79</f>
        <v/>
      </c>
      <c r="G80">
        <f>$C80*G79</f>
        <v/>
      </c>
      <c r="H80">
        <f>$C80*H79</f>
        <v/>
      </c>
      <c r="I80">
        <f>$C80*I79</f>
        <v/>
      </c>
      <c r="J80">
        <f>$C80*J79</f>
        <v/>
      </c>
      <c r="K80">
        <f>$C80*K79</f>
        <v/>
      </c>
      <c r="L80">
        <f>$C80*L79</f>
        <v/>
      </c>
      <c r="M80">
        <f>$C80*M79</f>
        <v/>
      </c>
      <c r="N80">
        <f>$C80*N79</f>
        <v/>
      </c>
      <c r="O80">
        <f>$C80*O79</f>
        <v/>
      </c>
      <c r="P80">
        <f>$C80*P79</f>
        <v/>
      </c>
      <c r="Q80">
        <f>$C80*Q79</f>
        <v/>
      </c>
      <c r="R80">
        <f>$C80*R79</f>
        <v/>
      </c>
      <c r="S80">
        <f>$C80*S79</f>
        <v/>
      </c>
      <c r="T80">
        <f>$C80*T79</f>
        <v/>
      </c>
      <c r="U80">
        <f>$C80*U79</f>
        <v/>
      </c>
      <c r="V80">
        <f>$C80*V79</f>
        <v/>
      </c>
      <c r="W80">
        <f>$C80*W79</f>
        <v/>
      </c>
      <c r="X80">
        <f>$C80*X79</f>
        <v/>
      </c>
      <c r="Y80">
        <f>$C80*Y79</f>
        <v/>
      </c>
      <c r="Z80">
        <f>$C80*Z79</f>
        <v/>
      </c>
      <c r="AA80">
        <f>$C80*AA79</f>
        <v/>
      </c>
      <c r="AB80">
        <f>$C80*AB79</f>
        <v/>
      </c>
      <c r="AC80">
        <f>$C80*AC79</f>
        <v/>
      </c>
      <c r="AD80">
        <f>$C80*AD79</f>
        <v/>
      </c>
      <c r="AE80">
        <f>$C80*AE79</f>
        <v/>
      </c>
      <c r="AF80">
        <f>$C80*AF79</f>
        <v/>
      </c>
      <c r="AG80">
        <f>$C80*AG79</f>
        <v/>
      </c>
      <c r="AH80">
        <f>$C80*AH79</f>
        <v/>
      </c>
      <c r="AI80">
        <f>$C80*AI79</f>
        <v/>
      </c>
      <c r="AJ80">
        <f>$C80*AJ79</f>
        <v/>
      </c>
      <c r="AK80">
        <f>$C80*AK79</f>
        <v/>
      </c>
      <c r="AL80">
        <f>$C80*AL79</f>
        <v/>
      </c>
      <c r="AM80">
        <f>$C80*AM79</f>
        <v/>
      </c>
      <c r="AN80">
        <f>$C80*AN79</f>
        <v/>
      </c>
      <c r="AO80">
        <f>$C80*AO79</f>
        <v/>
      </c>
      <c r="AP80">
        <f>$C80*AP79</f>
        <v/>
      </c>
      <c r="AQ80">
        <f>$C80*AQ79</f>
        <v/>
      </c>
      <c r="AR80">
        <f>$C80*AR79</f>
        <v/>
      </c>
      <c r="AS80">
        <f>$C80*AS79</f>
        <v/>
      </c>
      <c r="AT80">
        <f>$C80*AT79</f>
        <v/>
      </c>
      <c r="AU80">
        <f>$C80*AU79</f>
        <v/>
      </c>
      <c r="AV80">
        <f>$C80*AV79</f>
        <v/>
      </c>
      <c r="AW80">
        <f>$C80*AW79</f>
        <v/>
      </c>
      <c r="AX80">
        <f>$C80*AX79</f>
        <v/>
      </c>
      <c r="AY80">
        <f>$C80*AY79</f>
        <v/>
      </c>
      <c r="AZ80">
        <f>$C80*AZ79</f>
        <v/>
      </c>
      <c r="BA80">
        <f>$C80*BA79</f>
        <v/>
      </c>
      <c r="BB80">
        <f>$C80*BB79</f>
        <v/>
      </c>
      <c r="BC80">
        <f>$C80*BC79</f>
        <v/>
      </c>
      <c r="BD80">
        <f>$C80*BD79</f>
        <v/>
      </c>
      <c r="BE80">
        <f>$C80*BE79</f>
        <v/>
      </c>
      <c r="BF80">
        <f>$C80*BF79</f>
        <v/>
      </c>
      <c r="BG80">
        <f>$C80*BG79</f>
        <v/>
      </c>
      <c r="BH80">
        <f>$C80*BH79</f>
        <v/>
      </c>
      <c r="BI80">
        <f>$C80*BI79</f>
        <v/>
      </c>
      <c r="BJ80">
        <f>$C80*BJ79</f>
        <v/>
      </c>
      <c r="BK80">
        <f>$C80*BK79</f>
        <v/>
      </c>
      <c r="BL80">
        <f>$C80*BL79</f>
        <v/>
      </c>
      <c r="BM80">
        <f>$C80*BM79</f>
        <v/>
      </c>
      <c r="BN80">
        <f>$C80*BN79</f>
        <v/>
      </c>
      <c r="BO80">
        <f>$C80*BO79</f>
        <v/>
      </c>
      <c r="BP80">
        <f>$C80*BP79</f>
        <v/>
      </c>
      <c r="BQ80">
        <f>$C80*BQ79</f>
        <v/>
      </c>
      <c r="BR80">
        <f>$C80*BR79</f>
        <v/>
      </c>
      <c r="BS80">
        <f>$C80*BS79</f>
        <v/>
      </c>
      <c r="BT80">
        <f>$C80*BT79</f>
        <v/>
      </c>
      <c r="BU80">
        <f>$C80*BU79</f>
        <v/>
      </c>
      <c r="BV80">
        <f>$C80*BV79</f>
        <v/>
      </c>
      <c r="BW80">
        <f>$C80*BW79</f>
        <v/>
      </c>
      <c r="BX80">
        <f>$C80*BX79</f>
        <v/>
      </c>
      <c r="BY80">
        <f>$C80*BY79</f>
        <v/>
      </c>
      <c r="BZ80">
        <f>$C80*BZ79</f>
        <v/>
      </c>
      <c r="CA80">
        <f>$C80*CA79</f>
        <v/>
      </c>
      <c r="CB80">
        <f>$C80*CB79</f>
        <v/>
      </c>
      <c r="CC80">
        <f>$C80*CC79</f>
        <v/>
      </c>
      <c r="CD80">
        <f>$C80*CD79</f>
        <v/>
      </c>
      <c r="CE80">
        <f>$C80*CE79</f>
        <v/>
      </c>
      <c r="CF80">
        <f>$C80*CF79</f>
        <v/>
      </c>
      <c r="CG80">
        <f>$C80*CG79</f>
        <v/>
      </c>
      <c r="CH80">
        <f>$C80*CH79</f>
        <v/>
      </c>
      <c r="CI80">
        <f>$C80*CI79</f>
        <v/>
      </c>
      <c r="CJ80">
        <f>$C80*CJ79</f>
        <v/>
      </c>
      <c r="CK80">
        <f>$C80*CK79</f>
        <v/>
      </c>
      <c r="CL80">
        <f>$C80*CL79</f>
        <v/>
      </c>
      <c r="CM80">
        <f>$C80*CM79</f>
        <v/>
      </c>
      <c r="CN80">
        <f>$C80*CN79</f>
        <v/>
      </c>
      <c r="CO80">
        <f>$C80*CO79</f>
        <v/>
      </c>
      <c r="CP80">
        <f>$C80*CP79</f>
        <v/>
      </c>
      <c r="CQ80">
        <f>$C80*CQ79</f>
        <v/>
      </c>
      <c r="CR80">
        <f>$C80*CR79</f>
        <v/>
      </c>
      <c r="CS80">
        <f>$C80*CS79</f>
        <v/>
      </c>
      <c r="CT80">
        <f>$C80*CT79</f>
        <v/>
      </c>
      <c r="CU80">
        <f>$C80*CU79</f>
        <v/>
      </c>
      <c r="CV80">
        <f>$C80*CV79</f>
        <v/>
      </c>
      <c r="CW80">
        <f>$C80*CW79</f>
        <v/>
      </c>
      <c r="CX80">
        <f>$C80*CX79</f>
        <v/>
      </c>
      <c r="CY80">
        <f>$C80*CY79</f>
        <v/>
      </c>
      <c r="CZ80">
        <f>$C80*CZ79</f>
        <v/>
      </c>
      <c r="DA80">
        <f>$C80*DA79</f>
        <v/>
      </c>
      <c r="DB80">
        <f>$C80*DB79</f>
        <v/>
      </c>
      <c r="DC80">
        <f>$C80*DC79</f>
        <v/>
      </c>
    </row>
    <row r="81">
      <c r="B81" t="inlineStr">
        <is>
          <t>TSP-367</t>
        </is>
      </c>
      <c r="C81" t="inlineStr">
        <is>
          <t>No. of batches</t>
        </is>
      </c>
      <c r="D81">
        <f>IFERROR(INDEX(PP_Grid[#Data],$DD81,2),0)</f>
        <v/>
      </c>
      <c r="E81">
        <f>IFERROR(INDEX(PP_Grid[#Data],$DD81,3),0)</f>
        <v/>
      </c>
      <c r="F81">
        <f>IFERROR(INDEX(PP_Grid[#Data],$DD81,4),0)</f>
        <v/>
      </c>
      <c r="G81">
        <f>IFERROR(INDEX(PP_Grid[#Data],$DD81,5),0)</f>
        <v/>
      </c>
      <c r="H81">
        <f>IFERROR(INDEX(PP_Grid[#Data],$DD81,6),0)</f>
        <v/>
      </c>
      <c r="I81">
        <f>IFERROR(INDEX(PP_Grid[#Data],$DD81,7),0)</f>
        <v/>
      </c>
      <c r="J81">
        <f>IFERROR(INDEX(PP_Grid[#Data],$DD81,8),0)</f>
        <v/>
      </c>
      <c r="K81">
        <f>IFERROR(INDEX(PP_Grid[#Data],$DD81,9),0)</f>
        <v/>
      </c>
      <c r="L81">
        <f>IFERROR(INDEX(PP_Grid[#Data],$DD81,10),0)</f>
        <v/>
      </c>
      <c r="M81">
        <f>IFERROR(INDEX(PP_Grid[#Data],$DD81,11),0)</f>
        <v/>
      </c>
      <c r="N81">
        <f>IFERROR(INDEX(PP_Grid[#Data],$DD81,12),0)</f>
        <v/>
      </c>
      <c r="O81">
        <f>IFERROR(INDEX(PP_Grid[#Data],$DD81,13),0)</f>
        <v/>
      </c>
      <c r="P81">
        <f>IFERROR(INDEX(PP_Grid[#Data],$DD81,14),0)</f>
        <v/>
      </c>
      <c r="Q81">
        <f>IFERROR(INDEX(PP_Grid[#Data],$DD81,15),0)</f>
        <v/>
      </c>
      <c r="R81">
        <f>IFERROR(INDEX(PP_Grid[#Data],$DD81,16),0)</f>
        <v/>
      </c>
      <c r="S81">
        <f>IFERROR(INDEX(PP_Grid[#Data],$DD81,17),0)</f>
        <v/>
      </c>
      <c r="T81">
        <f>IFERROR(INDEX(PP_Grid[#Data],$DD81,18),0)</f>
        <v/>
      </c>
      <c r="U81">
        <f>IFERROR(INDEX(PP_Grid[#Data],$DD81,19),0)</f>
        <v/>
      </c>
      <c r="V81">
        <f>IFERROR(INDEX(PP_Grid[#Data],$DD81,20),0)</f>
        <v/>
      </c>
      <c r="W81">
        <f>IFERROR(INDEX(PP_Grid[#Data],$DD81,21),0)</f>
        <v/>
      </c>
      <c r="X81">
        <f>IFERROR(INDEX(PP_Grid[#Data],$DD81,22),0)</f>
        <v/>
      </c>
      <c r="Y81">
        <f>IFERROR(INDEX(PP_Grid[#Data],$DD81,23),0)</f>
        <v/>
      </c>
      <c r="Z81">
        <f>IFERROR(INDEX(PP_Grid[#Data],$DD81,24),0)</f>
        <v/>
      </c>
      <c r="AA81">
        <f>IFERROR(INDEX(PP_Grid[#Data],$DD81,25),0)</f>
        <v/>
      </c>
      <c r="AB81">
        <f>IFERROR(INDEX(PP_Grid[#Data],$DD81,26),0)</f>
        <v/>
      </c>
      <c r="AC81">
        <f>IFERROR(INDEX(PP_Grid[#Data],$DD81,27),0)</f>
        <v/>
      </c>
      <c r="AD81">
        <f>IFERROR(INDEX(PP_Grid[#Data],$DD81,28),0)</f>
        <v/>
      </c>
      <c r="AE81">
        <f>IFERROR(INDEX(PP_Grid[#Data],$DD81,29),0)</f>
        <v/>
      </c>
      <c r="AF81">
        <f>IFERROR(INDEX(PP_Grid[#Data],$DD81,30),0)</f>
        <v/>
      </c>
      <c r="AG81">
        <f>IFERROR(INDEX(PP_Grid[#Data],$DD81,31),0)</f>
        <v/>
      </c>
      <c r="AH81">
        <f>IFERROR(INDEX(PP_Grid[#Data],$DD81,32),0)</f>
        <v/>
      </c>
      <c r="AI81">
        <f>IFERROR(INDEX(PP_Grid[#Data],$DD81,33),0)</f>
        <v/>
      </c>
      <c r="AJ81">
        <f>IFERROR(INDEX(PP_Grid[#Data],$DD81,34),0)</f>
        <v/>
      </c>
      <c r="AK81">
        <f>IFERROR(INDEX(PP_Grid[#Data],$DD81,35),0)</f>
        <v/>
      </c>
      <c r="AL81">
        <f>IFERROR(INDEX(PP_Grid[#Data],$DD81,36),0)</f>
        <v/>
      </c>
      <c r="AM81">
        <f>IFERROR(INDEX(PP_Grid[#Data],$DD81,37),0)</f>
        <v/>
      </c>
      <c r="AN81">
        <f>IFERROR(INDEX(PP_Grid[#Data],$DD81,38),0)</f>
        <v/>
      </c>
      <c r="AO81">
        <f>IFERROR(INDEX(PP_Grid[#Data],$DD81,39),0)</f>
        <v/>
      </c>
      <c r="AP81">
        <f>IFERROR(INDEX(PP_Grid[#Data],$DD81,40),0)</f>
        <v/>
      </c>
      <c r="AQ81">
        <f>IFERROR(INDEX(PP_Grid[#Data],$DD81,41),0)</f>
        <v/>
      </c>
      <c r="AR81">
        <f>IFERROR(INDEX(PP_Grid[#Data],$DD81,42),0)</f>
        <v/>
      </c>
      <c r="AS81">
        <f>IFERROR(INDEX(PP_Grid[#Data],$DD81,43),0)</f>
        <v/>
      </c>
      <c r="AT81">
        <f>IFERROR(INDEX(PP_Grid[#Data],$DD81,44),0)</f>
        <v/>
      </c>
      <c r="AU81">
        <f>IFERROR(INDEX(PP_Grid[#Data],$DD81,45),0)</f>
        <v/>
      </c>
      <c r="AV81">
        <f>IFERROR(INDEX(PP_Grid[#Data],$DD81,46),0)</f>
        <v/>
      </c>
      <c r="AW81">
        <f>IFERROR(INDEX(PP_Grid[#Data],$DD81,47),0)</f>
        <v/>
      </c>
      <c r="AX81">
        <f>IFERROR(INDEX(PP_Grid[#Data],$DD81,48),0)</f>
        <v/>
      </c>
      <c r="AY81">
        <f>IFERROR(INDEX(PP_Grid[#Data],$DD81,49),0)</f>
        <v/>
      </c>
      <c r="AZ81">
        <f>IFERROR(INDEX(PP_Grid[#Data],$DD81,50),0)</f>
        <v/>
      </c>
      <c r="BA81">
        <f>IFERROR(INDEX(PP_Grid[#Data],$DD81,51),0)</f>
        <v/>
      </c>
      <c r="BB81">
        <f>IFERROR(INDEX(PP_Grid[#Data],$DD81,52),0)</f>
        <v/>
      </c>
      <c r="BC81">
        <f>IFERROR(INDEX(PP_Grid[#Data],$DD81,53),0)</f>
        <v/>
      </c>
      <c r="BD81">
        <f>IFERROR(INDEX(PP_Grid[#Data],$DD81,54),0)</f>
        <v/>
      </c>
      <c r="BE81">
        <f>IFERROR(INDEX(PP_Grid[#Data],$DD81,55),0)</f>
        <v/>
      </c>
      <c r="BF81">
        <f>IFERROR(INDEX(PP_Grid[#Data],$DD81,56),0)</f>
        <v/>
      </c>
      <c r="BG81">
        <f>IFERROR(INDEX(PP_Grid[#Data],$DD81,57),0)</f>
        <v/>
      </c>
      <c r="BH81">
        <f>IFERROR(INDEX(PP_Grid[#Data],$DD81,58),0)</f>
        <v/>
      </c>
      <c r="BI81">
        <f>IFERROR(INDEX(PP_Grid[#Data],$DD81,59),0)</f>
        <v/>
      </c>
      <c r="BJ81">
        <f>IFERROR(INDEX(PP_Grid[#Data],$DD81,60),0)</f>
        <v/>
      </c>
      <c r="BK81">
        <f>IFERROR(INDEX(PP_Grid[#Data],$DD81,61),0)</f>
        <v/>
      </c>
      <c r="BL81">
        <f>IFERROR(INDEX(PP_Grid[#Data],$DD81,62),0)</f>
        <v/>
      </c>
      <c r="BM81">
        <f>IFERROR(INDEX(PP_Grid[#Data],$DD81,63),0)</f>
        <v/>
      </c>
      <c r="BN81">
        <f>IFERROR(INDEX(PP_Grid[#Data],$DD81,64),0)</f>
        <v/>
      </c>
      <c r="BO81">
        <f>IFERROR(INDEX(PP_Grid[#Data],$DD81,65),0)</f>
        <v/>
      </c>
      <c r="BP81">
        <f>IFERROR(INDEX(PP_Grid[#Data],$DD81,66),0)</f>
        <v/>
      </c>
      <c r="BQ81">
        <f>IFERROR(INDEX(PP_Grid[#Data],$DD81,67),0)</f>
        <v/>
      </c>
      <c r="BR81">
        <f>IFERROR(INDEX(PP_Grid[#Data],$DD81,68),0)</f>
        <v/>
      </c>
      <c r="BS81">
        <f>IFERROR(INDEX(PP_Grid[#Data],$DD81,69),0)</f>
        <v/>
      </c>
      <c r="BT81">
        <f>IFERROR(INDEX(PP_Grid[#Data],$DD81,70),0)</f>
        <v/>
      </c>
      <c r="BU81">
        <f>IFERROR(INDEX(PP_Grid[#Data],$DD81,71),0)</f>
        <v/>
      </c>
      <c r="BV81">
        <f>IFERROR(INDEX(PP_Grid[#Data],$DD81,72),0)</f>
        <v/>
      </c>
      <c r="BW81">
        <f>IFERROR(INDEX(PP_Grid[#Data],$DD81,73),0)</f>
        <v/>
      </c>
      <c r="BX81">
        <f>IFERROR(INDEX(PP_Grid[#Data],$DD81,74),0)</f>
        <v/>
      </c>
      <c r="BY81">
        <f>IFERROR(INDEX(PP_Grid[#Data],$DD81,75),0)</f>
        <v/>
      </c>
      <c r="BZ81">
        <f>IFERROR(INDEX(PP_Grid[#Data],$DD81,76),0)</f>
        <v/>
      </c>
      <c r="CA81">
        <f>IFERROR(INDEX(PP_Grid[#Data],$DD81,77),0)</f>
        <v/>
      </c>
      <c r="CB81">
        <f>IFERROR(INDEX(PP_Grid[#Data],$DD81,78),0)</f>
        <v/>
      </c>
      <c r="CC81">
        <f>IFERROR(INDEX(PP_Grid[#Data],$DD81,79),0)</f>
        <v/>
      </c>
      <c r="CD81">
        <f>IFERROR(INDEX(PP_Grid[#Data],$DD81,80),0)</f>
        <v/>
      </c>
      <c r="CE81">
        <f>IFERROR(INDEX(PP_Grid[#Data],$DD81,81),0)</f>
        <v/>
      </c>
      <c r="CF81">
        <f>IFERROR(INDEX(PP_Grid[#Data],$DD81,82),0)</f>
        <v/>
      </c>
      <c r="CG81">
        <f>IFERROR(INDEX(PP_Grid[#Data],$DD81,83),0)</f>
        <v/>
      </c>
      <c r="CH81">
        <f>IFERROR(INDEX(PP_Grid[#Data],$DD81,84),0)</f>
        <v/>
      </c>
      <c r="CI81">
        <f>IFERROR(INDEX(PP_Grid[#Data],$DD81,85),0)</f>
        <v/>
      </c>
      <c r="CJ81">
        <f>IFERROR(INDEX(PP_Grid[#Data],$DD81,86),0)</f>
        <v/>
      </c>
      <c r="CK81">
        <f>IFERROR(INDEX(PP_Grid[#Data],$DD81,87),0)</f>
        <v/>
      </c>
      <c r="CL81">
        <f>IFERROR(INDEX(PP_Grid[#Data],$DD81,88),0)</f>
        <v/>
      </c>
      <c r="CM81">
        <f>IFERROR(INDEX(PP_Grid[#Data],$DD81,89),0)</f>
        <v/>
      </c>
      <c r="CN81">
        <f>IFERROR(INDEX(PP_Grid[#Data],$DD81,90),0)</f>
        <v/>
      </c>
      <c r="CO81">
        <f>IFERROR(INDEX(PP_Grid[#Data],$DD81,91),0)</f>
        <v/>
      </c>
      <c r="CP81">
        <f>IFERROR(INDEX(PP_Grid[#Data],$DD81,92),0)</f>
        <v/>
      </c>
      <c r="CQ81">
        <f>IFERROR(INDEX(PP_Grid[#Data],$DD81,93),0)</f>
        <v/>
      </c>
      <c r="CR81">
        <f>IFERROR(INDEX(PP_Grid[#Data],$DD81,94),0)</f>
        <v/>
      </c>
      <c r="CS81">
        <f>IFERROR(INDEX(PP_Grid[#Data],$DD81,95),0)</f>
        <v/>
      </c>
      <c r="CT81">
        <f>IFERROR(INDEX(PP_Grid[#Data],$DD81,96),0)</f>
        <v/>
      </c>
      <c r="CU81">
        <f>IFERROR(INDEX(PP_Grid[#Data],$DD81,97),0)</f>
        <v/>
      </c>
      <c r="CV81">
        <f>IFERROR(INDEX(PP_Grid[#Data],$DD81,98),0)</f>
        <v/>
      </c>
      <c r="CW81">
        <f>IFERROR(INDEX(PP_Grid[#Data],$DD81,99),0)</f>
        <v/>
      </c>
      <c r="CX81">
        <f>IFERROR(INDEX(PP_Grid[#Data],$DD81,100),0)</f>
        <v/>
      </c>
      <c r="CY81">
        <f>IFERROR(INDEX(PP_Grid[#Data],$DD81,101),0)</f>
        <v/>
      </c>
      <c r="CZ81">
        <f>IFERROR(INDEX(PP_Grid[#Data],$DD81,102),0)</f>
        <v/>
      </c>
      <c r="DA81">
        <f>IFERROR(INDEX(PP_Grid[#Data],$DD81,103),0)</f>
        <v/>
      </c>
      <c r="DB81">
        <f>IFERROR(INDEX(PP_Grid[#Data],$DD81,104),0)</f>
        <v/>
      </c>
      <c r="DC81">
        <f>IFERROR(INDEX(PP_Grid[#Data],$DD81,105),0)</f>
        <v/>
      </c>
      <c r="DD81" s="7">
        <f>IFERROR(MATCH($B81,PP_Grid[Intermediate],0),99999)</f>
        <v/>
      </c>
    </row>
    <row r="82">
      <c r="B82" t="inlineStr">
        <is>
          <t>使用量(kg)</t>
        </is>
      </c>
      <c r="C82">
        <f>SUMIFS(M_BOM[RM_Qty_Per_Batch],M_BOM[Intermediate],$B81,M_BOM[Part Name],$A44)</f>
        <v/>
      </c>
      <c r="D82">
        <f>$C82*D81</f>
        <v/>
      </c>
      <c r="E82">
        <f>$C82*E81</f>
        <v/>
      </c>
      <c r="F82">
        <f>$C82*F81</f>
        <v/>
      </c>
      <c r="G82">
        <f>$C82*G81</f>
        <v/>
      </c>
      <c r="H82">
        <f>$C82*H81</f>
        <v/>
      </c>
      <c r="I82">
        <f>$C82*I81</f>
        <v/>
      </c>
      <c r="J82">
        <f>$C82*J81</f>
        <v/>
      </c>
      <c r="K82">
        <f>$C82*K81</f>
        <v/>
      </c>
      <c r="L82">
        <f>$C82*L81</f>
        <v/>
      </c>
      <c r="M82">
        <f>$C82*M81</f>
        <v/>
      </c>
      <c r="N82">
        <f>$C82*N81</f>
        <v/>
      </c>
      <c r="O82">
        <f>$C82*O81</f>
        <v/>
      </c>
      <c r="P82">
        <f>$C82*P81</f>
        <v/>
      </c>
      <c r="Q82">
        <f>$C82*Q81</f>
        <v/>
      </c>
      <c r="R82">
        <f>$C82*R81</f>
        <v/>
      </c>
      <c r="S82">
        <f>$C82*S81</f>
        <v/>
      </c>
      <c r="T82">
        <f>$C82*T81</f>
        <v/>
      </c>
      <c r="U82">
        <f>$C82*U81</f>
        <v/>
      </c>
      <c r="V82">
        <f>$C82*V81</f>
        <v/>
      </c>
      <c r="W82">
        <f>$C82*W81</f>
        <v/>
      </c>
      <c r="X82">
        <f>$C82*X81</f>
        <v/>
      </c>
      <c r="Y82">
        <f>$C82*Y81</f>
        <v/>
      </c>
      <c r="Z82">
        <f>$C82*Z81</f>
        <v/>
      </c>
      <c r="AA82">
        <f>$C82*AA81</f>
        <v/>
      </c>
      <c r="AB82">
        <f>$C82*AB81</f>
        <v/>
      </c>
      <c r="AC82">
        <f>$C82*AC81</f>
        <v/>
      </c>
      <c r="AD82">
        <f>$C82*AD81</f>
        <v/>
      </c>
      <c r="AE82">
        <f>$C82*AE81</f>
        <v/>
      </c>
      <c r="AF82">
        <f>$C82*AF81</f>
        <v/>
      </c>
      <c r="AG82">
        <f>$C82*AG81</f>
        <v/>
      </c>
      <c r="AH82">
        <f>$C82*AH81</f>
        <v/>
      </c>
      <c r="AI82">
        <f>$C82*AI81</f>
        <v/>
      </c>
      <c r="AJ82">
        <f>$C82*AJ81</f>
        <v/>
      </c>
      <c r="AK82">
        <f>$C82*AK81</f>
        <v/>
      </c>
      <c r="AL82">
        <f>$C82*AL81</f>
        <v/>
      </c>
      <c r="AM82">
        <f>$C82*AM81</f>
        <v/>
      </c>
      <c r="AN82">
        <f>$C82*AN81</f>
        <v/>
      </c>
      <c r="AO82">
        <f>$C82*AO81</f>
        <v/>
      </c>
      <c r="AP82">
        <f>$C82*AP81</f>
        <v/>
      </c>
      <c r="AQ82">
        <f>$C82*AQ81</f>
        <v/>
      </c>
      <c r="AR82">
        <f>$C82*AR81</f>
        <v/>
      </c>
      <c r="AS82">
        <f>$C82*AS81</f>
        <v/>
      </c>
      <c r="AT82">
        <f>$C82*AT81</f>
        <v/>
      </c>
      <c r="AU82">
        <f>$C82*AU81</f>
        <v/>
      </c>
      <c r="AV82">
        <f>$C82*AV81</f>
        <v/>
      </c>
      <c r="AW82">
        <f>$C82*AW81</f>
        <v/>
      </c>
      <c r="AX82">
        <f>$C82*AX81</f>
        <v/>
      </c>
      <c r="AY82">
        <f>$C82*AY81</f>
        <v/>
      </c>
      <c r="AZ82">
        <f>$C82*AZ81</f>
        <v/>
      </c>
      <c r="BA82">
        <f>$C82*BA81</f>
        <v/>
      </c>
      <c r="BB82">
        <f>$C82*BB81</f>
        <v/>
      </c>
      <c r="BC82">
        <f>$C82*BC81</f>
        <v/>
      </c>
      <c r="BD82">
        <f>$C82*BD81</f>
        <v/>
      </c>
      <c r="BE82">
        <f>$C82*BE81</f>
        <v/>
      </c>
      <c r="BF82">
        <f>$C82*BF81</f>
        <v/>
      </c>
      <c r="BG82">
        <f>$C82*BG81</f>
        <v/>
      </c>
      <c r="BH82">
        <f>$C82*BH81</f>
        <v/>
      </c>
      <c r="BI82">
        <f>$C82*BI81</f>
        <v/>
      </c>
      <c r="BJ82">
        <f>$C82*BJ81</f>
        <v/>
      </c>
      <c r="BK82">
        <f>$C82*BK81</f>
        <v/>
      </c>
      <c r="BL82">
        <f>$C82*BL81</f>
        <v/>
      </c>
      <c r="BM82">
        <f>$C82*BM81</f>
        <v/>
      </c>
      <c r="BN82">
        <f>$C82*BN81</f>
        <v/>
      </c>
      <c r="BO82">
        <f>$C82*BO81</f>
        <v/>
      </c>
      <c r="BP82">
        <f>$C82*BP81</f>
        <v/>
      </c>
      <c r="BQ82">
        <f>$C82*BQ81</f>
        <v/>
      </c>
      <c r="BR82">
        <f>$C82*BR81</f>
        <v/>
      </c>
      <c r="BS82">
        <f>$C82*BS81</f>
        <v/>
      </c>
      <c r="BT82">
        <f>$C82*BT81</f>
        <v/>
      </c>
      <c r="BU82">
        <f>$C82*BU81</f>
        <v/>
      </c>
      <c r="BV82">
        <f>$C82*BV81</f>
        <v/>
      </c>
      <c r="BW82">
        <f>$C82*BW81</f>
        <v/>
      </c>
      <c r="BX82">
        <f>$C82*BX81</f>
        <v/>
      </c>
      <c r="BY82">
        <f>$C82*BY81</f>
        <v/>
      </c>
      <c r="BZ82">
        <f>$C82*BZ81</f>
        <v/>
      </c>
      <c r="CA82">
        <f>$C82*CA81</f>
        <v/>
      </c>
      <c r="CB82">
        <f>$C82*CB81</f>
        <v/>
      </c>
      <c r="CC82">
        <f>$C82*CC81</f>
        <v/>
      </c>
      <c r="CD82">
        <f>$C82*CD81</f>
        <v/>
      </c>
      <c r="CE82">
        <f>$C82*CE81</f>
        <v/>
      </c>
      <c r="CF82">
        <f>$C82*CF81</f>
        <v/>
      </c>
      <c r="CG82">
        <f>$C82*CG81</f>
        <v/>
      </c>
      <c r="CH82">
        <f>$C82*CH81</f>
        <v/>
      </c>
      <c r="CI82">
        <f>$C82*CI81</f>
        <v/>
      </c>
      <c r="CJ82">
        <f>$C82*CJ81</f>
        <v/>
      </c>
      <c r="CK82">
        <f>$C82*CK81</f>
        <v/>
      </c>
      <c r="CL82">
        <f>$C82*CL81</f>
        <v/>
      </c>
      <c r="CM82">
        <f>$C82*CM81</f>
        <v/>
      </c>
      <c r="CN82">
        <f>$C82*CN81</f>
        <v/>
      </c>
      <c r="CO82">
        <f>$C82*CO81</f>
        <v/>
      </c>
      <c r="CP82">
        <f>$C82*CP81</f>
        <v/>
      </c>
      <c r="CQ82">
        <f>$C82*CQ81</f>
        <v/>
      </c>
      <c r="CR82">
        <f>$C82*CR81</f>
        <v/>
      </c>
      <c r="CS82">
        <f>$C82*CS81</f>
        <v/>
      </c>
      <c r="CT82">
        <f>$C82*CT81</f>
        <v/>
      </c>
      <c r="CU82">
        <f>$C82*CU81</f>
        <v/>
      </c>
      <c r="CV82">
        <f>$C82*CV81</f>
        <v/>
      </c>
      <c r="CW82">
        <f>$C82*CW81</f>
        <v/>
      </c>
      <c r="CX82">
        <f>$C82*CX81</f>
        <v/>
      </c>
      <c r="CY82">
        <f>$C82*CY81</f>
        <v/>
      </c>
      <c r="CZ82">
        <f>$C82*CZ81</f>
        <v/>
      </c>
      <c r="DA82">
        <f>$C82*DA81</f>
        <v/>
      </c>
      <c r="DB82">
        <f>$C82*DB81</f>
        <v/>
      </c>
      <c r="DC82">
        <f>$C82*DC81</f>
        <v/>
      </c>
    </row>
    <row r="83">
      <c r="B83" t="inlineStr">
        <is>
          <t>TSP-369</t>
        </is>
      </c>
      <c r="C83" t="inlineStr">
        <is>
          <t>No. of batches</t>
        </is>
      </c>
      <c r="D83">
        <f>IFERROR(INDEX(PP_Grid[#Data],$DD83,2),0)</f>
        <v/>
      </c>
      <c r="E83">
        <f>IFERROR(INDEX(PP_Grid[#Data],$DD83,3),0)</f>
        <v/>
      </c>
      <c r="F83">
        <f>IFERROR(INDEX(PP_Grid[#Data],$DD83,4),0)</f>
        <v/>
      </c>
      <c r="G83">
        <f>IFERROR(INDEX(PP_Grid[#Data],$DD83,5),0)</f>
        <v/>
      </c>
      <c r="H83">
        <f>IFERROR(INDEX(PP_Grid[#Data],$DD83,6),0)</f>
        <v/>
      </c>
      <c r="I83">
        <f>IFERROR(INDEX(PP_Grid[#Data],$DD83,7),0)</f>
        <v/>
      </c>
      <c r="J83">
        <f>IFERROR(INDEX(PP_Grid[#Data],$DD83,8),0)</f>
        <v/>
      </c>
      <c r="K83">
        <f>IFERROR(INDEX(PP_Grid[#Data],$DD83,9),0)</f>
        <v/>
      </c>
      <c r="L83">
        <f>IFERROR(INDEX(PP_Grid[#Data],$DD83,10),0)</f>
        <v/>
      </c>
      <c r="M83">
        <f>IFERROR(INDEX(PP_Grid[#Data],$DD83,11),0)</f>
        <v/>
      </c>
      <c r="N83">
        <f>IFERROR(INDEX(PP_Grid[#Data],$DD83,12),0)</f>
        <v/>
      </c>
      <c r="O83">
        <f>IFERROR(INDEX(PP_Grid[#Data],$DD83,13),0)</f>
        <v/>
      </c>
      <c r="P83">
        <f>IFERROR(INDEX(PP_Grid[#Data],$DD83,14),0)</f>
        <v/>
      </c>
      <c r="Q83">
        <f>IFERROR(INDEX(PP_Grid[#Data],$DD83,15),0)</f>
        <v/>
      </c>
      <c r="R83">
        <f>IFERROR(INDEX(PP_Grid[#Data],$DD83,16),0)</f>
        <v/>
      </c>
      <c r="S83">
        <f>IFERROR(INDEX(PP_Grid[#Data],$DD83,17),0)</f>
        <v/>
      </c>
      <c r="T83">
        <f>IFERROR(INDEX(PP_Grid[#Data],$DD83,18),0)</f>
        <v/>
      </c>
      <c r="U83">
        <f>IFERROR(INDEX(PP_Grid[#Data],$DD83,19),0)</f>
        <v/>
      </c>
      <c r="V83">
        <f>IFERROR(INDEX(PP_Grid[#Data],$DD83,20),0)</f>
        <v/>
      </c>
      <c r="W83">
        <f>IFERROR(INDEX(PP_Grid[#Data],$DD83,21),0)</f>
        <v/>
      </c>
      <c r="X83">
        <f>IFERROR(INDEX(PP_Grid[#Data],$DD83,22),0)</f>
        <v/>
      </c>
      <c r="Y83">
        <f>IFERROR(INDEX(PP_Grid[#Data],$DD83,23),0)</f>
        <v/>
      </c>
      <c r="Z83">
        <f>IFERROR(INDEX(PP_Grid[#Data],$DD83,24),0)</f>
        <v/>
      </c>
      <c r="AA83">
        <f>IFERROR(INDEX(PP_Grid[#Data],$DD83,25),0)</f>
        <v/>
      </c>
      <c r="AB83">
        <f>IFERROR(INDEX(PP_Grid[#Data],$DD83,26),0)</f>
        <v/>
      </c>
      <c r="AC83">
        <f>IFERROR(INDEX(PP_Grid[#Data],$DD83,27),0)</f>
        <v/>
      </c>
      <c r="AD83">
        <f>IFERROR(INDEX(PP_Grid[#Data],$DD83,28),0)</f>
        <v/>
      </c>
      <c r="AE83">
        <f>IFERROR(INDEX(PP_Grid[#Data],$DD83,29),0)</f>
        <v/>
      </c>
      <c r="AF83">
        <f>IFERROR(INDEX(PP_Grid[#Data],$DD83,30),0)</f>
        <v/>
      </c>
      <c r="AG83">
        <f>IFERROR(INDEX(PP_Grid[#Data],$DD83,31),0)</f>
        <v/>
      </c>
      <c r="AH83">
        <f>IFERROR(INDEX(PP_Grid[#Data],$DD83,32),0)</f>
        <v/>
      </c>
      <c r="AI83">
        <f>IFERROR(INDEX(PP_Grid[#Data],$DD83,33),0)</f>
        <v/>
      </c>
      <c r="AJ83">
        <f>IFERROR(INDEX(PP_Grid[#Data],$DD83,34),0)</f>
        <v/>
      </c>
      <c r="AK83">
        <f>IFERROR(INDEX(PP_Grid[#Data],$DD83,35),0)</f>
        <v/>
      </c>
      <c r="AL83">
        <f>IFERROR(INDEX(PP_Grid[#Data],$DD83,36),0)</f>
        <v/>
      </c>
      <c r="AM83">
        <f>IFERROR(INDEX(PP_Grid[#Data],$DD83,37),0)</f>
        <v/>
      </c>
      <c r="AN83">
        <f>IFERROR(INDEX(PP_Grid[#Data],$DD83,38),0)</f>
        <v/>
      </c>
      <c r="AO83">
        <f>IFERROR(INDEX(PP_Grid[#Data],$DD83,39),0)</f>
        <v/>
      </c>
      <c r="AP83">
        <f>IFERROR(INDEX(PP_Grid[#Data],$DD83,40),0)</f>
        <v/>
      </c>
      <c r="AQ83">
        <f>IFERROR(INDEX(PP_Grid[#Data],$DD83,41),0)</f>
        <v/>
      </c>
      <c r="AR83">
        <f>IFERROR(INDEX(PP_Grid[#Data],$DD83,42),0)</f>
        <v/>
      </c>
      <c r="AS83">
        <f>IFERROR(INDEX(PP_Grid[#Data],$DD83,43),0)</f>
        <v/>
      </c>
      <c r="AT83">
        <f>IFERROR(INDEX(PP_Grid[#Data],$DD83,44),0)</f>
        <v/>
      </c>
      <c r="AU83">
        <f>IFERROR(INDEX(PP_Grid[#Data],$DD83,45),0)</f>
        <v/>
      </c>
      <c r="AV83">
        <f>IFERROR(INDEX(PP_Grid[#Data],$DD83,46),0)</f>
        <v/>
      </c>
      <c r="AW83">
        <f>IFERROR(INDEX(PP_Grid[#Data],$DD83,47),0)</f>
        <v/>
      </c>
      <c r="AX83">
        <f>IFERROR(INDEX(PP_Grid[#Data],$DD83,48),0)</f>
        <v/>
      </c>
      <c r="AY83">
        <f>IFERROR(INDEX(PP_Grid[#Data],$DD83,49),0)</f>
        <v/>
      </c>
      <c r="AZ83">
        <f>IFERROR(INDEX(PP_Grid[#Data],$DD83,50),0)</f>
        <v/>
      </c>
      <c r="BA83">
        <f>IFERROR(INDEX(PP_Grid[#Data],$DD83,51),0)</f>
        <v/>
      </c>
      <c r="BB83">
        <f>IFERROR(INDEX(PP_Grid[#Data],$DD83,52),0)</f>
        <v/>
      </c>
      <c r="BC83">
        <f>IFERROR(INDEX(PP_Grid[#Data],$DD83,53),0)</f>
        <v/>
      </c>
      <c r="BD83">
        <f>IFERROR(INDEX(PP_Grid[#Data],$DD83,54),0)</f>
        <v/>
      </c>
      <c r="BE83">
        <f>IFERROR(INDEX(PP_Grid[#Data],$DD83,55),0)</f>
        <v/>
      </c>
      <c r="BF83">
        <f>IFERROR(INDEX(PP_Grid[#Data],$DD83,56),0)</f>
        <v/>
      </c>
      <c r="BG83">
        <f>IFERROR(INDEX(PP_Grid[#Data],$DD83,57),0)</f>
        <v/>
      </c>
      <c r="BH83">
        <f>IFERROR(INDEX(PP_Grid[#Data],$DD83,58),0)</f>
        <v/>
      </c>
      <c r="BI83">
        <f>IFERROR(INDEX(PP_Grid[#Data],$DD83,59),0)</f>
        <v/>
      </c>
      <c r="BJ83">
        <f>IFERROR(INDEX(PP_Grid[#Data],$DD83,60),0)</f>
        <v/>
      </c>
      <c r="BK83">
        <f>IFERROR(INDEX(PP_Grid[#Data],$DD83,61),0)</f>
        <v/>
      </c>
      <c r="BL83">
        <f>IFERROR(INDEX(PP_Grid[#Data],$DD83,62),0)</f>
        <v/>
      </c>
      <c r="BM83">
        <f>IFERROR(INDEX(PP_Grid[#Data],$DD83,63),0)</f>
        <v/>
      </c>
      <c r="BN83">
        <f>IFERROR(INDEX(PP_Grid[#Data],$DD83,64),0)</f>
        <v/>
      </c>
      <c r="BO83">
        <f>IFERROR(INDEX(PP_Grid[#Data],$DD83,65),0)</f>
        <v/>
      </c>
      <c r="BP83">
        <f>IFERROR(INDEX(PP_Grid[#Data],$DD83,66),0)</f>
        <v/>
      </c>
      <c r="BQ83">
        <f>IFERROR(INDEX(PP_Grid[#Data],$DD83,67),0)</f>
        <v/>
      </c>
      <c r="BR83">
        <f>IFERROR(INDEX(PP_Grid[#Data],$DD83,68),0)</f>
        <v/>
      </c>
      <c r="BS83">
        <f>IFERROR(INDEX(PP_Grid[#Data],$DD83,69),0)</f>
        <v/>
      </c>
      <c r="BT83">
        <f>IFERROR(INDEX(PP_Grid[#Data],$DD83,70),0)</f>
        <v/>
      </c>
      <c r="BU83">
        <f>IFERROR(INDEX(PP_Grid[#Data],$DD83,71),0)</f>
        <v/>
      </c>
      <c r="BV83">
        <f>IFERROR(INDEX(PP_Grid[#Data],$DD83,72),0)</f>
        <v/>
      </c>
      <c r="BW83">
        <f>IFERROR(INDEX(PP_Grid[#Data],$DD83,73),0)</f>
        <v/>
      </c>
      <c r="BX83">
        <f>IFERROR(INDEX(PP_Grid[#Data],$DD83,74),0)</f>
        <v/>
      </c>
      <c r="BY83">
        <f>IFERROR(INDEX(PP_Grid[#Data],$DD83,75),0)</f>
        <v/>
      </c>
      <c r="BZ83">
        <f>IFERROR(INDEX(PP_Grid[#Data],$DD83,76),0)</f>
        <v/>
      </c>
      <c r="CA83">
        <f>IFERROR(INDEX(PP_Grid[#Data],$DD83,77),0)</f>
        <v/>
      </c>
      <c r="CB83">
        <f>IFERROR(INDEX(PP_Grid[#Data],$DD83,78),0)</f>
        <v/>
      </c>
      <c r="CC83">
        <f>IFERROR(INDEX(PP_Grid[#Data],$DD83,79),0)</f>
        <v/>
      </c>
      <c r="CD83">
        <f>IFERROR(INDEX(PP_Grid[#Data],$DD83,80),0)</f>
        <v/>
      </c>
      <c r="CE83">
        <f>IFERROR(INDEX(PP_Grid[#Data],$DD83,81),0)</f>
        <v/>
      </c>
      <c r="CF83">
        <f>IFERROR(INDEX(PP_Grid[#Data],$DD83,82),0)</f>
        <v/>
      </c>
      <c r="CG83">
        <f>IFERROR(INDEX(PP_Grid[#Data],$DD83,83),0)</f>
        <v/>
      </c>
      <c r="CH83">
        <f>IFERROR(INDEX(PP_Grid[#Data],$DD83,84),0)</f>
        <v/>
      </c>
      <c r="CI83">
        <f>IFERROR(INDEX(PP_Grid[#Data],$DD83,85),0)</f>
        <v/>
      </c>
      <c r="CJ83">
        <f>IFERROR(INDEX(PP_Grid[#Data],$DD83,86),0)</f>
        <v/>
      </c>
      <c r="CK83">
        <f>IFERROR(INDEX(PP_Grid[#Data],$DD83,87),0)</f>
        <v/>
      </c>
      <c r="CL83">
        <f>IFERROR(INDEX(PP_Grid[#Data],$DD83,88),0)</f>
        <v/>
      </c>
      <c r="CM83">
        <f>IFERROR(INDEX(PP_Grid[#Data],$DD83,89),0)</f>
        <v/>
      </c>
      <c r="CN83">
        <f>IFERROR(INDEX(PP_Grid[#Data],$DD83,90),0)</f>
        <v/>
      </c>
      <c r="CO83">
        <f>IFERROR(INDEX(PP_Grid[#Data],$DD83,91),0)</f>
        <v/>
      </c>
      <c r="CP83">
        <f>IFERROR(INDEX(PP_Grid[#Data],$DD83,92),0)</f>
        <v/>
      </c>
      <c r="CQ83">
        <f>IFERROR(INDEX(PP_Grid[#Data],$DD83,93),0)</f>
        <v/>
      </c>
      <c r="CR83">
        <f>IFERROR(INDEX(PP_Grid[#Data],$DD83,94),0)</f>
        <v/>
      </c>
      <c r="CS83">
        <f>IFERROR(INDEX(PP_Grid[#Data],$DD83,95),0)</f>
        <v/>
      </c>
      <c r="CT83">
        <f>IFERROR(INDEX(PP_Grid[#Data],$DD83,96),0)</f>
        <v/>
      </c>
      <c r="CU83">
        <f>IFERROR(INDEX(PP_Grid[#Data],$DD83,97),0)</f>
        <v/>
      </c>
      <c r="CV83">
        <f>IFERROR(INDEX(PP_Grid[#Data],$DD83,98),0)</f>
        <v/>
      </c>
      <c r="CW83">
        <f>IFERROR(INDEX(PP_Grid[#Data],$DD83,99),0)</f>
        <v/>
      </c>
      <c r="CX83">
        <f>IFERROR(INDEX(PP_Grid[#Data],$DD83,100),0)</f>
        <v/>
      </c>
      <c r="CY83">
        <f>IFERROR(INDEX(PP_Grid[#Data],$DD83,101),0)</f>
        <v/>
      </c>
      <c r="CZ83">
        <f>IFERROR(INDEX(PP_Grid[#Data],$DD83,102),0)</f>
        <v/>
      </c>
      <c r="DA83">
        <f>IFERROR(INDEX(PP_Grid[#Data],$DD83,103),0)</f>
        <v/>
      </c>
      <c r="DB83">
        <f>IFERROR(INDEX(PP_Grid[#Data],$DD83,104),0)</f>
        <v/>
      </c>
      <c r="DC83">
        <f>IFERROR(INDEX(PP_Grid[#Data],$DD83,105),0)</f>
        <v/>
      </c>
      <c r="DD83" s="7">
        <f>IFERROR(MATCH($B83,PP_Grid[Intermediate],0),99999)</f>
        <v/>
      </c>
    </row>
    <row r="84">
      <c r="B84" t="inlineStr">
        <is>
          <t>使用量(kg)</t>
        </is>
      </c>
      <c r="C84">
        <f>SUMIFS(M_BOM[RM_Qty_Per_Batch],M_BOM[Intermediate],$B83,M_BOM[Part Name],$A44)</f>
        <v/>
      </c>
      <c r="D84">
        <f>$C84*D83</f>
        <v/>
      </c>
      <c r="E84">
        <f>$C84*E83</f>
        <v/>
      </c>
      <c r="F84">
        <f>$C84*F83</f>
        <v/>
      </c>
      <c r="G84">
        <f>$C84*G83</f>
        <v/>
      </c>
      <c r="H84">
        <f>$C84*H83</f>
        <v/>
      </c>
      <c r="I84">
        <f>$C84*I83</f>
        <v/>
      </c>
      <c r="J84">
        <f>$C84*J83</f>
        <v/>
      </c>
      <c r="K84">
        <f>$C84*K83</f>
        <v/>
      </c>
      <c r="L84">
        <f>$C84*L83</f>
        <v/>
      </c>
      <c r="M84">
        <f>$C84*M83</f>
        <v/>
      </c>
      <c r="N84">
        <f>$C84*N83</f>
        <v/>
      </c>
      <c r="O84">
        <f>$C84*O83</f>
        <v/>
      </c>
      <c r="P84">
        <f>$C84*P83</f>
        <v/>
      </c>
      <c r="Q84">
        <f>$C84*Q83</f>
        <v/>
      </c>
      <c r="R84">
        <f>$C84*R83</f>
        <v/>
      </c>
      <c r="S84">
        <f>$C84*S83</f>
        <v/>
      </c>
      <c r="T84">
        <f>$C84*T83</f>
        <v/>
      </c>
      <c r="U84">
        <f>$C84*U83</f>
        <v/>
      </c>
      <c r="V84">
        <f>$C84*V83</f>
        <v/>
      </c>
      <c r="W84">
        <f>$C84*W83</f>
        <v/>
      </c>
      <c r="X84">
        <f>$C84*X83</f>
        <v/>
      </c>
      <c r="Y84">
        <f>$C84*Y83</f>
        <v/>
      </c>
      <c r="Z84">
        <f>$C84*Z83</f>
        <v/>
      </c>
      <c r="AA84">
        <f>$C84*AA83</f>
        <v/>
      </c>
      <c r="AB84">
        <f>$C84*AB83</f>
        <v/>
      </c>
      <c r="AC84">
        <f>$C84*AC83</f>
        <v/>
      </c>
      <c r="AD84">
        <f>$C84*AD83</f>
        <v/>
      </c>
      <c r="AE84">
        <f>$C84*AE83</f>
        <v/>
      </c>
      <c r="AF84">
        <f>$C84*AF83</f>
        <v/>
      </c>
      <c r="AG84">
        <f>$C84*AG83</f>
        <v/>
      </c>
      <c r="AH84">
        <f>$C84*AH83</f>
        <v/>
      </c>
      <c r="AI84">
        <f>$C84*AI83</f>
        <v/>
      </c>
      <c r="AJ84">
        <f>$C84*AJ83</f>
        <v/>
      </c>
      <c r="AK84">
        <f>$C84*AK83</f>
        <v/>
      </c>
      <c r="AL84">
        <f>$C84*AL83</f>
        <v/>
      </c>
      <c r="AM84">
        <f>$C84*AM83</f>
        <v/>
      </c>
      <c r="AN84">
        <f>$C84*AN83</f>
        <v/>
      </c>
      <c r="AO84">
        <f>$C84*AO83</f>
        <v/>
      </c>
      <c r="AP84">
        <f>$C84*AP83</f>
        <v/>
      </c>
      <c r="AQ84">
        <f>$C84*AQ83</f>
        <v/>
      </c>
      <c r="AR84">
        <f>$C84*AR83</f>
        <v/>
      </c>
      <c r="AS84">
        <f>$C84*AS83</f>
        <v/>
      </c>
      <c r="AT84">
        <f>$C84*AT83</f>
        <v/>
      </c>
      <c r="AU84">
        <f>$C84*AU83</f>
        <v/>
      </c>
      <c r="AV84">
        <f>$C84*AV83</f>
        <v/>
      </c>
      <c r="AW84">
        <f>$C84*AW83</f>
        <v/>
      </c>
      <c r="AX84">
        <f>$C84*AX83</f>
        <v/>
      </c>
      <c r="AY84">
        <f>$C84*AY83</f>
        <v/>
      </c>
      <c r="AZ84">
        <f>$C84*AZ83</f>
        <v/>
      </c>
      <c r="BA84">
        <f>$C84*BA83</f>
        <v/>
      </c>
      <c r="BB84">
        <f>$C84*BB83</f>
        <v/>
      </c>
      <c r="BC84">
        <f>$C84*BC83</f>
        <v/>
      </c>
      <c r="BD84">
        <f>$C84*BD83</f>
        <v/>
      </c>
      <c r="BE84">
        <f>$C84*BE83</f>
        <v/>
      </c>
      <c r="BF84">
        <f>$C84*BF83</f>
        <v/>
      </c>
      <c r="BG84">
        <f>$C84*BG83</f>
        <v/>
      </c>
      <c r="BH84">
        <f>$C84*BH83</f>
        <v/>
      </c>
      <c r="BI84">
        <f>$C84*BI83</f>
        <v/>
      </c>
      <c r="BJ84">
        <f>$C84*BJ83</f>
        <v/>
      </c>
      <c r="BK84">
        <f>$C84*BK83</f>
        <v/>
      </c>
      <c r="BL84">
        <f>$C84*BL83</f>
        <v/>
      </c>
      <c r="BM84">
        <f>$C84*BM83</f>
        <v/>
      </c>
      <c r="BN84">
        <f>$C84*BN83</f>
        <v/>
      </c>
      <c r="BO84">
        <f>$C84*BO83</f>
        <v/>
      </c>
      <c r="BP84">
        <f>$C84*BP83</f>
        <v/>
      </c>
      <c r="BQ84">
        <f>$C84*BQ83</f>
        <v/>
      </c>
      <c r="BR84">
        <f>$C84*BR83</f>
        <v/>
      </c>
      <c r="BS84">
        <f>$C84*BS83</f>
        <v/>
      </c>
      <c r="BT84">
        <f>$C84*BT83</f>
        <v/>
      </c>
      <c r="BU84">
        <f>$C84*BU83</f>
        <v/>
      </c>
      <c r="BV84">
        <f>$C84*BV83</f>
        <v/>
      </c>
      <c r="BW84">
        <f>$C84*BW83</f>
        <v/>
      </c>
      <c r="BX84">
        <f>$C84*BX83</f>
        <v/>
      </c>
      <c r="BY84">
        <f>$C84*BY83</f>
        <v/>
      </c>
      <c r="BZ84">
        <f>$C84*BZ83</f>
        <v/>
      </c>
      <c r="CA84">
        <f>$C84*CA83</f>
        <v/>
      </c>
      <c r="CB84">
        <f>$C84*CB83</f>
        <v/>
      </c>
      <c r="CC84">
        <f>$C84*CC83</f>
        <v/>
      </c>
      <c r="CD84">
        <f>$C84*CD83</f>
        <v/>
      </c>
      <c r="CE84">
        <f>$C84*CE83</f>
        <v/>
      </c>
      <c r="CF84">
        <f>$C84*CF83</f>
        <v/>
      </c>
      <c r="CG84">
        <f>$C84*CG83</f>
        <v/>
      </c>
      <c r="CH84">
        <f>$C84*CH83</f>
        <v/>
      </c>
      <c r="CI84">
        <f>$C84*CI83</f>
        <v/>
      </c>
      <c r="CJ84">
        <f>$C84*CJ83</f>
        <v/>
      </c>
      <c r="CK84">
        <f>$C84*CK83</f>
        <v/>
      </c>
      <c r="CL84">
        <f>$C84*CL83</f>
        <v/>
      </c>
      <c r="CM84">
        <f>$C84*CM83</f>
        <v/>
      </c>
      <c r="CN84">
        <f>$C84*CN83</f>
        <v/>
      </c>
      <c r="CO84">
        <f>$C84*CO83</f>
        <v/>
      </c>
      <c r="CP84">
        <f>$C84*CP83</f>
        <v/>
      </c>
      <c r="CQ84">
        <f>$C84*CQ83</f>
        <v/>
      </c>
      <c r="CR84">
        <f>$C84*CR83</f>
        <v/>
      </c>
      <c r="CS84">
        <f>$C84*CS83</f>
        <v/>
      </c>
      <c r="CT84">
        <f>$C84*CT83</f>
        <v/>
      </c>
      <c r="CU84">
        <f>$C84*CU83</f>
        <v/>
      </c>
      <c r="CV84">
        <f>$C84*CV83</f>
        <v/>
      </c>
      <c r="CW84">
        <f>$C84*CW83</f>
        <v/>
      </c>
      <c r="CX84">
        <f>$C84*CX83</f>
        <v/>
      </c>
      <c r="CY84">
        <f>$C84*CY83</f>
        <v/>
      </c>
      <c r="CZ84">
        <f>$C84*CZ83</f>
        <v/>
      </c>
      <c r="DA84">
        <f>$C84*DA83</f>
        <v/>
      </c>
      <c r="DB84">
        <f>$C84*DB83</f>
        <v/>
      </c>
      <c r="DC84">
        <f>$C84*DC83</f>
        <v/>
      </c>
    </row>
    <row r="85">
      <c r="B85" t="inlineStr">
        <is>
          <t>TSP-390</t>
        </is>
      </c>
      <c r="C85" t="inlineStr">
        <is>
          <t>No. of batches</t>
        </is>
      </c>
      <c r="D85">
        <f>IFERROR(INDEX(PP_Grid[#Data],$DD85,2),0)</f>
        <v/>
      </c>
      <c r="E85">
        <f>IFERROR(INDEX(PP_Grid[#Data],$DD85,3),0)</f>
        <v/>
      </c>
      <c r="F85">
        <f>IFERROR(INDEX(PP_Grid[#Data],$DD85,4),0)</f>
        <v/>
      </c>
      <c r="G85">
        <f>IFERROR(INDEX(PP_Grid[#Data],$DD85,5),0)</f>
        <v/>
      </c>
      <c r="H85">
        <f>IFERROR(INDEX(PP_Grid[#Data],$DD85,6),0)</f>
        <v/>
      </c>
      <c r="I85">
        <f>IFERROR(INDEX(PP_Grid[#Data],$DD85,7),0)</f>
        <v/>
      </c>
      <c r="J85">
        <f>IFERROR(INDEX(PP_Grid[#Data],$DD85,8),0)</f>
        <v/>
      </c>
      <c r="K85">
        <f>IFERROR(INDEX(PP_Grid[#Data],$DD85,9),0)</f>
        <v/>
      </c>
      <c r="L85">
        <f>IFERROR(INDEX(PP_Grid[#Data],$DD85,10),0)</f>
        <v/>
      </c>
      <c r="M85">
        <f>IFERROR(INDEX(PP_Grid[#Data],$DD85,11),0)</f>
        <v/>
      </c>
      <c r="N85">
        <f>IFERROR(INDEX(PP_Grid[#Data],$DD85,12),0)</f>
        <v/>
      </c>
      <c r="O85">
        <f>IFERROR(INDEX(PP_Grid[#Data],$DD85,13),0)</f>
        <v/>
      </c>
      <c r="P85">
        <f>IFERROR(INDEX(PP_Grid[#Data],$DD85,14),0)</f>
        <v/>
      </c>
      <c r="Q85">
        <f>IFERROR(INDEX(PP_Grid[#Data],$DD85,15),0)</f>
        <v/>
      </c>
      <c r="R85">
        <f>IFERROR(INDEX(PP_Grid[#Data],$DD85,16),0)</f>
        <v/>
      </c>
      <c r="S85">
        <f>IFERROR(INDEX(PP_Grid[#Data],$DD85,17),0)</f>
        <v/>
      </c>
      <c r="T85">
        <f>IFERROR(INDEX(PP_Grid[#Data],$DD85,18),0)</f>
        <v/>
      </c>
      <c r="U85">
        <f>IFERROR(INDEX(PP_Grid[#Data],$DD85,19),0)</f>
        <v/>
      </c>
      <c r="V85">
        <f>IFERROR(INDEX(PP_Grid[#Data],$DD85,20),0)</f>
        <v/>
      </c>
      <c r="W85">
        <f>IFERROR(INDEX(PP_Grid[#Data],$DD85,21),0)</f>
        <v/>
      </c>
      <c r="X85">
        <f>IFERROR(INDEX(PP_Grid[#Data],$DD85,22),0)</f>
        <v/>
      </c>
      <c r="Y85">
        <f>IFERROR(INDEX(PP_Grid[#Data],$DD85,23),0)</f>
        <v/>
      </c>
      <c r="Z85">
        <f>IFERROR(INDEX(PP_Grid[#Data],$DD85,24),0)</f>
        <v/>
      </c>
      <c r="AA85">
        <f>IFERROR(INDEX(PP_Grid[#Data],$DD85,25),0)</f>
        <v/>
      </c>
      <c r="AB85">
        <f>IFERROR(INDEX(PP_Grid[#Data],$DD85,26),0)</f>
        <v/>
      </c>
      <c r="AC85">
        <f>IFERROR(INDEX(PP_Grid[#Data],$DD85,27),0)</f>
        <v/>
      </c>
      <c r="AD85">
        <f>IFERROR(INDEX(PP_Grid[#Data],$DD85,28),0)</f>
        <v/>
      </c>
      <c r="AE85">
        <f>IFERROR(INDEX(PP_Grid[#Data],$DD85,29),0)</f>
        <v/>
      </c>
      <c r="AF85">
        <f>IFERROR(INDEX(PP_Grid[#Data],$DD85,30),0)</f>
        <v/>
      </c>
      <c r="AG85">
        <f>IFERROR(INDEX(PP_Grid[#Data],$DD85,31),0)</f>
        <v/>
      </c>
      <c r="AH85">
        <f>IFERROR(INDEX(PP_Grid[#Data],$DD85,32),0)</f>
        <v/>
      </c>
      <c r="AI85">
        <f>IFERROR(INDEX(PP_Grid[#Data],$DD85,33),0)</f>
        <v/>
      </c>
      <c r="AJ85">
        <f>IFERROR(INDEX(PP_Grid[#Data],$DD85,34),0)</f>
        <v/>
      </c>
      <c r="AK85">
        <f>IFERROR(INDEX(PP_Grid[#Data],$DD85,35),0)</f>
        <v/>
      </c>
      <c r="AL85">
        <f>IFERROR(INDEX(PP_Grid[#Data],$DD85,36),0)</f>
        <v/>
      </c>
      <c r="AM85">
        <f>IFERROR(INDEX(PP_Grid[#Data],$DD85,37),0)</f>
        <v/>
      </c>
      <c r="AN85">
        <f>IFERROR(INDEX(PP_Grid[#Data],$DD85,38),0)</f>
        <v/>
      </c>
      <c r="AO85">
        <f>IFERROR(INDEX(PP_Grid[#Data],$DD85,39),0)</f>
        <v/>
      </c>
      <c r="AP85">
        <f>IFERROR(INDEX(PP_Grid[#Data],$DD85,40),0)</f>
        <v/>
      </c>
      <c r="AQ85">
        <f>IFERROR(INDEX(PP_Grid[#Data],$DD85,41),0)</f>
        <v/>
      </c>
      <c r="AR85">
        <f>IFERROR(INDEX(PP_Grid[#Data],$DD85,42),0)</f>
        <v/>
      </c>
      <c r="AS85">
        <f>IFERROR(INDEX(PP_Grid[#Data],$DD85,43),0)</f>
        <v/>
      </c>
      <c r="AT85">
        <f>IFERROR(INDEX(PP_Grid[#Data],$DD85,44),0)</f>
        <v/>
      </c>
      <c r="AU85">
        <f>IFERROR(INDEX(PP_Grid[#Data],$DD85,45),0)</f>
        <v/>
      </c>
      <c r="AV85">
        <f>IFERROR(INDEX(PP_Grid[#Data],$DD85,46),0)</f>
        <v/>
      </c>
      <c r="AW85">
        <f>IFERROR(INDEX(PP_Grid[#Data],$DD85,47),0)</f>
        <v/>
      </c>
      <c r="AX85">
        <f>IFERROR(INDEX(PP_Grid[#Data],$DD85,48),0)</f>
        <v/>
      </c>
      <c r="AY85">
        <f>IFERROR(INDEX(PP_Grid[#Data],$DD85,49),0)</f>
        <v/>
      </c>
      <c r="AZ85">
        <f>IFERROR(INDEX(PP_Grid[#Data],$DD85,50),0)</f>
        <v/>
      </c>
      <c r="BA85">
        <f>IFERROR(INDEX(PP_Grid[#Data],$DD85,51),0)</f>
        <v/>
      </c>
      <c r="BB85">
        <f>IFERROR(INDEX(PP_Grid[#Data],$DD85,52),0)</f>
        <v/>
      </c>
      <c r="BC85">
        <f>IFERROR(INDEX(PP_Grid[#Data],$DD85,53),0)</f>
        <v/>
      </c>
      <c r="BD85">
        <f>IFERROR(INDEX(PP_Grid[#Data],$DD85,54),0)</f>
        <v/>
      </c>
      <c r="BE85">
        <f>IFERROR(INDEX(PP_Grid[#Data],$DD85,55),0)</f>
        <v/>
      </c>
      <c r="BF85">
        <f>IFERROR(INDEX(PP_Grid[#Data],$DD85,56),0)</f>
        <v/>
      </c>
      <c r="BG85">
        <f>IFERROR(INDEX(PP_Grid[#Data],$DD85,57),0)</f>
        <v/>
      </c>
      <c r="BH85">
        <f>IFERROR(INDEX(PP_Grid[#Data],$DD85,58),0)</f>
        <v/>
      </c>
      <c r="BI85">
        <f>IFERROR(INDEX(PP_Grid[#Data],$DD85,59),0)</f>
        <v/>
      </c>
      <c r="BJ85">
        <f>IFERROR(INDEX(PP_Grid[#Data],$DD85,60),0)</f>
        <v/>
      </c>
      <c r="BK85">
        <f>IFERROR(INDEX(PP_Grid[#Data],$DD85,61),0)</f>
        <v/>
      </c>
      <c r="BL85">
        <f>IFERROR(INDEX(PP_Grid[#Data],$DD85,62),0)</f>
        <v/>
      </c>
      <c r="BM85">
        <f>IFERROR(INDEX(PP_Grid[#Data],$DD85,63),0)</f>
        <v/>
      </c>
      <c r="BN85">
        <f>IFERROR(INDEX(PP_Grid[#Data],$DD85,64),0)</f>
        <v/>
      </c>
      <c r="BO85">
        <f>IFERROR(INDEX(PP_Grid[#Data],$DD85,65),0)</f>
        <v/>
      </c>
      <c r="BP85">
        <f>IFERROR(INDEX(PP_Grid[#Data],$DD85,66),0)</f>
        <v/>
      </c>
      <c r="BQ85">
        <f>IFERROR(INDEX(PP_Grid[#Data],$DD85,67),0)</f>
        <v/>
      </c>
      <c r="BR85">
        <f>IFERROR(INDEX(PP_Grid[#Data],$DD85,68),0)</f>
        <v/>
      </c>
      <c r="BS85">
        <f>IFERROR(INDEX(PP_Grid[#Data],$DD85,69),0)</f>
        <v/>
      </c>
      <c r="BT85">
        <f>IFERROR(INDEX(PP_Grid[#Data],$DD85,70),0)</f>
        <v/>
      </c>
      <c r="BU85">
        <f>IFERROR(INDEX(PP_Grid[#Data],$DD85,71),0)</f>
        <v/>
      </c>
      <c r="BV85">
        <f>IFERROR(INDEX(PP_Grid[#Data],$DD85,72),0)</f>
        <v/>
      </c>
      <c r="BW85">
        <f>IFERROR(INDEX(PP_Grid[#Data],$DD85,73),0)</f>
        <v/>
      </c>
      <c r="BX85">
        <f>IFERROR(INDEX(PP_Grid[#Data],$DD85,74),0)</f>
        <v/>
      </c>
      <c r="BY85">
        <f>IFERROR(INDEX(PP_Grid[#Data],$DD85,75),0)</f>
        <v/>
      </c>
      <c r="BZ85">
        <f>IFERROR(INDEX(PP_Grid[#Data],$DD85,76),0)</f>
        <v/>
      </c>
      <c r="CA85">
        <f>IFERROR(INDEX(PP_Grid[#Data],$DD85,77),0)</f>
        <v/>
      </c>
      <c r="CB85">
        <f>IFERROR(INDEX(PP_Grid[#Data],$DD85,78),0)</f>
        <v/>
      </c>
      <c r="CC85">
        <f>IFERROR(INDEX(PP_Grid[#Data],$DD85,79),0)</f>
        <v/>
      </c>
      <c r="CD85">
        <f>IFERROR(INDEX(PP_Grid[#Data],$DD85,80),0)</f>
        <v/>
      </c>
      <c r="CE85">
        <f>IFERROR(INDEX(PP_Grid[#Data],$DD85,81),0)</f>
        <v/>
      </c>
      <c r="CF85">
        <f>IFERROR(INDEX(PP_Grid[#Data],$DD85,82),0)</f>
        <v/>
      </c>
      <c r="CG85">
        <f>IFERROR(INDEX(PP_Grid[#Data],$DD85,83),0)</f>
        <v/>
      </c>
      <c r="CH85">
        <f>IFERROR(INDEX(PP_Grid[#Data],$DD85,84),0)</f>
        <v/>
      </c>
      <c r="CI85">
        <f>IFERROR(INDEX(PP_Grid[#Data],$DD85,85),0)</f>
        <v/>
      </c>
      <c r="CJ85">
        <f>IFERROR(INDEX(PP_Grid[#Data],$DD85,86),0)</f>
        <v/>
      </c>
      <c r="CK85">
        <f>IFERROR(INDEX(PP_Grid[#Data],$DD85,87),0)</f>
        <v/>
      </c>
      <c r="CL85">
        <f>IFERROR(INDEX(PP_Grid[#Data],$DD85,88),0)</f>
        <v/>
      </c>
      <c r="CM85">
        <f>IFERROR(INDEX(PP_Grid[#Data],$DD85,89),0)</f>
        <v/>
      </c>
      <c r="CN85">
        <f>IFERROR(INDEX(PP_Grid[#Data],$DD85,90),0)</f>
        <v/>
      </c>
      <c r="CO85">
        <f>IFERROR(INDEX(PP_Grid[#Data],$DD85,91),0)</f>
        <v/>
      </c>
      <c r="CP85">
        <f>IFERROR(INDEX(PP_Grid[#Data],$DD85,92),0)</f>
        <v/>
      </c>
      <c r="CQ85">
        <f>IFERROR(INDEX(PP_Grid[#Data],$DD85,93),0)</f>
        <v/>
      </c>
      <c r="CR85">
        <f>IFERROR(INDEX(PP_Grid[#Data],$DD85,94),0)</f>
        <v/>
      </c>
      <c r="CS85">
        <f>IFERROR(INDEX(PP_Grid[#Data],$DD85,95),0)</f>
        <v/>
      </c>
      <c r="CT85">
        <f>IFERROR(INDEX(PP_Grid[#Data],$DD85,96),0)</f>
        <v/>
      </c>
      <c r="CU85">
        <f>IFERROR(INDEX(PP_Grid[#Data],$DD85,97),0)</f>
        <v/>
      </c>
      <c r="CV85">
        <f>IFERROR(INDEX(PP_Grid[#Data],$DD85,98),0)</f>
        <v/>
      </c>
      <c r="CW85">
        <f>IFERROR(INDEX(PP_Grid[#Data],$DD85,99),0)</f>
        <v/>
      </c>
      <c r="CX85">
        <f>IFERROR(INDEX(PP_Grid[#Data],$DD85,100),0)</f>
        <v/>
      </c>
      <c r="CY85">
        <f>IFERROR(INDEX(PP_Grid[#Data],$DD85,101),0)</f>
        <v/>
      </c>
      <c r="CZ85">
        <f>IFERROR(INDEX(PP_Grid[#Data],$DD85,102),0)</f>
        <v/>
      </c>
      <c r="DA85">
        <f>IFERROR(INDEX(PP_Grid[#Data],$DD85,103),0)</f>
        <v/>
      </c>
      <c r="DB85">
        <f>IFERROR(INDEX(PP_Grid[#Data],$DD85,104),0)</f>
        <v/>
      </c>
      <c r="DC85">
        <f>IFERROR(INDEX(PP_Grid[#Data],$DD85,105),0)</f>
        <v/>
      </c>
      <c r="DD85" s="7">
        <f>IFERROR(MATCH($B85,PP_Grid[Intermediate],0),99999)</f>
        <v/>
      </c>
    </row>
    <row r="86">
      <c r="B86" t="inlineStr">
        <is>
          <t>使用量(kg)</t>
        </is>
      </c>
      <c r="C86">
        <f>SUMIFS(M_BOM[RM_Qty_Per_Batch],M_BOM[Intermediate],$B85,M_BOM[Part Name],$A44)</f>
        <v/>
      </c>
      <c r="D86">
        <f>$C86*D85</f>
        <v/>
      </c>
      <c r="E86">
        <f>$C86*E85</f>
        <v/>
      </c>
      <c r="F86">
        <f>$C86*F85</f>
        <v/>
      </c>
      <c r="G86">
        <f>$C86*G85</f>
        <v/>
      </c>
      <c r="H86">
        <f>$C86*H85</f>
        <v/>
      </c>
      <c r="I86">
        <f>$C86*I85</f>
        <v/>
      </c>
      <c r="J86">
        <f>$C86*J85</f>
        <v/>
      </c>
      <c r="K86">
        <f>$C86*K85</f>
        <v/>
      </c>
      <c r="L86">
        <f>$C86*L85</f>
        <v/>
      </c>
      <c r="M86">
        <f>$C86*M85</f>
        <v/>
      </c>
      <c r="N86">
        <f>$C86*N85</f>
        <v/>
      </c>
      <c r="O86">
        <f>$C86*O85</f>
        <v/>
      </c>
      <c r="P86">
        <f>$C86*P85</f>
        <v/>
      </c>
      <c r="Q86">
        <f>$C86*Q85</f>
        <v/>
      </c>
      <c r="R86">
        <f>$C86*R85</f>
        <v/>
      </c>
      <c r="S86">
        <f>$C86*S85</f>
        <v/>
      </c>
      <c r="T86">
        <f>$C86*T85</f>
        <v/>
      </c>
      <c r="U86">
        <f>$C86*U85</f>
        <v/>
      </c>
      <c r="V86">
        <f>$C86*V85</f>
        <v/>
      </c>
      <c r="W86">
        <f>$C86*W85</f>
        <v/>
      </c>
      <c r="X86">
        <f>$C86*X85</f>
        <v/>
      </c>
      <c r="Y86">
        <f>$C86*Y85</f>
        <v/>
      </c>
      <c r="Z86">
        <f>$C86*Z85</f>
        <v/>
      </c>
      <c r="AA86">
        <f>$C86*AA85</f>
        <v/>
      </c>
      <c r="AB86">
        <f>$C86*AB85</f>
        <v/>
      </c>
      <c r="AC86">
        <f>$C86*AC85</f>
        <v/>
      </c>
      <c r="AD86">
        <f>$C86*AD85</f>
        <v/>
      </c>
      <c r="AE86">
        <f>$C86*AE85</f>
        <v/>
      </c>
      <c r="AF86">
        <f>$C86*AF85</f>
        <v/>
      </c>
      <c r="AG86">
        <f>$C86*AG85</f>
        <v/>
      </c>
      <c r="AH86">
        <f>$C86*AH85</f>
        <v/>
      </c>
      <c r="AI86">
        <f>$C86*AI85</f>
        <v/>
      </c>
      <c r="AJ86">
        <f>$C86*AJ85</f>
        <v/>
      </c>
      <c r="AK86">
        <f>$C86*AK85</f>
        <v/>
      </c>
      <c r="AL86">
        <f>$C86*AL85</f>
        <v/>
      </c>
      <c r="AM86">
        <f>$C86*AM85</f>
        <v/>
      </c>
      <c r="AN86">
        <f>$C86*AN85</f>
        <v/>
      </c>
      <c r="AO86">
        <f>$C86*AO85</f>
        <v/>
      </c>
      <c r="AP86">
        <f>$C86*AP85</f>
        <v/>
      </c>
      <c r="AQ86">
        <f>$C86*AQ85</f>
        <v/>
      </c>
      <c r="AR86">
        <f>$C86*AR85</f>
        <v/>
      </c>
      <c r="AS86">
        <f>$C86*AS85</f>
        <v/>
      </c>
      <c r="AT86">
        <f>$C86*AT85</f>
        <v/>
      </c>
      <c r="AU86">
        <f>$C86*AU85</f>
        <v/>
      </c>
      <c r="AV86">
        <f>$C86*AV85</f>
        <v/>
      </c>
      <c r="AW86">
        <f>$C86*AW85</f>
        <v/>
      </c>
      <c r="AX86">
        <f>$C86*AX85</f>
        <v/>
      </c>
      <c r="AY86">
        <f>$C86*AY85</f>
        <v/>
      </c>
      <c r="AZ86">
        <f>$C86*AZ85</f>
        <v/>
      </c>
      <c r="BA86">
        <f>$C86*BA85</f>
        <v/>
      </c>
      <c r="BB86">
        <f>$C86*BB85</f>
        <v/>
      </c>
      <c r="BC86">
        <f>$C86*BC85</f>
        <v/>
      </c>
      <c r="BD86">
        <f>$C86*BD85</f>
        <v/>
      </c>
      <c r="BE86">
        <f>$C86*BE85</f>
        <v/>
      </c>
      <c r="BF86">
        <f>$C86*BF85</f>
        <v/>
      </c>
      <c r="BG86">
        <f>$C86*BG85</f>
        <v/>
      </c>
      <c r="BH86">
        <f>$C86*BH85</f>
        <v/>
      </c>
      <c r="BI86">
        <f>$C86*BI85</f>
        <v/>
      </c>
      <c r="BJ86">
        <f>$C86*BJ85</f>
        <v/>
      </c>
      <c r="BK86">
        <f>$C86*BK85</f>
        <v/>
      </c>
      <c r="BL86">
        <f>$C86*BL85</f>
        <v/>
      </c>
      <c r="BM86">
        <f>$C86*BM85</f>
        <v/>
      </c>
      <c r="BN86">
        <f>$C86*BN85</f>
        <v/>
      </c>
      <c r="BO86">
        <f>$C86*BO85</f>
        <v/>
      </c>
      <c r="BP86">
        <f>$C86*BP85</f>
        <v/>
      </c>
      <c r="BQ86">
        <f>$C86*BQ85</f>
        <v/>
      </c>
      <c r="BR86">
        <f>$C86*BR85</f>
        <v/>
      </c>
      <c r="BS86">
        <f>$C86*BS85</f>
        <v/>
      </c>
      <c r="BT86">
        <f>$C86*BT85</f>
        <v/>
      </c>
      <c r="BU86">
        <f>$C86*BU85</f>
        <v/>
      </c>
      <c r="BV86">
        <f>$C86*BV85</f>
        <v/>
      </c>
      <c r="BW86">
        <f>$C86*BW85</f>
        <v/>
      </c>
      <c r="BX86">
        <f>$C86*BX85</f>
        <v/>
      </c>
      <c r="BY86">
        <f>$C86*BY85</f>
        <v/>
      </c>
      <c r="BZ86">
        <f>$C86*BZ85</f>
        <v/>
      </c>
      <c r="CA86">
        <f>$C86*CA85</f>
        <v/>
      </c>
      <c r="CB86">
        <f>$C86*CB85</f>
        <v/>
      </c>
      <c r="CC86">
        <f>$C86*CC85</f>
        <v/>
      </c>
      <c r="CD86">
        <f>$C86*CD85</f>
        <v/>
      </c>
      <c r="CE86">
        <f>$C86*CE85</f>
        <v/>
      </c>
      <c r="CF86">
        <f>$C86*CF85</f>
        <v/>
      </c>
      <c r="CG86">
        <f>$C86*CG85</f>
        <v/>
      </c>
      <c r="CH86">
        <f>$C86*CH85</f>
        <v/>
      </c>
      <c r="CI86">
        <f>$C86*CI85</f>
        <v/>
      </c>
      <c r="CJ86">
        <f>$C86*CJ85</f>
        <v/>
      </c>
      <c r="CK86">
        <f>$C86*CK85</f>
        <v/>
      </c>
      <c r="CL86">
        <f>$C86*CL85</f>
        <v/>
      </c>
      <c r="CM86">
        <f>$C86*CM85</f>
        <v/>
      </c>
      <c r="CN86">
        <f>$C86*CN85</f>
        <v/>
      </c>
      <c r="CO86">
        <f>$C86*CO85</f>
        <v/>
      </c>
      <c r="CP86">
        <f>$C86*CP85</f>
        <v/>
      </c>
      <c r="CQ86">
        <f>$C86*CQ85</f>
        <v/>
      </c>
      <c r="CR86">
        <f>$C86*CR85</f>
        <v/>
      </c>
      <c r="CS86">
        <f>$C86*CS85</f>
        <v/>
      </c>
      <c r="CT86">
        <f>$C86*CT85</f>
        <v/>
      </c>
      <c r="CU86">
        <f>$C86*CU85</f>
        <v/>
      </c>
      <c r="CV86">
        <f>$C86*CV85</f>
        <v/>
      </c>
      <c r="CW86">
        <f>$C86*CW85</f>
        <v/>
      </c>
      <c r="CX86">
        <f>$C86*CX85</f>
        <v/>
      </c>
      <c r="CY86">
        <f>$C86*CY85</f>
        <v/>
      </c>
      <c r="CZ86">
        <f>$C86*CZ85</f>
        <v/>
      </c>
      <c r="DA86">
        <f>$C86*DA85</f>
        <v/>
      </c>
      <c r="DB86">
        <f>$C86*DB85</f>
        <v/>
      </c>
      <c r="DC86">
        <f>$C86*DC85</f>
        <v/>
      </c>
    </row>
    <row r="87">
      <c r="B87" t="inlineStr">
        <is>
          <t>TSP-399</t>
        </is>
      </c>
      <c r="C87" t="inlineStr">
        <is>
          <t>No. of batches</t>
        </is>
      </c>
      <c r="D87">
        <f>IFERROR(INDEX(PP_Grid[#Data],$DD87,2),0)</f>
        <v/>
      </c>
      <c r="E87">
        <f>IFERROR(INDEX(PP_Grid[#Data],$DD87,3),0)</f>
        <v/>
      </c>
      <c r="F87">
        <f>IFERROR(INDEX(PP_Grid[#Data],$DD87,4),0)</f>
        <v/>
      </c>
      <c r="G87">
        <f>IFERROR(INDEX(PP_Grid[#Data],$DD87,5),0)</f>
        <v/>
      </c>
      <c r="H87">
        <f>IFERROR(INDEX(PP_Grid[#Data],$DD87,6),0)</f>
        <v/>
      </c>
      <c r="I87">
        <f>IFERROR(INDEX(PP_Grid[#Data],$DD87,7),0)</f>
        <v/>
      </c>
      <c r="J87">
        <f>IFERROR(INDEX(PP_Grid[#Data],$DD87,8),0)</f>
        <v/>
      </c>
      <c r="K87">
        <f>IFERROR(INDEX(PP_Grid[#Data],$DD87,9),0)</f>
        <v/>
      </c>
      <c r="L87">
        <f>IFERROR(INDEX(PP_Grid[#Data],$DD87,10),0)</f>
        <v/>
      </c>
      <c r="M87">
        <f>IFERROR(INDEX(PP_Grid[#Data],$DD87,11),0)</f>
        <v/>
      </c>
      <c r="N87">
        <f>IFERROR(INDEX(PP_Grid[#Data],$DD87,12),0)</f>
        <v/>
      </c>
      <c r="O87">
        <f>IFERROR(INDEX(PP_Grid[#Data],$DD87,13),0)</f>
        <v/>
      </c>
      <c r="P87">
        <f>IFERROR(INDEX(PP_Grid[#Data],$DD87,14),0)</f>
        <v/>
      </c>
      <c r="Q87">
        <f>IFERROR(INDEX(PP_Grid[#Data],$DD87,15),0)</f>
        <v/>
      </c>
      <c r="R87">
        <f>IFERROR(INDEX(PP_Grid[#Data],$DD87,16),0)</f>
        <v/>
      </c>
      <c r="S87">
        <f>IFERROR(INDEX(PP_Grid[#Data],$DD87,17),0)</f>
        <v/>
      </c>
      <c r="T87">
        <f>IFERROR(INDEX(PP_Grid[#Data],$DD87,18),0)</f>
        <v/>
      </c>
      <c r="U87">
        <f>IFERROR(INDEX(PP_Grid[#Data],$DD87,19),0)</f>
        <v/>
      </c>
      <c r="V87">
        <f>IFERROR(INDEX(PP_Grid[#Data],$DD87,20),0)</f>
        <v/>
      </c>
      <c r="W87">
        <f>IFERROR(INDEX(PP_Grid[#Data],$DD87,21),0)</f>
        <v/>
      </c>
      <c r="X87">
        <f>IFERROR(INDEX(PP_Grid[#Data],$DD87,22),0)</f>
        <v/>
      </c>
      <c r="Y87">
        <f>IFERROR(INDEX(PP_Grid[#Data],$DD87,23),0)</f>
        <v/>
      </c>
      <c r="Z87">
        <f>IFERROR(INDEX(PP_Grid[#Data],$DD87,24),0)</f>
        <v/>
      </c>
      <c r="AA87">
        <f>IFERROR(INDEX(PP_Grid[#Data],$DD87,25),0)</f>
        <v/>
      </c>
      <c r="AB87">
        <f>IFERROR(INDEX(PP_Grid[#Data],$DD87,26),0)</f>
        <v/>
      </c>
      <c r="AC87">
        <f>IFERROR(INDEX(PP_Grid[#Data],$DD87,27),0)</f>
        <v/>
      </c>
      <c r="AD87">
        <f>IFERROR(INDEX(PP_Grid[#Data],$DD87,28),0)</f>
        <v/>
      </c>
      <c r="AE87">
        <f>IFERROR(INDEX(PP_Grid[#Data],$DD87,29),0)</f>
        <v/>
      </c>
      <c r="AF87">
        <f>IFERROR(INDEX(PP_Grid[#Data],$DD87,30),0)</f>
        <v/>
      </c>
      <c r="AG87">
        <f>IFERROR(INDEX(PP_Grid[#Data],$DD87,31),0)</f>
        <v/>
      </c>
      <c r="AH87">
        <f>IFERROR(INDEX(PP_Grid[#Data],$DD87,32),0)</f>
        <v/>
      </c>
      <c r="AI87">
        <f>IFERROR(INDEX(PP_Grid[#Data],$DD87,33),0)</f>
        <v/>
      </c>
      <c r="AJ87">
        <f>IFERROR(INDEX(PP_Grid[#Data],$DD87,34),0)</f>
        <v/>
      </c>
      <c r="AK87">
        <f>IFERROR(INDEX(PP_Grid[#Data],$DD87,35),0)</f>
        <v/>
      </c>
      <c r="AL87">
        <f>IFERROR(INDEX(PP_Grid[#Data],$DD87,36),0)</f>
        <v/>
      </c>
      <c r="AM87">
        <f>IFERROR(INDEX(PP_Grid[#Data],$DD87,37),0)</f>
        <v/>
      </c>
      <c r="AN87">
        <f>IFERROR(INDEX(PP_Grid[#Data],$DD87,38),0)</f>
        <v/>
      </c>
      <c r="AO87">
        <f>IFERROR(INDEX(PP_Grid[#Data],$DD87,39),0)</f>
        <v/>
      </c>
      <c r="AP87">
        <f>IFERROR(INDEX(PP_Grid[#Data],$DD87,40),0)</f>
        <v/>
      </c>
      <c r="AQ87">
        <f>IFERROR(INDEX(PP_Grid[#Data],$DD87,41),0)</f>
        <v/>
      </c>
      <c r="AR87">
        <f>IFERROR(INDEX(PP_Grid[#Data],$DD87,42),0)</f>
        <v/>
      </c>
      <c r="AS87">
        <f>IFERROR(INDEX(PP_Grid[#Data],$DD87,43),0)</f>
        <v/>
      </c>
      <c r="AT87">
        <f>IFERROR(INDEX(PP_Grid[#Data],$DD87,44),0)</f>
        <v/>
      </c>
      <c r="AU87">
        <f>IFERROR(INDEX(PP_Grid[#Data],$DD87,45),0)</f>
        <v/>
      </c>
      <c r="AV87">
        <f>IFERROR(INDEX(PP_Grid[#Data],$DD87,46),0)</f>
        <v/>
      </c>
      <c r="AW87">
        <f>IFERROR(INDEX(PP_Grid[#Data],$DD87,47),0)</f>
        <v/>
      </c>
      <c r="AX87">
        <f>IFERROR(INDEX(PP_Grid[#Data],$DD87,48),0)</f>
        <v/>
      </c>
      <c r="AY87">
        <f>IFERROR(INDEX(PP_Grid[#Data],$DD87,49),0)</f>
        <v/>
      </c>
      <c r="AZ87">
        <f>IFERROR(INDEX(PP_Grid[#Data],$DD87,50),0)</f>
        <v/>
      </c>
      <c r="BA87">
        <f>IFERROR(INDEX(PP_Grid[#Data],$DD87,51),0)</f>
        <v/>
      </c>
      <c r="BB87">
        <f>IFERROR(INDEX(PP_Grid[#Data],$DD87,52),0)</f>
        <v/>
      </c>
      <c r="BC87">
        <f>IFERROR(INDEX(PP_Grid[#Data],$DD87,53),0)</f>
        <v/>
      </c>
      <c r="BD87">
        <f>IFERROR(INDEX(PP_Grid[#Data],$DD87,54),0)</f>
        <v/>
      </c>
      <c r="BE87">
        <f>IFERROR(INDEX(PP_Grid[#Data],$DD87,55),0)</f>
        <v/>
      </c>
      <c r="BF87">
        <f>IFERROR(INDEX(PP_Grid[#Data],$DD87,56),0)</f>
        <v/>
      </c>
      <c r="BG87">
        <f>IFERROR(INDEX(PP_Grid[#Data],$DD87,57),0)</f>
        <v/>
      </c>
      <c r="BH87">
        <f>IFERROR(INDEX(PP_Grid[#Data],$DD87,58),0)</f>
        <v/>
      </c>
      <c r="BI87">
        <f>IFERROR(INDEX(PP_Grid[#Data],$DD87,59),0)</f>
        <v/>
      </c>
      <c r="BJ87">
        <f>IFERROR(INDEX(PP_Grid[#Data],$DD87,60),0)</f>
        <v/>
      </c>
      <c r="BK87">
        <f>IFERROR(INDEX(PP_Grid[#Data],$DD87,61),0)</f>
        <v/>
      </c>
      <c r="BL87">
        <f>IFERROR(INDEX(PP_Grid[#Data],$DD87,62),0)</f>
        <v/>
      </c>
      <c r="BM87">
        <f>IFERROR(INDEX(PP_Grid[#Data],$DD87,63),0)</f>
        <v/>
      </c>
      <c r="BN87">
        <f>IFERROR(INDEX(PP_Grid[#Data],$DD87,64),0)</f>
        <v/>
      </c>
      <c r="BO87">
        <f>IFERROR(INDEX(PP_Grid[#Data],$DD87,65),0)</f>
        <v/>
      </c>
      <c r="BP87">
        <f>IFERROR(INDEX(PP_Grid[#Data],$DD87,66),0)</f>
        <v/>
      </c>
      <c r="BQ87">
        <f>IFERROR(INDEX(PP_Grid[#Data],$DD87,67),0)</f>
        <v/>
      </c>
      <c r="BR87">
        <f>IFERROR(INDEX(PP_Grid[#Data],$DD87,68),0)</f>
        <v/>
      </c>
      <c r="BS87">
        <f>IFERROR(INDEX(PP_Grid[#Data],$DD87,69),0)</f>
        <v/>
      </c>
      <c r="BT87">
        <f>IFERROR(INDEX(PP_Grid[#Data],$DD87,70),0)</f>
        <v/>
      </c>
      <c r="BU87">
        <f>IFERROR(INDEX(PP_Grid[#Data],$DD87,71),0)</f>
        <v/>
      </c>
      <c r="BV87">
        <f>IFERROR(INDEX(PP_Grid[#Data],$DD87,72),0)</f>
        <v/>
      </c>
      <c r="BW87">
        <f>IFERROR(INDEX(PP_Grid[#Data],$DD87,73),0)</f>
        <v/>
      </c>
      <c r="BX87">
        <f>IFERROR(INDEX(PP_Grid[#Data],$DD87,74),0)</f>
        <v/>
      </c>
      <c r="BY87">
        <f>IFERROR(INDEX(PP_Grid[#Data],$DD87,75),0)</f>
        <v/>
      </c>
      <c r="BZ87">
        <f>IFERROR(INDEX(PP_Grid[#Data],$DD87,76),0)</f>
        <v/>
      </c>
      <c r="CA87">
        <f>IFERROR(INDEX(PP_Grid[#Data],$DD87,77),0)</f>
        <v/>
      </c>
      <c r="CB87">
        <f>IFERROR(INDEX(PP_Grid[#Data],$DD87,78),0)</f>
        <v/>
      </c>
      <c r="CC87">
        <f>IFERROR(INDEX(PP_Grid[#Data],$DD87,79),0)</f>
        <v/>
      </c>
      <c r="CD87">
        <f>IFERROR(INDEX(PP_Grid[#Data],$DD87,80),0)</f>
        <v/>
      </c>
      <c r="CE87">
        <f>IFERROR(INDEX(PP_Grid[#Data],$DD87,81),0)</f>
        <v/>
      </c>
      <c r="CF87">
        <f>IFERROR(INDEX(PP_Grid[#Data],$DD87,82),0)</f>
        <v/>
      </c>
      <c r="CG87">
        <f>IFERROR(INDEX(PP_Grid[#Data],$DD87,83),0)</f>
        <v/>
      </c>
      <c r="CH87">
        <f>IFERROR(INDEX(PP_Grid[#Data],$DD87,84),0)</f>
        <v/>
      </c>
      <c r="CI87">
        <f>IFERROR(INDEX(PP_Grid[#Data],$DD87,85),0)</f>
        <v/>
      </c>
      <c r="CJ87">
        <f>IFERROR(INDEX(PP_Grid[#Data],$DD87,86),0)</f>
        <v/>
      </c>
      <c r="CK87">
        <f>IFERROR(INDEX(PP_Grid[#Data],$DD87,87),0)</f>
        <v/>
      </c>
      <c r="CL87">
        <f>IFERROR(INDEX(PP_Grid[#Data],$DD87,88),0)</f>
        <v/>
      </c>
      <c r="CM87">
        <f>IFERROR(INDEX(PP_Grid[#Data],$DD87,89),0)</f>
        <v/>
      </c>
      <c r="CN87">
        <f>IFERROR(INDEX(PP_Grid[#Data],$DD87,90),0)</f>
        <v/>
      </c>
      <c r="CO87">
        <f>IFERROR(INDEX(PP_Grid[#Data],$DD87,91),0)</f>
        <v/>
      </c>
      <c r="CP87">
        <f>IFERROR(INDEX(PP_Grid[#Data],$DD87,92),0)</f>
        <v/>
      </c>
      <c r="CQ87">
        <f>IFERROR(INDEX(PP_Grid[#Data],$DD87,93),0)</f>
        <v/>
      </c>
      <c r="CR87">
        <f>IFERROR(INDEX(PP_Grid[#Data],$DD87,94),0)</f>
        <v/>
      </c>
      <c r="CS87">
        <f>IFERROR(INDEX(PP_Grid[#Data],$DD87,95),0)</f>
        <v/>
      </c>
      <c r="CT87">
        <f>IFERROR(INDEX(PP_Grid[#Data],$DD87,96),0)</f>
        <v/>
      </c>
      <c r="CU87">
        <f>IFERROR(INDEX(PP_Grid[#Data],$DD87,97),0)</f>
        <v/>
      </c>
      <c r="CV87">
        <f>IFERROR(INDEX(PP_Grid[#Data],$DD87,98),0)</f>
        <v/>
      </c>
      <c r="CW87">
        <f>IFERROR(INDEX(PP_Grid[#Data],$DD87,99),0)</f>
        <v/>
      </c>
      <c r="CX87">
        <f>IFERROR(INDEX(PP_Grid[#Data],$DD87,100),0)</f>
        <v/>
      </c>
      <c r="CY87">
        <f>IFERROR(INDEX(PP_Grid[#Data],$DD87,101),0)</f>
        <v/>
      </c>
      <c r="CZ87">
        <f>IFERROR(INDEX(PP_Grid[#Data],$DD87,102),0)</f>
        <v/>
      </c>
      <c r="DA87">
        <f>IFERROR(INDEX(PP_Grid[#Data],$DD87,103),0)</f>
        <v/>
      </c>
      <c r="DB87">
        <f>IFERROR(INDEX(PP_Grid[#Data],$DD87,104),0)</f>
        <v/>
      </c>
      <c r="DC87">
        <f>IFERROR(INDEX(PP_Grid[#Data],$DD87,105),0)</f>
        <v/>
      </c>
      <c r="DD87" s="7">
        <f>IFERROR(MATCH($B87,PP_Grid[Intermediate],0),99999)</f>
        <v/>
      </c>
    </row>
    <row r="88">
      <c r="B88" t="inlineStr">
        <is>
          <t>使用量(kg)</t>
        </is>
      </c>
      <c r="C88">
        <f>SUMIFS(M_BOM[RM_Qty_Per_Batch],M_BOM[Intermediate],$B87,M_BOM[Part Name],$A44)</f>
        <v/>
      </c>
      <c r="D88">
        <f>$C88*D87</f>
        <v/>
      </c>
      <c r="E88">
        <f>$C88*E87</f>
        <v/>
      </c>
      <c r="F88">
        <f>$C88*F87</f>
        <v/>
      </c>
      <c r="G88">
        <f>$C88*G87</f>
        <v/>
      </c>
      <c r="H88">
        <f>$C88*H87</f>
        <v/>
      </c>
      <c r="I88">
        <f>$C88*I87</f>
        <v/>
      </c>
      <c r="J88">
        <f>$C88*J87</f>
        <v/>
      </c>
      <c r="K88">
        <f>$C88*K87</f>
        <v/>
      </c>
      <c r="L88">
        <f>$C88*L87</f>
        <v/>
      </c>
      <c r="M88">
        <f>$C88*M87</f>
        <v/>
      </c>
      <c r="N88">
        <f>$C88*N87</f>
        <v/>
      </c>
      <c r="O88">
        <f>$C88*O87</f>
        <v/>
      </c>
      <c r="P88">
        <f>$C88*P87</f>
        <v/>
      </c>
      <c r="Q88">
        <f>$C88*Q87</f>
        <v/>
      </c>
      <c r="R88">
        <f>$C88*R87</f>
        <v/>
      </c>
      <c r="S88">
        <f>$C88*S87</f>
        <v/>
      </c>
      <c r="T88">
        <f>$C88*T87</f>
        <v/>
      </c>
      <c r="U88">
        <f>$C88*U87</f>
        <v/>
      </c>
      <c r="V88">
        <f>$C88*V87</f>
        <v/>
      </c>
      <c r="W88">
        <f>$C88*W87</f>
        <v/>
      </c>
      <c r="X88">
        <f>$C88*X87</f>
        <v/>
      </c>
      <c r="Y88">
        <f>$C88*Y87</f>
        <v/>
      </c>
      <c r="Z88">
        <f>$C88*Z87</f>
        <v/>
      </c>
      <c r="AA88">
        <f>$C88*AA87</f>
        <v/>
      </c>
      <c r="AB88">
        <f>$C88*AB87</f>
        <v/>
      </c>
      <c r="AC88">
        <f>$C88*AC87</f>
        <v/>
      </c>
      <c r="AD88">
        <f>$C88*AD87</f>
        <v/>
      </c>
      <c r="AE88">
        <f>$C88*AE87</f>
        <v/>
      </c>
      <c r="AF88">
        <f>$C88*AF87</f>
        <v/>
      </c>
      <c r="AG88">
        <f>$C88*AG87</f>
        <v/>
      </c>
      <c r="AH88">
        <f>$C88*AH87</f>
        <v/>
      </c>
      <c r="AI88">
        <f>$C88*AI87</f>
        <v/>
      </c>
      <c r="AJ88">
        <f>$C88*AJ87</f>
        <v/>
      </c>
      <c r="AK88">
        <f>$C88*AK87</f>
        <v/>
      </c>
      <c r="AL88">
        <f>$C88*AL87</f>
        <v/>
      </c>
      <c r="AM88">
        <f>$C88*AM87</f>
        <v/>
      </c>
      <c r="AN88">
        <f>$C88*AN87</f>
        <v/>
      </c>
      <c r="AO88">
        <f>$C88*AO87</f>
        <v/>
      </c>
      <c r="AP88">
        <f>$C88*AP87</f>
        <v/>
      </c>
      <c r="AQ88">
        <f>$C88*AQ87</f>
        <v/>
      </c>
      <c r="AR88">
        <f>$C88*AR87</f>
        <v/>
      </c>
      <c r="AS88">
        <f>$C88*AS87</f>
        <v/>
      </c>
      <c r="AT88">
        <f>$C88*AT87</f>
        <v/>
      </c>
      <c r="AU88">
        <f>$C88*AU87</f>
        <v/>
      </c>
      <c r="AV88">
        <f>$C88*AV87</f>
        <v/>
      </c>
      <c r="AW88">
        <f>$C88*AW87</f>
        <v/>
      </c>
      <c r="AX88">
        <f>$C88*AX87</f>
        <v/>
      </c>
      <c r="AY88">
        <f>$C88*AY87</f>
        <v/>
      </c>
      <c r="AZ88">
        <f>$C88*AZ87</f>
        <v/>
      </c>
      <c r="BA88">
        <f>$C88*BA87</f>
        <v/>
      </c>
      <c r="BB88">
        <f>$C88*BB87</f>
        <v/>
      </c>
      <c r="BC88">
        <f>$C88*BC87</f>
        <v/>
      </c>
      <c r="BD88">
        <f>$C88*BD87</f>
        <v/>
      </c>
      <c r="BE88">
        <f>$C88*BE87</f>
        <v/>
      </c>
      <c r="BF88">
        <f>$C88*BF87</f>
        <v/>
      </c>
      <c r="BG88">
        <f>$C88*BG87</f>
        <v/>
      </c>
      <c r="BH88">
        <f>$C88*BH87</f>
        <v/>
      </c>
      <c r="BI88">
        <f>$C88*BI87</f>
        <v/>
      </c>
      <c r="BJ88">
        <f>$C88*BJ87</f>
        <v/>
      </c>
      <c r="BK88">
        <f>$C88*BK87</f>
        <v/>
      </c>
      <c r="BL88">
        <f>$C88*BL87</f>
        <v/>
      </c>
      <c r="BM88">
        <f>$C88*BM87</f>
        <v/>
      </c>
      <c r="BN88">
        <f>$C88*BN87</f>
        <v/>
      </c>
      <c r="BO88">
        <f>$C88*BO87</f>
        <v/>
      </c>
      <c r="BP88">
        <f>$C88*BP87</f>
        <v/>
      </c>
      <c r="BQ88">
        <f>$C88*BQ87</f>
        <v/>
      </c>
      <c r="BR88">
        <f>$C88*BR87</f>
        <v/>
      </c>
      <c r="BS88">
        <f>$C88*BS87</f>
        <v/>
      </c>
      <c r="BT88">
        <f>$C88*BT87</f>
        <v/>
      </c>
      <c r="BU88">
        <f>$C88*BU87</f>
        <v/>
      </c>
      <c r="BV88">
        <f>$C88*BV87</f>
        <v/>
      </c>
      <c r="BW88">
        <f>$C88*BW87</f>
        <v/>
      </c>
      <c r="BX88">
        <f>$C88*BX87</f>
        <v/>
      </c>
      <c r="BY88">
        <f>$C88*BY87</f>
        <v/>
      </c>
      <c r="BZ88">
        <f>$C88*BZ87</f>
        <v/>
      </c>
      <c r="CA88">
        <f>$C88*CA87</f>
        <v/>
      </c>
      <c r="CB88">
        <f>$C88*CB87</f>
        <v/>
      </c>
      <c r="CC88">
        <f>$C88*CC87</f>
        <v/>
      </c>
      <c r="CD88">
        <f>$C88*CD87</f>
        <v/>
      </c>
      <c r="CE88">
        <f>$C88*CE87</f>
        <v/>
      </c>
      <c r="CF88">
        <f>$C88*CF87</f>
        <v/>
      </c>
      <c r="CG88">
        <f>$C88*CG87</f>
        <v/>
      </c>
      <c r="CH88">
        <f>$C88*CH87</f>
        <v/>
      </c>
      <c r="CI88">
        <f>$C88*CI87</f>
        <v/>
      </c>
      <c r="CJ88">
        <f>$C88*CJ87</f>
        <v/>
      </c>
      <c r="CK88">
        <f>$C88*CK87</f>
        <v/>
      </c>
      <c r="CL88">
        <f>$C88*CL87</f>
        <v/>
      </c>
      <c r="CM88">
        <f>$C88*CM87</f>
        <v/>
      </c>
      <c r="CN88">
        <f>$C88*CN87</f>
        <v/>
      </c>
      <c r="CO88">
        <f>$C88*CO87</f>
        <v/>
      </c>
      <c r="CP88">
        <f>$C88*CP87</f>
        <v/>
      </c>
      <c r="CQ88">
        <f>$C88*CQ87</f>
        <v/>
      </c>
      <c r="CR88">
        <f>$C88*CR87</f>
        <v/>
      </c>
      <c r="CS88">
        <f>$C88*CS87</f>
        <v/>
      </c>
      <c r="CT88">
        <f>$C88*CT87</f>
        <v/>
      </c>
      <c r="CU88">
        <f>$C88*CU87</f>
        <v/>
      </c>
      <c r="CV88">
        <f>$C88*CV87</f>
        <v/>
      </c>
      <c r="CW88">
        <f>$C88*CW87</f>
        <v/>
      </c>
      <c r="CX88">
        <f>$C88*CX87</f>
        <v/>
      </c>
      <c r="CY88">
        <f>$C88*CY87</f>
        <v/>
      </c>
      <c r="CZ88">
        <f>$C88*CZ87</f>
        <v/>
      </c>
      <c r="DA88">
        <f>$C88*DA87</f>
        <v/>
      </c>
      <c r="DB88">
        <f>$C88*DB87</f>
        <v/>
      </c>
      <c r="DC88">
        <f>$C88*DC87</f>
        <v/>
      </c>
    </row>
    <row r="89">
      <c r="B89" t="inlineStr">
        <is>
          <t>TSP-402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7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Name],$A44)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t="inlineStr">
        <is>
          <t>TSP-403</t>
        </is>
      </c>
      <c r="C91" t="inlineStr">
        <is>
          <t>No. of batches</t>
        </is>
      </c>
      <c r="D91">
        <f>IFERROR(INDEX(PP_Grid[#Data],$DD91,2),0)</f>
        <v/>
      </c>
      <c r="E91">
        <f>IFERROR(INDEX(PP_Grid[#Data],$DD91,3),0)</f>
        <v/>
      </c>
      <c r="F91">
        <f>IFERROR(INDEX(PP_Grid[#Data],$DD91,4),0)</f>
        <v/>
      </c>
      <c r="G91">
        <f>IFERROR(INDEX(PP_Grid[#Data],$DD91,5),0)</f>
        <v/>
      </c>
      <c r="H91">
        <f>IFERROR(INDEX(PP_Grid[#Data],$DD91,6),0)</f>
        <v/>
      </c>
      <c r="I91">
        <f>IFERROR(INDEX(PP_Grid[#Data],$DD91,7),0)</f>
        <v/>
      </c>
      <c r="J91">
        <f>IFERROR(INDEX(PP_Grid[#Data],$DD91,8),0)</f>
        <v/>
      </c>
      <c r="K91">
        <f>IFERROR(INDEX(PP_Grid[#Data],$DD91,9),0)</f>
        <v/>
      </c>
      <c r="L91">
        <f>IFERROR(INDEX(PP_Grid[#Data],$DD91,10),0)</f>
        <v/>
      </c>
      <c r="M91">
        <f>IFERROR(INDEX(PP_Grid[#Data],$DD91,11),0)</f>
        <v/>
      </c>
      <c r="N91">
        <f>IFERROR(INDEX(PP_Grid[#Data],$DD91,12),0)</f>
        <v/>
      </c>
      <c r="O91">
        <f>IFERROR(INDEX(PP_Grid[#Data],$DD91,13),0)</f>
        <v/>
      </c>
      <c r="P91">
        <f>IFERROR(INDEX(PP_Grid[#Data],$DD91,14),0)</f>
        <v/>
      </c>
      <c r="Q91">
        <f>IFERROR(INDEX(PP_Grid[#Data],$DD91,15),0)</f>
        <v/>
      </c>
      <c r="R91">
        <f>IFERROR(INDEX(PP_Grid[#Data],$DD91,16),0)</f>
        <v/>
      </c>
      <c r="S91">
        <f>IFERROR(INDEX(PP_Grid[#Data],$DD91,17),0)</f>
        <v/>
      </c>
      <c r="T91">
        <f>IFERROR(INDEX(PP_Grid[#Data],$DD91,18),0)</f>
        <v/>
      </c>
      <c r="U91">
        <f>IFERROR(INDEX(PP_Grid[#Data],$DD91,19),0)</f>
        <v/>
      </c>
      <c r="V91">
        <f>IFERROR(INDEX(PP_Grid[#Data],$DD91,20),0)</f>
        <v/>
      </c>
      <c r="W91">
        <f>IFERROR(INDEX(PP_Grid[#Data],$DD91,21),0)</f>
        <v/>
      </c>
      <c r="X91">
        <f>IFERROR(INDEX(PP_Grid[#Data],$DD91,22),0)</f>
        <v/>
      </c>
      <c r="Y91">
        <f>IFERROR(INDEX(PP_Grid[#Data],$DD91,23),0)</f>
        <v/>
      </c>
      <c r="Z91">
        <f>IFERROR(INDEX(PP_Grid[#Data],$DD91,24),0)</f>
        <v/>
      </c>
      <c r="AA91">
        <f>IFERROR(INDEX(PP_Grid[#Data],$DD91,25),0)</f>
        <v/>
      </c>
      <c r="AB91">
        <f>IFERROR(INDEX(PP_Grid[#Data],$DD91,26),0)</f>
        <v/>
      </c>
      <c r="AC91">
        <f>IFERROR(INDEX(PP_Grid[#Data],$DD91,27),0)</f>
        <v/>
      </c>
      <c r="AD91">
        <f>IFERROR(INDEX(PP_Grid[#Data],$DD91,28),0)</f>
        <v/>
      </c>
      <c r="AE91">
        <f>IFERROR(INDEX(PP_Grid[#Data],$DD91,29),0)</f>
        <v/>
      </c>
      <c r="AF91">
        <f>IFERROR(INDEX(PP_Grid[#Data],$DD91,30),0)</f>
        <v/>
      </c>
      <c r="AG91">
        <f>IFERROR(INDEX(PP_Grid[#Data],$DD91,31),0)</f>
        <v/>
      </c>
      <c r="AH91">
        <f>IFERROR(INDEX(PP_Grid[#Data],$DD91,32),0)</f>
        <v/>
      </c>
      <c r="AI91">
        <f>IFERROR(INDEX(PP_Grid[#Data],$DD91,33),0)</f>
        <v/>
      </c>
      <c r="AJ91">
        <f>IFERROR(INDEX(PP_Grid[#Data],$DD91,34),0)</f>
        <v/>
      </c>
      <c r="AK91">
        <f>IFERROR(INDEX(PP_Grid[#Data],$DD91,35),0)</f>
        <v/>
      </c>
      <c r="AL91">
        <f>IFERROR(INDEX(PP_Grid[#Data],$DD91,36),0)</f>
        <v/>
      </c>
      <c r="AM91">
        <f>IFERROR(INDEX(PP_Grid[#Data],$DD91,37),0)</f>
        <v/>
      </c>
      <c r="AN91">
        <f>IFERROR(INDEX(PP_Grid[#Data],$DD91,38),0)</f>
        <v/>
      </c>
      <c r="AO91">
        <f>IFERROR(INDEX(PP_Grid[#Data],$DD91,39),0)</f>
        <v/>
      </c>
      <c r="AP91">
        <f>IFERROR(INDEX(PP_Grid[#Data],$DD91,40),0)</f>
        <v/>
      </c>
      <c r="AQ91">
        <f>IFERROR(INDEX(PP_Grid[#Data],$DD91,41),0)</f>
        <v/>
      </c>
      <c r="AR91">
        <f>IFERROR(INDEX(PP_Grid[#Data],$DD91,42),0)</f>
        <v/>
      </c>
      <c r="AS91">
        <f>IFERROR(INDEX(PP_Grid[#Data],$DD91,43),0)</f>
        <v/>
      </c>
      <c r="AT91">
        <f>IFERROR(INDEX(PP_Grid[#Data],$DD91,44),0)</f>
        <v/>
      </c>
      <c r="AU91">
        <f>IFERROR(INDEX(PP_Grid[#Data],$DD91,45),0)</f>
        <v/>
      </c>
      <c r="AV91">
        <f>IFERROR(INDEX(PP_Grid[#Data],$DD91,46),0)</f>
        <v/>
      </c>
      <c r="AW91">
        <f>IFERROR(INDEX(PP_Grid[#Data],$DD91,47),0)</f>
        <v/>
      </c>
      <c r="AX91">
        <f>IFERROR(INDEX(PP_Grid[#Data],$DD91,48),0)</f>
        <v/>
      </c>
      <c r="AY91">
        <f>IFERROR(INDEX(PP_Grid[#Data],$DD91,49),0)</f>
        <v/>
      </c>
      <c r="AZ91">
        <f>IFERROR(INDEX(PP_Grid[#Data],$DD91,50),0)</f>
        <v/>
      </c>
      <c r="BA91">
        <f>IFERROR(INDEX(PP_Grid[#Data],$DD91,51),0)</f>
        <v/>
      </c>
      <c r="BB91">
        <f>IFERROR(INDEX(PP_Grid[#Data],$DD91,52),0)</f>
        <v/>
      </c>
      <c r="BC91">
        <f>IFERROR(INDEX(PP_Grid[#Data],$DD91,53),0)</f>
        <v/>
      </c>
      <c r="BD91">
        <f>IFERROR(INDEX(PP_Grid[#Data],$DD91,54),0)</f>
        <v/>
      </c>
      <c r="BE91">
        <f>IFERROR(INDEX(PP_Grid[#Data],$DD91,55),0)</f>
        <v/>
      </c>
      <c r="BF91">
        <f>IFERROR(INDEX(PP_Grid[#Data],$DD91,56),0)</f>
        <v/>
      </c>
      <c r="BG91">
        <f>IFERROR(INDEX(PP_Grid[#Data],$DD91,57),0)</f>
        <v/>
      </c>
      <c r="BH91">
        <f>IFERROR(INDEX(PP_Grid[#Data],$DD91,58),0)</f>
        <v/>
      </c>
      <c r="BI91">
        <f>IFERROR(INDEX(PP_Grid[#Data],$DD91,59),0)</f>
        <v/>
      </c>
      <c r="BJ91">
        <f>IFERROR(INDEX(PP_Grid[#Data],$DD91,60),0)</f>
        <v/>
      </c>
      <c r="BK91">
        <f>IFERROR(INDEX(PP_Grid[#Data],$DD91,61),0)</f>
        <v/>
      </c>
      <c r="BL91">
        <f>IFERROR(INDEX(PP_Grid[#Data],$DD91,62),0)</f>
        <v/>
      </c>
      <c r="BM91">
        <f>IFERROR(INDEX(PP_Grid[#Data],$DD91,63),0)</f>
        <v/>
      </c>
      <c r="BN91">
        <f>IFERROR(INDEX(PP_Grid[#Data],$DD91,64),0)</f>
        <v/>
      </c>
      <c r="BO91">
        <f>IFERROR(INDEX(PP_Grid[#Data],$DD91,65),0)</f>
        <v/>
      </c>
      <c r="BP91">
        <f>IFERROR(INDEX(PP_Grid[#Data],$DD91,66),0)</f>
        <v/>
      </c>
      <c r="BQ91">
        <f>IFERROR(INDEX(PP_Grid[#Data],$DD91,67),0)</f>
        <v/>
      </c>
      <c r="BR91">
        <f>IFERROR(INDEX(PP_Grid[#Data],$DD91,68),0)</f>
        <v/>
      </c>
      <c r="BS91">
        <f>IFERROR(INDEX(PP_Grid[#Data],$DD91,69),0)</f>
        <v/>
      </c>
      <c r="BT91">
        <f>IFERROR(INDEX(PP_Grid[#Data],$DD91,70),0)</f>
        <v/>
      </c>
      <c r="BU91">
        <f>IFERROR(INDEX(PP_Grid[#Data],$DD91,71),0)</f>
        <v/>
      </c>
      <c r="BV91">
        <f>IFERROR(INDEX(PP_Grid[#Data],$DD91,72),0)</f>
        <v/>
      </c>
      <c r="BW91">
        <f>IFERROR(INDEX(PP_Grid[#Data],$DD91,73),0)</f>
        <v/>
      </c>
      <c r="BX91">
        <f>IFERROR(INDEX(PP_Grid[#Data],$DD91,74),0)</f>
        <v/>
      </c>
      <c r="BY91">
        <f>IFERROR(INDEX(PP_Grid[#Data],$DD91,75),0)</f>
        <v/>
      </c>
      <c r="BZ91">
        <f>IFERROR(INDEX(PP_Grid[#Data],$DD91,76),0)</f>
        <v/>
      </c>
      <c r="CA91">
        <f>IFERROR(INDEX(PP_Grid[#Data],$DD91,77),0)</f>
        <v/>
      </c>
      <c r="CB91">
        <f>IFERROR(INDEX(PP_Grid[#Data],$DD91,78),0)</f>
        <v/>
      </c>
      <c r="CC91">
        <f>IFERROR(INDEX(PP_Grid[#Data],$DD91,79),0)</f>
        <v/>
      </c>
      <c r="CD91">
        <f>IFERROR(INDEX(PP_Grid[#Data],$DD91,80),0)</f>
        <v/>
      </c>
      <c r="CE91">
        <f>IFERROR(INDEX(PP_Grid[#Data],$DD91,81),0)</f>
        <v/>
      </c>
      <c r="CF91">
        <f>IFERROR(INDEX(PP_Grid[#Data],$DD91,82),0)</f>
        <v/>
      </c>
      <c r="CG91">
        <f>IFERROR(INDEX(PP_Grid[#Data],$DD91,83),0)</f>
        <v/>
      </c>
      <c r="CH91">
        <f>IFERROR(INDEX(PP_Grid[#Data],$DD91,84),0)</f>
        <v/>
      </c>
      <c r="CI91">
        <f>IFERROR(INDEX(PP_Grid[#Data],$DD91,85),0)</f>
        <v/>
      </c>
      <c r="CJ91">
        <f>IFERROR(INDEX(PP_Grid[#Data],$DD91,86),0)</f>
        <v/>
      </c>
      <c r="CK91">
        <f>IFERROR(INDEX(PP_Grid[#Data],$DD91,87),0)</f>
        <v/>
      </c>
      <c r="CL91">
        <f>IFERROR(INDEX(PP_Grid[#Data],$DD91,88),0)</f>
        <v/>
      </c>
      <c r="CM91">
        <f>IFERROR(INDEX(PP_Grid[#Data],$DD91,89),0)</f>
        <v/>
      </c>
      <c r="CN91">
        <f>IFERROR(INDEX(PP_Grid[#Data],$DD91,90),0)</f>
        <v/>
      </c>
      <c r="CO91">
        <f>IFERROR(INDEX(PP_Grid[#Data],$DD91,91),0)</f>
        <v/>
      </c>
      <c r="CP91">
        <f>IFERROR(INDEX(PP_Grid[#Data],$DD91,92),0)</f>
        <v/>
      </c>
      <c r="CQ91">
        <f>IFERROR(INDEX(PP_Grid[#Data],$DD91,93),0)</f>
        <v/>
      </c>
      <c r="CR91">
        <f>IFERROR(INDEX(PP_Grid[#Data],$DD91,94),0)</f>
        <v/>
      </c>
      <c r="CS91">
        <f>IFERROR(INDEX(PP_Grid[#Data],$DD91,95),0)</f>
        <v/>
      </c>
      <c r="CT91">
        <f>IFERROR(INDEX(PP_Grid[#Data],$DD91,96),0)</f>
        <v/>
      </c>
      <c r="CU91">
        <f>IFERROR(INDEX(PP_Grid[#Data],$DD91,97),0)</f>
        <v/>
      </c>
      <c r="CV91">
        <f>IFERROR(INDEX(PP_Grid[#Data],$DD91,98),0)</f>
        <v/>
      </c>
      <c r="CW91">
        <f>IFERROR(INDEX(PP_Grid[#Data],$DD91,99),0)</f>
        <v/>
      </c>
      <c r="CX91">
        <f>IFERROR(INDEX(PP_Grid[#Data],$DD91,100),0)</f>
        <v/>
      </c>
      <c r="CY91">
        <f>IFERROR(INDEX(PP_Grid[#Data],$DD91,101),0)</f>
        <v/>
      </c>
      <c r="CZ91">
        <f>IFERROR(INDEX(PP_Grid[#Data],$DD91,102),0)</f>
        <v/>
      </c>
      <c r="DA91">
        <f>IFERROR(INDEX(PP_Grid[#Data],$DD91,103),0)</f>
        <v/>
      </c>
      <c r="DB91">
        <f>IFERROR(INDEX(PP_Grid[#Data],$DD91,104),0)</f>
        <v/>
      </c>
      <c r="DC91">
        <f>IFERROR(INDEX(PP_Grid[#Data],$DD91,105),0)</f>
        <v/>
      </c>
      <c r="DD91" s="7">
        <f>IFERROR(MATCH($B91,PP_Grid[Intermediate],0),99999)</f>
        <v/>
      </c>
    </row>
    <row r="92">
      <c r="B92" t="inlineStr">
        <is>
          <t>使用量(kg)</t>
        </is>
      </c>
      <c r="C92">
        <f>SUMIFS(M_BOM[RM_Qty_Per_Batch],M_BOM[Intermediate],$B91,M_BOM[Part Name],$A44)</f>
        <v/>
      </c>
      <c r="D92">
        <f>$C92*D91</f>
        <v/>
      </c>
      <c r="E92">
        <f>$C92*E91</f>
        <v/>
      </c>
      <c r="F92">
        <f>$C92*F91</f>
        <v/>
      </c>
      <c r="G92">
        <f>$C92*G91</f>
        <v/>
      </c>
      <c r="H92">
        <f>$C92*H91</f>
        <v/>
      </c>
      <c r="I92">
        <f>$C92*I91</f>
        <v/>
      </c>
      <c r="J92">
        <f>$C92*J91</f>
        <v/>
      </c>
      <c r="K92">
        <f>$C92*K91</f>
        <v/>
      </c>
      <c r="L92">
        <f>$C92*L91</f>
        <v/>
      </c>
      <c r="M92">
        <f>$C92*M91</f>
        <v/>
      </c>
      <c r="N92">
        <f>$C92*N91</f>
        <v/>
      </c>
      <c r="O92">
        <f>$C92*O91</f>
        <v/>
      </c>
      <c r="P92">
        <f>$C92*P91</f>
        <v/>
      </c>
      <c r="Q92">
        <f>$C92*Q91</f>
        <v/>
      </c>
      <c r="R92">
        <f>$C92*R91</f>
        <v/>
      </c>
      <c r="S92">
        <f>$C92*S91</f>
        <v/>
      </c>
      <c r="T92">
        <f>$C92*T91</f>
        <v/>
      </c>
      <c r="U92">
        <f>$C92*U91</f>
        <v/>
      </c>
      <c r="V92">
        <f>$C92*V91</f>
        <v/>
      </c>
      <c r="W92">
        <f>$C92*W91</f>
        <v/>
      </c>
      <c r="X92">
        <f>$C92*X91</f>
        <v/>
      </c>
      <c r="Y92">
        <f>$C92*Y91</f>
        <v/>
      </c>
      <c r="Z92">
        <f>$C92*Z91</f>
        <v/>
      </c>
      <c r="AA92">
        <f>$C92*AA91</f>
        <v/>
      </c>
      <c r="AB92">
        <f>$C92*AB91</f>
        <v/>
      </c>
      <c r="AC92">
        <f>$C92*AC91</f>
        <v/>
      </c>
      <c r="AD92">
        <f>$C92*AD91</f>
        <v/>
      </c>
      <c r="AE92">
        <f>$C92*AE91</f>
        <v/>
      </c>
      <c r="AF92">
        <f>$C92*AF91</f>
        <v/>
      </c>
      <c r="AG92">
        <f>$C92*AG91</f>
        <v/>
      </c>
      <c r="AH92">
        <f>$C92*AH91</f>
        <v/>
      </c>
      <c r="AI92">
        <f>$C92*AI91</f>
        <v/>
      </c>
      <c r="AJ92">
        <f>$C92*AJ91</f>
        <v/>
      </c>
      <c r="AK92">
        <f>$C92*AK91</f>
        <v/>
      </c>
      <c r="AL92">
        <f>$C92*AL91</f>
        <v/>
      </c>
      <c r="AM92">
        <f>$C92*AM91</f>
        <v/>
      </c>
      <c r="AN92">
        <f>$C92*AN91</f>
        <v/>
      </c>
      <c r="AO92">
        <f>$C92*AO91</f>
        <v/>
      </c>
      <c r="AP92">
        <f>$C92*AP91</f>
        <v/>
      </c>
      <c r="AQ92">
        <f>$C92*AQ91</f>
        <v/>
      </c>
      <c r="AR92">
        <f>$C92*AR91</f>
        <v/>
      </c>
      <c r="AS92">
        <f>$C92*AS91</f>
        <v/>
      </c>
      <c r="AT92">
        <f>$C92*AT91</f>
        <v/>
      </c>
      <c r="AU92">
        <f>$C92*AU91</f>
        <v/>
      </c>
      <c r="AV92">
        <f>$C92*AV91</f>
        <v/>
      </c>
      <c r="AW92">
        <f>$C92*AW91</f>
        <v/>
      </c>
      <c r="AX92">
        <f>$C92*AX91</f>
        <v/>
      </c>
      <c r="AY92">
        <f>$C92*AY91</f>
        <v/>
      </c>
      <c r="AZ92">
        <f>$C92*AZ91</f>
        <v/>
      </c>
      <c r="BA92">
        <f>$C92*BA91</f>
        <v/>
      </c>
      <c r="BB92">
        <f>$C92*BB91</f>
        <v/>
      </c>
      <c r="BC92">
        <f>$C92*BC91</f>
        <v/>
      </c>
      <c r="BD92">
        <f>$C92*BD91</f>
        <v/>
      </c>
      <c r="BE92">
        <f>$C92*BE91</f>
        <v/>
      </c>
      <c r="BF92">
        <f>$C92*BF91</f>
        <v/>
      </c>
      <c r="BG92">
        <f>$C92*BG91</f>
        <v/>
      </c>
      <c r="BH92">
        <f>$C92*BH91</f>
        <v/>
      </c>
      <c r="BI92">
        <f>$C92*BI91</f>
        <v/>
      </c>
      <c r="BJ92">
        <f>$C92*BJ91</f>
        <v/>
      </c>
      <c r="BK92">
        <f>$C92*BK91</f>
        <v/>
      </c>
      <c r="BL92">
        <f>$C92*BL91</f>
        <v/>
      </c>
      <c r="BM92">
        <f>$C92*BM91</f>
        <v/>
      </c>
      <c r="BN92">
        <f>$C92*BN91</f>
        <v/>
      </c>
      <c r="BO92">
        <f>$C92*BO91</f>
        <v/>
      </c>
      <c r="BP92">
        <f>$C92*BP91</f>
        <v/>
      </c>
      <c r="BQ92">
        <f>$C92*BQ91</f>
        <v/>
      </c>
      <c r="BR92">
        <f>$C92*BR91</f>
        <v/>
      </c>
      <c r="BS92">
        <f>$C92*BS91</f>
        <v/>
      </c>
      <c r="BT92">
        <f>$C92*BT91</f>
        <v/>
      </c>
      <c r="BU92">
        <f>$C92*BU91</f>
        <v/>
      </c>
      <c r="BV92">
        <f>$C92*BV91</f>
        <v/>
      </c>
      <c r="BW92">
        <f>$C92*BW91</f>
        <v/>
      </c>
      <c r="BX92">
        <f>$C92*BX91</f>
        <v/>
      </c>
      <c r="BY92">
        <f>$C92*BY91</f>
        <v/>
      </c>
      <c r="BZ92">
        <f>$C92*BZ91</f>
        <v/>
      </c>
      <c r="CA92">
        <f>$C92*CA91</f>
        <v/>
      </c>
      <c r="CB92">
        <f>$C92*CB91</f>
        <v/>
      </c>
      <c r="CC92">
        <f>$C92*CC91</f>
        <v/>
      </c>
      <c r="CD92">
        <f>$C92*CD91</f>
        <v/>
      </c>
      <c r="CE92">
        <f>$C92*CE91</f>
        <v/>
      </c>
      <c r="CF92">
        <f>$C92*CF91</f>
        <v/>
      </c>
      <c r="CG92">
        <f>$C92*CG91</f>
        <v/>
      </c>
      <c r="CH92">
        <f>$C92*CH91</f>
        <v/>
      </c>
      <c r="CI92">
        <f>$C92*CI91</f>
        <v/>
      </c>
      <c r="CJ92">
        <f>$C92*CJ91</f>
        <v/>
      </c>
      <c r="CK92">
        <f>$C92*CK91</f>
        <v/>
      </c>
      <c r="CL92">
        <f>$C92*CL91</f>
        <v/>
      </c>
      <c r="CM92">
        <f>$C92*CM91</f>
        <v/>
      </c>
      <c r="CN92">
        <f>$C92*CN91</f>
        <v/>
      </c>
      <c r="CO92">
        <f>$C92*CO91</f>
        <v/>
      </c>
      <c r="CP92">
        <f>$C92*CP91</f>
        <v/>
      </c>
      <c r="CQ92">
        <f>$C92*CQ91</f>
        <v/>
      </c>
      <c r="CR92">
        <f>$C92*CR91</f>
        <v/>
      </c>
      <c r="CS92">
        <f>$C92*CS91</f>
        <v/>
      </c>
      <c r="CT92">
        <f>$C92*CT91</f>
        <v/>
      </c>
      <c r="CU92">
        <f>$C92*CU91</f>
        <v/>
      </c>
      <c r="CV92">
        <f>$C92*CV91</f>
        <v/>
      </c>
      <c r="CW92">
        <f>$C92*CW91</f>
        <v/>
      </c>
      <c r="CX92">
        <f>$C92*CX91</f>
        <v/>
      </c>
      <c r="CY92">
        <f>$C92*CY91</f>
        <v/>
      </c>
      <c r="CZ92">
        <f>$C92*CZ91</f>
        <v/>
      </c>
      <c r="DA92">
        <f>$C92*DA91</f>
        <v/>
      </c>
      <c r="DB92">
        <f>$C92*DB91</f>
        <v/>
      </c>
      <c r="DC92">
        <f>$C92*DC91</f>
        <v/>
      </c>
    </row>
    <row r="93">
      <c r="B93" t="inlineStr">
        <is>
          <t>TSP-404</t>
        </is>
      </c>
      <c r="C93" t="inlineStr">
        <is>
          <t>No. of batches</t>
        </is>
      </c>
      <c r="D93">
        <f>IFERROR(INDEX(PP_Grid[#Data],$DD93,2),0)</f>
        <v/>
      </c>
      <c r="E93">
        <f>IFERROR(INDEX(PP_Grid[#Data],$DD93,3),0)</f>
        <v/>
      </c>
      <c r="F93">
        <f>IFERROR(INDEX(PP_Grid[#Data],$DD93,4),0)</f>
        <v/>
      </c>
      <c r="G93">
        <f>IFERROR(INDEX(PP_Grid[#Data],$DD93,5),0)</f>
        <v/>
      </c>
      <c r="H93">
        <f>IFERROR(INDEX(PP_Grid[#Data],$DD93,6),0)</f>
        <v/>
      </c>
      <c r="I93">
        <f>IFERROR(INDEX(PP_Grid[#Data],$DD93,7),0)</f>
        <v/>
      </c>
      <c r="J93">
        <f>IFERROR(INDEX(PP_Grid[#Data],$DD93,8),0)</f>
        <v/>
      </c>
      <c r="K93">
        <f>IFERROR(INDEX(PP_Grid[#Data],$DD93,9),0)</f>
        <v/>
      </c>
      <c r="L93">
        <f>IFERROR(INDEX(PP_Grid[#Data],$DD93,10),0)</f>
        <v/>
      </c>
      <c r="M93">
        <f>IFERROR(INDEX(PP_Grid[#Data],$DD93,11),0)</f>
        <v/>
      </c>
      <c r="N93">
        <f>IFERROR(INDEX(PP_Grid[#Data],$DD93,12),0)</f>
        <v/>
      </c>
      <c r="O93">
        <f>IFERROR(INDEX(PP_Grid[#Data],$DD93,13),0)</f>
        <v/>
      </c>
      <c r="P93">
        <f>IFERROR(INDEX(PP_Grid[#Data],$DD93,14),0)</f>
        <v/>
      </c>
      <c r="Q93">
        <f>IFERROR(INDEX(PP_Grid[#Data],$DD93,15),0)</f>
        <v/>
      </c>
      <c r="R93">
        <f>IFERROR(INDEX(PP_Grid[#Data],$DD93,16),0)</f>
        <v/>
      </c>
      <c r="S93">
        <f>IFERROR(INDEX(PP_Grid[#Data],$DD93,17),0)</f>
        <v/>
      </c>
      <c r="T93">
        <f>IFERROR(INDEX(PP_Grid[#Data],$DD93,18),0)</f>
        <v/>
      </c>
      <c r="U93">
        <f>IFERROR(INDEX(PP_Grid[#Data],$DD93,19),0)</f>
        <v/>
      </c>
      <c r="V93">
        <f>IFERROR(INDEX(PP_Grid[#Data],$DD93,20),0)</f>
        <v/>
      </c>
      <c r="W93">
        <f>IFERROR(INDEX(PP_Grid[#Data],$DD93,21),0)</f>
        <v/>
      </c>
      <c r="X93">
        <f>IFERROR(INDEX(PP_Grid[#Data],$DD93,22),0)</f>
        <v/>
      </c>
      <c r="Y93">
        <f>IFERROR(INDEX(PP_Grid[#Data],$DD93,23),0)</f>
        <v/>
      </c>
      <c r="Z93">
        <f>IFERROR(INDEX(PP_Grid[#Data],$DD93,24),0)</f>
        <v/>
      </c>
      <c r="AA93">
        <f>IFERROR(INDEX(PP_Grid[#Data],$DD93,25),0)</f>
        <v/>
      </c>
      <c r="AB93">
        <f>IFERROR(INDEX(PP_Grid[#Data],$DD93,26),0)</f>
        <v/>
      </c>
      <c r="AC93">
        <f>IFERROR(INDEX(PP_Grid[#Data],$DD93,27),0)</f>
        <v/>
      </c>
      <c r="AD93">
        <f>IFERROR(INDEX(PP_Grid[#Data],$DD93,28),0)</f>
        <v/>
      </c>
      <c r="AE93">
        <f>IFERROR(INDEX(PP_Grid[#Data],$DD93,29),0)</f>
        <v/>
      </c>
      <c r="AF93">
        <f>IFERROR(INDEX(PP_Grid[#Data],$DD93,30),0)</f>
        <v/>
      </c>
      <c r="AG93">
        <f>IFERROR(INDEX(PP_Grid[#Data],$DD93,31),0)</f>
        <v/>
      </c>
      <c r="AH93">
        <f>IFERROR(INDEX(PP_Grid[#Data],$DD93,32),0)</f>
        <v/>
      </c>
      <c r="AI93">
        <f>IFERROR(INDEX(PP_Grid[#Data],$DD93,33),0)</f>
        <v/>
      </c>
      <c r="AJ93">
        <f>IFERROR(INDEX(PP_Grid[#Data],$DD93,34),0)</f>
        <v/>
      </c>
      <c r="AK93">
        <f>IFERROR(INDEX(PP_Grid[#Data],$DD93,35),0)</f>
        <v/>
      </c>
      <c r="AL93">
        <f>IFERROR(INDEX(PP_Grid[#Data],$DD93,36),0)</f>
        <v/>
      </c>
      <c r="AM93">
        <f>IFERROR(INDEX(PP_Grid[#Data],$DD93,37),0)</f>
        <v/>
      </c>
      <c r="AN93">
        <f>IFERROR(INDEX(PP_Grid[#Data],$DD93,38),0)</f>
        <v/>
      </c>
      <c r="AO93">
        <f>IFERROR(INDEX(PP_Grid[#Data],$DD93,39),0)</f>
        <v/>
      </c>
      <c r="AP93">
        <f>IFERROR(INDEX(PP_Grid[#Data],$DD93,40),0)</f>
        <v/>
      </c>
      <c r="AQ93">
        <f>IFERROR(INDEX(PP_Grid[#Data],$DD93,41),0)</f>
        <v/>
      </c>
      <c r="AR93">
        <f>IFERROR(INDEX(PP_Grid[#Data],$DD93,42),0)</f>
        <v/>
      </c>
      <c r="AS93">
        <f>IFERROR(INDEX(PP_Grid[#Data],$DD93,43),0)</f>
        <v/>
      </c>
      <c r="AT93">
        <f>IFERROR(INDEX(PP_Grid[#Data],$DD93,44),0)</f>
        <v/>
      </c>
      <c r="AU93">
        <f>IFERROR(INDEX(PP_Grid[#Data],$DD93,45),0)</f>
        <v/>
      </c>
      <c r="AV93">
        <f>IFERROR(INDEX(PP_Grid[#Data],$DD93,46),0)</f>
        <v/>
      </c>
      <c r="AW93">
        <f>IFERROR(INDEX(PP_Grid[#Data],$DD93,47),0)</f>
        <v/>
      </c>
      <c r="AX93">
        <f>IFERROR(INDEX(PP_Grid[#Data],$DD93,48),0)</f>
        <v/>
      </c>
      <c r="AY93">
        <f>IFERROR(INDEX(PP_Grid[#Data],$DD93,49),0)</f>
        <v/>
      </c>
      <c r="AZ93">
        <f>IFERROR(INDEX(PP_Grid[#Data],$DD93,50),0)</f>
        <v/>
      </c>
      <c r="BA93">
        <f>IFERROR(INDEX(PP_Grid[#Data],$DD93,51),0)</f>
        <v/>
      </c>
      <c r="BB93">
        <f>IFERROR(INDEX(PP_Grid[#Data],$DD93,52),0)</f>
        <v/>
      </c>
      <c r="BC93">
        <f>IFERROR(INDEX(PP_Grid[#Data],$DD93,53),0)</f>
        <v/>
      </c>
      <c r="BD93">
        <f>IFERROR(INDEX(PP_Grid[#Data],$DD93,54),0)</f>
        <v/>
      </c>
      <c r="BE93">
        <f>IFERROR(INDEX(PP_Grid[#Data],$DD93,55),0)</f>
        <v/>
      </c>
      <c r="BF93">
        <f>IFERROR(INDEX(PP_Grid[#Data],$DD93,56),0)</f>
        <v/>
      </c>
      <c r="BG93">
        <f>IFERROR(INDEX(PP_Grid[#Data],$DD93,57),0)</f>
        <v/>
      </c>
      <c r="BH93">
        <f>IFERROR(INDEX(PP_Grid[#Data],$DD93,58),0)</f>
        <v/>
      </c>
      <c r="BI93">
        <f>IFERROR(INDEX(PP_Grid[#Data],$DD93,59),0)</f>
        <v/>
      </c>
      <c r="BJ93">
        <f>IFERROR(INDEX(PP_Grid[#Data],$DD93,60),0)</f>
        <v/>
      </c>
      <c r="BK93">
        <f>IFERROR(INDEX(PP_Grid[#Data],$DD93,61),0)</f>
        <v/>
      </c>
      <c r="BL93">
        <f>IFERROR(INDEX(PP_Grid[#Data],$DD93,62),0)</f>
        <v/>
      </c>
      <c r="BM93">
        <f>IFERROR(INDEX(PP_Grid[#Data],$DD93,63),0)</f>
        <v/>
      </c>
      <c r="BN93">
        <f>IFERROR(INDEX(PP_Grid[#Data],$DD93,64),0)</f>
        <v/>
      </c>
      <c r="BO93">
        <f>IFERROR(INDEX(PP_Grid[#Data],$DD93,65),0)</f>
        <v/>
      </c>
      <c r="BP93">
        <f>IFERROR(INDEX(PP_Grid[#Data],$DD93,66),0)</f>
        <v/>
      </c>
      <c r="BQ93">
        <f>IFERROR(INDEX(PP_Grid[#Data],$DD93,67),0)</f>
        <v/>
      </c>
      <c r="BR93">
        <f>IFERROR(INDEX(PP_Grid[#Data],$DD93,68),0)</f>
        <v/>
      </c>
      <c r="BS93">
        <f>IFERROR(INDEX(PP_Grid[#Data],$DD93,69),0)</f>
        <v/>
      </c>
      <c r="BT93">
        <f>IFERROR(INDEX(PP_Grid[#Data],$DD93,70),0)</f>
        <v/>
      </c>
      <c r="BU93">
        <f>IFERROR(INDEX(PP_Grid[#Data],$DD93,71),0)</f>
        <v/>
      </c>
      <c r="BV93">
        <f>IFERROR(INDEX(PP_Grid[#Data],$DD93,72),0)</f>
        <v/>
      </c>
      <c r="BW93">
        <f>IFERROR(INDEX(PP_Grid[#Data],$DD93,73),0)</f>
        <v/>
      </c>
      <c r="BX93">
        <f>IFERROR(INDEX(PP_Grid[#Data],$DD93,74),0)</f>
        <v/>
      </c>
      <c r="BY93">
        <f>IFERROR(INDEX(PP_Grid[#Data],$DD93,75),0)</f>
        <v/>
      </c>
      <c r="BZ93">
        <f>IFERROR(INDEX(PP_Grid[#Data],$DD93,76),0)</f>
        <v/>
      </c>
      <c r="CA93">
        <f>IFERROR(INDEX(PP_Grid[#Data],$DD93,77),0)</f>
        <v/>
      </c>
      <c r="CB93">
        <f>IFERROR(INDEX(PP_Grid[#Data],$DD93,78),0)</f>
        <v/>
      </c>
      <c r="CC93">
        <f>IFERROR(INDEX(PP_Grid[#Data],$DD93,79),0)</f>
        <v/>
      </c>
      <c r="CD93">
        <f>IFERROR(INDEX(PP_Grid[#Data],$DD93,80),0)</f>
        <v/>
      </c>
      <c r="CE93">
        <f>IFERROR(INDEX(PP_Grid[#Data],$DD93,81),0)</f>
        <v/>
      </c>
      <c r="CF93">
        <f>IFERROR(INDEX(PP_Grid[#Data],$DD93,82),0)</f>
        <v/>
      </c>
      <c r="CG93">
        <f>IFERROR(INDEX(PP_Grid[#Data],$DD93,83),0)</f>
        <v/>
      </c>
      <c r="CH93">
        <f>IFERROR(INDEX(PP_Grid[#Data],$DD93,84),0)</f>
        <v/>
      </c>
      <c r="CI93">
        <f>IFERROR(INDEX(PP_Grid[#Data],$DD93,85),0)</f>
        <v/>
      </c>
      <c r="CJ93">
        <f>IFERROR(INDEX(PP_Grid[#Data],$DD93,86),0)</f>
        <v/>
      </c>
      <c r="CK93">
        <f>IFERROR(INDEX(PP_Grid[#Data],$DD93,87),0)</f>
        <v/>
      </c>
      <c r="CL93">
        <f>IFERROR(INDEX(PP_Grid[#Data],$DD93,88),0)</f>
        <v/>
      </c>
      <c r="CM93">
        <f>IFERROR(INDEX(PP_Grid[#Data],$DD93,89),0)</f>
        <v/>
      </c>
      <c r="CN93">
        <f>IFERROR(INDEX(PP_Grid[#Data],$DD93,90),0)</f>
        <v/>
      </c>
      <c r="CO93">
        <f>IFERROR(INDEX(PP_Grid[#Data],$DD93,91),0)</f>
        <v/>
      </c>
      <c r="CP93">
        <f>IFERROR(INDEX(PP_Grid[#Data],$DD93,92),0)</f>
        <v/>
      </c>
      <c r="CQ93">
        <f>IFERROR(INDEX(PP_Grid[#Data],$DD93,93),0)</f>
        <v/>
      </c>
      <c r="CR93">
        <f>IFERROR(INDEX(PP_Grid[#Data],$DD93,94),0)</f>
        <v/>
      </c>
      <c r="CS93">
        <f>IFERROR(INDEX(PP_Grid[#Data],$DD93,95),0)</f>
        <v/>
      </c>
      <c r="CT93">
        <f>IFERROR(INDEX(PP_Grid[#Data],$DD93,96),0)</f>
        <v/>
      </c>
      <c r="CU93">
        <f>IFERROR(INDEX(PP_Grid[#Data],$DD93,97),0)</f>
        <v/>
      </c>
      <c r="CV93">
        <f>IFERROR(INDEX(PP_Grid[#Data],$DD93,98),0)</f>
        <v/>
      </c>
      <c r="CW93">
        <f>IFERROR(INDEX(PP_Grid[#Data],$DD93,99),0)</f>
        <v/>
      </c>
      <c r="CX93">
        <f>IFERROR(INDEX(PP_Grid[#Data],$DD93,100),0)</f>
        <v/>
      </c>
      <c r="CY93">
        <f>IFERROR(INDEX(PP_Grid[#Data],$DD93,101),0)</f>
        <v/>
      </c>
      <c r="CZ93">
        <f>IFERROR(INDEX(PP_Grid[#Data],$DD93,102),0)</f>
        <v/>
      </c>
      <c r="DA93">
        <f>IFERROR(INDEX(PP_Grid[#Data],$DD93,103),0)</f>
        <v/>
      </c>
      <c r="DB93">
        <f>IFERROR(INDEX(PP_Grid[#Data],$DD93,104),0)</f>
        <v/>
      </c>
      <c r="DC93">
        <f>IFERROR(INDEX(PP_Grid[#Data],$DD93,105),0)</f>
        <v/>
      </c>
      <c r="DD93" s="7">
        <f>IFERROR(MATCH($B93,PP_Grid[Intermediate],0),99999)</f>
        <v/>
      </c>
    </row>
    <row r="94">
      <c r="B94" t="inlineStr">
        <is>
          <t>使用量(kg)</t>
        </is>
      </c>
      <c r="C94">
        <f>SUMIFS(M_BOM[RM_Qty_Per_Batch],M_BOM[Intermediate],$B93,M_BOM[Part Name],$A44)</f>
        <v/>
      </c>
      <c r="D94">
        <f>$C94*D93</f>
        <v/>
      </c>
      <c r="E94">
        <f>$C94*E93</f>
        <v/>
      </c>
      <c r="F94">
        <f>$C94*F93</f>
        <v/>
      </c>
      <c r="G94">
        <f>$C94*G93</f>
        <v/>
      </c>
      <c r="H94">
        <f>$C94*H93</f>
        <v/>
      </c>
      <c r="I94">
        <f>$C94*I93</f>
        <v/>
      </c>
      <c r="J94">
        <f>$C94*J93</f>
        <v/>
      </c>
      <c r="K94">
        <f>$C94*K93</f>
        <v/>
      </c>
      <c r="L94">
        <f>$C94*L93</f>
        <v/>
      </c>
      <c r="M94">
        <f>$C94*M93</f>
        <v/>
      </c>
      <c r="N94">
        <f>$C94*N93</f>
        <v/>
      </c>
      <c r="O94">
        <f>$C94*O93</f>
        <v/>
      </c>
      <c r="P94">
        <f>$C94*P93</f>
        <v/>
      </c>
      <c r="Q94">
        <f>$C94*Q93</f>
        <v/>
      </c>
      <c r="R94">
        <f>$C94*R93</f>
        <v/>
      </c>
      <c r="S94">
        <f>$C94*S93</f>
        <v/>
      </c>
      <c r="T94">
        <f>$C94*T93</f>
        <v/>
      </c>
      <c r="U94">
        <f>$C94*U93</f>
        <v/>
      </c>
      <c r="V94">
        <f>$C94*V93</f>
        <v/>
      </c>
      <c r="W94">
        <f>$C94*W93</f>
        <v/>
      </c>
      <c r="X94">
        <f>$C94*X93</f>
        <v/>
      </c>
      <c r="Y94">
        <f>$C94*Y93</f>
        <v/>
      </c>
      <c r="Z94">
        <f>$C94*Z93</f>
        <v/>
      </c>
      <c r="AA94">
        <f>$C94*AA93</f>
        <v/>
      </c>
      <c r="AB94">
        <f>$C94*AB93</f>
        <v/>
      </c>
      <c r="AC94">
        <f>$C94*AC93</f>
        <v/>
      </c>
      <c r="AD94">
        <f>$C94*AD93</f>
        <v/>
      </c>
      <c r="AE94">
        <f>$C94*AE93</f>
        <v/>
      </c>
      <c r="AF94">
        <f>$C94*AF93</f>
        <v/>
      </c>
      <c r="AG94">
        <f>$C94*AG93</f>
        <v/>
      </c>
      <c r="AH94">
        <f>$C94*AH93</f>
        <v/>
      </c>
      <c r="AI94">
        <f>$C94*AI93</f>
        <v/>
      </c>
      <c r="AJ94">
        <f>$C94*AJ93</f>
        <v/>
      </c>
      <c r="AK94">
        <f>$C94*AK93</f>
        <v/>
      </c>
      <c r="AL94">
        <f>$C94*AL93</f>
        <v/>
      </c>
      <c r="AM94">
        <f>$C94*AM93</f>
        <v/>
      </c>
      <c r="AN94">
        <f>$C94*AN93</f>
        <v/>
      </c>
      <c r="AO94">
        <f>$C94*AO93</f>
        <v/>
      </c>
      <c r="AP94">
        <f>$C94*AP93</f>
        <v/>
      </c>
      <c r="AQ94">
        <f>$C94*AQ93</f>
        <v/>
      </c>
      <c r="AR94">
        <f>$C94*AR93</f>
        <v/>
      </c>
      <c r="AS94">
        <f>$C94*AS93</f>
        <v/>
      </c>
      <c r="AT94">
        <f>$C94*AT93</f>
        <v/>
      </c>
      <c r="AU94">
        <f>$C94*AU93</f>
        <v/>
      </c>
      <c r="AV94">
        <f>$C94*AV93</f>
        <v/>
      </c>
      <c r="AW94">
        <f>$C94*AW93</f>
        <v/>
      </c>
      <c r="AX94">
        <f>$C94*AX93</f>
        <v/>
      </c>
      <c r="AY94">
        <f>$C94*AY93</f>
        <v/>
      </c>
      <c r="AZ94">
        <f>$C94*AZ93</f>
        <v/>
      </c>
      <c r="BA94">
        <f>$C94*BA93</f>
        <v/>
      </c>
      <c r="BB94">
        <f>$C94*BB93</f>
        <v/>
      </c>
      <c r="BC94">
        <f>$C94*BC93</f>
        <v/>
      </c>
      <c r="BD94">
        <f>$C94*BD93</f>
        <v/>
      </c>
      <c r="BE94">
        <f>$C94*BE93</f>
        <v/>
      </c>
      <c r="BF94">
        <f>$C94*BF93</f>
        <v/>
      </c>
      <c r="BG94">
        <f>$C94*BG93</f>
        <v/>
      </c>
      <c r="BH94">
        <f>$C94*BH93</f>
        <v/>
      </c>
      <c r="BI94">
        <f>$C94*BI93</f>
        <v/>
      </c>
      <c r="BJ94">
        <f>$C94*BJ93</f>
        <v/>
      </c>
      <c r="BK94">
        <f>$C94*BK93</f>
        <v/>
      </c>
      <c r="BL94">
        <f>$C94*BL93</f>
        <v/>
      </c>
      <c r="BM94">
        <f>$C94*BM93</f>
        <v/>
      </c>
      <c r="BN94">
        <f>$C94*BN93</f>
        <v/>
      </c>
      <c r="BO94">
        <f>$C94*BO93</f>
        <v/>
      </c>
      <c r="BP94">
        <f>$C94*BP93</f>
        <v/>
      </c>
      <c r="BQ94">
        <f>$C94*BQ93</f>
        <v/>
      </c>
      <c r="BR94">
        <f>$C94*BR93</f>
        <v/>
      </c>
      <c r="BS94">
        <f>$C94*BS93</f>
        <v/>
      </c>
      <c r="BT94">
        <f>$C94*BT93</f>
        <v/>
      </c>
      <c r="BU94">
        <f>$C94*BU93</f>
        <v/>
      </c>
      <c r="BV94">
        <f>$C94*BV93</f>
        <v/>
      </c>
      <c r="BW94">
        <f>$C94*BW93</f>
        <v/>
      </c>
      <c r="BX94">
        <f>$C94*BX93</f>
        <v/>
      </c>
      <c r="BY94">
        <f>$C94*BY93</f>
        <v/>
      </c>
      <c r="BZ94">
        <f>$C94*BZ93</f>
        <v/>
      </c>
      <c r="CA94">
        <f>$C94*CA93</f>
        <v/>
      </c>
      <c r="CB94">
        <f>$C94*CB93</f>
        <v/>
      </c>
      <c r="CC94">
        <f>$C94*CC93</f>
        <v/>
      </c>
      <c r="CD94">
        <f>$C94*CD93</f>
        <v/>
      </c>
      <c r="CE94">
        <f>$C94*CE93</f>
        <v/>
      </c>
      <c r="CF94">
        <f>$C94*CF93</f>
        <v/>
      </c>
      <c r="CG94">
        <f>$C94*CG93</f>
        <v/>
      </c>
      <c r="CH94">
        <f>$C94*CH93</f>
        <v/>
      </c>
      <c r="CI94">
        <f>$C94*CI93</f>
        <v/>
      </c>
      <c r="CJ94">
        <f>$C94*CJ93</f>
        <v/>
      </c>
      <c r="CK94">
        <f>$C94*CK93</f>
        <v/>
      </c>
      <c r="CL94">
        <f>$C94*CL93</f>
        <v/>
      </c>
      <c r="CM94">
        <f>$C94*CM93</f>
        <v/>
      </c>
      <c r="CN94">
        <f>$C94*CN93</f>
        <v/>
      </c>
      <c r="CO94">
        <f>$C94*CO93</f>
        <v/>
      </c>
      <c r="CP94">
        <f>$C94*CP93</f>
        <v/>
      </c>
      <c r="CQ94">
        <f>$C94*CQ93</f>
        <v/>
      </c>
      <c r="CR94">
        <f>$C94*CR93</f>
        <v/>
      </c>
      <c r="CS94">
        <f>$C94*CS93</f>
        <v/>
      </c>
      <c r="CT94">
        <f>$C94*CT93</f>
        <v/>
      </c>
      <c r="CU94">
        <f>$C94*CU93</f>
        <v/>
      </c>
      <c r="CV94">
        <f>$C94*CV93</f>
        <v/>
      </c>
      <c r="CW94">
        <f>$C94*CW93</f>
        <v/>
      </c>
      <c r="CX94">
        <f>$C94*CX93</f>
        <v/>
      </c>
      <c r="CY94">
        <f>$C94*CY93</f>
        <v/>
      </c>
      <c r="CZ94">
        <f>$C94*CZ93</f>
        <v/>
      </c>
      <c r="DA94">
        <f>$C94*DA93</f>
        <v/>
      </c>
      <c r="DB94">
        <f>$C94*DB93</f>
        <v/>
      </c>
      <c r="DC94">
        <f>$C94*DC93</f>
        <v/>
      </c>
    </row>
    <row r="95">
      <c r="B95" t="inlineStr">
        <is>
          <t>TSP-405</t>
        </is>
      </c>
      <c r="C95" t="inlineStr">
        <is>
          <t>No. of batches</t>
        </is>
      </c>
      <c r="D95">
        <f>IFERROR(INDEX(PP_Grid[#Data],$DD95,2),0)</f>
        <v/>
      </c>
      <c r="E95">
        <f>IFERROR(INDEX(PP_Grid[#Data],$DD95,3),0)</f>
        <v/>
      </c>
      <c r="F95">
        <f>IFERROR(INDEX(PP_Grid[#Data],$DD95,4),0)</f>
        <v/>
      </c>
      <c r="G95">
        <f>IFERROR(INDEX(PP_Grid[#Data],$DD95,5),0)</f>
        <v/>
      </c>
      <c r="H95">
        <f>IFERROR(INDEX(PP_Grid[#Data],$DD95,6),0)</f>
        <v/>
      </c>
      <c r="I95">
        <f>IFERROR(INDEX(PP_Grid[#Data],$DD95,7),0)</f>
        <v/>
      </c>
      <c r="J95">
        <f>IFERROR(INDEX(PP_Grid[#Data],$DD95,8),0)</f>
        <v/>
      </c>
      <c r="K95">
        <f>IFERROR(INDEX(PP_Grid[#Data],$DD95,9),0)</f>
        <v/>
      </c>
      <c r="L95">
        <f>IFERROR(INDEX(PP_Grid[#Data],$DD95,10),0)</f>
        <v/>
      </c>
      <c r="M95">
        <f>IFERROR(INDEX(PP_Grid[#Data],$DD95,11),0)</f>
        <v/>
      </c>
      <c r="N95">
        <f>IFERROR(INDEX(PP_Grid[#Data],$DD95,12),0)</f>
        <v/>
      </c>
      <c r="O95">
        <f>IFERROR(INDEX(PP_Grid[#Data],$DD95,13),0)</f>
        <v/>
      </c>
      <c r="P95">
        <f>IFERROR(INDEX(PP_Grid[#Data],$DD95,14),0)</f>
        <v/>
      </c>
      <c r="Q95">
        <f>IFERROR(INDEX(PP_Grid[#Data],$DD95,15),0)</f>
        <v/>
      </c>
      <c r="R95">
        <f>IFERROR(INDEX(PP_Grid[#Data],$DD95,16),0)</f>
        <v/>
      </c>
      <c r="S95">
        <f>IFERROR(INDEX(PP_Grid[#Data],$DD95,17),0)</f>
        <v/>
      </c>
      <c r="T95">
        <f>IFERROR(INDEX(PP_Grid[#Data],$DD95,18),0)</f>
        <v/>
      </c>
      <c r="U95">
        <f>IFERROR(INDEX(PP_Grid[#Data],$DD95,19),0)</f>
        <v/>
      </c>
      <c r="V95">
        <f>IFERROR(INDEX(PP_Grid[#Data],$DD95,20),0)</f>
        <v/>
      </c>
      <c r="W95">
        <f>IFERROR(INDEX(PP_Grid[#Data],$DD95,21),0)</f>
        <v/>
      </c>
      <c r="X95">
        <f>IFERROR(INDEX(PP_Grid[#Data],$DD95,22),0)</f>
        <v/>
      </c>
      <c r="Y95">
        <f>IFERROR(INDEX(PP_Grid[#Data],$DD95,23),0)</f>
        <v/>
      </c>
      <c r="Z95">
        <f>IFERROR(INDEX(PP_Grid[#Data],$DD95,24),0)</f>
        <v/>
      </c>
      <c r="AA95">
        <f>IFERROR(INDEX(PP_Grid[#Data],$DD95,25),0)</f>
        <v/>
      </c>
      <c r="AB95">
        <f>IFERROR(INDEX(PP_Grid[#Data],$DD95,26),0)</f>
        <v/>
      </c>
      <c r="AC95">
        <f>IFERROR(INDEX(PP_Grid[#Data],$DD95,27),0)</f>
        <v/>
      </c>
      <c r="AD95">
        <f>IFERROR(INDEX(PP_Grid[#Data],$DD95,28),0)</f>
        <v/>
      </c>
      <c r="AE95">
        <f>IFERROR(INDEX(PP_Grid[#Data],$DD95,29),0)</f>
        <v/>
      </c>
      <c r="AF95">
        <f>IFERROR(INDEX(PP_Grid[#Data],$DD95,30),0)</f>
        <v/>
      </c>
      <c r="AG95">
        <f>IFERROR(INDEX(PP_Grid[#Data],$DD95,31),0)</f>
        <v/>
      </c>
      <c r="AH95">
        <f>IFERROR(INDEX(PP_Grid[#Data],$DD95,32),0)</f>
        <v/>
      </c>
      <c r="AI95">
        <f>IFERROR(INDEX(PP_Grid[#Data],$DD95,33),0)</f>
        <v/>
      </c>
      <c r="AJ95">
        <f>IFERROR(INDEX(PP_Grid[#Data],$DD95,34),0)</f>
        <v/>
      </c>
      <c r="AK95">
        <f>IFERROR(INDEX(PP_Grid[#Data],$DD95,35),0)</f>
        <v/>
      </c>
      <c r="AL95">
        <f>IFERROR(INDEX(PP_Grid[#Data],$DD95,36),0)</f>
        <v/>
      </c>
      <c r="AM95">
        <f>IFERROR(INDEX(PP_Grid[#Data],$DD95,37),0)</f>
        <v/>
      </c>
      <c r="AN95">
        <f>IFERROR(INDEX(PP_Grid[#Data],$DD95,38),0)</f>
        <v/>
      </c>
      <c r="AO95">
        <f>IFERROR(INDEX(PP_Grid[#Data],$DD95,39),0)</f>
        <v/>
      </c>
      <c r="AP95">
        <f>IFERROR(INDEX(PP_Grid[#Data],$DD95,40),0)</f>
        <v/>
      </c>
      <c r="AQ95">
        <f>IFERROR(INDEX(PP_Grid[#Data],$DD95,41),0)</f>
        <v/>
      </c>
      <c r="AR95">
        <f>IFERROR(INDEX(PP_Grid[#Data],$DD95,42),0)</f>
        <v/>
      </c>
      <c r="AS95">
        <f>IFERROR(INDEX(PP_Grid[#Data],$DD95,43),0)</f>
        <v/>
      </c>
      <c r="AT95">
        <f>IFERROR(INDEX(PP_Grid[#Data],$DD95,44),0)</f>
        <v/>
      </c>
      <c r="AU95">
        <f>IFERROR(INDEX(PP_Grid[#Data],$DD95,45),0)</f>
        <v/>
      </c>
      <c r="AV95">
        <f>IFERROR(INDEX(PP_Grid[#Data],$DD95,46),0)</f>
        <v/>
      </c>
      <c r="AW95">
        <f>IFERROR(INDEX(PP_Grid[#Data],$DD95,47),0)</f>
        <v/>
      </c>
      <c r="AX95">
        <f>IFERROR(INDEX(PP_Grid[#Data],$DD95,48),0)</f>
        <v/>
      </c>
      <c r="AY95">
        <f>IFERROR(INDEX(PP_Grid[#Data],$DD95,49),0)</f>
        <v/>
      </c>
      <c r="AZ95">
        <f>IFERROR(INDEX(PP_Grid[#Data],$DD95,50),0)</f>
        <v/>
      </c>
      <c r="BA95">
        <f>IFERROR(INDEX(PP_Grid[#Data],$DD95,51),0)</f>
        <v/>
      </c>
      <c r="BB95">
        <f>IFERROR(INDEX(PP_Grid[#Data],$DD95,52),0)</f>
        <v/>
      </c>
      <c r="BC95">
        <f>IFERROR(INDEX(PP_Grid[#Data],$DD95,53),0)</f>
        <v/>
      </c>
      <c r="BD95">
        <f>IFERROR(INDEX(PP_Grid[#Data],$DD95,54),0)</f>
        <v/>
      </c>
      <c r="BE95">
        <f>IFERROR(INDEX(PP_Grid[#Data],$DD95,55),0)</f>
        <v/>
      </c>
      <c r="BF95">
        <f>IFERROR(INDEX(PP_Grid[#Data],$DD95,56),0)</f>
        <v/>
      </c>
      <c r="BG95">
        <f>IFERROR(INDEX(PP_Grid[#Data],$DD95,57),0)</f>
        <v/>
      </c>
      <c r="BH95">
        <f>IFERROR(INDEX(PP_Grid[#Data],$DD95,58),0)</f>
        <v/>
      </c>
      <c r="BI95">
        <f>IFERROR(INDEX(PP_Grid[#Data],$DD95,59),0)</f>
        <v/>
      </c>
      <c r="BJ95">
        <f>IFERROR(INDEX(PP_Grid[#Data],$DD95,60),0)</f>
        <v/>
      </c>
      <c r="BK95">
        <f>IFERROR(INDEX(PP_Grid[#Data],$DD95,61),0)</f>
        <v/>
      </c>
      <c r="BL95">
        <f>IFERROR(INDEX(PP_Grid[#Data],$DD95,62),0)</f>
        <v/>
      </c>
      <c r="BM95">
        <f>IFERROR(INDEX(PP_Grid[#Data],$DD95,63),0)</f>
        <v/>
      </c>
      <c r="BN95">
        <f>IFERROR(INDEX(PP_Grid[#Data],$DD95,64),0)</f>
        <v/>
      </c>
      <c r="BO95">
        <f>IFERROR(INDEX(PP_Grid[#Data],$DD95,65),0)</f>
        <v/>
      </c>
      <c r="BP95">
        <f>IFERROR(INDEX(PP_Grid[#Data],$DD95,66),0)</f>
        <v/>
      </c>
      <c r="BQ95">
        <f>IFERROR(INDEX(PP_Grid[#Data],$DD95,67),0)</f>
        <v/>
      </c>
      <c r="BR95">
        <f>IFERROR(INDEX(PP_Grid[#Data],$DD95,68),0)</f>
        <v/>
      </c>
      <c r="BS95">
        <f>IFERROR(INDEX(PP_Grid[#Data],$DD95,69),0)</f>
        <v/>
      </c>
      <c r="BT95">
        <f>IFERROR(INDEX(PP_Grid[#Data],$DD95,70),0)</f>
        <v/>
      </c>
      <c r="BU95">
        <f>IFERROR(INDEX(PP_Grid[#Data],$DD95,71),0)</f>
        <v/>
      </c>
      <c r="BV95">
        <f>IFERROR(INDEX(PP_Grid[#Data],$DD95,72),0)</f>
        <v/>
      </c>
      <c r="BW95">
        <f>IFERROR(INDEX(PP_Grid[#Data],$DD95,73),0)</f>
        <v/>
      </c>
      <c r="BX95">
        <f>IFERROR(INDEX(PP_Grid[#Data],$DD95,74),0)</f>
        <v/>
      </c>
      <c r="BY95">
        <f>IFERROR(INDEX(PP_Grid[#Data],$DD95,75),0)</f>
        <v/>
      </c>
      <c r="BZ95">
        <f>IFERROR(INDEX(PP_Grid[#Data],$DD95,76),0)</f>
        <v/>
      </c>
      <c r="CA95">
        <f>IFERROR(INDEX(PP_Grid[#Data],$DD95,77),0)</f>
        <v/>
      </c>
      <c r="CB95">
        <f>IFERROR(INDEX(PP_Grid[#Data],$DD95,78),0)</f>
        <v/>
      </c>
      <c r="CC95">
        <f>IFERROR(INDEX(PP_Grid[#Data],$DD95,79),0)</f>
        <v/>
      </c>
      <c r="CD95">
        <f>IFERROR(INDEX(PP_Grid[#Data],$DD95,80),0)</f>
        <v/>
      </c>
      <c r="CE95">
        <f>IFERROR(INDEX(PP_Grid[#Data],$DD95,81),0)</f>
        <v/>
      </c>
      <c r="CF95">
        <f>IFERROR(INDEX(PP_Grid[#Data],$DD95,82),0)</f>
        <v/>
      </c>
      <c r="CG95">
        <f>IFERROR(INDEX(PP_Grid[#Data],$DD95,83),0)</f>
        <v/>
      </c>
      <c r="CH95">
        <f>IFERROR(INDEX(PP_Grid[#Data],$DD95,84),0)</f>
        <v/>
      </c>
      <c r="CI95">
        <f>IFERROR(INDEX(PP_Grid[#Data],$DD95,85),0)</f>
        <v/>
      </c>
      <c r="CJ95">
        <f>IFERROR(INDEX(PP_Grid[#Data],$DD95,86),0)</f>
        <v/>
      </c>
      <c r="CK95">
        <f>IFERROR(INDEX(PP_Grid[#Data],$DD95,87),0)</f>
        <v/>
      </c>
      <c r="CL95">
        <f>IFERROR(INDEX(PP_Grid[#Data],$DD95,88),0)</f>
        <v/>
      </c>
      <c r="CM95">
        <f>IFERROR(INDEX(PP_Grid[#Data],$DD95,89),0)</f>
        <v/>
      </c>
      <c r="CN95">
        <f>IFERROR(INDEX(PP_Grid[#Data],$DD95,90),0)</f>
        <v/>
      </c>
      <c r="CO95">
        <f>IFERROR(INDEX(PP_Grid[#Data],$DD95,91),0)</f>
        <v/>
      </c>
      <c r="CP95">
        <f>IFERROR(INDEX(PP_Grid[#Data],$DD95,92),0)</f>
        <v/>
      </c>
      <c r="CQ95">
        <f>IFERROR(INDEX(PP_Grid[#Data],$DD95,93),0)</f>
        <v/>
      </c>
      <c r="CR95">
        <f>IFERROR(INDEX(PP_Grid[#Data],$DD95,94),0)</f>
        <v/>
      </c>
      <c r="CS95">
        <f>IFERROR(INDEX(PP_Grid[#Data],$DD95,95),0)</f>
        <v/>
      </c>
      <c r="CT95">
        <f>IFERROR(INDEX(PP_Grid[#Data],$DD95,96),0)</f>
        <v/>
      </c>
      <c r="CU95">
        <f>IFERROR(INDEX(PP_Grid[#Data],$DD95,97),0)</f>
        <v/>
      </c>
      <c r="CV95">
        <f>IFERROR(INDEX(PP_Grid[#Data],$DD95,98),0)</f>
        <v/>
      </c>
      <c r="CW95">
        <f>IFERROR(INDEX(PP_Grid[#Data],$DD95,99),0)</f>
        <v/>
      </c>
      <c r="CX95">
        <f>IFERROR(INDEX(PP_Grid[#Data],$DD95,100),0)</f>
        <v/>
      </c>
      <c r="CY95">
        <f>IFERROR(INDEX(PP_Grid[#Data],$DD95,101),0)</f>
        <v/>
      </c>
      <c r="CZ95">
        <f>IFERROR(INDEX(PP_Grid[#Data],$DD95,102),0)</f>
        <v/>
      </c>
      <c r="DA95">
        <f>IFERROR(INDEX(PP_Grid[#Data],$DD95,103),0)</f>
        <v/>
      </c>
      <c r="DB95">
        <f>IFERROR(INDEX(PP_Grid[#Data],$DD95,104),0)</f>
        <v/>
      </c>
      <c r="DC95">
        <f>IFERROR(INDEX(PP_Grid[#Data],$DD95,105),0)</f>
        <v/>
      </c>
      <c r="DD95" s="7">
        <f>IFERROR(MATCH($B95,PP_Grid[Intermediate],0),99999)</f>
        <v/>
      </c>
    </row>
    <row r="96">
      <c r="B96" t="inlineStr">
        <is>
          <t>使用量(kg)</t>
        </is>
      </c>
      <c r="C96">
        <f>SUMIFS(M_BOM[RM_Qty_Per_Batch],M_BOM[Intermediate],$B95,M_BOM[Part Name],$A44)</f>
        <v/>
      </c>
      <c r="D96">
        <f>$C96*D95</f>
        <v/>
      </c>
      <c r="E96">
        <f>$C96*E95</f>
        <v/>
      </c>
      <c r="F96">
        <f>$C96*F95</f>
        <v/>
      </c>
      <c r="G96">
        <f>$C96*G95</f>
        <v/>
      </c>
      <c r="H96">
        <f>$C96*H95</f>
        <v/>
      </c>
      <c r="I96">
        <f>$C96*I95</f>
        <v/>
      </c>
      <c r="J96">
        <f>$C96*J95</f>
        <v/>
      </c>
      <c r="K96">
        <f>$C96*K95</f>
        <v/>
      </c>
      <c r="L96">
        <f>$C96*L95</f>
        <v/>
      </c>
      <c r="M96">
        <f>$C96*M95</f>
        <v/>
      </c>
      <c r="N96">
        <f>$C96*N95</f>
        <v/>
      </c>
      <c r="O96">
        <f>$C96*O95</f>
        <v/>
      </c>
      <c r="P96">
        <f>$C96*P95</f>
        <v/>
      </c>
      <c r="Q96">
        <f>$C96*Q95</f>
        <v/>
      </c>
      <c r="R96">
        <f>$C96*R95</f>
        <v/>
      </c>
      <c r="S96">
        <f>$C96*S95</f>
        <v/>
      </c>
      <c r="T96">
        <f>$C96*T95</f>
        <v/>
      </c>
      <c r="U96">
        <f>$C96*U95</f>
        <v/>
      </c>
      <c r="V96">
        <f>$C96*V95</f>
        <v/>
      </c>
      <c r="W96">
        <f>$C96*W95</f>
        <v/>
      </c>
      <c r="X96">
        <f>$C96*X95</f>
        <v/>
      </c>
      <c r="Y96">
        <f>$C96*Y95</f>
        <v/>
      </c>
      <c r="Z96">
        <f>$C96*Z95</f>
        <v/>
      </c>
      <c r="AA96">
        <f>$C96*AA95</f>
        <v/>
      </c>
      <c r="AB96">
        <f>$C96*AB95</f>
        <v/>
      </c>
      <c r="AC96">
        <f>$C96*AC95</f>
        <v/>
      </c>
      <c r="AD96">
        <f>$C96*AD95</f>
        <v/>
      </c>
      <c r="AE96">
        <f>$C96*AE95</f>
        <v/>
      </c>
      <c r="AF96">
        <f>$C96*AF95</f>
        <v/>
      </c>
      <c r="AG96">
        <f>$C96*AG95</f>
        <v/>
      </c>
      <c r="AH96">
        <f>$C96*AH95</f>
        <v/>
      </c>
      <c r="AI96">
        <f>$C96*AI95</f>
        <v/>
      </c>
      <c r="AJ96">
        <f>$C96*AJ95</f>
        <v/>
      </c>
      <c r="AK96">
        <f>$C96*AK95</f>
        <v/>
      </c>
      <c r="AL96">
        <f>$C96*AL95</f>
        <v/>
      </c>
      <c r="AM96">
        <f>$C96*AM95</f>
        <v/>
      </c>
      <c r="AN96">
        <f>$C96*AN95</f>
        <v/>
      </c>
      <c r="AO96">
        <f>$C96*AO95</f>
        <v/>
      </c>
      <c r="AP96">
        <f>$C96*AP95</f>
        <v/>
      </c>
      <c r="AQ96">
        <f>$C96*AQ95</f>
        <v/>
      </c>
      <c r="AR96">
        <f>$C96*AR95</f>
        <v/>
      </c>
      <c r="AS96">
        <f>$C96*AS95</f>
        <v/>
      </c>
      <c r="AT96">
        <f>$C96*AT95</f>
        <v/>
      </c>
      <c r="AU96">
        <f>$C96*AU95</f>
        <v/>
      </c>
      <c r="AV96">
        <f>$C96*AV95</f>
        <v/>
      </c>
      <c r="AW96">
        <f>$C96*AW95</f>
        <v/>
      </c>
      <c r="AX96">
        <f>$C96*AX95</f>
        <v/>
      </c>
      <c r="AY96">
        <f>$C96*AY95</f>
        <v/>
      </c>
      <c r="AZ96">
        <f>$C96*AZ95</f>
        <v/>
      </c>
      <c r="BA96">
        <f>$C96*BA95</f>
        <v/>
      </c>
      <c r="BB96">
        <f>$C96*BB95</f>
        <v/>
      </c>
      <c r="BC96">
        <f>$C96*BC95</f>
        <v/>
      </c>
      <c r="BD96">
        <f>$C96*BD95</f>
        <v/>
      </c>
      <c r="BE96">
        <f>$C96*BE95</f>
        <v/>
      </c>
      <c r="BF96">
        <f>$C96*BF95</f>
        <v/>
      </c>
      <c r="BG96">
        <f>$C96*BG95</f>
        <v/>
      </c>
      <c r="BH96">
        <f>$C96*BH95</f>
        <v/>
      </c>
      <c r="BI96">
        <f>$C96*BI95</f>
        <v/>
      </c>
      <c r="BJ96">
        <f>$C96*BJ95</f>
        <v/>
      </c>
      <c r="BK96">
        <f>$C96*BK95</f>
        <v/>
      </c>
      <c r="BL96">
        <f>$C96*BL95</f>
        <v/>
      </c>
      <c r="BM96">
        <f>$C96*BM95</f>
        <v/>
      </c>
      <c r="BN96">
        <f>$C96*BN95</f>
        <v/>
      </c>
      <c r="BO96">
        <f>$C96*BO95</f>
        <v/>
      </c>
      <c r="BP96">
        <f>$C96*BP95</f>
        <v/>
      </c>
      <c r="BQ96">
        <f>$C96*BQ95</f>
        <v/>
      </c>
      <c r="BR96">
        <f>$C96*BR95</f>
        <v/>
      </c>
      <c r="BS96">
        <f>$C96*BS95</f>
        <v/>
      </c>
      <c r="BT96">
        <f>$C96*BT95</f>
        <v/>
      </c>
      <c r="BU96">
        <f>$C96*BU95</f>
        <v/>
      </c>
      <c r="BV96">
        <f>$C96*BV95</f>
        <v/>
      </c>
      <c r="BW96">
        <f>$C96*BW95</f>
        <v/>
      </c>
      <c r="BX96">
        <f>$C96*BX95</f>
        <v/>
      </c>
      <c r="BY96">
        <f>$C96*BY95</f>
        <v/>
      </c>
      <c r="BZ96">
        <f>$C96*BZ95</f>
        <v/>
      </c>
      <c r="CA96">
        <f>$C96*CA95</f>
        <v/>
      </c>
      <c r="CB96">
        <f>$C96*CB95</f>
        <v/>
      </c>
      <c r="CC96">
        <f>$C96*CC95</f>
        <v/>
      </c>
      <c r="CD96">
        <f>$C96*CD95</f>
        <v/>
      </c>
      <c r="CE96">
        <f>$C96*CE95</f>
        <v/>
      </c>
      <c r="CF96">
        <f>$C96*CF95</f>
        <v/>
      </c>
      <c r="CG96">
        <f>$C96*CG95</f>
        <v/>
      </c>
      <c r="CH96">
        <f>$C96*CH95</f>
        <v/>
      </c>
      <c r="CI96">
        <f>$C96*CI95</f>
        <v/>
      </c>
      <c r="CJ96">
        <f>$C96*CJ95</f>
        <v/>
      </c>
      <c r="CK96">
        <f>$C96*CK95</f>
        <v/>
      </c>
      <c r="CL96">
        <f>$C96*CL95</f>
        <v/>
      </c>
      <c r="CM96">
        <f>$C96*CM95</f>
        <v/>
      </c>
      <c r="CN96">
        <f>$C96*CN95</f>
        <v/>
      </c>
      <c r="CO96">
        <f>$C96*CO95</f>
        <v/>
      </c>
      <c r="CP96">
        <f>$C96*CP95</f>
        <v/>
      </c>
      <c r="CQ96">
        <f>$C96*CQ95</f>
        <v/>
      </c>
      <c r="CR96">
        <f>$C96*CR95</f>
        <v/>
      </c>
      <c r="CS96">
        <f>$C96*CS95</f>
        <v/>
      </c>
      <c r="CT96">
        <f>$C96*CT95</f>
        <v/>
      </c>
      <c r="CU96">
        <f>$C96*CU95</f>
        <v/>
      </c>
      <c r="CV96">
        <f>$C96*CV95</f>
        <v/>
      </c>
      <c r="CW96">
        <f>$C96*CW95</f>
        <v/>
      </c>
      <c r="CX96">
        <f>$C96*CX95</f>
        <v/>
      </c>
      <c r="CY96">
        <f>$C96*CY95</f>
        <v/>
      </c>
      <c r="CZ96">
        <f>$C96*CZ95</f>
        <v/>
      </c>
      <c r="DA96">
        <f>$C96*DA95</f>
        <v/>
      </c>
      <c r="DB96">
        <f>$C96*DB95</f>
        <v/>
      </c>
      <c r="DC96">
        <f>$C96*DC95</f>
        <v/>
      </c>
    </row>
    <row r="97">
      <c r="B97" t="inlineStr">
        <is>
          <t>TSP-544</t>
        </is>
      </c>
      <c r="C97" t="inlineStr">
        <is>
          <t>No. of batches</t>
        </is>
      </c>
      <c r="D97">
        <f>IFERROR(INDEX(PP_Grid[#Data],$DD97,2),0)</f>
        <v/>
      </c>
      <c r="E97">
        <f>IFERROR(INDEX(PP_Grid[#Data],$DD97,3),0)</f>
        <v/>
      </c>
      <c r="F97">
        <f>IFERROR(INDEX(PP_Grid[#Data],$DD97,4),0)</f>
        <v/>
      </c>
      <c r="G97">
        <f>IFERROR(INDEX(PP_Grid[#Data],$DD97,5),0)</f>
        <v/>
      </c>
      <c r="H97">
        <f>IFERROR(INDEX(PP_Grid[#Data],$DD97,6),0)</f>
        <v/>
      </c>
      <c r="I97">
        <f>IFERROR(INDEX(PP_Grid[#Data],$DD97,7),0)</f>
        <v/>
      </c>
      <c r="J97">
        <f>IFERROR(INDEX(PP_Grid[#Data],$DD97,8),0)</f>
        <v/>
      </c>
      <c r="K97">
        <f>IFERROR(INDEX(PP_Grid[#Data],$DD97,9),0)</f>
        <v/>
      </c>
      <c r="L97">
        <f>IFERROR(INDEX(PP_Grid[#Data],$DD97,10),0)</f>
        <v/>
      </c>
      <c r="M97">
        <f>IFERROR(INDEX(PP_Grid[#Data],$DD97,11),0)</f>
        <v/>
      </c>
      <c r="N97">
        <f>IFERROR(INDEX(PP_Grid[#Data],$DD97,12),0)</f>
        <v/>
      </c>
      <c r="O97">
        <f>IFERROR(INDEX(PP_Grid[#Data],$DD97,13),0)</f>
        <v/>
      </c>
      <c r="P97">
        <f>IFERROR(INDEX(PP_Grid[#Data],$DD97,14),0)</f>
        <v/>
      </c>
      <c r="Q97">
        <f>IFERROR(INDEX(PP_Grid[#Data],$DD97,15),0)</f>
        <v/>
      </c>
      <c r="R97">
        <f>IFERROR(INDEX(PP_Grid[#Data],$DD97,16),0)</f>
        <v/>
      </c>
      <c r="S97">
        <f>IFERROR(INDEX(PP_Grid[#Data],$DD97,17),0)</f>
        <v/>
      </c>
      <c r="T97">
        <f>IFERROR(INDEX(PP_Grid[#Data],$DD97,18),0)</f>
        <v/>
      </c>
      <c r="U97">
        <f>IFERROR(INDEX(PP_Grid[#Data],$DD97,19),0)</f>
        <v/>
      </c>
      <c r="V97">
        <f>IFERROR(INDEX(PP_Grid[#Data],$DD97,20),0)</f>
        <v/>
      </c>
      <c r="W97">
        <f>IFERROR(INDEX(PP_Grid[#Data],$DD97,21),0)</f>
        <v/>
      </c>
      <c r="X97">
        <f>IFERROR(INDEX(PP_Grid[#Data],$DD97,22),0)</f>
        <v/>
      </c>
      <c r="Y97">
        <f>IFERROR(INDEX(PP_Grid[#Data],$DD97,23),0)</f>
        <v/>
      </c>
      <c r="Z97">
        <f>IFERROR(INDEX(PP_Grid[#Data],$DD97,24),0)</f>
        <v/>
      </c>
      <c r="AA97">
        <f>IFERROR(INDEX(PP_Grid[#Data],$DD97,25),0)</f>
        <v/>
      </c>
      <c r="AB97">
        <f>IFERROR(INDEX(PP_Grid[#Data],$DD97,26),0)</f>
        <v/>
      </c>
      <c r="AC97">
        <f>IFERROR(INDEX(PP_Grid[#Data],$DD97,27),0)</f>
        <v/>
      </c>
      <c r="AD97">
        <f>IFERROR(INDEX(PP_Grid[#Data],$DD97,28),0)</f>
        <v/>
      </c>
      <c r="AE97">
        <f>IFERROR(INDEX(PP_Grid[#Data],$DD97,29),0)</f>
        <v/>
      </c>
      <c r="AF97">
        <f>IFERROR(INDEX(PP_Grid[#Data],$DD97,30),0)</f>
        <v/>
      </c>
      <c r="AG97">
        <f>IFERROR(INDEX(PP_Grid[#Data],$DD97,31),0)</f>
        <v/>
      </c>
      <c r="AH97">
        <f>IFERROR(INDEX(PP_Grid[#Data],$DD97,32),0)</f>
        <v/>
      </c>
      <c r="AI97">
        <f>IFERROR(INDEX(PP_Grid[#Data],$DD97,33),0)</f>
        <v/>
      </c>
      <c r="AJ97">
        <f>IFERROR(INDEX(PP_Grid[#Data],$DD97,34),0)</f>
        <v/>
      </c>
      <c r="AK97">
        <f>IFERROR(INDEX(PP_Grid[#Data],$DD97,35),0)</f>
        <v/>
      </c>
      <c r="AL97">
        <f>IFERROR(INDEX(PP_Grid[#Data],$DD97,36),0)</f>
        <v/>
      </c>
      <c r="AM97">
        <f>IFERROR(INDEX(PP_Grid[#Data],$DD97,37),0)</f>
        <v/>
      </c>
      <c r="AN97">
        <f>IFERROR(INDEX(PP_Grid[#Data],$DD97,38),0)</f>
        <v/>
      </c>
      <c r="AO97">
        <f>IFERROR(INDEX(PP_Grid[#Data],$DD97,39),0)</f>
        <v/>
      </c>
      <c r="AP97">
        <f>IFERROR(INDEX(PP_Grid[#Data],$DD97,40),0)</f>
        <v/>
      </c>
      <c r="AQ97">
        <f>IFERROR(INDEX(PP_Grid[#Data],$DD97,41),0)</f>
        <v/>
      </c>
      <c r="AR97">
        <f>IFERROR(INDEX(PP_Grid[#Data],$DD97,42),0)</f>
        <v/>
      </c>
      <c r="AS97">
        <f>IFERROR(INDEX(PP_Grid[#Data],$DD97,43),0)</f>
        <v/>
      </c>
      <c r="AT97">
        <f>IFERROR(INDEX(PP_Grid[#Data],$DD97,44),0)</f>
        <v/>
      </c>
      <c r="AU97">
        <f>IFERROR(INDEX(PP_Grid[#Data],$DD97,45),0)</f>
        <v/>
      </c>
      <c r="AV97">
        <f>IFERROR(INDEX(PP_Grid[#Data],$DD97,46),0)</f>
        <v/>
      </c>
      <c r="AW97">
        <f>IFERROR(INDEX(PP_Grid[#Data],$DD97,47),0)</f>
        <v/>
      </c>
      <c r="AX97">
        <f>IFERROR(INDEX(PP_Grid[#Data],$DD97,48),0)</f>
        <v/>
      </c>
      <c r="AY97">
        <f>IFERROR(INDEX(PP_Grid[#Data],$DD97,49),0)</f>
        <v/>
      </c>
      <c r="AZ97">
        <f>IFERROR(INDEX(PP_Grid[#Data],$DD97,50),0)</f>
        <v/>
      </c>
      <c r="BA97">
        <f>IFERROR(INDEX(PP_Grid[#Data],$DD97,51),0)</f>
        <v/>
      </c>
      <c r="BB97">
        <f>IFERROR(INDEX(PP_Grid[#Data],$DD97,52),0)</f>
        <v/>
      </c>
      <c r="BC97">
        <f>IFERROR(INDEX(PP_Grid[#Data],$DD97,53),0)</f>
        <v/>
      </c>
      <c r="BD97">
        <f>IFERROR(INDEX(PP_Grid[#Data],$DD97,54),0)</f>
        <v/>
      </c>
      <c r="BE97">
        <f>IFERROR(INDEX(PP_Grid[#Data],$DD97,55),0)</f>
        <v/>
      </c>
      <c r="BF97">
        <f>IFERROR(INDEX(PP_Grid[#Data],$DD97,56),0)</f>
        <v/>
      </c>
      <c r="BG97">
        <f>IFERROR(INDEX(PP_Grid[#Data],$DD97,57),0)</f>
        <v/>
      </c>
      <c r="BH97">
        <f>IFERROR(INDEX(PP_Grid[#Data],$DD97,58),0)</f>
        <v/>
      </c>
      <c r="BI97">
        <f>IFERROR(INDEX(PP_Grid[#Data],$DD97,59),0)</f>
        <v/>
      </c>
      <c r="BJ97">
        <f>IFERROR(INDEX(PP_Grid[#Data],$DD97,60),0)</f>
        <v/>
      </c>
      <c r="BK97">
        <f>IFERROR(INDEX(PP_Grid[#Data],$DD97,61),0)</f>
        <v/>
      </c>
      <c r="BL97">
        <f>IFERROR(INDEX(PP_Grid[#Data],$DD97,62),0)</f>
        <v/>
      </c>
      <c r="BM97">
        <f>IFERROR(INDEX(PP_Grid[#Data],$DD97,63),0)</f>
        <v/>
      </c>
      <c r="BN97">
        <f>IFERROR(INDEX(PP_Grid[#Data],$DD97,64),0)</f>
        <v/>
      </c>
      <c r="BO97">
        <f>IFERROR(INDEX(PP_Grid[#Data],$DD97,65),0)</f>
        <v/>
      </c>
      <c r="BP97">
        <f>IFERROR(INDEX(PP_Grid[#Data],$DD97,66),0)</f>
        <v/>
      </c>
      <c r="BQ97">
        <f>IFERROR(INDEX(PP_Grid[#Data],$DD97,67),0)</f>
        <v/>
      </c>
      <c r="BR97">
        <f>IFERROR(INDEX(PP_Grid[#Data],$DD97,68),0)</f>
        <v/>
      </c>
      <c r="BS97">
        <f>IFERROR(INDEX(PP_Grid[#Data],$DD97,69),0)</f>
        <v/>
      </c>
      <c r="BT97">
        <f>IFERROR(INDEX(PP_Grid[#Data],$DD97,70),0)</f>
        <v/>
      </c>
      <c r="BU97">
        <f>IFERROR(INDEX(PP_Grid[#Data],$DD97,71),0)</f>
        <v/>
      </c>
      <c r="BV97">
        <f>IFERROR(INDEX(PP_Grid[#Data],$DD97,72),0)</f>
        <v/>
      </c>
      <c r="BW97">
        <f>IFERROR(INDEX(PP_Grid[#Data],$DD97,73),0)</f>
        <v/>
      </c>
      <c r="BX97">
        <f>IFERROR(INDEX(PP_Grid[#Data],$DD97,74),0)</f>
        <v/>
      </c>
      <c r="BY97">
        <f>IFERROR(INDEX(PP_Grid[#Data],$DD97,75),0)</f>
        <v/>
      </c>
      <c r="BZ97">
        <f>IFERROR(INDEX(PP_Grid[#Data],$DD97,76),0)</f>
        <v/>
      </c>
      <c r="CA97">
        <f>IFERROR(INDEX(PP_Grid[#Data],$DD97,77),0)</f>
        <v/>
      </c>
      <c r="CB97">
        <f>IFERROR(INDEX(PP_Grid[#Data],$DD97,78),0)</f>
        <v/>
      </c>
      <c r="CC97">
        <f>IFERROR(INDEX(PP_Grid[#Data],$DD97,79),0)</f>
        <v/>
      </c>
      <c r="CD97">
        <f>IFERROR(INDEX(PP_Grid[#Data],$DD97,80),0)</f>
        <v/>
      </c>
      <c r="CE97">
        <f>IFERROR(INDEX(PP_Grid[#Data],$DD97,81),0)</f>
        <v/>
      </c>
      <c r="CF97">
        <f>IFERROR(INDEX(PP_Grid[#Data],$DD97,82),0)</f>
        <v/>
      </c>
      <c r="CG97">
        <f>IFERROR(INDEX(PP_Grid[#Data],$DD97,83),0)</f>
        <v/>
      </c>
      <c r="CH97">
        <f>IFERROR(INDEX(PP_Grid[#Data],$DD97,84),0)</f>
        <v/>
      </c>
      <c r="CI97">
        <f>IFERROR(INDEX(PP_Grid[#Data],$DD97,85),0)</f>
        <v/>
      </c>
      <c r="CJ97">
        <f>IFERROR(INDEX(PP_Grid[#Data],$DD97,86),0)</f>
        <v/>
      </c>
      <c r="CK97">
        <f>IFERROR(INDEX(PP_Grid[#Data],$DD97,87),0)</f>
        <v/>
      </c>
      <c r="CL97">
        <f>IFERROR(INDEX(PP_Grid[#Data],$DD97,88),0)</f>
        <v/>
      </c>
      <c r="CM97">
        <f>IFERROR(INDEX(PP_Grid[#Data],$DD97,89),0)</f>
        <v/>
      </c>
      <c r="CN97">
        <f>IFERROR(INDEX(PP_Grid[#Data],$DD97,90),0)</f>
        <v/>
      </c>
      <c r="CO97">
        <f>IFERROR(INDEX(PP_Grid[#Data],$DD97,91),0)</f>
        <v/>
      </c>
      <c r="CP97">
        <f>IFERROR(INDEX(PP_Grid[#Data],$DD97,92),0)</f>
        <v/>
      </c>
      <c r="CQ97">
        <f>IFERROR(INDEX(PP_Grid[#Data],$DD97,93),0)</f>
        <v/>
      </c>
      <c r="CR97">
        <f>IFERROR(INDEX(PP_Grid[#Data],$DD97,94),0)</f>
        <v/>
      </c>
      <c r="CS97">
        <f>IFERROR(INDEX(PP_Grid[#Data],$DD97,95),0)</f>
        <v/>
      </c>
      <c r="CT97">
        <f>IFERROR(INDEX(PP_Grid[#Data],$DD97,96),0)</f>
        <v/>
      </c>
      <c r="CU97">
        <f>IFERROR(INDEX(PP_Grid[#Data],$DD97,97),0)</f>
        <v/>
      </c>
      <c r="CV97">
        <f>IFERROR(INDEX(PP_Grid[#Data],$DD97,98),0)</f>
        <v/>
      </c>
      <c r="CW97">
        <f>IFERROR(INDEX(PP_Grid[#Data],$DD97,99),0)</f>
        <v/>
      </c>
      <c r="CX97">
        <f>IFERROR(INDEX(PP_Grid[#Data],$DD97,100),0)</f>
        <v/>
      </c>
      <c r="CY97">
        <f>IFERROR(INDEX(PP_Grid[#Data],$DD97,101),0)</f>
        <v/>
      </c>
      <c r="CZ97">
        <f>IFERROR(INDEX(PP_Grid[#Data],$DD97,102),0)</f>
        <v/>
      </c>
      <c r="DA97">
        <f>IFERROR(INDEX(PP_Grid[#Data],$DD97,103),0)</f>
        <v/>
      </c>
      <c r="DB97">
        <f>IFERROR(INDEX(PP_Grid[#Data],$DD97,104),0)</f>
        <v/>
      </c>
      <c r="DC97">
        <f>IFERROR(INDEX(PP_Grid[#Data],$DD97,105),0)</f>
        <v/>
      </c>
      <c r="DD97" s="7">
        <f>IFERROR(MATCH($B97,PP_Grid[Intermediate],0),99999)</f>
        <v/>
      </c>
    </row>
    <row r="98">
      <c r="B98" t="inlineStr">
        <is>
          <t>使用量(kg)</t>
        </is>
      </c>
      <c r="C98">
        <f>SUMIFS(M_BOM[RM_Qty_Per_Batch],M_BOM[Intermediate],$B97,M_BOM[Part Name],$A44)</f>
        <v/>
      </c>
      <c r="D98">
        <f>$C98*D97</f>
        <v/>
      </c>
      <c r="E98">
        <f>$C98*E97</f>
        <v/>
      </c>
      <c r="F98">
        <f>$C98*F97</f>
        <v/>
      </c>
      <c r="G98">
        <f>$C98*G97</f>
        <v/>
      </c>
      <c r="H98">
        <f>$C98*H97</f>
        <v/>
      </c>
      <c r="I98">
        <f>$C98*I97</f>
        <v/>
      </c>
      <c r="J98">
        <f>$C98*J97</f>
        <v/>
      </c>
      <c r="K98">
        <f>$C98*K97</f>
        <v/>
      </c>
      <c r="L98">
        <f>$C98*L97</f>
        <v/>
      </c>
      <c r="M98">
        <f>$C98*M97</f>
        <v/>
      </c>
      <c r="N98">
        <f>$C98*N97</f>
        <v/>
      </c>
      <c r="O98">
        <f>$C98*O97</f>
        <v/>
      </c>
      <c r="P98">
        <f>$C98*P97</f>
        <v/>
      </c>
      <c r="Q98">
        <f>$C98*Q97</f>
        <v/>
      </c>
      <c r="R98">
        <f>$C98*R97</f>
        <v/>
      </c>
      <c r="S98">
        <f>$C98*S97</f>
        <v/>
      </c>
      <c r="T98">
        <f>$C98*T97</f>
        <v/>
      </c>
      <c r="U98">
        <f>$C98*U97</f>
        <v/>
      </c>
      <c r="V98">
        <f>$C98*V97</f>
        <v/>
      </c>
      <c r="W98">
        <f>$C98*W97</f>
        <v/>
      </c>
      <c r="X98">
        <f>$C98*X97</f>
        <v/>
      </c>
      <c r="Y98">
        <f>$C98*Y97</f>
        <v/>
      </c>
      <c r="Z98">
        <f>$C98*Z97</f>
        <v/>
      </c>
      <c r="AA98">
        <f>$C98*AA97</f>
        <v/>
      </c>
      <c r="AB98">
        <f>$C98*AB97</f>
        <v/>
      </c>
      <c r="AC98">
        <f>$C98*AC97</f>
        <v/>
      </c>
      <c r="AD98">
        <f>$C98*AD97</f>
        <v/>
      </c>
      <c r="AE98">
        <f>$C98*AE97</f>
        <v/>
      </c>
      <c r="AF98">
        <f>$C98*AF97</f>
        <v/>
      </c>
      <c r="AG98">
        <f>$C98*AG97</f>
        <v/>
      </c>
      <c r="AH98">
        <f>$C98*AH97</f>
        <v/>
      </c>
      <c r="AI98">
        <f>$C98*AI97</f>
        <v/>
      </c>
      <c r="AJ98">
        <f>$C98*AJ97</f>
        <v/>
      </c>
      <c r="AK98">
        <f>$C98*AK97</f>
        <v/>
      </c>
      <c r="AL98">
        <f>$C98*AL97</f>
        <v/>
      </c>
      <c r="AM98">
        <f>$C98*AM97</f>
        <v/>
      </c>
      <c r="AN98">
        <f>$C98*AN97</f>
        <v/>
      </c>
      <c r="AO98">
        <f>$C98*AO97</f>
        <v/>
      </c>
      <c r="AP98">
        <f>$C98*AP97</f>
        <v/>
      </c>
      <c r="AQ98">
        <f>$C98*AQ97</f>
        <v/>
      </c>
      <c r="AR98">
        <f>$C98*AR97</f>
        <v/>
      </c>
      <c r="AS98">
        <f>$C98*AS97</f>
        <v/>
      </c>
      <c r="AT98">
        <f>$C98*AT97</f>
        <v/>
      </c>
      <c r="AU98">
        <f>$C98*AU97</f>
        <v/>
      </c>
      <c r="AV98">
        <f>$C98*AV97</f>
        <v/>
      </c>
      <c r="AW98">
        <f>$C98*AW97</f>
        <v/>
      </c>
      <c r="AX98">
        <f>$C98*AX97</f>
        <v/>
      </c>
      <c r="AY98">
        <f>$C98*AY97</f>
        <v/>
      </c>
      <c r="AZ98">
        <f>$C98*AZ97</f>
        <v/>
      </c>
      <c r="BA98">
        <f>$C98*BA97</f>
        <v/>
      </c>
      <c r="BB98">
        <f>$C98*BB97</f>
        <v/>
      </c>
      <c r="BC98">
        <f>$C98*BC97</f>
        <v/>
      </c>
      <c r="BD98">
        <f>$C98*BD97</f>
        <v/>
      </c>
      <c r="BE98">
        <f>$C98*BE97</f>
        <v/>
      </c>
      <c r="BF98">
        <f>$C98*BF97</f>
        <v/>
      </c>
      <c r="BG98">
        <f>$C98*BG97</f>
        <v/>
      </c>
      <c r="BH98">
        <f>$C98*BH97</f>
        <v/>
      </c>
      <c r="BI98">
        <f>$C98*BI97</f>
        <v/>
      </c>
      <c r="BJ98">
        <f>$C98*BJ97</f>
        <v/>
      </c>
      <c r="BK98">
        <f>$C98*BK97</f>
        <v/>
      </c>
      <c r="BL98">
        <f>$C98*BL97</f>
        <v/>
      </c>
      <c r="BM98">
        <f>$C98*BM97</f>
        <v/>
      </c>
      <c r="BN98">
        <f>$C98*BN97</f>
        <v/>
      </c>
      <c r="BO98">
        <f>$C98*BO97</f>
        <v/>
      </c>
      <c r="BP98">
        <f>$C98*BP97</f>
        <v/>
      </c>
      <c r="BQ98">
        <f>$C98*BQ97</f>
        <v/>
      </c>
      <c r="BR98">
        <f>$C98*BR97</f>
        <v/>
      </c>
      <c r="BS98">
        <f>$C98*BS97</f>
        <v/>
      </c>
      <c r="BT98">
        <f>$C98*BT97</f>
        <v/>
      </c>
      <c r="BU98">
        <f>$C98*BU97</f>
        <v/>
      </c>
      <c r="BV98">
        <f>$C98*BV97</f>
        <v/>
      </c>
      <c r="BW98">
        <f>$C98*BW97</f>
        <v/>
      </c>
      <c r="BX98">
        <f>$C98*BX97</f>
        <v/>
      </c>
      <c r="BY98">
        <f>$C98*BY97</f>
        <v/>
      </c>
      <c r="BZ98">
        <f>$C98*BZ97</f>
        <v/>
      </c>
      <c r="CA98">
        <f>$C98*CA97</f>
        <v/>
      </c>
      <c r="CB98">
        <f>$C98*CB97</f>
        <v/>
      </c>
      <c r="CC98">
        <f>$C98*CC97</f>
        <v/>
      </c>
      <c r="CD98">
        <f>$C98*CD97</f>
        <v/>
      </c>
      <c r="CE98">
        <f>$C98*CE97</f>
        <v/>
      </c>
      <c r="CF98">
        <f>$C98*CF97</f>
        <v/>
      </c>
      <c r="CG98">
        <f>$C98*CG97</f>
        <v/>
      </c>
      <c r="CH98">
        <f>$C98*CH97</f>
        <v/>
      </c>
      <c r="CI98">
        <f>$C98*CI97</f>
        <v/>
      </c>
      <c r="CJ98">
        <f>$C98*CJ97</f>
        <v/>
      </c>
      <c r="CK98">
        <f>$C98*CK97</f>
        <v/>
      </c>
      <c r="CL98">
        <f>$C98*CL97</f>
        <v/>
      </c>
      <c r="CM98">
        <f>$C98*CM97</f>
        <v/>
      </c>
      <c r="CN98">
        <f>$C98*CN97</f>
        <v/>
      </c>
      <c r="CO98">
        <f>$C98*CO97</f>
        <v/>
      </c>
      <c r="CP98">
        <f>$C98*CP97</f>
        <v/>
      </c>
      <c r="CQ98">
        <f>$C98*CQ97</f>
        <v/>
      </c>
      <c r="CR98">
        <f>$C98*CR97</f>
        <v/>
      </c>
      <c r="CS98">
        <f>$C98*CS97</f>
        <v/>
      </c>
      <c r="CT98">
        <f>$C98*CT97</f>
        <v/>
      </c>
      <c r="CU98">
        <f>$C98*CU97</f>
        <v/>
      </c>
      <c r="CV98">
        <f>$C98*CV97</f>
        <v/>
      </c>
      <c r="CW98">
        <f>$C98*CW97</f>
        <v/>
      </c>
      <c r="CX98">
        <f>$C98*CX97</f>
        <v/>
      </c>
      <c r="CY98">
        <f>$C98*CY97</f>
        <v/>
      </c>
      <c r="CZ98">
        <f>$C98*CZ97</f>
        <v/>
      </c>
      <c r="DA98">
        <f>$C98*DA97</f>
        <v/>
      </c>
      <c r="DB98">
        <f>$C98*DB97</f>
        <v/>
      </c>
      <c r="DC98">
        <f>$C98*DC97</f>
        <v/>
      </c>
    </row>
    <row r="99">
      <c r="B99" t="inlineStr">
        <is>
          <t>TSP-558</t>
        </is>
      </c>
      <c r="C99" t="inlineStr">
        <is>
          <t>No. of batches</t>
        </is>
      </c>
      <c r="D99">
        <f>IFERROR(INDEX(PP_Grid[#Data],$DD99,2),0)</f>
        <v/>
      </c>
      <c r="E99">
        <f>IFERROR(INDEX(PP_Grid[#Data],$DD99,3),0)</f>
        <v/>
      </c>
      <c r="F99">
        <f>IFERROR(INDEX(PP_Grid[#Data],$DD99,4),0)</f>
        <v/>
      </c>
      <c r="G99">
        <f>IFERROR(INDEX(PP_Grid[#Data],$DD99,5),0)</f>
        <v/>
      </c>
      <c r="H99">
        <f>IFERROR(INDEX(PP_Grid[#Data],$DD99,6),0)</f>
        <v/>
      </c>
      <c r="I99">
        <f>IFERROR(INDEX(PP_Grid[#Data],$DD99,7),0)</f>
        <v/>
      </c>
      <c r="J99">
        <f>IFERROR(INDEX(PP_Grid[#Data],$DD99,8),0)</f>
        <v/>
      </c>
      <c r="K99">
        <f>IFERROR(INDEX(PP_Grid[#Data],$DD99,9),0)</f>
        <v/>
      </c>
      <c r="L99">
        <f>IFERROR(INDEX(PP_Grid[#Data],$DD99,10),0)</f>
        <v/>
      </c>
      <c r="M99">
        <f>IFERROR(INDEX(PP_Grid[#Data],$DD99,11),0)</f>
        <v/>
      </c>
      <c r="N99">
        <f>IFERROR(INDEX(PP_Grid[#Data],$DD99,12),0)</f>
        <v/>
      </c>
      <c r="O99">
        <f>IFERROR(INDEX(PP_Grid[#Data],$DD99,13),0)</f>
        <v/>
      </c>
      <c r="P99">
        <f>IFERROR(INDEX(PP_Grid[#Data],$DD99,14),0)</f>
        <v/>
      </c>
      <c r="Q99">
        <f>IFERROR(INDEX(PP_Grid[#Data],$DD99,15),0)</f>
        <v/>
      </c>
      <c r="R99">
        <f>IFERROR(INDEX(PP_Grid[#Data],$DD99,16),0)</f>
        <v/>
      </c>
      <c r="S99">
        <f>IFERROR(INDEX(PP_Grid[#Data],$DD99,17),0)</f>
        <v/>
      </c>
      <c r="T99">
        <f>IFERROR(INDEX(PP_Grid[#Data],$DD99,18),0)</f>
        <v/>
      </c>
      <c r="U99">
        <f>IFERROR(INDEX(PP_Grid[#Data],$DD99,19),0)</f>
        <v/>
      </c>
      <c r="V99">
        <f>IFERROR(INDEX(PP_Grid[#Data],$DD99,20),0)</f>
        <v/>
      </c>
      <c r="W99">
        <f>IFERROR(INDEX(PP_Grid[#Data],$DD99,21),0)</f>
        <v/>
      </c>
      <c r="X99">
        <f>IFERROR(INDEX(PP_Grid[#Data],$DD99,22),0)</f>
        <v/>
      </c>
      <c r="Y99">
        <f>IFERROR(INDEX(PP_Grid[#Data],$DD99,23),0)</f>
        <v/>
      </c>
      <c r="Z99">
        <f>IFERROR(INDEX(PP_Grid[#Data],$DD99,24),0)</f>
        <v/>
      </c>
      <c r="AA99">
        <f>IFERROR(INDEX(PP_Grid[#Data],$DD99,25),0)</f>
        <v/>
      </c>
      <c r="AB99">
        <f>IFERROR(INDEX(PP_Grid[#Data],$DD99,26),0)</f>
        <v/>
      </c>
      <c r="AC99">
        <f>IFERROR(INDEX(PP_Grid[#Data],$DD99,27),0)</f>
        <v/>
      </c>
      <c r="AD99">
        <f>IFERROR(INDEX(PP_Grid[#Data],$DD99,28),0)</f>
        <v/>
      </c>
      <c r="AE99">
        <f>IFERROR(INDEX(PP_Grid[#Data],$DD99,29),0)</f>
        <v/>
      </c>
      <c r="AF99">
        <f>IFERROR(INDEX(PP_Grid[#Data],$DD99,30),0)</f>
        <v/>
      </c>
      <c r="AG99">
        <f>IFERROR(INDEX(PP_Grid[#Data],$DD99,31),0)</f>
        <v/>
      </c>
      <c r="AH99">
        <f>IFERROR(INDEX(PP_Grid[#Data],$DD99,32),0)</f>
        <v/>
      </c>
      <c r="AI99">
        <f>IFERROR(INDEX(PP_Grid[#Data],$DD99,33),0)</f>
        <v/>
      </c>
      <c r="AJ99">
        <f>IFERROR(INDEX(PP_Grid[#Data],$DD99,34),0)</f>
        <v/>
      </c>
      <c r="AK99">
        <f>IFERROR(INDEX(PP_Grid[#Data],$DD99,35),0)</f>
        <v/>
      </c>
      <c r="AL99">
        <f>IFERROR(INDEX(PP_Grid[#Data],$DD99,36),0)</f>
        <v/>
      </c>
      <c r="AM99">
        <f>IFERROR(INDEX(PP_Grid[#Data],$DD99,37),0)</f>
        <v/>
      </c>
      <c r="AN99">
        <f>IFERROR(INDEX(PP_Grid[#Data],$DD99,38),0)</f>
        <v/>
      </c>
      <c r="AO99">
        <f>IFERROR(INDEX(PP_Grid[#Data],$DD99,39),0)</f>
        <v/>
      </c>
      <c r="AP99">
        <f>IFERROR(INDEX(PP_Grid[#Data],$DD99,40),0)</f>
        <v/>
      </c>
      <c r="AQ99">
        <f>IFERROR(INDEX(PP_Grid[#Data],$DD99,41),0)</f>
        <v/>
      </c>
      <c r="AR99">
        <f>IFERROR(INDEX(PP_Grid[#Data],$DD99,42),0)</f>
        <v/>
      </c>
      <c r="AS99">
        <f>IFERROR(INDEX(PP_Grid[#Data],$DD99,43),0)</f>
        <v/>
      </c>
      <c r="AT99">
        <f>IFERROR(INDEX(PP_Grid[#Data],$DD99,44),0)</f>
        <v/>
      </c>
      <c r="AU99">
        <f>IFERROR(INDEX(PP_Grid[#Data],$DD99,45),0)</f>
        <v/>
      </c>
      <c r="AV99">
        <f>IFERROR(INDEX(PP_Grid[#Data],$DD99,46),0)</f>
        <v/>
      </c>
      <c r="AW99">
        <f>IFERROR(INDEX(PP_Grid[#Data],$DD99,47),0)</f>
        <v/>
      </c>
      <c r="AX99">
        <f>IFERROR(INDEX(PP_Grid[#Data],$DD99,48),0)</f>
        <v/>
      </c>
      <c r="AY99">
        <f>IFERROR(INDEX(PP_Grid[#Data],$DD99,49),0)</f>
        <v/>
      </c>
      <c r="AZ99">
        <f>IFERROR(INDEX(PP_Grid[#Data],$DD99,50),0)</f>
        <v/>
      </c>
      <c r="BA99">
        <f>IFERROR(INDEX(PP_Grid[#Data],$DD99,51),0)</f>
        <v/>
      </c>
      <c r="BB99">
        <f>IFERROR(INDEX(PP_Grid[#Data],$DD99,52),0)</f>
        <v/>
      </c>
      <c r="BC99">
        <f>IFERROR(INDEX(PP_Grid[#Data],$DD99,53),0)</f>
        <v/>
      </c>
      <c r="BD99">
        <f>IFERROR(INDEX(PP_Grid[#Data],$DD99,54),0)</f>
        <v/>
      </c>
      <c r="BE99">
        <f>IFERROR(INDEX(PP_Grid[#Data],$DD99,55),0)</f>
        <v/>
      </c>
      <c r="BF99">
        <f>IFERROR(INDEX(PP_Grid[#Data],$DD99,56),0)</f>
        <v/>
      </c>
      <c r="BG99">
        <f>IFERROR(INDEX(PP_Grid[#Data],$DD99,57),0)</f>
        <v/>
      </c>
      <c r="BH99">
        <f>IFERROR(INDEX(PP_Grid[#Data],$DD99,58),0)</f>
        <v/>
      </c>
      <c r="BI99">
        <f>IFERROR(INDEX(PP_Grid[#Data],$DD99,59),0)</f>
        <v/>
      </c>
      <c r="BJ99">
        <f>IFERROR(INDEX(PP_Grid[#Data],$DD99,60),0)</f>
        <v/>
      </c>
      <c r="BK99">
        <f>IFERROR(INDEX(PP_Grid[#Data],$DD99,61),0)</f>
        <v/>
      </c>
      <c r="BL99">
        <f>IFERROR(INDEX(PP_Grid[#Data],$DD99,62),0)</f>
        <v/>
      </c>
      <c r="BM99">
        <f>IFERROR(INDEX(PP_Grid[#Data],$DD99,63),0)</f>
        <v/>
      </c>
      <c r="BN99">
        <f>IFERROR(INDEX(PP_Grid[#Data],$DD99,64),0)</f>
        <v/>
      </c>
      <c r="BO99">
        <f>IFERROR(INDEX(PP_Grid[#Data],$DD99,65),0)</f>
        <v/>
      </c>
      <c r="BP99">
        <f>IFERROR(INDEX(PP_Grid[#Data],$DD99,66),0)</f>
        <v/>
      </c>
      <c r="BQ99">
        <f>IFERROR(INDEX(PP_Grid[#Data],$DD99,67),0)</f>
        <v/>
      </c>
      <c r="BR99">
        <f>IFERROR(INDEX(PP_Grid[#Data],$DD99,68),0)</f>
        <v/>
      </c>
      <c r="BS99">
        <f>IFERROR(INDEX(PP_Grid[#Data],$DD99,69),0)</f>
        <v/>
      </c>
      <c r="BT99">
        <f>IFERROR(INDEX(PP_Grid[#Data],$DD99,70),0)</f>
        <v/>
      </c>
      <c r="BU99">
        <f>IFERROR(INDEX(PP_Grid[#Data],$DD99,71),0)</f>
        <v/>
      </c>
      <c r="BV99">
        <f>IFERROR(INDEX(PP_Grid[#Data],$DD99,72),0)</f>
        <v/>
      </c>
      <c r="BW99">
        <f>IFERROR(INDEX(PP_Grid[#Data],$DD99,73),0)</f>
        <v/>
      </c>
      <c r="BX99">
        <f>IFERROR(INDEX(PP_Grid[#Data],$DD99,74),0)</f>
        <v/>
      </c>
      <c r="BY99">
        <f>IFERROR(INDEX(PP_Grid[#Data],$DD99,75),0)</f>
        <v/>
      </c>
      <c r="BZ99">
        <f>IFERROR(INDEX(PP_Grid[#Data],$DD99,76),0)</f>
        <v/>
      </c>
      <c r="CA99">
        <f>IFERROR(INDEX(PP_Grid[#Data],$DD99,77),0)</f>
        <v/>
      </c>
      <c r="CB99">
        <f>IFERROR(INDEX(PP_Grid[#Data],$DD99,78),0)</f>
        <v/>
      </c>
      <c r="CC99">
        <f>IFERROR(INDEX(PP_Grid[#Data],$DD99,79),0)</f>
        <v/>
      </c>
      <c r="CD99">
        <f>IFERROR(INDEX(PP_Grid[#Data],$DD99,80),0)</f>
        <v/>
      </c>
      <c r="CE99">
        <f>IFERROR(INDEX(PP_Grid[#Data],$DD99,81),0)</f>
        <v/>
      </c>
      <c r="CF99">
        <f>IFERROR(INDEX(PP_Grid[#Data],$DD99,82),0)</f>
        <v/>
      </c>
      <c r="CG99">
        <f>IFERROR(INDEX(PP_Grid[#Data],$DD99,83),0)</f>
        <v/>
      </c>
      <c r="CH99">
        <f>IFERROR(INDEX(PP_Grid[#Data],$DD99,84),0)</f>
        <v/>
      </c>
      <c r="CI99">
        <f>IFERROR(INDEX(PP_Grid[#Data],$DD99,85),0)</f>
        <v/>
      </c>
      <c r="CJ99">
        <f>IFERROR(INDEX(PP_Grid[#Data],$DD99,86),0)</f>
        <v/>
      </c>
      <c r="CK99">
        <f>IFERROR(INDEX(PP_Grid[#Data],$DD99,87),0)</f>
        <v/>
      </c>
      <c r="CL99">
        <f>IFERROR(INDEX(PP_Grid[#Data],$DD99,88),0)</f>
        <v/>
      </c>
      <c r="CM99">
        <f>IFERROR(INDEX(PP_Grid[#Data],$DD99,89),0)</f>
        <v/>
      </c>
      <c r="CN99">
        <f>IFERROR(INDEX(PP_Grid[#Data],$DD99,90),0)</f>
        <v/>
      </c>
      <c r="CO99">
        <f>IFERROR(INDEX(PP_Grid[#Data],$DD99,91),0)</f>
        <v/>
      </c>
      <c r="CP99">
        <f>IFERROR(INDEX(PP_Grid[#Data],$DD99,92),0)</f>
        <v/>
      </c>
      <c r="CQ99">
        <f>IFERROR(INDEX(PP_Grid[#Data],$DD99,93),0)</f>
        <v/>
      </c>
      <c r="CR99">
        <f>IFERROR(INDEX(PP_Grid[#Data],$DD99,94),0)</f>
        <v/>
      </c>
      <c r="CS99">
        <f>IFERROR(INDEX(PP_Grid[#Data],$DD99,95),0)</f>
        <v/>
      </c>
      <c r="CT99">
        <f>IFERROR(INDEX(PP_Grid[#Data],$DD99,96),0)</f>
        <v/>
      </c>
      <c r="CU99">
        <f>IFERROR(INDEX(PP_Grid[#Data],$DD99,97),0)</f>
        <v/>
      </c>
      <c r="CV99">
        <f>IFERROR(INDEX(PP_Grid[#Data],$DD99,98),0)</f>
        <v/>
      </c>
      <c r="CW99">
        <f>IFERROR(INDEX(PP_Grid[#Data],$DD99,99),0)</f>
        <v/>
      </c>
      <c r="CX99">
        <f>IFERROR(INDEX(PP_Grid[#Data],$DD99,100),0)</f>
        <v/>
      </c>
      <c r="CY99">
        <f>IFERROR(INDEX(PP_Grid[#Data],$DD99,101),0)</f>
        <v/>
      </c>
      <c r="CZ99">
        <f>IFERROR(INDEX(PP_Grid[#Data],$DD99,102),0)</f>
        <v/>
      </c>
      <c r="DA99">
        <f>IFERROR(INDEX(PP_Grid[#Data],$DD99,103),0)</f>
        <v/>
      </c>
      <c r="DB99">
        <f>IFERROR(INDEX(PP_Grid[#Data],$DD99,104),0)</f>
        <v/>
      </c>
      <c r="DC99">
        <f>IFERROR(INDEX(PP_Grid[#Data],$DD99,105),0)</f>
        <v/>
      </c>
      <c r="DD99" s="7">
        <f>IFERROR(MATCH($B99,PP_Grid[Intermediate],0),99999)</f>
        <v/>
      </c>
    </row>
    <row r="100">
      <c r="B100" t="inlineStr">
        <is>
          <t>使用量(kg)</t>
        </is>
      </c>
      <c r="C100">
        <f>SUMIFS(M_BOM[RM_Qty_Per_Batch],M_BOM[Intermediate],$B99,M_BOM[Part Name],$A44)</f>
        <v/>
      </c>
      <c r="D100">
        <f>$C100*D99</f>
        <v/>
      </c>
      <c r="E100">
        <f>$C100*E99</f>
        <v/>
      </c>
      <c r="F100">
        <f>$C100*F99</f>
        <v/>
      </c>
      <c r="G100">
        <f>$C100*G99</f>
        <v/>
      </c>
      <c r="H100">
        <f>$C100*H99</f>
        <v/>
      </c>
      <c r="I100">
        <f>$C100*I99</f>
        <v/>
      </c>
      <c r="J100">
        <f>$C100*J99</f>
        <v/>
      </c>
      <c r="K100">
        <f>$C100*K99</f>
        <v/>
      </c>
      <c r="L100">
        <f>$C100*L99</f>
        <v/>
      </c>
      <c r="M100">
        <f>$C100*M99</f>
        <v/>
      </c>
      <c r="N100">
        <f>$C100*N99</f>
        <v/>
      </c>
      <c r="O100">
        <f>$C100*O99</f>
        <v/>
      </c>
      <c r="P100">
        <f>$C100*P99</f>
        <v/>
      </c>
      <c r="Q100">
        <f>$C100*Q99</f>
        <v/>
      </c>
      <c r="R100">
        <f>$C100*R99</f>
        <v/>
      </c>
      <c r="S100">
        <f>$C100*S99</f>
        <v/>
      </c>
      <c r="T100">
        <f>$C100*T99</f>
        <v/>
      </c>
      <c r="U100">
        <f>$C100*U99</f>
        <v/>
      </c>
      <c r="V100">
        <f>$C100*V99</f>
        <v/>
      </c>
      <c r="W100">
        <f>$C100*W99</f>
        <v/>
      </c>
      <c r="X100">
        <f>$C100*X99</f>
        <v/>
      </c>
      <c r="Y100">
        <f>$C100*Y99</f>
        <v/>
      </c>
      <c r="Z100">
        <f>$C100*Z99</f>
        <v/>
      </c>
      <c r="AA100">
        <f>$C100*AA99</f>
        <v/>
      </c>
      <c r="AB100">
        <f>$C100*AB99</f>
        <v/>
      </c>
      <c r="AC100">
        <f>$C100*AC99</f>
        <v/>
      </c>
      <c r="AD100">
        <f>$C100*AD99</f>
        <v/>
      </c>
      <c r="AE100">
        <f>$C100*AE99</f>
        <v/>
      </c>
      <c r="AF100">
        <f>$C100*AF99</f>
        <v/>
      </c>
      <c r="AG100">
        <f>$C100*AG99</f>
        <v/>
      </c>
      <c r="AH100">
        <f>$C100*AH99</f>
        <v/>
      </c>
      <c r="AI100">
        <f>$C100*AI99</f>
        <v/>
      </c>
      <c r="AJ100">
        <f>$C100*AJ99</f>
        <v/>
      </c>
      <c r="AK100">
        <f>$C100*AK99</f>
        <v/>
      </c>
      <c r="AL100">
        <f>$C100*AL99</f>
        <v/>
      </c>
      <c r="AM100">
        <f>$C100*AM99</f>
        <v/>
      </c>
      <c r="AN100">
        <f>$C100*AN99</f>
        <v/>
      </c>
      <c r="AO100">
        <f>$C100*AO99</f>
        <v/>
      </c>
      <c r="AP100">
        <f>$C100*AP99</f>
        <v/>
      </c>
      <c r="AQ100">
        <f>$C100*AQ99</f>
        <v/>
      </c>
      <c r="AR100">
        <f>$C100*AR99</f>
        <v/>
      </c>
      <c r="AS100">
        <f>$C100*AS99</f>
        <v/>
      </c>
      <c r="AT100">
        <f>$C100*AT99</f>
        <v/>
      </c>
      <c r="AU100">
        <f>$C100*AU99</f>
        <v/>
      </c>
      <c r="AV100">
        <f>$C100*AV99</f>
        <v/>
      </c>
      <c r="AW100">
        <f>$C100*AW99</f>
        <v/>
      </c>
      <c r="AX100">
        <f>$C100*AX99</f>
        <v/>
      </c>
      <c r="AY100">
        <f>$C100*AY99</f>
        <v/>
      </c>
      <c r="AZ100">
        <f>$C100*AZ99</f>
        <v/>
      </c>
      <c r="BA100">
        <f>$C100*BA99</f>
        <v/>
      </c>
      <c r="BB100">
        <f>$C100*BB99</f>
        <v/>
      </c>
      <c r="BC100">
        <f>$C100*BC99</f>
        <v/>
      </c>
      <c r="BD100">
        <f>$C100*BD99</f>
        <v/>
      </c>
      <c r="BE100">
        <f>$C100*BE99</f>
        <v/>
      </c>
      <c r="BF100">
        <f>$C100*BF99</f>
        <v/>
      </c>
      <c r="BG100">
        <f>$C100*BG99</f>
        <v/>
      </c>
      <c r="BH100">
        <f>$C100*BH99</f>
        <v/>
      </c>
      <c r="BI100">
        <f>$C100*BI99</f>
        <v/>
      </c>
      <c r="BJ100">
        <f>$C100*BJ99</f>
        <v/>
      </c>
      <c r="BK100">
        <f>$C100*BK99</f>
        <v/>
      </c>
      <c r="BL100">
        <f>$C100*BL99</f>
        <v/>
      </c>
      <c r="BM100">
        <f>$C100*BM99</f>
        <v/>
      </c>
      <c r="BN100">
        <f>$C100*BN99</f>
        <v/>
      </c>
      <c r="BO100">
        <f>$C100*BO99</f>
        <v/>
      </c>
      <c r="BP100">
        <f>$C100*BP99</f>
        <v/>
      </c>
      <c r="BQ100">
        <f>$C100*BQ99</f>
        <v/>
      </c>
      <c r="BR100">
        <f>$C100*BR99</f>
        <v/>
      </c>
      <c r="BS100">
        <f>$C100*BS99</f>
        <v/>
      </c>
      <c r="BT100">
        <f>$C100*BT99</f>
        <v/>
      </c>
      <c r="BU100">
        <f>$C100*BU99</f>
        <v/>
      </c>
      <c r="BV100">
        <f>$C100*BV99</f>
        <v/>
      </c>
      <c r="BW100">
        <f>$C100*BW99</f>
        <v/>
      </c>
      <c r="BX100">
        <f>$C100*BX99</f>
        <v/>
      </c>
      <c r="BY100">
        <f>$C100*BY99</f>
        <v/>
      </c>
      <c r="BZ100">
        <f>$C100*BZ99</f>
        <v/>
      </c>
      <c r="CA100">
        <f>$C100*CA99</f>
        <v/>
      </c>
      <c r="CB100">
        <f>$C100*CB99</f>
        <v/>
      </c>
      <c r="CC100">
        <f>$C100*CC99</f>
        <v/>
      </c>
      <c r="CD100">
        <f>$C100*CD99</f>
        <v/>
      </c>
      <c r="CE100">
        <f>$C100*CE99</f>
        <v/>
      </c>
      <c r="CF100">
        <f>$C100*CF99</f>
        <v/>
      </c>
      <c r="CG100">
        <f>$C100*CG99</f>
        <v/>
      </c>
      <c r="CH100">
        <f>$C100*CH99</f>
        <v/>
      </c>
      <c r="CI100">
        <f>$C100*CI99</f>
        <v/>
      </c>
      <c r="CJ100">
        <f>$C100*CJ99</f>
        <v/>
      </c>
      <c r="CK100">
        <f>$C100*CK99</f>
        <v/>
      </c>
      <c r="CL100">
        <f>$C100*CL99</f>
        <v/>
      </c>
      <c r="CM100">
        <f>$C100*CM99</f>
        <v/>
      </c>
      <c r="CN100">
        <f>$C100*CN99</f>
        <v/>
      </c>
      <c r="CO100">
        <f>$C100*CO99</f>
        <v/>
      </c>
      <c r="CP100">
        <f>$C100*CP99</f>
        <v/>
      </c>
      <c r="CQ100">
        <f>$C100*CQ99</f>
        <v/>
      </c>
      <c r="CR100">
        <f>$C100*CR99</f>
        <v/>
      </c>
      <c r="CS100">
        <f>$C100*CS99</f>
        <v/>
      </c>
      <c r="CT100">
        <f>$C100*CT99</f>
        <v/>
      </c>
      <c r="CU100">
        <f>$C100*CU99</f>
        <v/>
      </c>
      <c r="CV100">
        <f>$C100*CV99</f>
        <v/>
      </c>
      <c r="CW100">
        <f>$C100*CW99</f>
        <v/>
      </c>
      <c r="CX100">
        <f>$C100*CX99</f>
        <v/>
      </c>
      <c r="CY100">
        <f>$C100*CY99</f>
        <v/>
      </c>
      <c r="CZ100">
        <f>$C100*CZ99</f>
        <v/>
      </c>
      <c r="DA100">
        <f>$C100*DA99</f>
        <v/>
      </c>
      <c r="DB100">
        <f>$C100*DB99</f>
        <v/>
      </c>
      <c r="DC100">
        <f>$C100*DC99</f>
        <v/>
      </c>
    </row>
    <row r="101">
      <c r="B101" t="inlineStr">
        <is>
          <t>TSP-618</t>
        </is>
      </c>
      <c r="C101" t="inlineStr">
        <is>
          <t>No. of batches</t>
        </is>
      </c>
      <c r="D101">
        <f>IFERROR(INDEX(PP_Grid[#Data],$DD101,2),0)</f>
        <v/>
      </c>
      <c r="E101">
        <f>IFERROR(INDEX(PP_Grid[#Data],$DD101,3),0)</f>
        <v/>
      </c>
      <c r="F101">
        <f>IFERROR(INDEX(PP_Grid[#Data],$DD101,4),0)</f>
        <v/>
      </c>
      <c r="G101">
        <f>IFERROR(INDEX(PP_Grid[#Data],$DD101,5),0)</f>
        <v/>
      </c>
      <c r="H101">
        <f>IFERROR(INDEX(PP_Grid[#Data],$DD101,6),0)</f>
        <v/>
      </c>
      <c r="I101">
        <f>IFERROR(INDEX(PP_Grid[#Data],$DD101,7),0)</f>
        <v/>
      </c>
      <c r="J101">
        <f>IFERROR(INDEX(PP_Grid[#Data],$DD101,8),0)</f>
        <v/>
      </c>
      <c r="K101">
        <f>IFERROR(INDEX(PP_Grid[#Data],$DD101,9),0)</f>
        <v/>
      </c>
      <c r="L101">
        <f>IFERROR(INDEX(PP_Grid[#Data],$DD101,10),0)</f>
        <v/>
      </c>
      <c r="M101">
        <f>IFERROR(INDEX(PP_Grid[#Data],$DD101,11),0)</f>
        <v/>
      </c>
      <c r="N101">
        <f>IFERROR(INDEX(PP_Grid[#Data],$DD101,12),0)</f>
        <v/>
      </c>
      <c r="O101">
        <f>IFERROR(INDEX(PP_Grid[#Data],$DD101,13),0)</f>
        <v/>
      </c>
      <c r="P101">
        <f>IFERROR(INDEX(PP_Grid[#Data],$DD101,14),0)</f>
        <v/>
      </c>
      <c r="Q101">
        <f>IFERROR(INDEX(PP_Grid[#Data],$DD101,15),0)</f>
        <v/>
      </c>
      <c r="R101">
        <f>IFERROR(INDEX(PP_Grid[#Data],$DD101,16),0)</f>
        <v/>
      </c>
      <c r="S101">
        <f>IFERROR(INDEX(PP_Grid[#Data],$DD101,17),0)</f>
        <v/>
      </c>
      <c r="T101">
        <f>IFERROR(INDEX(PP_Grid[#Data],$DD101,18),0)</f>
        <v/>
      </c>
      <c r="U101">
        <f>IFERROR(INDEX(PP_Grid[#Data],$DD101,19),0)</f>
        <v/>
      </c>
      <c r="V101">
        <f>IFERROR(INDEX(PP_Grid[#Data],$DD101,20),0)</f>
        <v/>
      </c>
      <c r="W101">
        <f>IFERROR(INDEX(PP_Grid[#Data],$DD101,21),0)</f>
        <v/>
      </c>
      <c r="X101">
        <f>IFERROR(INDEX(PP_Grid[#Data],$DD101,22),0)</f>
        <v/>
      </c>
      <c r="Y101">
        <f>IFERROR(INDEX(PP_Grid[#Data],$DD101,23),0)</f>
        <v/>
      </c>
      <c r="Z101">
        <f>IFERROR(INDEX(PP_Grid[#Data],$DD101,24),0)</f>
        <v/>
      </c>
      <c r="AA101">
        <f>IFERROR(INDEX(PP_Grid[#Data],$DD101,25),0)</f>
        <v/>
      </c>
      <c r="AB101">
        <f>IFERROR(INDEX(PP_Grid[#Data],$DD101,26),0)</f>
        <v/>
      </c>
      <c r="AC101">
        <f>IFERROR(INDEX(PP_Grid[#Data],$DD101,27),0)</f>
        <v/>
      </c>
      <c r="AD101">
        <f>IFERROR(INDEX(PP_Grid[#Data],$DD101,28),0)</f>
        <v/>
      </c>
      <c r="AE101">
        <f>IFERROR(INDEX(PP_Grid[#Data],$DD101,29),0)</f>
        <v/>
      </c>
      <c r="AF101">
        <f>IFERROR(INDEX(PP_Grid[#Data],$DD101,30),0)</f>
        <v/>
      </c>
      <c r="AG101">
        <f>IFERROR(INDEX(PP_Grid[#Data],$DD101,31),0)</f>
        <v/>
      </c>
      <c r="AH101">
        <f>IFERROR(INDEX(PP_Grid[#Data],$DD101,32),0)</f>
        <v/>
      </c>
      <c r="AI101">
        <f>IFERROR(INDEX(PP_Grid[#Data],$DD101,33),0)</f>
        <v/>
      </c>
      <c r="AJ101">
        <f>IFERROR(INDEX(PP_Grid[#Data],$DD101,34),0)</f>
        <v/>
      </c>
      <c r="AK101">
        <f>IFERROR(INDEX(PP_Grid[#Data],$DD101,35),0)</f>
        <v/>
      </c>
      <c r="AL101">
        <f>IFERROR(INDEX(PP_Grid[#Data],$DD101,36),0)</f>
        <v/>
      </c>
      <c r="AM101">
        <f>IFERROR(INDEX(PP_Grid[#Data],$DD101,37),0)</f>
        <v/>
      </c>
      <c r="AN101">
        <f>IFERROR(INDEX(PP_Grid[#Data],$DD101,38),0)</f>
        <v/>
      </c>
      <c r="AO101">
        <f>IFERROR(INDEX(PP_Grid[#Data],$DD101,39),0)</f>
        <v/>
      </c>
      <c r="AP101">
        <f>IFERROR(INDEX(PP_Grid[#Data],$DD101,40),0)</f>
        <v/>
      </c>
      <c r="AQ101">
        <f>IFERROR(INDEX(PP_Grid[#Data],$DD101,41),0)</f>
        <v/>
      </c>
      <c r="AR101">
        <f>IFERROR(INDEX(PP_Grid[#Data],$DD101,42),0)</f>
        <v/>
      </c>
      <c r="AS101">
        <f>IFERROR(INDEX(PP_Grid[#Data],$DD101,43),0)</f>
        <v/>
      </c>
      <c r="AT101">
        <f>IFERROR(INDEX(PP_Grid[#Data],$DD101,44),0)</f>
        <v/>
      </c>
      <c r="AU101">
        <f>IFERROR(INDEX(PP_Grid[#Data],$DD101,45),0)</f>
        <v/>
      </c>
      <c r="AV101">
        <f>IFERROR(INDEX(PP_Grid[#Data],$DD101,46),0)</f>
        <v/>
      </c>
      <c r="AW101">
        <f>IFERROR(INDEX(PP_Grid[#Data],$DD101,47),0)</f>
        <v/>
      </c>
      <c r="AX101">
        <f>IFERROR(INDEX(PP_Grid[#Data],$DD101,48),0)</f>
        <v/>
      </c>
      <c r="AY101">
        <f>IFERROR(INDEX(PP_Grid[#Data],$DD101,49),0)</f>
        <v/>
      </c>
      <c r="AZ101">
        <f>IFERROR(INDEX(PP_Grid[#Data],$DD101,50),0)</f>
        <v/>
      </c>
      <c r="BA101">
        <f>IFERROR(INDEX(PP_Grid[#Data],$DD101,51),0)</f>
        <v/>
      </c>
      <c r="BB101">
        <f>IFERROR(INDEX(PP_Grid[#Data],$DD101,52),0)</f>
        <v/>
      </c>
      <c r="BC101">
        <f>IFERROR(INDEX(PP_Grid[#Data],$DD101,53),0)</f>
        <v/>
      </c>
      <c r="BD101">
        <f>IFERROR(INDEX(PP_Grid[#Data],$DD101,54),0)</f>
        <v/>
      </c>
      <c r="BE101">
        <f>IFERROR(INDEX(PP_Grid[#Data],$DD101,55),0)</f>
        <v/>
      </c>
      <c r="BF101">
        <f>IFERROR(INDEX(PP_Grid[#Data],$DD101,56),0)</f>
        <v/>
      </c>
      <c r="BG101">
        <f>IFERROR(INDEX(PP_Grid[#Data],$DD101,57),0)</f>
        <v/>
      </c>
      <c r="BH101">
        <f>IFERROR(INDEX(PP_Grid[#Data],$DD101,58),0)</f>
        <v/>
      </c>
      <c r="BI101">
        <f>IFERROR(INDEX(PP_Grid[#Data],$DD101,59),0)</f>
        <v/>
      </c>
      <c r="BJ101">
        <f>IFERROR(INDEX(PP_Grid[#Data],$DD101,60),0)</f>
        <v/>
      </c>
      <c r="BK101">
        <f>IFERROR(INDEX(PP_Grid[#Data],$DD101,61),0)</f>
        <v/>
      </c>
      <c r="BL101">
        <f>IFERROR(INDEX(PP_Grid[#Data],$DD101,62),0)</f>
        <v/>
      </c>
      <c r="BM101">
        <f>IFERROR(INDEX(PP_Grid[#Data],$DD101,63),0)</f>
        <v/>
      </c>
      <c r="BN101">
        <f>IFERROR(INDEX(PP_Grid[#Data],$DD101,64),0)</f>
        <v/>
      </c>
      <c r="BO101">
        <f>IFERROR(INDEX(PP_Grid[#Data],$DD101,65),0)</f>
        <v/>
      </c>
      <c r="BP101">
        <f>IFERROR(INDEX(PP_Grid[#Data],$DD101,66),0)</f>
        <v/>
      </c>
      <c r="BQ101">
        <f>IFERROR(INDEX(PP_Grid[#Data],$DD101,67),0)</f>
        <v/>
      </c>
      <c r="BR101">
        <f>IFERROR(INDEX(PP_Grid[#Data],$DD101,68),0)</f>
        <v/>
      </c>
      <c r="BS101">
        <f>IFERROR(INDEX(PP_Grid[#Data],$DD101,69),0)</f>
        <v/>
      </c>
      <c r="BT101">
        <f>IFERROR(INDEX(PP_Grid[#Data],$DD101,70),0)</f>
        <v/>
      </c>
      <c r="BU101">
        <f>IFERROR(INDEX(PP_Grid[#Data],$DD101,71),0)</f>
        <v/>
      </c>
      <c r="BV101">
        <f>IFERROR(INDEX(PP_Grid[#Data],$DD101,72),0)</f>
        <v/>
      </c>
      <c r="BW101">
        <f>IFERROR(INDEX(PP_Grid[#Data],$DD101,73),0)</f>
        <v/>
      </c>
      <c r="BX101">
        <f>IFERROR(INDEX(PP_Grid[#Data],$DD101,74),0)</f>
        <v/>
      </c>
      <c r="BY101">
        <f>IFERROR(INDEX(PP_Grid[#Data],$DD101,75),0)</f>
        <v/>
      </c>
      <c r="BZ101">
        <f>IFERROR(INDEX(PP_Grid[#Data],$DD101,76),0)</f>
        <v/>
      </c>
      <c r="CA101">
        <f>IFERROR(INDEX(PP_Grid[#Data],$DD101,77),0)</f>
        <v/>
      </c>
      <c r="CB101">
        <f>IFERROR(INDEX(PP_Grid[#Data],$DD101,78),0)</f>
        <v/>
      </c>
      <c r="CC101">
        <f>IFERROR(INDEX(PP_Grid[#Data],$DD101,79),0)</f>
        <v/>
      </c>
      <c r="CD101">
        <f>IFERROR(INDEX(PP_Grid[#Data],$DD101,80),0)</f>
        <v/>
      </c>
      <c r="CE101">
        <f>IFERROR(INDEX(PP_Grid[#Data],$DD101,81),0)</f>
        <v/>
      </c>
      <c r="CF101">
        <f>IFERROR(INDEX(PP_Grid[#Data],$DD101,82),0)</f>
        <v/>
      </c>
      <c r="CG101">
        <f>IFERROR(INDEX(PP_Grid[#Data],$DD101,83),0)</f>
        <v/>
      </c>
      <c r="CH101">
        <f>IFERROR(INDEX(PP_Grid[#Data],$DD101,84),0)</f>
        <v/>
      </c>
      <c r="CI101">
        <f>IFERROR(INDEX(PP_Grid[#Data],$DD101,85),0)</f>
        <v/>
      </c>
      <c r="CJ101">
        <f>IFERROR(INDEX(PP_Grid[#Data],$DD101,86),0)</f>
        <v/>
      </c>
      <c r="CK101">
        <f>IFERROR(INDEX(PP_Grid[#Data],$DD101,87),0)</f>
        <v/>
      </c>
      <c r="CL101">
        <f>IFERROR(INDEX(PP_Grid[#Data],$DD101,88),0)</f>
        <v/>
      </c>
      <c r="CM101">
        <f>IFERROR(INDEX(PP_Grid[#Data],$DD101,89),0)</f>
        <v/>
      </c>
      <c r="CN101">
        <f>IFERROR(INDEX(PP_Grid[#Data],$DD101,90),0)</f>
        <v/>
      </c>
      <c r="CO101">
        <f>IFERROR(INDEX(PP_Grid[#Data],$DD101,91),0)</f>
        <v/>
      </c>
      <c r="CP101">
        <f>IFERROR(INDEX(PP_Grid[#Data],$DD101,92),0)</f>
        <v/>
      </c>
      <c r="CQ101">
        <f>IFERROR(INDEX(PP_Grid[#Data],$DD101,93),0)</f>
        <v/>
      </c>
      <c r="CR101">
        <f>IFERROR(INDEX(PP_Grid[#Data],$DD101,94),0)</f>
        <v/>
      </c>
      <c r="CS101">
        <f>IFERROR(INDEX(PP_Grid[#Data],$DD101,95),0)</f>
        <v/>
      </c>
      <c r="CT101">
        <f>IFERROR(INDEX(PP_Grid[#Data],$DD101,96),0)</f>
        <v/>
      </c>
      <c r="CU101">
        <f>IFERROR(INDEX(PP_Grid[#Data],$DD101,97),0)</f>
        <v/>
      </c>
      <c r="CV101">
        <f>IFERROR(INDEX(PP_Grid[#Data],$DD101,98),0)</f>
        <v/>
      </c>
      <c r="CW101">
        <f>IFERROR(INDEX(PP_Grid[#Data],$DD101,99),0)</f>
        <v/>
      </c>
      <c r="CX101">
        <f>IFERROR(INDEX(PP_Grid[#Data],$DD101,100),0)</f>
        <v/>
      </c>
      <c r="CY101">
        <f>IFERROR(INDEX(PP_Grid[#Data],$DD101,101),0)</f>
        <v/>
      </c>
      <c r="CZ101">
        <f>IFERROR(INDEX(PP_Grid[#Data],$DD101,102),0)</f>
        <v/>
      </c>
      <c r="DA101">
        <f>IFERROR(INDEX(PP_Grid[#Data],$DD101,103),0)</f>
        <v/>
      </c>
      <c r="DB101">
        <f>IFERROR(INDEX(PP_Grid[#Data],$DD101,104),0)</f>
        <v/>
      </c>
      <c r="DC101">
        <f>IFERROR(INDEX(PP_Grid[#Data],$DD101,105),0)</f>
        <v/>
      </c>
      <c r="DD101" s="7">
        <f>IFERROR(MATCH($B101,PP_Grid[Intermediate],0),99999)</f>
        <v/>
      </c>
    </row>
    <row r="102">
      <c r="B102" t="inlineStr">
        <is>
          <t>使用量(kg)</t>
        </is>
      </c>
      <c r="C102">
        <f>SUMIFS(M_BOM[RM_Qty_Per_Batch],M_BOM[Intermediate],$B101,M_BOM[Part Name],$A44)</f>
        <v/>
      </c>
      <c r="D102">
        <f>$C102*D101</f>
        <v/>
      </c>
      <c r="E102">
        <f>$C102*E101</f>
        <v/>
      </c>
      <c r="F102">
        <f>$C102*F101</f>
        <v/>
      </c>
      <c r="G102">
        <f>$C102*G101</f>
        <v/>
      </c>
      <c r="H102">
        <f>$C102*H101</f>
        <v/>
      </c>
      <c r="I102">
        <f>$C102*I101</f>
        <v/>
      </c>
      <c r="J102">
        <f>$C102*J101</f>
        <v/>
      </c>
      <c r="K102">
        <f>$C102*K101</f>
        <v/>
      </c>
      <c r="L102">
        <f>$C102*L101</f>
        <v/>
      </c>
      <c r="M102">
        <f>$C102*M101</f>
        <v/>
      </c>
      <c r="N102">
        <f>$C102*N101</f>
        <v/>
      </c>
      <c r="O102">
        <f>$C102*O101</f>
        <v/>
      </c>
      <c r="P102">
        <f>$C102*P101</f>
        <v/>
      </c>
      <c r="Q102">
        <f>$C102*Q101</f>
        <v/>
      </c>
      <c r="R102">
        <f>$C102*R101</f>
        <v/>
      </c>
      <c r="S102">
        <f>$C102*S101</f>
        <v/>
      </c>
      <c r="T102">
        <f>$C102*T101</f>
        <v/>
      </c>
      <c r="U102">
        <f>$C102*U101</f>
        <v/>
      </c>
      <c r="V102">
        <f>$C102*V101</f>
        <v/>
      </c>
      <c r="W102">
        <f>$C102*W101</f>
        <v/>
      </c>
      <c r="X102">
        <f>$C102*X101</f>
        <v/>
      </c>
      <c r="Y102">
        <f>$C102*Y101</f>
        <v/>
      </c>
      <c r="Z102">
        <f>$C102*Z101</f>
        <v/>
      </c>
      <c r="AA102">
        <f>$C102*AA101</f>
        <v/>
      </c>
      <c r="AB102">
        <f>$C102*AB101</f>
        <v/>
      </c>
      <c r="AC102">
        <f>$C102*AC101</f>
        <v/>
      </c>
      <c r="AD102">
        <f>$C102*AD101</f>
        <v/>
      </c>
      <c r="AE102">
        <f>$C102*AE101</f>
        <v/>
      </c>
      <c r="AF102">
        <f>$C102*AF101</f>
        <v/>
      </c>
      <c r="AG102">
        <f>$C102*AG101</f>
        <v/>
      </c>
      <c r="AH102">
        <f>$C102*AH101</f>
        <v/>
      </c>
      <c r="AI102">
        <f>$C102*AI101</f>
        <v/>
      </c>
      <c r="AJ102">
        <f>$C102*AJ101</f>
        <v/>
      </c>
      <c r="AK102">
        <f>$C102*AK101</f>
        <v/>
      </c>
      <c r="AL102">
        <f>$C102*AL101</f>
        <v/>
      </c>
      <c r="AM102">
        <f>$C102*AM101</f>
        <v/>
      </c>
      <c r="AN102">
        <f>$C102*AN101</f>
        <v/>
      </c>
      <c r="AO102">
        <f>$C102*AO101</f>
        <v/>
      </c>
      <c r="AP102">
        <f>$C102*AP101</f>
        <v/>
      </c>
      <c r="AQ102">
        <f>$C102*AQ101</f>
        <v/>
      </c>
      <c r="AR102">
        <f>$C102*AR101</f>
        <v/>
      </c>
      <c r="AS102">
        <f>$C102*AS101</f>
        <v/>
      </c>
      <c r="AT102">
        <f>$C102*AT101</f>
        <v/>
      </c>
      <c r="AU102">
        <f>$C102*AU101</f>
        <v/>
      </c>
      <c r="AV102">
        <f>$C102*AV101</f>
        <v/>
      </c>
      <c r="AW102">
        <f>$C102*AW101</f>
        <v/>
      </c>
      <c r="AX102">
        <f>$C102*AX101</f>
        <v/>
      </c>
      <c r="AY102">
        <f>$C102*AY101</f>
        <v/>
      </c>
      <c r="AZ102">
        <f>$C102*AZ101</f>
        <v/>
      </c>
      <c r="BA102">
        <f>$C102*BA101</f>
        <v/>
      </c>
      <c r="BB102">
        <f>$C102*BB101</f>
        <v/>
      </c>
      <c r="BC102">
        <f>$C102*BC101</f>
        <v/>
      </c>
      <c r="BD102">
        <f>$C102*BD101</f>
        <v/>
      </c>
      <c r="BE102">
        <f>$C102*BE101</f>
        <v/>
      </c>
      <c r="BF102">
        <f>$C102*BF101</f>
        <v/>
      </c>
      <c r="BG102">
        <f>$C102*BG101</f>
        <v/>
      </c>
      <c r="BH102">
        <f>$C102*BH101</f>
        <v/>
      </c>
      <c r="BI102">
        <f>$C102*BI101</f>
        <v/>
      </c>
      <c r="BJ102">
        <f>$C102*BJ101</f>
        <v/>
      </c>
      <c r="BK102">
        <f>$C102*BK101</f>
        <v/>
      </c>
      <c r="BL102">
        <f>$C102*BL101</f>
        <v/>
      </c>
      <c r="BM102">
        <f>$C102*BM101</f>
        <v/>
      </c>
      <c r="BN102">
        <f>$C102*BN101</f>
        <v/>
      </c>
      <c r="BO102">
        <f>$C102*BO101</f>
        <v/>
      </c>
      <c r="BP102">
        <f>$C102*BP101</f>
        <v/>
      </c>
      <c r="BQ102">
        <f>$C102*BQ101</f>
        <v/>
      </c>
      <c r="BR102">
        <f>$C102*BR101</f>
        <v/>
      </c>
      <c r="BS102">
        <f>$C102*BS101</f>
        <v/>
      </c>
      <c r="BT102">
        <f>$C102*BT101</f>
        <v/>
      </c>
      <c r="BU102">
        <f>$C102*BU101</f>
        <v/>
      </c>
      <c r="BV102">
        <f>$C102*BV101</f>
        <v/>
      </c>
      <c r="BW102">
        <f>$C102*BW101</f>
        <v/>
      </c>
      <c r="BX102">
        <f>$C102*BX101</f>
        <v/>
      </c>
      <c r="BY102">
        <f>$C102*BY101</f>
        <v/>
      </c>
      <c r="BZ102">
        <f>$C102*BZ101</f>
        <v/>
      </c>
      <c r="CA102">
        <f>$C102*CA101</f>
        <v/>
      </c>
      <c r="CB102">
        <f>$C102*CB101</f>
        <v/>
      </c>
      <c r="CC102">
        <f>$C102*CC101</f>
        <v/>
      </c>
      <c r="CD102">
        <f>$C102*CD101</f>
        <v/>
      </c>
      <c r="CE102">
        <f>$C102*CE101</f>
        <v/>
      </c>
      <c r="CF102">
        <f>$C102*CF101</f>
        <v/>
      </c>
      <c r="CG102">
        <f>$C102*CG101</f>
        <v/>
      </c>
      <c r="CH102">
        <f>$C102*CH101</f>
        <v/>
      </c>
      <c r="CI102">
        <f>$C102*CI101</f>
        <v/>
      </c>
      <c r="CJ102">
        <f>$C102*CJ101</f>
        <v/>
      </c>
      <c r="CK102">
        <f>$C102*CK101</f>
        <v/>
      </c>
      <c r="CL102">
        <f>$C102*CL101</f>
        <v/>
      </c>
      <c r="CM102">
        <f>$C102*CM101</f>
        <v/>
      </c>
      <c r="CN102">
        <f>$C102*CN101</f>
        <v/>
      </c>
      <c r="CO102">
        <f>$C102*CO101</f>
        <v/>
      </c>
      <c r="CP102">
        <f>$C102*CP101</f>
        <v/>
      </c>
      <c r="CQ102">
        <f>$C102*CQ101</f>
        <v/>
      </c>
      <c r="CR102">
        <f>$C102*CR101</f>
        <v/>
      </c>
      <c r="CS102">
        <f>$C102*CS101</f>
        <v/>
      </c>
      <c r="CT102">
        <f>$C102*CT101</f>
        <v/>
      </c>
      <c r="CU102">
        <f>$C102*CU101</f>
        <v/>
      </c>
      <c r="CV102">
        <f>$C102*CV101</f>
        <v/>
      </c>
      <c r="CW102">
        <f>$C102*CW101</f>
        <v/>
      </c>
      <c r="CX102">
        <f>$C102*CX101</f>
        <v/>
      </c>
      <c r="CY102">
        <f>$C102*CY101</f>
        <v/>
      </c>
      <c r="CZ102">
        <f>$C102*CZ101</f>
        <v/>
      </c>
      <c r="DA102">
        <f>$C102*DA101</f>
        <v/>
      </c>
      <c r="DB102">
        <f>$C102*DB101</f>
        <v/>
      </c>
      <c r="DC102">
        <f>$C102*DC101</f>
        <v/>
      </c>
    </row>
    <row r="103">
      <c r="B103" t="inlineStr">
        <is>
          <t>TSP-620</t>
        </is>
      </c>
      <c r="C103" t="inlineStr">
        <is>
          <t>No. of batches</t>
        </is>
      </c>
      <c r="D103">
        <f>IFERROR(INDEX(PP_Grid[#Data],$DD103,2),0)</f>
        <v/>
      </c>
      <c r="E103">
        <f>IFERROR(INDEX(PP_Grid[#Data],$DD103,3),0)</f>
        <v/>
      </c>
      <c r="F103">
        <f>IFERROR(INDEX(PP_Grid[#Data],$DD103,4),0)</f>
        <v/>
      </c>
      <c r="G103">
        <f>IFERROR(INDEX(PP_Grid[#Data],$DD103,5),0)</f>
        <v/>
      </c>
      <c r="H103">
        <f>IFERROR(INDEX(PP_Grid[#Data],$DD103,6),0)</f>
        <v/>
      </c>
      <c r="I103">
        <f>IFERROR(INDEX(PP_Grid[#Data],$DD103,7),0)</f>
        <v/>
      </c>
      <c r="J103">
        <f>IFERROR(INDEX(PP_Grid[#Data],$DD103,8),0)</f>
        <v/>
      </c>
      <c r="K103">
        <f>IFERROR(INDEX(PP_Grid[#Data],$DD103,9),0)</f>
        <v/>
      </c>
      <c r="L103">
        <f>IFERROR(INDEX(PP_Grid[#Data],$DD103,10),0)</f>
        <v/>
      </c>
      <c r="M103">
        <f>IFERROR(INDEX(PP_Grid[#Data],$DD103,11),0)</f>
        <v/>
      </c>
      <c r="N103">
        <f>IFERROR(INDEX(PP_Grid[#Data],$DD103,12),0)</f>
        <v/>
      </c>
      <c r="O103">
        <f>IFERROR(INDEX(PP_Grid[#Data],$DD103,13),0)</f>
        <v/>
      </c>
      <c r="P103">
        <f>IFERROR(INDEX(PP_Grid[#Data],$DD103,14),0)</f>
        <v/>
      </c>
      <c r="Q103">
        <f>IFERROR(INDEX(PP_Grid[#Data],$DD103,15),0)</f>
        <v/>
      </c>
      <c r="R103">
        <f>IFERROR(INDEX(PP_Grid[#Data],$DD103,16),0)</f>
        <v/>
      </c>
      <c r="S103">
        <f>IFERROR(INDEX(PP_Grid[#Data],$DD103,17),0)</f>
        <v/>
      </c>
      <c r="T103">
        <f>IFERROR(INDEX(PP_Grid[#Data],$DD103,18),0)</f>
        <v/>
      </c>
      <c r="U103">
        <f>IFERROR(INDEX(PP_Grid[#Data],$DD103,19),0)</f>
        <v/>
      </c>
      <c r="V103">
        <f>IFERROR(INDEX(PP_Grid[#Data],$DD103,20),0)</f>
        <v/>
      </c>
      <c r="W103">
        <f>IFERROR(INDEX(PP_Grid[#Data],$DD103,21),0)</f>
        <v/>
      </c>
      <c r="X103">
        <f>IFERROR(INDEX(PP_Grid[#Data],$DD103,22),0)</f>
        <v/>
      </c>
      <c r="Y103">
        <f>IFERROR(INDEX(PP_Grid[#Data],$DD103,23),0)</f>
        <v/>
      </c>
      <c r="Z103">
        <f>IFERROR(INDEX(PP_Grid[#Data],$DD103,24),0)</f>
        <v/>
      </c>
      <c r="AA103">
        <f>IFERROR(INDEX(PP_Grid[#Data],$DD103,25),0)</f>
        <v/>
      </c>
      <c r="AB103">
        <f>IFERROR(INDEX(PP_Grid[#Data],$DD103,26),0)</f>
        <v/>
      </c>
      <c r="AC103">
        <f>IFERROR(INDEX(PP_Grid[#Data],$DD103,27),0)</f>
        <v/>
      </c>
      <c r="AD103">
        <f>IFERROR(INDEX(PP_Grid[#Data],$DD103,28),0)</f>
        <v/>
      </c>
      <c r="AE103">
        <f>IFERROR(INDEX(PP_Grid[#Data],$DD103,29),0)</f>
        <v/>
      </c>
      <c r="AF103">
        <f>IFERROR(INDEX(PP_Grid[#Data],$DD103,30),0)</f>
        <v/>
      </c>
      <c r="AG103">
        <f>IFERROR(INDEX(PP_Grid[#Data],$DD103,31),0)</f>
        <v/>
      </c>
      <c r="AH103">
        <f>IFERROR(INDEX(PP_Grid[#Data],$DD103,32),0)</f>
        <v/>
      </c>
      <c r="AI103">
        <f>IFERROR(INDEX(PP_Grid[#Data],$DD103,33),0)</f>
        <v/>
      </c>
      <c r="AJ103">
        <f>IFERROR(INDEX(PP_Grid[#Data],$DD103,34),0)</f>
        <v/>
      </c>
      <c r="AK103">
        <f>IFERROR(INDEX(PP_Grid[#Data],$DD103,35),0)</f>
        <v/>
      </c>
      <c r="AL103">
        <f>IFERROR(INDEX(PP_Grid[#Data],$DD103,36),0)</f>
        <v/>
      </c>
      <c r="AM103">
        <f>IFERROR(INDEX(PP_Grid[#Data],$DD103,37),0)</f>
        <v/>
      </c>
      <c r="AN103">
        <f>IFERROR(INDEX(PP_Grid[#Data],$DD103,38),0)</f>
        <v/>
      </c>
      <c r="AO103">
        <f>IFERROR(INDEX(PP_Grid[#Data],$DD103,39),0)</f>
        <v/>
      </c>
      <c r="AP103">
        <f>IFERROR(INDEX(PP_Grid[#Data],$DD103,40),0)</f>
        <v/>
      </c>
      <c r="AQ103">
        <f>IFERROR(INDEX(PP_Grid[#Data],$DD103,41),0)</f>
        <v/>
      </c>
      <c r="AR103">
        <f>IFERROR(INDEX(PP_Grid[#Data],$DD103,42),0)</f>
        <v/>
      </c>
      <c r="AS103">
        <f>IFERROR(INDEX(PP_Grid[#Data],$DD103,43),0)</f>
        <v/>
      </c>
      <c r="AT103">
        <f>IFERROR(INDEX(PP_Grid[#Data],$DD103,44),0)</f>
        <v/>
      </c>
      <c r="AU103">
        <f>IFERROR(INDEX(PP_Grid[#Data],$DD103,45),0)</f>
        <v/>
      </c>
      <c r="AV103">
        <f>IFERROR(INDEX(PP_Grid[#Data],$DD103,46),0)</f>
        <v/>
      </c>
      <c r="AW103">
        <f>IFERROR(INDEX(PP_Grid[#Data],$DD103,47),0)</f>
        <v/>
      </c>
      <c r="AX103">
        <f>IFERROR(INDEX(PP_Grid[#Data],$DD103,48),0)</f>
        <v/>
      </c>
      <c r="AY103">
        <f>IFERROR(INDEX(PP_Grid[#Data],$DD103,49),0)</f>
        <v/>
      </c>
      <c r="AZ103">
        <f>IFERROR(INDEX(PP_Grid[#Data],$DD103,50),0)</f>
        <v/>
      </c>
      <c r="BA103">
        <f>IFERROR(INDEX(PP_Grid[#Data],$DD103,51),0)</f>
        <v/>
      </c>
      <c r="BB103">
        <f>IFERROR(INDEX(PP_Grid[#Data],$DD103,52),0)</f>
        <v/>
      </c>
      <c r="BC103">
        <f>IFERROR(INDEX(PP_Grid[#Data],$DD103,53),0)</f>
        <v/>
      </c>
      <c r="BD103">
        <f>IFERROR(INDEX(PP_Grid[#Data],$DD103,54),0)</f>
        <v/>
      </c>
      <c r="BE103">
        <f>IFERROR(INDEX(PP_Grid[#Data],$DD103,55),0)</f>
        <v/>
      </c>
      <c r="BF103">
        <f>IFERROR(INDEX(PP_Grid[#Data],$DD103,56),0)</f>
        <v/>
      </c>
      <c r="BG103">
        <f>IFERROR(INDEX(PP_Grid[#Data],$DD103,57),0)</f>
        <v/>
      </c>
      <c r="BH103">
        <f>IFERROR(INDEX(PP_Grid[#Data],$DD103,58),0)</f>
        <v/>
      </c>
      <c r="BI103">
        <f>IFERROR(INDEX(PP_Grid[#Data],$DD103,59),0)</f>
        <v/>
      </c>
      <c r="BJ103">
        <f>IFERROR(INDEX(PP_Grid[#Data],$DD103,60),0)</f>
        <v/>
      </c>
      <c r="BK103">
        <f>IFERROR(INDEX(PP_Grid[#Data],$DD103,61),0)</f>
        <v/>
      </c>
      <c r="BL103">
        <f>IFERROR(INDEX(PP_Grid[#Data],$DD103,62),0)</f>
        <v/>
      </c>
      <c r="BM103">
        <f>IFERROR(INDEX(PP_Grid[#Data],$DD103,63),0)</f>
        <v/>
      </c>
      <c r="BN103">
        <f>IFERROR(INDEX(PP_Grid[#Data],$DD103,64),0)</f>
        <v/>
      </c>
      <c r="BO103">
        <f>IFERROR(INDEX(PP_Grid[#Data],$DD103,65),0)</f>
        <v/>
      </c>
      <c r="BP103">
        <f>IFERROR(INDEX(PP_Grid[#Data],$DD103,66),0)</f>
        <v/>
      </c>
      <c r="BQ103">
        <f>IFERROR(INDEX(PP_Grid[#Data],$DD103,67),0)</f>
        <v/>
      </c>
      <c r="BR103">
        <f>IFERROR(INDEX(PP_Grid[#Data],$DD103,68),0)</f>
        <v/>
      </c>
      <c r="BS103">
        <f>IFERROR(INDEX(PP_Grid[#Data],$DD103,69),0)</f>
        <v/>
      </c>
      <c r="BT103">
        <f>IFERROR(INDEX(PP_Grid[#Data],$DD103,70),0)</f>
        <v/>
      </c>
      <c r="BU103">
        <f>IFERROR(INDEX(PP_Grid[#Data],$DD103,71),0)</f>
        <v/>
      </c>
      <c r="BV103">
        <f>IFERROR(INDEX(PP_Grid[#Data],$DD103,72),0)</f>
        <v/>
      </c>
      <c r="BW103">
        <f>IFERROR(INDEX(PP_Grid[#Data],$DD103,73),0)</f>
        <v/>
      </c>
      <c r="BX103">
        <f>IFERROR(INDEX(PP_Grid[#Data],$DD103,74),0)</f>
        <v/>
      </c>
      <c r="BY103">
        <f>IFERROR(INDEX(PP_Grid[#Data],$DD103,75),0)</f>
        <v/>
      </c>
      <c r="BZ103">
        <f>IFERROR(INDEX(PP_Grid[#Data],$DD103,76),0)</f>
        <v/>
      </c>
      <c r="CA103">
        <f>IFERROR(INDEX(PP_Grid[#Data],$DD103,77),0)</f>
        <v/>
      </c>
      <c r="CB103">
        <f>IFERROR(INDEX(PP_Grid[#Data],$DD103,78),0)</f>
        <v/>
      </c>
      <c r="CC103">
        <f>IFERROR(INDEX(PP_Grid[#Data],$DD103,79),0)</f>
        <v/>
      </c>
      <c r="CD103">
        <f>IFERROR(INDEX(PP_Grid[#Data],$DD103,80),0)</f>
        <v/>
      </c>
      <c r="CE103">
        <f>IFERROR(INDEX(PP_Grid[#Data],$DD103,81),0)</f>
        <v/>
      </c>
      <c r="CF103">
        <f>IFERROR(INDEX(PP_Grid[#Data],$DD103,82),0)</f>
        <v/>
      </c>
      <c r="CG103">
        <f>IFERROR(INDEX(PP_Grid[#Data],$DD103,83),0)</f>
        <v/>
      </c>
      <c r="CH103">
        <f>IFERROR(INDEX(PP_Grid[#Data],$DD103,84),0)</f>
        <v/>
      </c>
      <c r="CI103">
        <f>IFERROR(INDEX(PP_Grid[#Data],$DD103,85),0)</f>
        <v/>
      </c>
      <c r="CJ103">
        <f>IFERROR(INDEX(PP_Grid[#Data],$DD103,86),0)</f>
        <v/>
      </c>
      <c r="CK103">
        <f>IFERROR(INDEX(PP_Grid[#Data],$DD103,87),0)</f>
        <v/>
      </c>
      <c r="CL103">
        <f>IFERROR(INDEX(PP_Grid[#Data],$DD103,88),0)</f>
        <v/>
      </c>
      <c r="CM103">
        <f>IFERROR(INDEX(PP_Grid[#Data],$DD103,89),0)</f>
        <v/>
      </c>
      <c r="CN103">
        <f>IFERROR(INDEX(PP_Grid[#Data],$DD103,90),0)</f>
        <v/>
      </c>
      <c r="CO103">
        <f>IFERROR(INDEX(PP_Grid[#Data],$DD103,91),0)</f>
        <v/>
      </c>
      <c r="CP103">
        <f>IFERROR(INDEX(PP_Grid[#Data],$DD103,92),0)</f>
        <v/>
      </c>
      <c r="CQ103">
        <f>IFERROR(INDEX(PP_Grid[#Data],$DD103,93),0)</f>
        <v/>
      </c>
      <c r="CR103">
        <f>IFERROR(INDEX(PP_Grid[#Data],$DD103,94),0)</f>
        <v/>
      </c>
      <c r="CS103">
        <f>IFERROR(INDEX(PP_Grid[#Data],$DD103,95),0)</f>
        <v/>
      </c>
      <c r="CT103">
        <f>IFERROR(INDEX(PP_Grid[#Data],$DD103,96),0)</f>
        <v/>
      </c>
      <c r="CU103">
        <f>IFERROR(INDEX(PP_Grid[#Data],$DD103,97),0)</f>
        <v/>
      </c>
      <c r="CV103">
        <f>IFERROR(INDEX(PP_Grid[#Data],$DD103,98),0)</f>
        <v/>
      </c>
      <c r="CW103">
        <f>IFERROR(INDEX(PP_Grid[#Data],$DD103,99),0)</f>
        <v/>
      </c>
      <c r="CX103">
        <f>IFERROR(INDEX(PP_Grid[#Data],$DD103,100),0)</f>
        <v/>
      </c>
      <c r="CY103">
        <f>IFERROR(INDEX(PP_Grid[#Data],$DD103,101),0)</f>
        <v/>
      </c>
      <c r="CZ103">
        <f>IFERROR(INDEX(PP_Grid[#Data],$DD103,102),0)</f>
        <v/>
      </c>
      <c r="DA103">
        <f>IFERROR(INDEX(PP_Grid[#Data],$DD103,103),0)</f>
        <v/>
      </c>
      <c r="DB103">
        <f>IFERROR(INDEX(PP_Grid[#Data],$DD103,104),0)</f>
        <v/>
      </c>
      <c r="DC103">
        <f>IFERROR(INDEX(PP_Grid[#Data],$DD103,105),0)</f>
        <v/>
      </c>
      <c r="DD103" s="7">
        <f>IFERROR(MATCH($B103,PP_Grid[Intermediate],0),99999)</f>
        <v/>
      </c>
    </row>
    <row r="104">
      <c r="B104" t="inlineStr">
        <is>
          <t>使用量(kg)</t>
        </is>
      </c>
      <c r="C104">
        <f>SUMIFS(M_BOM[RM_Qty_Per_Batch],M_BOM[Intermediate],$B103,M_BOM[Part Name],$A44)</f>
        <v/>
      </c>
      <c r="D104">
        <f>$C104*D103</f>
        <v/>
      </c>
      <c r="E104">
        <f>$C104*E103</f>
        <v/>
      </c>
      <c r="F104">
        <f>$C104*F103</f>
        <v/>
      </c>
      <c r="G104">
        <f>$C104*G103</f>
        <v/>
      </c>
      <c r="H104">
        <f>$C104*H103</f>
        <v/>
      </c>
      <c r="I104">
        <f>$C104*I103</f>
        <v/>
      </c>
      <c r="J104">
        <f>$C104*J103</f>
        <v/>
      </c>
      <c r="K104">
        <f>$C104*K103</f>
        <v/>
      </c>
      <c r="L104">
        <f>$C104*L103</f>
        <v/>
      </c>
      <c r="M104">
        <f>$C104*M103</f>
        <v/>
      </c>
      <c r="N104">
        <f>$C104*N103</f>
        <v/>
      </c>
      <c r="O104">
        <f>$C104*O103</f>
        <v/>
      </c>
      <c r="P104">
        <f>$C104*P103</f>
        <v/>
      </c>
      <c r="Q104">
        <f>$C104*Q103</f>
        <v/>
      </c>
      <c r="R104">
        <f>$C104*R103</f>
        <v/>
      </c>
      <c r="S104">
        <f>$C104*S103</f>
        <v/>
      </c>
      <c r="T104">
        <f>$C104*T103</f>
        <v/>
      </c>
      <c r="U104">
        <f>$C104*U103</f>
        <v/>
      </c>
      <c r="V104">
        <f>$C104*V103</f>
        <v/>
      </c>
      <c r="W104">
        <f>$C104*W103</f>
        <v/>
      </c>
      <c r="X104">
        <f>$C104*X103</f>
        <v/>
      </c>
      <c r="Y104">
        <f>$C104*Y103</f>
        <v/>
      </c>
      <c r="Z104">
        <f>$C104*Z103</f>
        <v/>
      </c>
      <c r="AA104">
        <f>$C104*AA103</f>
        <v/>
      </c>
      <c r="AB104">
        <f>$C104*AB103</f>
        <v/>
      </c>
      <c r="AC104">
        <f>$C104*AC103</f>
        <v/>
      </c>
      <c r="AD104">
        <f>$C104*AD103</f>
        <v/>
      </c>
      <c r="AE104">
        <f>$C104*AE103</f>
        <v/>
      </c>
      <c r="AF104">
        <f>$C104*AF103</f>
        <v/>
      </c>
      <c r="AG104">
        <f>$C104*AG103</f>
        <v/>
      </c>
      <c r="AH104">
        <f>$C104*AH103</f>
        <v/>
      </c>
      <c r="AI104">
        <f>$C104*AI103</f>
        <v/>
      </c>
      <c r="AJ104">
        <f>$C104*AJ103</f>
        <v/>
      </c>
      <c r="AK104">
        <f>$C104*AK103</f>
        <v/>
      </c>
      <c r="AL104">
        <f>$C104*AL103</f>
        <v/>
      </c>
      <c r="AM104">
        <f>$C104*AM103</f>
        <v/>
      </c>
      <c r="AN104">
        <f>$C104*AN103</f>
        <v/>
      </c>
      <c r="AO104">
        <f>$C104*AO103</f>
        <v/>
      </c>
      <c r="AP104">
        <f>$C104*AP103</f>
        <v/>
      </c>
      <c r="AQ104">
        <f>$C104*AQ103</f>
        <v/>
      </c>
      <c r="AR104">
        <f>$C104*AR103</f>
        <v/>
      </c>
      <c r="AS104">
        <f>$C104*AS103</f>
        <v/>
      </c>
      <c r="AT104">
        <f>$C104*AT103</f>
        <v/>
      </c>
      <c r="AU104">
        <f>$C104*AU103</f>
        <v/>
      </c>
      <c r="AV104">
        <f>$C104*AV103</f>
        <v/>
      </c>
      <c r="AW104">
        <f>$C104*AW103</f>
        <v/>
      </c>
      <c r="AX104">
        <f>$C104*AX103</f>
        <v/>
      </c>
      <c r="AY104">
        <f>$C104*AY103</f>
        <v/>
      </c>
      <c r="AZ104">
        <f>$C104*AZ103</f>
        <v/>
      </c>
      <c r="BA104">
        <f>$C104*BA103</f>
        <v/>
      </c>
      <c r="BB104">
        <f>$C104*BB103</f>
        <v/>
      </c>
      <c r="BC104">
        <f>$C104*BC103</f>
        <v/>
      </c>
      <c r="BD104">
        <f>$C104*BD103</f>
        <v/>
      </c>
      <c r="BE104">
        <f>$C104*BE103</f>
        <v/>
      </c>
      <c r="BF104">
        <f>$C104*BF103</f>
        <v/>
      </c>
      <c r="BG104">
        <f>$C104*BG103</f>
        <v/>
      </c>
      <c r="BH104">
        <f>$C104*BH103</f>
        <v/>
      </c>
      <c r="BI104">
        <f>$C104*BI103</f>
        <v/>
      </c>
      <c r="BJ104">
        <f>$C104*BJ103</f>
        <v/>
      </c>
      <c r="BK104">
        <f>$C104*BK103</f>
        <v/>
      </c>
      <c r="BL104">
        <f>$C104*BL103</f>
        <v/>
      </c>
      <c r="BM104">
        <f>$C104*BM103</f>
        <v/>
      </c>
      <c r="BN104">
        <f>$C104*BN103</f>
        <v/>
      </c>
      <c r="BO104">
        <f>$C104*BO103</f>
        <v/>
      </c>
      <c r="BP104">
        <f>$C104*BP103</f>
        <v/>
      </c>
      <c r="BQ104">
        <f>$C104*BQ103</f>
        <v/>
      </c>
      <c r="BR104">
        <f>$C104*BR103</f>
        <v/>
      </c>
      <c r="BS104">
        <f>$C104*BS103</f>
        <v/>
      </c>
      <c r="BT104">
        <f>$C104*BT103</f>
        <v/>
      </c>
      <c r="BU104">
        <f>$C104*BU103</f>
        <v/>
      </c>
      <c r="BV104">
        <f>$C104*BV103</f>
        <v/>
      </c>
      <c r="BW104">
        <f>$C104*BW103</f>
        <v/>
      </c>
      <c r="BX104">
        <f>$C104*BX103</f>
        <v/>
      </c>
      <c r="BY104">
        <f>$C104*BY103</f>
        <v/>
      </c>
      <c r="BZ104">
        <f>$C104*BZ103</f>
        <v/>
      </c>
      <c r="CA104">
        <f>$C104*CA103</f>
        <v/>
      </c>
      <c r="CB104">
        <f>$C104*CB103</f>
        <v/>
      </c>
      <c r="CC104">
        <f>$C104*CC103</f>
        <v/>
      </c>
      <c r="CD104">
        <f>$C104*CD103</f>
        <v/>
      </c>
      <c r="CE104">
        <f>$C104*CE103</f>
        <v/>
      </c>
      <c r="CF104">
        <f>$C104*CF103</f>
        <v/>
      </c>
      <c r="CG104">
        <f>$C104*CG103</f>
        <v/>
      </c>
      <c r="CH104">
        <f>$C104*CH103</f>
        <v/>
      </c>
      <c r="CI104">
        <f>$C104*CI103</f>
        <v/>
      </c>
      <c r="CJ104">
        <f>$C104*CJ103</f>
        <v/>
      </c>
      <c r="CK104">
        <f>$C104*CK103</f>
        <v/>
      </c>
      <c r="CL104">
        <f>$C104*CL103</f>
        <v/>
      </c>
      <c r="CM104">
        <f>$C104*CM103</f>
        <v/>
      </c>
      <c r="CN104">
        <f>$C104*CN103</f>
        <v/>
      </c>
      <c r="CO104">
        <f>$C104*CO103</f>
        <v/>
      </c>
      <c r="CP104">
        <f>$C104*CP103</f>
        <v/>
      </c>
      <c r="CQ104">
        <f>$C104*CQ103</f>
        <v/>
      </c>
      <c r="CR104">
        <f>$C104*CR103</f>
        <v/>
      </c>
      <c r="CS104">
        <f>$C104*CS103</f>
        <v/>
      </c>
      <c r="CT104">
        <f>$C104*CT103</f>
        <v/>
      </c>
      <c r="CU104">
        <f>$C104*CU103</f>
        <v/>
      </c>
      <c r="CV104">
        <f>$C104*CV103</f>
        <v/>
      </c>
      <c r="CW104">
        <f>$C104*CW103</f>
        <v/>
      </c>
      <c r="CX104">
        <f>$C104*CX103</f>
        <v/>
      </c>
      <c r="CY104">
        <f>$C104*CY103</f>
        <v/>
      </c>
      <c r="CZ104">
        <f>$C104*CZ103</f>
        <v/>
      </c>
      <c r="DA104">
        <f>$C104*DA103</f>
        <v/>
      </c>
      <c r="DB104">
        <f>$C104*DB103</f>
        <v/>
      </c>
      <c r="DC104">
        <f>$C104*DC103</f>
        <v/>
      </c>
    </row>
    <row r="105">
      <c r="B105" t="inlineStr">
        <is>
          <t>TSP-623</t>
        </is>
      </c>
      <c r="C105" t="inlineStr">
        <is>
          <t>No. of batches</t>
        </is>
      </c>
      <c r="D105">
        <f>IFERROR(INDEX(PP_Grid[#Data],$DD105,2),0)</f>
        <v/>
      </c>
      <c r="E105">
        <f>IFERROR(INDEX(PP_Grid[#Data],$DD105,3),0)</f>
        <v/>
      </c>
      <c r="F105">
        <f>IFERROR(INDEX(PP_Grid[#Data],$DD105,4),0)</f>
        <v/>
      </c>
      <c r="G105">
        <f>IFERROR(INDEX(PP_Grid[#Data],$DD105,5),0)</f>
        <v/>
      </c>
      <c r="H105">
        <f>IFERROR(INDEX(PP_Grid[#Data],$DD105,6),0)</f>
        <v/>
      </c>
      <c r="I105">
        <f>IFERROR(INDEX(PP_Grid[#Data],$DD105,7),0)</f>
        <v/>
      </c>
      <c r="J105">
        <f>IFERROR(INDEX(PP_Grid[#Data],$DD105,8),0)</f>
        <v/>
      </c>
      <c r="K105">
        <f>IFERROR(INDEX(PP_Grid[#Data],$DD105,9),0)</f>
        <v/>
      </c>
      <c r="L105">
        <f>IFERROR(INDEX(PP_Grid[#Data],$DD105,10),0)</f>
        <v/>
      </c>
      <c r="M105">
        <f>IFERROR(INDEX(PP_Grid[#Data],$DD105,11),0)</f>
        <v/>
      </c>
      <c r="N105">
        <f>IFERROR(INDEX(PP_Grid[#Data],$DD105,12),0)</f>
        <v/>
      </c>
      <c r="O105">
        <f>IFERROR(INDEX(PP_Grid[#Data],$DD105,13),0)</f>
        <v/>
      </c>
      <c r="P105">
        <f>IFERROR(INDEX(PP_Grid[#Data],$DD105,14),0)</f>
        <v/>
      </c>
      <c r="Q105">
        <f>IFERROR(INDEX(PP_Grid[#Data],$DD105,15),0)</f>
        <v/>
      </c>
      <c r="R105">
        <f>IFERROR(INDEX(PP_Grid[#Data],$DD105,16),0)</f>
        <v/>
      </c>
      <c r="S105">
        <f>IFERROR(INDEX(PP_Grid[#Data],$DD105,17),0)</f>
        <v/>
      </c>
      <c r="T105">
        <f>IFERROR(INDEX(PP_Grid[#Data],$DD105,18),0)</f>
        <v/>
      </c>
      <c r="U105">
        <f>IFERROR(INDEX(PP_Grid[#Data],$DD105,19),0)</f>
        <v/>
      </c>
      <c r="V105">
        <f>IFERROR(INDEX(PP_Grid[#Data],$DD105,20),0)</f>
        <v/>
      </c>
      <c r="W105">
        <f>IFERROR(INDEX(PP_Grid[#Data],$DD105,21),0)</f>
        <v/>
      </c>
      <c r="X105">
        <f>IFERROR(INDEX(PP_Grid[#Data],$DD105,22),0)</f>
        <v/>
      </c>
      <c r="Y105">
        <f>IFERROR(INDEX(PP_Grid[#Data],$DD105,23),0)</f>
        <v/>
      </c>
      <c r="Z105">
        <f>IFERROR(INDEX(PP_Grid[#Data],$DD105,24),0)</f>
        <v/>
      </c>
      <c r="AA105">
        <f>IFERROR(INDEX(PP_Grid[#Data],$DD105,25),0)</f>
        <v/>
      </c>
      <c r="AB105">
        <f>IFERROR(INDEX(PP_Grid[#Data],$DD105,26),0)</f>
        <v/>
      </c>
      <c r="AC105">
        <f>IFERROR(INDEX(PP_Grid[#Data],$DD105,27),0)</f>
        <v/>
      </c>
      <c r="AD105">
        <f>IFERROR(INDEX(PP_Grid[#Data],$DD105,28),0)</f>
        <v/>
      </c>
      <c r="AE105">
        <f>IFERROR(INDEX(PP_Grid[#Data],$DD105,29),0)</f>
        <v/>
      </c>
      <c r="AF105">
        <f>IFERROR(INDEX(PP_Grid[#Data],$DD105,30),0)</f>
        <v/>
      </c>
      <c r="AG105">
        <f>IFERROR(INDEX(PP_Grid[#Data],$DD105,31),0)</f>
        <v/>
      </c>
      <c r="AH105">
        <f>IFERROR(INDEX(PP_Grid[#Data],$DD105,32),0)</f>
        <v/>
      </c>
      <c r="AI105">
        <f>IFERROR(INDEX(PP_Grid[#Data],$DD105,33),0)</f>
        <v/>
      </c>
      <c r="AJ105">
        <f>IFERROR(INDEX(PP_Grid[#Data],$DD105,34),0)</f>
        <v/>
      </c>
      <c r="AK105">
        <f>IFERROR(INDEX(PP_Grid[#Data],$DD105,35),0)</f>
        <v/>
      </c>
      <c r="AL105">
        <f>IFERROR(INDEX(PP_Grid[#Data],$DD105,36),0)</f>
        <v/>
      </c>
      <c r="AM105">
        <f>IFERROR(INDEX(PP_Grid[#Data],$DD105,37),0)</f>
        <v/>
      </c>
      <c r="AN105">
        <f>IFERROR(INDEX(PP_Grid[#Data],$DD105,38),0)</f>
        <v/>
      </c>
      <c r="AO105">
        <f>IFERROR(INDEX(PP_Grid[#Data],$DD105,39),0)</f>
        <v/>
      </c>
      <c r="AP105">
        <f>IFERROR(INDEX(PP_Grid[#Data],$DD105,40),0)</f>
        <v/>
      </c>
      <c r="AQ105">
        <f>IFERROR(INDEX(PP_Grid[#Data],$DD105,41),0)</f>
        <v/>
      </c>
      <c r="AR105">
        <f>IFERROR(INDEX(PP_Grid[#Data],$DD105,42),0)</f>
        <v/>
      </c>
      <c r="AS105">
        <f>IFERROR(INDEX(PP_Grid[#Data],$DD105,43),0)</f>
        <v/>
      </c>
      <c r="AT105">
        <f>IFERROR(INDEX(PP_Grid[#Data],$DD105,44),0)</f>
        <v/>
      </c>
      <c r="AU105">
        <f>IFERROR(INDEX(PP_Grid[#Data],$DD105,45),0)</f>
        <v/>
      </c>
      <c r="AV105">
        <f>IFERROR(INDEX(PP_Grid[#Data],$DD105,46),0)</f>
        <v/>
      </c>
      <c r="AW105">
        <f>IFERROR(INDEX(PP_Grid[#Data],$DD105,47),0)</f>
        <v/>
      </c>
      <c r="AX105">
        <f>IFERROR(INDEX(PP_Grid[#Data],$DD105,48),0)</f>
        <v/>
      </c>
      <c r="AY105">
        <f>IFERROR(INDEX(PP_Grid[#Data],$DD105,49),0)</f>
        <v/>
      </c>
      <c r="AZ105">
        <f>IFERROR(INDEX(PP_Grid[#Data],$DD105,50),0)</f>
        <v/>
      </c>
      <c r="BA105">
        <f>IFERROR(INDEX(PP_Grid[#Data],$DD105,51),0)</f>
        <v/>
      </c>
      <c r="BB105">
        <f>IFERROR(INDEX(PP_Grid[#Data],$DD105,52),0)</f>
        <v/>
      </c>
      <c r="BC105">
        <f>IFERROR(INDEX(PP_Grid[#Data],$DD105,53),0)</f>
        <v/>
      </c>
      <c r="BD105">
        <f>IFERROR(INDEX(PP_Grid[#Data],$DD105,54),0)</f>
        <v/>
      </c>
      <c r="BE105">
        <f>IFERROR(INDEX(PP_Grid[#Data],$DD105,55),0)</f>
        <v/>
      </c>
      <c r="BF105">
        <f>IFERROR(INDEX(PP_Grid[#Data],$DD105,56),0)</f>
        <v/>
      </c>
      <c r="BG105">
        <f>IFERROR(INDEX(PP_Grid[#Data],$DD105,57),0)</f>
        <v/>
      </c>
      <c r="BH105">
        <f>IFERROR(INDEX(PP_Grid[#Data],$DD105,58),0)</f>
        <v/>
      </c>
      <c r="BI105">
        <f>IFERROR(INDEX(PP_Grid[#Data],$DD105,59),0)</f>
        <v/>
      </c>
      <c r="BJ105">
        <f>IFERROR(INDEX(PP_Grid[#Data],$DD105,60),0)</f>
        <v/>
      </c>
      <c r="BK105">
        <f>IFERROR(INDEX(PP_Grid[#Data],$DD105,61),0)</f>
        <v/>
      </c>
      <c r="BL105">
        <f>IFERROR(INDEX(PP_Grid[#Data],$DD105,62),0)</f>
        <v/>
      </c>
      <c r="BM105">
        <f>IFERROR(INDEX(PP_Grid[#Data],$DD105,63),0)</f>
        <v/>
      </c>
      <c r="BN105">
        <f>IFERROR(INDEX(PP_Grid[#Data],$DD105,64),0)</f>
        <v/>
      </c>
      <c r="BO105">
        <f>IFERROR(INDEX(PP_Grid[#Data],$DD105,65),0)</f>
        <v/>
      </c>
      <c r="BP105">
        <f>IFERROR(INDEX(PP_Grid[#Data],$DD105,66),0)</f>
        <v/>
      </c>
      <c r="BQ105">
        <f>IFERROR(INDEX(PP_Grid[#Data],$DD105,67),0)</f>
        <v/>
      </c>
      <c r="BR105">
        <f>IFERROR(INDEX(PP_Grid[#Data],$DD105,68),0)</f>
        <v/>
      </c>
      <c r="BS105">
        <f>IFERROR(INDEX(PP_Grid[#Data],$DD105,69),0)</f>
        <v/>
      </c>
      <c r="BT105">
        <f>IFERROR(INDEX(PP_Grid[#Data],$DD105,70),0)</f>
        <v/>
      </c>
      <c r="BU105">
        <f>IFERROR(INDEX(PP_Grid[#Data],$DD105,71),0)</f>
        <v/>
      </c>
      <c r="BV105">
        <f>IFERROR(INDEX(PP_Grid[#Data],$DD105,72),0)</f>
        <v/>
      </c>
      <c r="BW105">
        <f>IFERROR(INDEX(PP_Grid[#Data],$DD105,73),0)</f>
        <v/>
      </c>
      <c r="BX105">
        <f>IFERROR(INDEX(PP_Grid[#Data],$DD105,74),0)</f>
        <v/>
      </c>
      <c r="BY105">
        <f>IFERROR(INDEX(PP_Grid[#Data],$DD105,75),0)</f>
        <v/>
      </c>
      <c r="BZ105">
        <f>IFERROR(INDEX(PP_Grid[#Data],$DD105,76),0)</f>
        <v/>
      </c>
      <c r="CA105">
        <f>IFERROR(INDEX(PP_Grid[#Data],$DD105,77),0)</f>
        <v/>
      </c>
      <c r="CB105">
        <f>IFERROR(INDEX(PP_Grid[#Data],$DD105,78),0)</f>
        <v/>
      </c>
      <c r="CC105">
        <f>IFERROR(INDEX(PP_Grid[#Data],$DD105,79),0)</f>
        <v/>
      </c>
      <c r="CD105">
        <f>IFERROR(INDEX(PP_Grid[#Data],$DD105,80),0)</f>
        <v/>
      </c>
      <c r="CE105">
        <f>IFERROR(INDEX(PP_Grid[#Data],$DD105,81),0)</f>
        <v/>
      </c>
      <c r="CF105">
        <f>IFERROR(INDEX(PP_Grid[#Data],$DD105,82),0)</f>
        <v/>
      </c>
      <c r="CG105">
        <f>IFERROR(INDEX(PP_Grid[#Data],$DD105,83),0)</f>
        <v/>
      </c>
      <c r="CH105">
        <f>IFERROR(INDEX(PP_Grid[#Data],$DD105,84),0)</f>
        <v/>
      </c>
      <c r="CI105">
        <f>IFERROR(INDEX(PP_Grid[#Data],$DD105,85),0)</f>
        <v/>
      </c>
      <c r="CJ105">
        <f>IFERROR(INDEX(PP_Grid[#Data],$DD105,86),0)</f>
        <v/>
      </c>
      <c r="CK105">
        <f>IFERROR(INDEX(PP_Grid[#Data],$DD105,87),0)</f>
        <v/>
      </c>
      <c r="CL105">
        <f>IFERROR(INDEX(PP_Grid[#Data],$DD105,88),0)</f>
        <v/>
      </c>
      <c r="CM105">
        <f>IFERROR(INDEX(PP_Grid[#Data],$DD105,89),0)</f>
        <v/>
      </c>
      <c r="CN105">
        <f>IFERROR(INDEX(PP_Grid[#Data],$DD105,90),0)</f>
        <v/>
      </c>
      <c r="CO105">
        <f>IFERROR(INDEX(PP_Grid[#Data],$DD105,91),0)</f>
        <v/>
      </c>
      <c r="CP105">
        <f>IFERROR(INDEX(PP_Grid[#Data],$DD105,92),0)</f>
        <v/>
      </c>
      <c r="CQ105">
        <f>IFERROR(INDEX(PP_Grid[#Data],$DD105,93),0)</f>
        <v/>
      </c>
      <c r="CR105">
        <f>IFERROR(INDEX(PP_Grid[#Data],$DD105,94),0)</f>
        <v/>
      </c>
      <c r="CS105">
        <f>IFERROR(INDEX(PP_Grid[#Data],$DD105,95),0)</f>
        <v/>
      </c>
      <c r="CT105">
        <f>IFERROR(INDEX(PP_Grid[#Data],$DD105,96),0)</f>
        <v/>
      </c>
      <c r="CU105">
        <f>IFERROR(INDEX(PP_Grid[#Data],$DD105,97),0)</f>
        <v/>
      </c>
      <c r="CV105">
        <f>IFERROR(INDEX(PP_Grid[#Data],$DD105,98),0)</f>
        <v/>
      </c>
      <c r="CW105">
        <f>IFERROR(INDEX(PP_Grid[#Data],$DD105,99),0)</f>
        <v/>
      </c>
      <c r="CX105">
        <f>IFERROR(INDEX(PP_Grid[#Data],$DD105,100),0)</f>
        <v/>
      </c>
      <c r="CY105">
        <f>IFERROR(INDEX(PP_Grid[#Data],$DD105,101),0)</f>
        <v/>
      </c>
      <c r="CZ105">
        <f>IFERROR(INDEX(PP_Grid[#Data],$DD105,102),0)</f>
        <v/>
      </c>
      <c r="DA105">
        <f>IFERROR(INDEX(PP_Grid[#Data],$DD105,103),0)</f>
        <v/>
      </c>
      <c r="DB105">
        <f>IFERROR(INDEX(PP_Grid[#Data],$DD105,104),0)</f>
        <v/>
      </c>
      <c r="DC105">
        <f>IFERROR(INDEX(PP_Grid[#Data],$DD105,105),0)</f>
        <v/>
      </c>
      <c r="DD105" s="7">
        <f>IFERROR(MATCH($B105,PP_Grid[Intermediate],0),99999)</f>
        <v/>
      </c>
    </row>
    <row r="106">
      <c r="B106" t="inlineStr">
        <is>
          <t>使用量(kg)</t>
        </is>
      </c>
      <c r="C106">
        <f>SUMIFS(M_BOM[RM_Qty_Per_Batch],M_BOM[Intermediate],$B105,M_BOM[Part Name],$A44)</f>
        <v/>
      </c>
      <c r="D106">
        <f>$C106*D105</f>
        <v/>
      </c>
      <c r="E106">
        <f>$C106*E105</f>
        <v/>
      </c>
      <c r="F106">
        <f>$C106*F105</f>
        <v/>
      </c>
      <c r="G106">
        <f>$C106*G105</f>
        <v/>
      </c>
      <c r="H106">
        <f>$C106*H105</f>
        <v/>
      </c>
      <c r="I106">
        <f>$C106*I105</f>
        <v/>
      </c>
      <c r="J106">
        <f>$C106*J105</f>
        <v/>
      </c>
      <c r="K106">
        <f>$C106*K105</f>
        <v/>
      </c>
      <c r="L106">
        <f>$C106*L105</f>
        <v/>
      </c>
      <c r="M106">
        <f>$C106*M105</f>
        <v/>
      </c>
      <c r="N106">
        <f>$C106*N105</f>
        <v/>
      </c>
      <c r="O106">
        <f>$C106*O105</f>
        <v/>
      </c>
      <c r="P106">
        <f>$C106*P105</f>
        <v/>
      </c>
      <c r="Q106">
        <f>$C106*Q105</f>
        <v/>
      </c>
      <c r="R106">
        <f>$C106*R105</f>
        <v/>
      </c>
      <c r="S106">
        <f>$C106*S105</f>
        <v/>
      </c>
      <c r="T106">
        <f>$C106*T105</f>
        <v/>
      </c>
      <c r="U106">
        <f>$C106*U105</f>
        <v/>
      </c>
      <c r="V106">
        <f>$C106*V105</f>
        <v/>
      </c>
      <c r="W106">
        <f>$C106*W105</f>
        <v/>
      </c>
      <c r="X106">
        <f>$C106*X105</f>
        <v/>
      </c>
      <c r="Y106">
        <f>$C106*Y105</f>
        <v/>
      </c>
      <c r="Z106">
        <f>$C106*Z105</f>
        <v/>
      </c>
      <c r="AA106">
        <f>$C106*AA105</f>
        <v/>
      </c>
      <c r="AB106">
        <f>$C106*AB105</f>
        <v/>
      </c>
      <c r="AC106">
        <f>$C106*AC105</f>
        <v/>
      </c>
      <c r="AD106">
        <f>$C106*AD105</f>
        <v/>
      </c>
      <c r="AE106">
        <f>$C106*AE105</f>
        <v/>
      </c>
      <c r="AF106">
        <f>$C106*AF105</f>
        <v/>
      </c>
      <c r="AG106">
        <f>$C106*AG105</f>
        <v/>
      </c>
      <c r="AH106">
        <f>$C106*AH105</f>
        <v/>
      </c>
      <c r="AI106">
        <f>$C106*AI105</f>
        <v/>
      </c>
      <c r="AJ106">
        <f>$C106*AJ105</f>
        <v/>
      </c>
      <c r="AK106">
        <f>$C106*AK105</f>
        <v/>
      </c>
      <c r="AL106">
        <f>$C106*AL105</f>
        <v/>
      </c>
      <c r="AM106">
        <f>$C106*AM105</f>
        <v/>
      </c>
      <c r="AN106">
        <f>$C106*AN105</f>
        <v/>
      </c>
      <c r="AO106">
        <f>$C106*AO105</f>
        <v/>
      </c>
      <c r="AP106">
        <f>$C106*AP105</f>
        <v/>
      </c>
      <c r="AQ106">
        <f>$C106*AQ105</f>
        <v/>
      </c>
      <c r="AR106">
        <f>$C106*AR105</f>
        <v/>
      </c>
      <c r="AS106">
        <f>$C106*AS105</f>
        <v/>
      </c>
      <c r="AT106">
        <f>$C106*AT105</f>
        <v/>
      </c>
      <c r="AU106">
        <f>$C106*AU105</f>
        <v/>
      </c>
      <c r="AV106">
        <f>$C106*AV105</f>
        <v/>
      </c>
      <c r="AW106">
        <f>$C106*AW105</f>
        <v/>
      </c>
      <c r="AX106">
        <f>$C106*AX105</f>
        <v/>
      </c>
      <c r="AY106">
        <f>$C106*AY105</f>
        <v/>
      </c>
      <c r="AZ106">
        <f>$C106*AZ105</f>
        <v/>
      </c>
      <c r="BA106">
        <f>$C106*BA105</f>
        <v/>
      </c>
      <c r="BB106">
        <f>$C106*BB105</f>
        <v/>
      </c>
      <c r="BC106">
        <f>$C106*BC105</f>
        <v/>
      </c>
      <c r="BD106">
        <f>$C106*BD105</f>
        <v/>
      </c>
      <c r="BE106">
        <f>$C106*BE105</f>
        <v/>
      </c>
      <c r="BF106">
        <f>$C106*BF105</f>
        <v/>
      </c>
      <c r="BG106">
        <f>$C106*BG105</f>
        <v/>
      </c>
      <c r="BH106">
        <f>$C106*BH105</f>
        <v/>
      </c>
      <c r="BI106">
        <f>$C106*BI105</f>
        <v/>
      </c>
      <c r="BJ106">
        <f>$C106*BJ105</f>
        <v/>
      </c>
      <c r="BK106">
        <f>$C106*BK105</f>
        <v/>
      </c>
      <c r="BL106">
        <f>$C106*BL105</f>
        <v/>
      </c>
      <c r="BM106">
        <f>$C106*BM105</f>
        <v/>
      </c>
      <c r="BN106">
        <f>$C106*BN105</f>
        <v/>
      </c>
      <c r="BO106">
        <f>$C106*BO105</f>
        <v/>
      </c>
      <c r="BP106">
        <f>$C106*BP105</f>
        <v/>
      </c>
      <c r="BQ106">
        <f>$C106*BQ105</f>
        <v/>
      </c>
      <c r="BR106">
        <f>$C106*BR105</f>
        <v/>
      </c>
      <c r="BS106">
        <f>$C106*BS105</f>
        <v/>
      </c>
      <c r="BT106">
        <f>$C106*BT105</f>
        <v/>
      </c>
      <c r="BU106">
        <f>$C106*BU105</f>
        <v/>
      </c>
      <c r="BV106">
        <f>$C106*BV105</f>
        <v/>
      </c>
      <c r="BW106">
        <f>$C106*BW105</f>
        <v/>
      </c>
      <c r="BX106">
        <f>$C106*BX105</f>
        <v/>
      </c>
      <c r="BY106">
        <f>$C106*BY105</f>
        <v/>
      </c>
      <c r="BZ106">
        <f>$C106*BZ105</f>
        <v/>
      </c>
      <c r="CA106">
        <f>$C106*CA105</f>
        <v/>
      </c>
      <c r="CB106">
        <f>$C106*CB105</f>
        <v/>
      </c>
      <c r="CC106">
        <f>$C106*CC105</f>
        <v/>
      </c>
      <c r="CD106">
        <f>$C106*CD105</f>
        <v/>
      </c>
      <c r="CE106">
        <f>$C106*CE105</f>
        <v/>
      </c>
      <c r="CF106">
        <f>$C106*CF105</f>
        <v/>
      </c>
      <c r="CG106">
        <f>$C106*CG105</f>
        <v/>
      </c>
      <c r="CH106">
        <f>$C106*CH105</f>
        <v/>
      </c>
      <c r="CI106">
        <f>$C106*CI105</f>
        <v/>
      </c>
      <c r="CJ106">
        <f>$C106*CJ105</f>
        <v/>
      </c>
      <c r="CK106">
        <f>$C106*CK105</f>
        <v/>
      </c>
      <c r="CL106">
        <f>$C106*CL105</f>
        <v/>
      </c>
      <c r="CM106">
        <f>$C106*CM105</f>
        <v/>
      </c>
      <c r="CN106">
        <f>$C106*CN105</f>
        <v/>
      </c>
      <c r="CO106">
        <f>$C106*CO105</f>
        <v/>
      </c>
      <c r="CP106">
        <f>$C106*CP105</f>
        <v/>
      </c>
      <c r="CQ106">
        <f>$C106*CQ105</f>
        <v/>
      </c>
      <c r="CR106">
        <f>$C106*CR105</f>
        <v/>
      </c>
      <c r="CS106">
        <f>$C106*CS105</f>
        <v/>
      </c>
      <c r="CT106">
        <f>$C106*CT105</f>
        <v/>
      </c>
      <c r="CU106">
        <f>$C106*CU105</f>
        <v/>
      </c>
      <c r="CV106">
        <f>$C106*CV105</f>
        <v/>
      </c>
      <c r="CW106">
        <f>$C106*CW105</f>
        <v/>
      </c>
      <c r="CX106">
        <f>$C106*CX105</f>
        <v/>
      </c>
      <c r="CY106">
        <f>$C106*CY105</f>
        <v/>
      </c>
      <c r="CZ106">
        <f>$C106*CZ105</f>
        <v/>
      </c>
      <c r="DA106">
        <f>$C106*DA105</f>
        <v/>
      </c>
      <c r="DB106">
        <f>$C106*DB105</f>
        <v/>
      </c>
      <c r="DC106">
        <f>$C106*DC105</f>
        <v/>
      </c>
    </row>
    <row r="107">
      <c r="B107" t="inlineStr">
        <is>
          <t>TSP-655</t>
        </is>
      </c>
      <c r="C107" t="inlineStr">
        <is>
          <t>No. of batches</t>
        </is>
      </c>
      <c r="D107">
        <f>IFERROR(INDEX(PP_Grid[#Data],$DD107,2),0)</f>
        <v/>
      </c>
      <c r="E107">
        <f>IFERROR(INDEX(PP_Grid[#Data],$DD107,3),0)</f>
        <v/>
      </c>
      <c r="F107">
        <f>IFERROR(INDEX(PP_Grid[#Data],$DD107,4),0)</f>
        <v/>
      </c>
      <c r="G107">
        <f>IFERROR(INDEX(PP_Grid[#Data],$DD107,5),0)</f>
        <v/>
      </c>
      <c r="H107">
        <f>IFERROR(INDEX(PP_Grid[#Data],$DD107,6),0)</f>
        <v/>
      </c>
      <c r="I107">
        <f>IFERROR(INDEX(PP_Grid[#Data],$DD107,7),0)</f>
        <v/>
      </c>
      <c r="J107">
        <f>IFERROR(INDEX(PP_Grid[#Data],$DD107,8),0)</f>
        <v/>
      </c>
      <c r="K107">
        <f>IFERROR(INDEX(PP_Grid[#Data],$DD107,9),0)</f>
        <v/>
      </c>
      <c r="L107">
        <f>IFERROR(INDEX(PP_Grid[#Data],$DD107,10),0)</f>
        <v/>
      </c>
      <c r="M107">
        <f>IFERROR(INDEX(PP_Grid[#Data],$DD107,11),0)</f>
        <v/>
      </c>
      <c r="N107">
        <f>IFERROR(INDEX(PP_Grid[#Data],$DD107,12),0)</f>
        <v/>
      </c>
      <c r="O107">
        <f>IFERROR(INDEX(PP_Grid[#Data],$DD107,13),0)</f>
        <v/>
      </c>
      <c r="P107">
        <f>IFERROR(INDEX(PP_Grid[#Data],$DD107,14),0)</f>
        <v/>
      </c>
      <c r="Q107">
        <f>IFERROR(INDEX(PP_Grid[#Data],$DD107,15),0)</f>
        <v/>
      </c>
      <c r="R107">
        <f>IFERROR(INDEX(PP_Grid[#Data],$DD107,16),0)</f>
        <v/>
      </c>
      <c r="S107">
        <f>IFERROR(INDEX(PP_Grid[#Data],$DD107,17),0)</f>
        <v/>
      </c>
      <c r="T107">
        <f>IFERROR(INDEX(PP_Grid[#Data],$DD107,18),0)</f>
        <v/>
      </c>
      <c r="U107">
        <f>IFERROR(INDEX(PP_Grid[#Data],$DD107,19),0)</f>
        <v/>
      </c>
      <c r="V107">
        <f>IFERROR(INDEX(PP_Grid[#Data],$DD107,20),0)</f>
        <v/>
      </c>
      <c r="W107">
        <f>IFERROR(INDEX(PP_Grid[#Data],$DD107,21),0)</f>
        <v/>
      </c>
      <c r="X107">
        <f>IFERROR(INDEX(PP_Grid[#Data],$DD107,22),0)</f>
        <v/>
      </c>
      <c r="Y107">
        <f>IFERROR(INDEX(PP_Grid[#Data],$DD107,23),0)</f>
        <v/>
      </c>
      <c r="Z107">
        <f>IFERROR(INDEX(PP_Grid[#Data],$DD107,24),0)</f>
        <v/>
      </c>
      <c r="AA107">
        <f>IFERROR(INDEX(PP_Grid[#Data],$DD107,25),0)</f>
        <v/>
      </c>
      <c r="AB107">
        <f>IFERROR(INDEX(PP_Grid[#Data],$DD107,26),0)</f>
        <v/>
      </c>
      <c r="AC107">
        <f>IFERROR(INDEX(PP_Grid[#Data],$DD107,27),0)</f>
        <v/>
      </c>
      <c r="AD107">
        <f>IFERROR(INDEX(PP_Grid[#Data],$DD107,28),0)</f>
        <v/>
      </c>
      <c r="AE107">
        <f>IFERROR(INDEX(PP_Grid[#Data],$DD107,29),0)</f>
        <v/>
      </c>
      <c r="AF107">
        <f>IFERROR(INDEX(PP_Grid[#Data],$DD107,30),0)</f>
        <v/>
      </c>
      <c r="AG107">
        <f>IFERROR(INDEX(PP_Grid[#Data],$DD107,31),0)</f>
        <v/>
      </c>
      <c r="AH107">
        <f>IFERROR(INDEX(PP_Grid[#Data],$DD107,32),0)</f>
        <v/>
      </c>
      <c r="AI107">
        <f>IFERROR(INDEX(PP_Grid[#Data],$DD107,33),0)</f>
        <v/>
      </c>
      <c r="AJ107">
        <f>IFERROR(INDEX(PP_Grid[#Data],$DD107,34),0)</f>
        <v/>
      </c>
      <c r="AK107">
        <f>IFERROR(INDEX(PP_Grid[#Data],$DD107,35),0)</f>
        <v/>
      </c>
      <c r="AL107">
        <f>IFERROR(INDEX(PP_Grid[#Data],$DD107,36),0)</f>
        <v/>
      </c>
      <c r="AM107">
        <f>IFERROR(INDEX(PP_Grid[#Data],$DD107,37),0)</f>
        <v/>
      </c>
      <c r="AN107">
        <f>IFERROR(INDEX(PP_Grid[#Data],$DD107,38),0)</f>
        <v/>
      </c>
      <c r="AO107">
        <f>IFERROR(INDEX(PP_Grid[#Data],$DD107,39),0)</f>
        <v/>
      </c>
      <c r="AP107">
        <f>IFERROR(INDEX(PP_Grid[#Data],$DD107,40),0)</f>
        <v/>
      </c>
      <c r="AQ107">
        <f>IFERROR(INDEX(PP_Grid[#Data],$DD107,41),0)</f>
        <v/>
      </c>
      <c r="AR107">
        <f>IFERROR(INDEX(PP_Grid[#Data],$DD107,42),0)</f>
        <v/>
      </c>
      <c r="AS107">
        <f>IFERROR(INDEX(PP_Grid[#Data],$DD107,43),0)</f>
        <v/>
      </c>
      <c r="AT107">
        <f>IFERROR(INDEX(PP_Grid[#Data],$DD107,44),0)</f>
        <v/>
      </c>
      <c r="AU107">
        <f>IFERROR(INDEX(PP_Grid[#Data],$DD107,45),0)</f>
        <v/>
      </c>
      <c r="AV107">
        <f>IFERROR(INDEX(PP_Grid[#Data],$DD107,46),0)</f>
        <v/>
      </c>
      <c r="AW107">
        <f>IFERROR(INDEX(PP_Grid[#Data],$DD107,47),0)</f>
        <v/>
      </c>
      <c r="AX107">
        <f>IFERROR(INDEX(PP_Grid[#Data],$DD107,48),0)</f>
        <v/>
      </c>
      <c r="AY107">
        <f>IFERROR(INDEX(PP_Grid[#Data],$DD107,49),0)</f>
        <v/>
      </c>
      <c r="AZ107">
        <f>IFERROR(INDEX(PP_Grid[#Data],$DD107,50),0)</f>
        <v/>
      </c>
      <c r="BA107">
        <f>IFERROR(INDEX(PP_Grid[#Data],$DD107,51),0)</f>
        <v/>
      </c>
      <c r="BB107">
        <f>IFERROR(INDEX(PP_Grid[#Data],$DD107,52),0)</f>
        <v/>
      </c>
      <c r="BC107">
        <f>IFERROR(INDEX(PP_Grid[#Data],$DD107,53),0)</f>
        <v/>
      </c>
      <c r="BD107">
        <f>IFERROR(INDEX(PP_Grid[#Data],$DD107,54),0)</f>
        <v/>
      </c>
      <c r="BE107">
        <f>IFERROR(INDEX(PP_Grid[#Data],$DD107,55),0)</f>
        <v/>
      </c>
      <c r="BF107">
        <f>IFERROR(INDEX(PP_Grid[#Data],$DD107,56),0)</f>
        <v/>
      </c>
      <c r="BG107">
        <f>IFERROR(INDEX(PP_Grid[#Data],$DD107,57),0)</f>
        <v/>
      </c>
      <c r="BH107">
        <f>IFERROR(INDEX(PP_Grid[#Data],$DD107,58),0)</f>
        <v/>
      </c>
      <c r="BI107">
        <f>IFERROR(INDEX(PP_Grid[#Data],$DD107,59),0)</f>
        <v/>
      </c>
      <c r="BJ107">
        <f>IFERROR(INDEX(PP_Grid[#Data],$DD107,60),0)</f>
        <v/>
      </c>
      <c r="BK107">
        <f>IFERROR(INDEX(PP_Grid[#Data],$DD107,61),0)</f>
        <v/>
      </c>
      <c r="BL107">
        <f>IFERROR(INDEX(PP_Grid[#Data],$DD107,62),0)</f>
        <v/>
      </c>
      <c r="BM107">
        <f>IFERROR(INDEX(PP_Grid[#Data],$DD107,63),0)</f>
        <v/>
      </c>
      <c r="BN107">
        <f>IFERROR(INDEX(PP_Grid[#Data],$DD107,64),0)</f>
        <v/>
      </c>
      <c r="BO107">
        <f>IFERROR(INDEX(PP_Grid[#Data],$DD107,65),0)</f>
        <v/>
      </c>
      <c r="BP107">
        <f>IFERROR(INDEX(PP_Grid[#Data],$DD107,66),0)</f>
        <v/>
      </c>
      <c r="BQ107">
        <f>IFERROR(INDEX(PP_Grid[#Data],$DD107,67),0)</f>
        <v/>
      </c>
      <c r="BR107">
        <f>IFERROR(INDEX(PP_Grid[#Data],$DD107,68),0)</f>
        <v/>
      </c>
      <c r="BS107">
        <f>IFERROR(INDEX(PP_Grid[#Data],$DD107,69),0)</f>
        <v/>
      </c>
      <c r="BT107">
        <f>IFERROR(INDEX(PP_Grid[#Data],$DD107,70),0)</f>
        <v/>
      </c>
      <c r="BU107">
        <f>IFERROR(INDEX(PP_Grid[#Data],$DD107,71),0)</f>
        <v/>
      </c>
      <c r="BV107">
        <f>IFERROR(INDEX(PP_Grid[#Data],$DD107,72),0)</f>
        <v/>
      </c>
      <c r="BW107">
        <f>IFERROR(INDEX(PP_Grid[#Data],$DD107,73),0)</f>
        <v/>
      </c>
      <c r="BX107">
        <f>IFERROR(INDEX(PP_Grid[#Data],$DD107,74),0)</f>
        <v/>
      </c>
      <c r="BY107">
        <f>IFERROR(INDEX(PP_Grid[#Data],$DD107,75),0)</f>
        <v/>
      </c>
      <c r="BZ107">
        <f>IFERROR(INDEX(PP_Grid[#Data],$DD107,76),0)</f>
        <v/>
      </c>
      <c r="CA107">
        <f>IFERROR(INDEX(PP_Grid[#Data],$DD107,77),0)</f>
        <v/>
      </c>
      <c r="CB107">
        <f>IFERROR(INDEX(PP_Grid[#Data],$DD107,78),0)</f>
        <v/>
      </c>
      <c r="CC107">
        <f>IFERROR(INDEX(PP_Grid[#Data],$DD107,79),0)</f>
        <v/>
      </c>
      <c r="CD107">
        <f>IFERROR(INDEX(PP_Grid[#Data],$DD107,80),0)</f>
        <v/>
      </c>
      <c r="CE107">
        <f>IFERROR(INDEX(PP_Grid[#Data],$DD107,81),0)</f>
        <v/>
      </c>
      <c r="CF107">
        <f>IFERROR(INDEX(PP_Grid[#Data],$DD107,82),0)</f>
        <v/>
      </c>
      <c r="CG107">
        <f>IFERROR(INDEX(PP_Grid[#Data],$DD107,83),0)</f>
        <v/>
      </c>
      <c r="CH107">
        <f>IFERROR(INDEX(PP_Grid[#Data],$DD107,84),0)</f>
        <v/>
      </c>
      <c r="CI107">
        <f>IFERROR(INDEX(PP_Grid[#Data],$DD107,85),0)</f>
        <v/>
      </c>
      <c r="CJ107">
        <f>IFERROR(INDEX(PP_Grid[#Data],$DD107,86),0)</f>
        <v/>
      </c>
      <c r="CK107">
        <f>IFERROR(INDEX(PP_Grid[#Data],$DD107,87),0)</f>
        <v/>
      </c>
      <c r="CL107">
        <f>IFERROR(INDEX(PP_Grid[#Data],$DD107,88),0)</f>
        <v/>
      </c>
      <c r="CM107">
        <f>IFERROR(INDEX(PP_Grid[#Data],$DD107,89),0)</f>
        <v/>
      </c>
      <c r="CN107">
        <f>IFERROR(INDEX(PP_Grid[#Data],$DD107,90),0)</f>
        <v/>
      </c>
      <c r="CO107">
        <f>IFERROR(INDEX(PP_Grid[#Data],$DD107,91),0)</f>
        <v/>
      </c>
      <c r="CP107">
        <f>IFERROR(INDEX(PP_Grid[#Data],$DD107,92),0)</f>
        <v/>
      </c>
      <c r="CQ107">
        <f>IFERROR(INDEX(PP_Grid[#Data],$DD107,93),0)</f>
        <v/>
      </c>
      <c r="CR107">
        <f>IFERROR(INDEX(PP_Grid[#Data],$DD107,94),0)</f>
        <v/>
      </c>
      <c r="CS107">
        <f>IFERROR(INDEX(PP_Grid[#Data],$DD107,95),0)</f>
        <v/>
      </c>
      <c r="CT107">
        <f>IFERROR(INDEX(PP_Grid[#Data],$DD107,96),0)</f>
        <v/>
      </c>
      <c r="CU107">
        <f>IFERROR(INDEX(PP_Grid[#Data],$DD107,97),0)</f>
        <v/>
      </c>
      <c r="CV107">
        <f>IFERROR(INDEX(PP_Grid[#Data],$DD107,98),0)</f>
        <v/>
      </c>
      <c r="CW107">
        <f>IFERROR(INDEX(PP_Grid[#Data],$DD107,99),0)</f>
        <v/>
      </c>
      <c r="CX107">
        <f>IFERROR(INDEX(PP_Grid[#Data],$DD107,100),0)</f>
        <v/>
      </c>
      <c r="CY107">
        <f>IFERROR(INDEX(PP_Grid[#Data],$DD107,101),0)</f>
        <v/>
      </c>
      <c r="CZ107">
        <f>IFERROR(INDEX(PP_Grid[#Data],$DD107,102),0)</f>
        <v/>
      </c>
      <c r="DA107">
        <f>IFERROR(INDEX(PP_Grid[#Data],$DD107,103),0)</f>
        <v/>
      </c>
      <c r="DB107">
        <f>IFERROR(INDEX(PP_Grid[#Data],$DD107,104),0)</f>
        <v/>
      </c>
      <c r="DC107">
        <f>IFERROR(INDEX(PP_Grid[#Data],$DD107,105),0)</f>
        <v/>
      </c>
      <c r="DD107" s="7">
        <f>IFERROR(MATCH($B107,PP_Grid[Intermediate],0),99999)</f>
        <v/>
      </c>
    </row>
    <row r="108">
      <c r="B108" t="inlineStr">
        <is>
          <t>使用量(kg)</t>
        </is>
      </c>
      <c r="C108">
        <f>SUMIFS(M_BOM[RM_Qty_Per_Batch],M_BOM[Intermediate],$B107,M_BOM[Part Name],$A44)</f>
        <v/>
      </c>
      <c r="D108">
        <f>$C108*D107</f>
        <v/>
      </c>
      <c r="E108">
        <f>$C108*E107</f>
        <v/>
      </c>
      <c r="F108">
        <f>$C108*F107</f>
        <v/>
      </c>
      <c r="G108">
        <f>$C108*G107</f>
        <v/>
      </c>
      <c r="H108">
        <f>$C108*H107</f>
        <v/>
      </c>
      <c r="I108">
        <f>$C108*I107</f>
        <v/>
      </c>
      <c r="J108">
        <f>$C108*J107</f>
        <v/>
      </c>
      <c r="K108">
        <f>$C108*K107</f>
        <v/>
      </c>
      <c r="L108">
        <f>$C108*L107</f>
        <v/>
      </c>
      <c r="M108">
        <f>$C108*M107</f>
        <v/>
      </c>
      <c r="N108">
        <f>$C108*N107</f>
        <v/>
      </c>
      <c r="O108">
        <f>$C108*O107</f>
        <v/>
      </c>
      <c r="P108">
        <f>$C108*P107</f>
        <v/>
      </c>
      <c r="Q108">
        <f>$C108*Q107</f>
        <v/>
      </c>
      <c r="R108">
        <f>$C108*R107</f>
        <v/>
      </c>
      <c r="S108">
        <f>$C108*S107</f>
        <v/>
      </c>
      <c r="T108">
        <f>$C108*T107</f>
        <v/>
      </c>
      <c r="U108">
        <f>$C108*U107</f>
        <v/>
      </c>
      <c r="V108">
        <f>$C108*V107</f>
        <v/>
      </c>
      <c r="W108">
        <f>$C108*W107</f>
        <v/>
      </c>
      <c r="X108">
        <f>$C108*X107</f>
        <v/>
      </c>
      <c r="Y108">
        <f>$C108*Y107</f>
        <v/>
      </c>
      <c r="Z108">
        <f>$C108*Z107</f>
        <v/>
      </c>
      <c r="AA108">
        <f>$C108*AA107</f>
        <v/>
      </c>
      <c r="AB108">
        <f>$C108*AB107</f>
        <v/>
      </c>
      <c r="AC108">
        <f>$C108*AC107</f>
        <v/>
      </c>
      <c r="AD108">
        <f>$C108*AD107</f>
        <v/>
      </c>
      <c r="AE108">
        <f>$C108*AE107</f>
        <v/>
      </c>
      <c r="AF108">
        <f>$C108*AF107</f>
        <v/>
      </c>
      <c r="AG108">
        <f>$C108*AG107</f>
        <v/>
      </c>
      <c r="AH108">
        <f>$C108*AH107</f>
        <v/>
      </c>
      <c r="AI108">
        <f>$C108*AI107</f>
        <v/>
      </c>
      <c r="AJ108">
        <f>$C108*AJ107</f>
        <v/>
      </c>
      <c r="AK108">
        <f>$C108*AK107</f>
        <v/>
      </c>
      <c r="AL108">
        <f>$C108*AL107</f>
        <v/>
      </c>
      <c r="AM108">
        <f>$C108*AM107</f>
        <v/>
      </c>
      <c r="AN108">
        <f>$C108*AN107</f>
        <v/>
      </c>
      <c r="AO108">
        <f>$C108*AO107</f>
        <v/>
      </c>
      <c r="AP108">
        <f>$C108*AP107</f>
        <v/>
      </c>
      <c r="AQ108">
        <f>$C108*AQ107</f>
        <v/>
      </c>
      <c r="AR108">
        <f>$C108*AR107</f>
        <v/>
      </c>
      <c r="AS108">
        <f>$C108*AS107</f>
        <v/>
      </c>
      <c r="AT108">
        <f>$C108*AT107</f>
        <v/>
      </c>
      <c r="AU108">
        <f>$C108*AU107</f>
        <v/>
      </c>
      <c r="AV108">
        <f>$C108*AV107</f>
        <v/>
      </c>
      <c r="AW108">
        <f>$C108*AW107</f>
        <v/>
      </c>
      <c r="AX108">
        <f>$C108*AX107</f>
        <v/>
      </c>
      <c r="AY108">
        <f>$C108*AY107</f>
        <v/>
      </c>
      <c r="AZ108">
        <f>$C108*AZ107</f>
        <v/>
      </c>
      <c r="BA108">
        <f>$C108*BA107</f>
        <v/>
      </c>
      <c r="BB108">
        <f>$C108*BB107</f>
        <v/>
      </c>
      <c r="BC108">
        <f>$C108*BC107</f>
        <v/>
      </c>
      <c r="BD108">
        <f>$C108*BD107</f>
        <v/>
      </c>
      <c r="BE108">
        <f>$C108*BE107</f>
        <v/>
      </c>
      <c r="BF108">
        <f>$C108*BF107</f>
        <v/>
      </c>
      <c r="BG108">
        <f>$C108*BG107</f>
        <v/>
      </c>
      <c r="BH108">
        <f>$C108*BH107</f>
        <v/>
      </c>
      <c r="BI108">
        <f>$C108*BI107</f>
        <v/>
      </c>
      <c r="BJ108">
        <f>$C108*BJ107</f>
        <v/>
      </c>
      <c r="BK108">
        <f>$C108*BK107</f>
        <v/>
      </c>
      <c r="BL108">
        <f>$C108*BL107</f>
        <v/>
      </c>
      <c r="BM108">
        <f>$C108*BM107</f>
        <v/>
      </c>
      <c r="BN108">
        <f>$C108*BN107</f>
        <v/>
      </c>
      <c r="BO108">
        <f>$C108*BO107</f>
        <v/>
      </c>
      <c r="BP108">
        <f>$C108*BP107</f>
        <v/>
      </c>
      <c r="BQ108">
        <f>$C108*BQ107</f>
        <v/>
      </c>
      <c r="BR108">
        <f>$C108*BR107</f>
        <v/>
      </c>
      <c r="BS108">
        <f>$C108*BS107</f>
        <v/>
      </c>
      <c r="BT108">
        <f>$C108*BT107</f>
        <v/>
      </c>
      <c r="BU108">
        <f>$C108*BU107</f>
        <v/>
      </c>
      <c r="BV108">
        <f>$C108*BV107</f>
        <v/>
      </c>
      <c r="BW108">
        <f>$C108*BW107</f>
        <v/>
      </c>
      <c r="BX108">
        <f>$C108*BX107</f>
        <v/>
      </c>
      <c r="BY108">
        <f>$C108*BY107</f>
        <v/>
      </c>
      <c r="BZ108">
        <f>$C108*BZ107</f>
        <v/>
      </c>
      <c r="CA108">
        <f>$C108*CA107</f>
        <v/>
      </c>
      <c r="CB108">
        <f>$C108*CB107</f>
        <v/>
      </c>
      <c r="CC108">
        <f>$C108*CC107</f>
        <v/>
      </c>
      <c r="CD108">
        <f>$C108*CD107</f>
        <v/>
      </c>
      <c r="CE108">
        <f>$C108*CE107</f>
        <v/>
      </c>
      <c r="CF108">
        <f>$C108*CF107</f>
        <v/>
      </c>
      <c r="CG108">
        <f>$C108*CG107</f>
        <v/>
      </c>
      <c r="CH108">
        <f>$C108*CH107</f>
        <v/>
      </c>
      <c r="CI108">
        <f>$C108*CI107</f>
        <v/>
      </c>
      <c r="CJ108">
        <f>$C108*CJ107</f>
        <v/>
      </c>
      <c r="CK108">
        <f>$C108*CK107</f>
        <v/>
      </c>
      <c r="CL108">
        <f>$C108*CL107</f>
        <v/>
      </c>
      <c r="CM108">
        <f>$C108*CM107</f>
        <v/>
      </c>
      <c r="CN108">
        <f>$C108*CN107</f>
        <v/>
      </c>
      <c r="CO108">
        <f>$C108*CO107</f>
        <v/>
      </c>
      <c r="CP108">
        <f>$C108*CP107</f>
        <v/>
      </c>
      <c r="CQ108">
        <f>$C108*CQ107</f>
        <v/>
      </c>
      <c r="CR108">
        <f>$C108*CR107</f>
        <v/>
      </c>
      <c r="CS108">
        <f>$C108*CS107</f>
        <v/>
      </c>
      <c r="CT108">
        <f>$C108*CT107</f>
        <v/>
      </c>
      <c r="CU108">
        <f>$C108*CU107</f>
        <v/>
      </c>
      <c r="CV108">
        <f>$C108*CV107</f>
        <v/>
      </c>
      <c r="CW108">
        <f>$C108*CW107</f>
        <v/>
      </c>
      <c r="CX108">
        <f>$C108*CX107</f>
        <v/>
      </c>
      <c r="CY108">
        <f>$C108*CY107</f>
        <v/>
      </c>
      <c r="CZ108">
        <f>$C108*CZ107</f>
        <v/>
      </c>
      <c r="DA108">
        <f>$C108*DA107</f>
        <v/>
      </c>
      <c r="DB108">
        <f>$C108*DB107</f>
        <v/>
      </c>
      <c r="DC108">
        <f>$C108*DC107</f>
        <v/>
      </c>
    </row>
    <row r="109">
      <c r="B109" t="inlineStr">
        <is>
          <t>TSP-656</t>
        </is>
      </c>
      <c r="C109" t="inlineStr">
        <is>
          <t>No. of batches</t>
        </is>
      </c>
      <c r="D109">
        <f>IFERROR(INDEX(PP_Grid[#Data],$DD109,2),0)</f>
        <v/>
      </c>
      <c r="E109">
        <f>IFERROR(INDEX(PP_Grid[#Data],$DD109,3),0)</f>
        <v/>
      </c>
      <c r="F109">
        <f>IFERROR(INDEX(PP_Grid[#Data],$DD109,4),0)</f>
        <v/>
      </c>
      <c r="G109">
        <f>IFERROR(INDEX(PP_Grid[#Data],$DD109,5),0)</f>
        <v/>
      </c>
      <c r="H109">
        <f>IFERROR(INDEX(PP_Grid[#Data],$DD109,6),0)</f>
        <v/>
      </c>
      <c r="I109">
        <f>IFERROR(INDEX(PP_Grid[#Data],$DD109,7),0)</f>
        <v/>
      </c>
      <c r="J109">
        <f>IFERROR(INDEX(PP_Grid[#Data],$DD109,8),0)</f>
        <v/>
      </c>
      <c r="K109">
        <f>IFERROR(INDEX(PP_Grid[#Data],$DD109,9),0)</f>
        <v/>
      </c>
      <c r="L109">
        <f>IFERROR(INDEX(PP_Grid[#Data],$DD109,10),0)</f>
        <v/>
      </c>
      <c r="M109">
        <f>IFERROR(INDEX(PP_Grid[#Data],$DD109,11),0)</f>
        <v/>
      </c>
      <c r="N109">
        <f>IFERROR(INDEX(PP_Grid[#Data],$DD109,12),0)</f>
        <v/>
      </c>
      <c r="O109">
        <f>IFERROR(INDEX(PP_Grid[#Data],$DD109,13),0)</f>
        <v/>
      </c>
      <c r="P109">
        <f>IFERROR(INDEX(PP_Grid[#Data],$DD109,14),0)</f>
        <v/>
      </c>
      <c r="Q109">
        <f>IFERROR(INDEX(PP_Grid[#Data],$DD109,15),0)</f>
        <v/>
      </c>
      <c r="R109">
        <f>IFERROR(INDEX(PP_Grid[#Data],$DD109,16),0)</f>
        <v/>
      </c>
      <c r="S109">
        <f>IFERROR(INDEX(PP_Grid[#Data],$DD109,17),0)</f>
        <v/>
      </c>
      <c r="T109">
        <f>IFERROR(INDEX(PP_Grid[#Data],$DD109,18),0)</f>
        <v/>
      </c>
      <c r="U109">
        <f>IFERROR(INDEX(PP_Grid[#Data],$DD109,19),0)</f>
        <v/>
      </c>
      <c r="V109">
        <f>IFERROR(INDEX(PP_Grid[#Data],$DD109,20),0)</f>
        <v/>
      </c>
      <c r="W109">
        <f>IFERROR(INDEX(PP_Grid[#Data],$DD109,21),0)</f>
        <v/>
      </c>
      <c r="X109">
        <f>IFERROR(INDEX(PP_Grid[#Data],$DD109,22),0)</f>
        <v/>
      </c>
      <c r="Y109">
        <f>IFERROR(INDEX(PP_Grid[#Data],$DD109,23),0)</f>
        <v/>
      </c>
      <c r="Z109">
        <f>IFERROR(INDEX(PP_Grid[#Data],$DD109,24),0)</f>
        <v/>
      </c>
      <c r="AA109">
        <f>IFERROR(INDEX(PP_Grid[#Data],$DD109,25),0)</f>
        <v/>
      </c>
      <c r="AB109">
        <f>IFERROR(INDEX(PP_Grid[#Data],$DD109,26),0)</f>
        <v/>
      </c>
      <c r="AC109">
        <f>IFERROR(INDEX(PP_Grid[#Data],$DD109,27),0)</f>
        <v/>
      </c>
      <c r="AD109">
        <f>IFERROR(INDEX(PP_Grid[#Data],$DD109,28),0)</f>
        <v/>
      </c>
      <c r="AE109">
        <f>IFERROR(INDEX(PP_Grid[#Data],$DD109,29),0)</f>
        <v/>
      </c>
      <c r="AF109">
        <f>IFERROR(INDEX(PP_Grid[#Data],$DD109,30),0)</f>
        <v/>
      </c>
      <c r="AG109">
        <f>IFERROR(INDEX(PP_Grid[#Data],$DD109,31),0)</f>
        <v/>
      </c>
      <c r="AH109">
        <f>IFERROR(INDEX(PP_Grid[#Data],$DD109,32),0)</f>
        <v/>
      </c>
      <c r="AI109">
        <f>IFERROR(INDEX(PP_Grid[#Data],$DD109,33),0)</f>
        <v/>
      </c>
      <c r="AJ109">
        <f>IFERROR(INDEX(PP_Grid[#Data],$DD109,34),0)</f>
        <v/>
      </c>
      <c r="AK109">
        <f>IFERROR(INDEX(PP_Grid[#Data],$DD109,35),0)</f>
        <v/>
      </c>
      <c r="AL109">
        <f>IFERROR(INDEX(PP_Grid[#Data],$DD109,36),0)</f>
        <v/>
      </c>
      <c r="AM109">
        <f>IFERROR(INDEX(PP_Grid[#Data],$DD109,37),0)</f>
        <v/>
      </c>
      <c r="AN109">
        <f>IFERROR(INDEX(PP_Grid[#Data],$DD109,38),0)</f>
        <v/>
      </c>
      <c r="AO109">
        <f>IFERROR(INDEX(PP_Grid[#Data],$DD109,39),0)</f>
        <v/>
      </c>
      <c r="AP109">
        <f>IFERROR(INDEX(PP_Grid[#Data],$DD109,40),0)</f>
        <v/>
      </c>
      <c r="AQ109">
        <f>IFERROR(INDEX(PP_Grid[#Data],$DD109,41),0)</f>
        <v/>
      </c>
      <c r="AR109">
        <f>IFERROR(INDEX(PP_Grid[#Data],$DD109,42),0)</f>
        <v/>
      </c>
      <c r="AS109">
        <f>IFERROR(INDEX(PP_Grid[#Data],$DD109,43),0)</f>
        <v/>
      </c>
      <c r="AT109">
        <f>IFERROR(INDEX(PP_Grid[#Data],$DD109,44),0)</f>
        <v/>
      </c>
      <c r="AU109">
        <f>IFERROR(INDEX(PP_Grid[#Data],$DD109,45),0)</f>
        <v/>
      </c>
      <c r="AV109">
        <f>IFERROR(INDEX(PP_Grid[#Data],$DD109,46),0)</f>
        <v/>
      </c>
      <c r="AW109">
        <f>IFERROR(INDEX(PP_Grid[#Data],$DD109,47),0)</f>
        <v/>
      </c>
      <c r="AX109">
        <f>IFERROR(INDEX(PP_Grid[#Data],$DD109,48),0)</f>
        <v/>
      </c>
      <c r="AY109">
        <f>IFERROR(INDEX(PP_Grid[#Data],$DD109,49),0)</f>
        <v/>
      </c>
      <c r="AZ109">
        <f>IFERROR(INDEX(PP_Grid[#Data],$DD109,50),0)</f>
        <v/>
      </c>
      <c r="BA109">
        <f>IFERROR(INDEX(PP_Grid[#Data],$DD109,51),0)</f>
        <v/>
      </c>
      <c r="BB109">
        <f>IFERROR(INDEX(PP_Grid[#Data],$DD109,52),0)</f>
        <v/>
      </c>
      <c r="BC109">
        <f>IFERROR(INDEX(PP_Grid[#Data],$DD109,53),0)</f>
        <v/>
      </c>
      <c r="BD109">
        <f>IFERROR(INDEX(PP_Grid[#Data],$DD109,54),0)</f>
        <v/>
      </c>
      <c r="BE109">
        <f>IFERROR(INDEX(PP_Grid[#Data],$DD109,55),0)</f>
        <v/>
      </c>
      <c r="BF109">
        <f>IFERROR(INDEX(PP_Grid[#Data],$DD109,56),0)</f>
        <v/>
      </c>
      <c r="BG109">
        <f>IFERROR(INDEX(PP_Grid[#Data],$DD109,57),0)</f>
        <v/>
      </c>
      <c r="BH109">
        <f>IFERROR(INDEX(PP_Grid[#Data],$DD109,58),0)</f>
        <v/>
      </c>
      <c r="BI109">
        <f>IFERROR(INDEX(PP_Grid[#Data],$DD109,59),0)</f>
        <v/>
      </c>
      <c r="BJ109">
        <f>IFERROR(INDEX(PP_Grid[#Data],$DD109,60),0)</f>
        <v/>
      </c>
      <c r="BK109">
        <f>IFERROR(INDEX(PP_Grid[#Data],$DD109,61),0)</f>
        <v/>
      </c>
      <c r="BL109">
        <f>IFERROR(INDEX(PP_Grid[#Data],$DD109,62),0)</f>
        <v/>
      </c>
      <c r="BM109">
        <f>IFERROR(INDEX(PP_Grid[#Data],$DD109,63),0)</f>
        <v/>
      </c>
      <c r="BN109">
        <f>IFERROR(INDEX(PP_Grid[#Data],$DD109,64),0)</f>
        <v/>
      </c>
      <c r="BO109">
        <f>IFERROR(INDEX(PP_Grid[#Data],$DD109,65),0)</f>
        <v/>
      </c>
      <c r="BP109">
        <f>IFERROR(INDEX(PP_Grid[#Data],$DD109,66),0)</f>
        <v/>
      </c>
      <c r="BQ109">
        <f>IFERROR(INDEX(PP_Grid[#Data],$DD109,67),0)</f>
        <v/>
      </c>
      <c r="BR109">
        <f>IFERROR(INDEX(PP_Grid[#Data],$DD109,68),0)</f>
        <v/>
      </c>
      <c r="BS109">
        <f>IFERROR(INDEX(PP_Grid[#Data],$DD109,69),0)</f>
        <v/>
      </c>
      <c r="BT109">
        <f>IFERROR(INDEX(PP_Grid[#Data],$DD109,70),0)</f>
        <v/>
      </c>
      <c r="BU109">
        <f>IFERROR(INDEX(PP_Grid[#Data],$DD109,71),0)</f>
        <v/>
      </c>
      <c r="BV109">
        <f>IFERROR(INDEX(PP_Grid[#Data],$DD109,72),0)</f>
        <v/>
      </c>
      <c r="BW109">
        <f>IFERROR(INDEX(PP_Grid[#Data],$DD109,73),0)</f>
        <v/>
      </c>
      <c r="BX109">
        <f>IFERROR(INDEX(PP_Grid[#Data],$DD109,74),0)</f>
        <v/>
      </c>
      <c r="BY109">
        <f>IFERROR(INDEX(PP_Grid[#Data],$DD109,75),0)</f>
        <v/>
      </c>
      <c r="BZ109">
        <f>IFERROR(INDEX(PP_Grid[#Data],$DD109,76),0)</f>
        <v/>
      </c>
      <c r="CA109">
        <f>IFERROR(INDEX(PP_Grid[#Data],$DD109,77),0)</f>
        <v/>
      </c>
      <c r="CB109">
        <f>IFERROR(INDEX(PP_Grid[#Data],$DD109,78),0)</f>
        <v/>
      </c>
      <c r="CC109">
        <f>IFERROR(INDEX(PP_Grid[#Data],$DD109,79),0)</f>
        <v/>
      </c>
      <c r="CD109">
        <f>IFERROR(INDEX(PP_Grid[#Data],$DD109,80),0)</f>
        <v/>
      </c>
      <c r="CE109">
        <f>IFERROR(INDEX(PP_Grid[#Data],$DD109,81),0)</f>
        <v/>
      </c>
      <c r="CF109">
        <f>IFERROR(INDEX(PP_Grid[#Data],$DD109,82),0)</f>
        <v/>
      </c>
      <c r="CG109">
        <f>IFERROR(INDEX(PP_Grid[#Data],$DD109,83),0)</f>
        <v/>
      </c>
      <c r="CH109">
        <f>IFERROR(INDEX(PP_Grid[#Data],$DD109,84),0)</f>
        <v/>
      </c>
      <c r="CI109">
        <f>IFERROR(INDEX(PP_Grid[#Data],$DD109,85),0)</f>
        <v/>
      </c>
      <c r="CJ109">
        <f>IFERROR(INDEX(PP_Grid[#Data],$DD109,86),0)</f>
        <v/>
      </c>
      <c r="CK109">
        <f>IFERROR(INDEX(PP_Grid[#Data],$DD109,87),0)</f>
        <v/>
      </c>
      <c r="CL109">
        <f>IFERROR(INDEX(PP_Grid[#Data],$DD109,88),0)</f>
        <v/>
      </c>
      <c r="CM109">
        <f>IFERROR(INDEX(PP_Grid[#Data],$DD109,89),0)</f>
        <v/>
      </c>
      <c r="CN109">
        <f>IFERROR(INDEX(PP_Grid[#Data],$DD109,90),0)</f>
        <v/>
      </c>
      <c r="CO109">
        <f>IFERROR(INDEX(PP_Grid[#Data],$DD109,91),0)</f>
        <v/>
      </c>
      <c r="CP109">
        <f>IFERROR(INDEX(PP_Grid[#Data],$DD109,92),0)</f>
        <v/>
      </c>
      <c r="CQ109">
        <f>IFERROR(INDEX(PP_Grid[#Data],$DD109,93),0)</f>
        <v/>
      </c>
      <c r="CR109">
        <f>IFERROR(INDEX(PP_Grid[#Data],$DD109,94),0)</f>
        <v/>
      </c>
      <c r="CS109">
        <f>IFERROR(INDEX(PP_Grid[#Data],$DD109,95),0)</f>
        <v/>
      </c>
      <c r="CT109">
        <f>IFERROR(INDEX(PP_Grid[#Data],$DD109,96),0)</f>
        <v/>
      </c>
      <c r="CU109">
        <f>IFERROR(INDEX(PP_Grid[#Data],$DD109,97),0)</f>
        <v/>
      </c>
      <c r="CV109">
        <f>IFERROR(INDEX(PP_Grid[#Data],$DD109,98),0)</f>
        <v/>
      </c>
      <c r="CW109">
        <f>IFERROR(INDEX(PP_Grid[#Data],$DD109,99),0)</f>
        <v/>
      </c>
      <c r="CX109">
        <f>IFERROR(INDEX(PP_Grid[#Data],$DD109,100),0)</f>
        <v/>
      </c>
      <c r="CY109">
        <f>IFERROR(INDEX(PP_Grid[#Data],$DD109,101),0)</f>
        <v/>
      </c>
      <c r="CZ109">
        <f>IFERROR(INDEX(PP_Grid[#Data],$DD109,102),0)</f>
        <v/>
      </c>
      <c r="DA109">
        <f>IFERROR(INDEX(PP_Grid[#Data],$DD109,103),0)</f>
        <v/>
      </c>
      <c r="DB109">
        <f>IFERROR(INDEX(PP_Grid[#Data],$DD109,104),0)</f>
        <v/>
      </c>
      <c r="DC109">
        <f>IFERROR(INDEX(PP_Grid[#Data],$DD109,105),0)</f>
        <v/>
      </c>
      <c r="DD109" s="7">
        <f>IFERROR(MATCH($B109,PP_Grid[Intermediate],0),99999)</f>
        <v/>
      </c>
    </row>
    <row r="110">
      <c r="B110" t="inlineStr">
        <is>
          <t>使用量(kg)</t>
        </is>
      </c>
      <c r="C110">
        <f>SUMIFS(M_BOM[RM_Qty_Per_Batch],M_BOM[Intermediate],$B109,M_BOM[Part Name],$A44)</f>
        <v/>
      </c>
      <c r="D110">
        <f>$C110*D109</f>
        <v/>
      </c>
      <c r="E110">
        <f>$C110*E109</f>
        <v/>
      </c>
      <c r="F110">
        <f>$C110*F109</f>
        <v/>
      </c>
      <c r="G110">
        <f>$C110*G109</f>
        <v/>
      </c>
      <c r="H110">
        <f>$C110*H109</f>
        <v/>
      </c>
      <c r="I110">
        <f>$C110*I109</f>
        <v/>
      </c>
      <c r="J110">
        <f>$C110*J109</f>
        <v/>
      </c>
      <c r="K110">
        <f>$C110*K109</f>
        <v/>
      </c>
      <c r="L110">
        <f>$C110*L109</f>
        <v/>
      </c>
      <c r="M110">
        <f>$C110*M109</f>
        <v/>
      </c>
      <c r="N110">
        <f>$C110*N109</f>
        <v/>
      </c>
      <c r="O110">
        <f>$C110*O109</f>
        <v/>
      </c>
      <c r="P110">
        <f>$C110*P109</f>
        <v/>
      </c>
      <c r="Q110">
        <f>$C110*Q109</f>
        <v/>
      </c>
      <c r="R110">
        <f>$C110*R109</f>
        <v/>
      </c>
      <c r="S110">
        <f>$C110*S109</f>
        <v/>
      </c>
      <c r="T110">
        <f>$C110*T109</f>
        <v/>
      </c>
      <c r="U110">
        <f>$C110*U109</f>
        <v/>
      </c>
      <c r="V110">
        <f>$C110*V109</f>
        <v/>
      </c>
      <c r="W110">
        <f>$C110*W109</f>
        <v/>
      </c>
      <c r="X110">
        <f>$C110*X109</f>
        <v/>
      </c>
      <c r="Y110">
        <f>$C110*Y109</f>
        <v/>
      </c>
      <c r="Z110">
        <f>$C110*Z109</f>
        <v/>
      </c>
      <c r="AA110">
        <f>$C110*AA109</f>
        <v/>
      </c>
      <c r="AB110">
        <f>$C110*AB109</f>
        <v/>
      </c>
      <c r="AC110">
        <f>$C110*AC109</f>
        <v/>
      </c>
      <c r="AD110">
        <f>$C110*AD109</f>
        <v/>
      </c>
      <c r="AE110">
        <f>$C110*AE109</f>
        <v/>
      </c>
      <c r="AF110">
        <f>$C110*AF109</f>
        <v/>
      </c>
      <c r="AG110">
        <f>$C110*AG109</f>
        <v/>
      </c>
      <c r="AH110">
        <f>$C110*AH109</f>
        <v/>
      </c>
      <c r="AI110">
        <f>$C110*AI109</f>
        <v/>
      </c>
      <c r="AJ110">
        <f>$C110*AJ109</f>
        <v/>
      </c>
      <c r="AK110">
        <f>$C110*AK109</f>
        <v/>
      </c>
      <c r="AL110">
        <f>$C110*AL109</f>
        <v/>
      </c>
      <c r="AM110">
        <f>$C110*AM109</f>
        <v/>
      </c>
      <c r="AN110">
        <f>$C110*AN109</f>
        <v/>
      </c>
      <c r="AO110">
        <f>$C110*AO109</f>
        <v/>
      </c>
      <c r="AP110">
        <f>$C110*AP109</f>
        <v/>
      </c>
      <c r="AQ110">
        <f>$C110*AQ109</f>
        <v/>
      </c>
      <c r="AR110">
        <f>$C110*AR109</f>
        <v/>
      </c>
      <c r="AS110">
        <f>$C110*AS109</f>
        <v/>
      </c>
      <c r="AT110">
        <f>$C110*AT109</f>
        <v/>
      </c>
      <c r="AU110">
        <f>$C110*AU109</f>
        <v/>
      </c>
      <c r="AV110">
        <f>$C110*AV109</f>
        <v/>
      </c>
      <c r="AW110">
        <f>$C110*AW109</f>
        <v/>
      </c>
      <c r="AX110">
        <f>$C110*AX109</f>
        <v/>
      </c>
      <c r="AY110">
        <f>$C110*AY109</f>
        <v/>
      </c>
      <c r="AZ110">
        <f>$C110*AZ109</f>
        <v/>
      </c>
      <c r="BA110">
        <f>$C110*BA109</f>
        <v/>
      </c>
      <c r="BB110">
        <f>$C110*BB109</f>
        <v/>
      </c>
      <c r="BC110">
        <f>$C110*BC109</f>
        <v/>
      </c>
      <c r="BD110">
        <f>$C110*BD109</f>
        <v/>
      </c>
      <c r="BE110">
        <f>$C110*BE109</f>
        <v/>
      </c>
      <c r="BF110">
        <f>$C110*BF109</f>
        <v/>
      </c>
      <c r="BG110">
        <f>$C110*BG109</f>
        <v/>
      </c>
      <c r="BH110">
        <f>$C110*BH109</f>
        <v/>
      </c>
      <c r="BI110">
        <f>$C110*BI109</f>
        <v/>
      </c>
      <c r="BJ110">
        <f>$C110*BJ109</f>
        <v/>
      </c>
      <c r="BK110">
        <f>$C110*BK109</f>
        <v/>
      </c>
      <c r="BL110">
        <f>$C110*BL109</f>
        <v/>
      </c>
      <c r="BM110">
        <f>$C110*BM109</f>
        <v/>
      </c>
      <c r="BN110">
        <f>$C110*BN109</f>
        <v/>
      </c>
      <c r="BO110">
        <f>$C110*BO109</f>
        <v/>
      </c>
      <c r="BP110">
        <f>$C110*BP109</f>
        <v/>
      </c>
      <c r="BQ110">
        <f>$C110*BQ109</f>
        <v/>
      </c>
      <c r="BR110">
        <f>$C110*BR109</f>
        <v/>
      </c>
      <c r="BS110">
        <f>$C110*BS109</f>
        <v/>
      </c>
      <c r="BT110">
        <f>$C110*BT109</f>
        <v/>
      </c>
      <c r="BU110">
        <f>$C110*BU109</f>
        <v/>
      </c>
      <c r="BV110">
        <f>$C110*BV109</f>
        <v/>
      </c>
      <c r="BW110">
        <f>$C110*BW109</f>
        <v/>
      </c>
      <c r="BX110">
        <f>$C110*BX109</f>
        <v/>
      </c>
      <c r="BY110">
        <f>$C110*BY109</f>
        <v/>
      </c>
      <c r="BZ110">
        <f>$C110*BZ109</f>
        <v/>
      </c>
      <c r="CA110">
        <f>$C110*CA109</f>
        <v/>
      </c>
      <c r="CB110">
        <f>$C110*CB109</f>
        <v/>
      </c>
      <c r="CC110">
        <f>$C110*CC109</f>
        <v/>
      </c>
      <c r="CD110">
        <f>$C110*CD109</f>
        <v/>
      </c>
      <c r="CE110">
        <f>$C110*CE109</f>
        <v/>
      </c>
      <c r="CF110">
        <f>$C110*CF109</f>
        <v/>
      </c>
      <c r="CG110">
        <f>$C110*CG109</f>
        <v/>
      </c>
      <c r="CH110">
        <f>$C110*CH109</f>
        <v/>
      </c>
      <c r="CI110">
        <f>$C110*CI109</f>
        <v/>
      </c>
      <c r="CJ110">
        <f>$C110*CJ109</f>
        <v/>
      </c>
      <c r="CK110">
        <f>$C110*CK109</f>
        <v/>
      </c>
      <c r="CL110">
        <f>$C110*CL109</f>
        <v/>
      </c>
      <c r="CM110">
        <f>$C110*CM109</f>
        <v/>
      </c>
      <c r="CN110">
        <f>$C110*CN109</f>
        <v/>
      </c>
      <c r="CO110">
        <f>$C110*CO109</f>
        <v/>
      </c>
      <c r="CP110">
        <f>$C110*CP109</f>
        <v/>
      </c>
      <c r="CQ110">
        <f>$C110*CQ109</f>
        <v/>
      </c>
      <c r="CR110">
        <f>$C110*CR109</f>
        <v/>
      </c>
      <c r="CS110">
        <f>$C110*CS109</f>
        <v/>
      </c>
      <c r="CT110">
        <f>$C110*CT109</f>
        <v/>
      </c>
      <c r="CU110">
        <f>$C110*CU109</f>
        <v/>
      </c>
      <c r="CV110">
        <f>$C110*CV109</f>
        <v/>
      </c>
      <c r="CW110">
        <f>$C110*CW109</f>
        <v/>
      </c>
      <c r="CX110">
        <f>$C110*CX109</f>
        <v/>
      </c>
      <c r="CY110">
        <f>$C110*CY109</f>
        <v/>
      </c>
      <c r="CZ110">
        <f>$C110*CZ109</f>
        <v/>
      </c>
      <c r="DA110">
        <f>$C110*DA109</f>
        <v/>
      </c>
      <c r="DB110">
        <f>$C110*DB109</f>
        <v/>
      </c>
      <c r="DC110">
        <f>$C110*DC109</f>
        <v/>
      </c>
    </row>
    <row r="111">
      <c r="B111" t="inlineStr">
        <is>
          <t>TSP-668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7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Name],$A44)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t="inlineStr">
        <is>
          <t>TSP-669</t>
        </is>
      </c>
      <c r="C113" t="inlineStr">
        <is>
          <t>No. of batches</t>
        </is>
      </c>
      <c r="D113">
        <f>IFERROR(INDEX(PP_Grid[#Data],$DD113,2),0)</f>
        <v/>
      </c>
      <c r="E113">
        <f>IFERROR(INDEX(PP_Grid[#Data],$DD113,3),0)</f>
        <v/>
      </c>
      <c r="F113">
        <f>IFERROR(INDEX(PP_Grid[#Data],$DD113,4),0)</f>
        <v/>
      </c>
      <c r="G113">
        <f>IFERROR(INDEX(PP_Grid[#Data],$DD113,5),0)</f>
        <v/>
      </c>
      <c r="H113">
        <f>IFERROR(INDEX(PP_Grid[#Data],$DD113,6),0)</f>
        <v/>
      </c>
      <c r="I113">
        <f>IFERROR(INDEX(PP_Grid[#Data],$DD113,7),0)</f>
        <v/>
      </c>
      <c r="J113">
        <f>IFERROR(INDEX(PP_Grid[#Data],$DD113,8),0)</f>
        <v/>
      </c>
      <c r="K113">
        <f>IFERROR(INDEX(PP_Grid[#Data],$DD113,9),0)</f>
        <v/>
      </c>
      <c r="L113">
        <f>IFERROR(INDEX(PP_Grid[#Data],$DD113,10),0)</f>
        <v/>
      </c>
      <c r="M113">
        <f>IFERROR(INDEX(PP_Grid[#Data],$DD113,11),0)</f>
        <v/>
      </c>
      <c r="N113">
        <f>IFERROR(INDEX(PP_Grid[#Data],$DD113,12),0)</f>
        <v/>
      </c>
      <c r="O113">
        <f>IFERROR(INDEX(PP_Grid[#Data],$DD113,13),0)</f>
        <v/>
      </c>
      <c r="P113">
        <f>IFERROR(INDEX(PP_Grid[#Data],$DD113,14),0)</f>
        <v/>
      </c>
      <c r="Q113">
        <f>IFERROR(INDEX(PP_Grid[#Data],$DD113,15),0)</f>
        <v/>
      </c>
      <c r="R113">
        <f>IFERROR(INDEX(PP_Grid[#Data],$DD113,16),0)</f>
        <v/>
      </c>
      <c r="S113">
        <f>IFERROR(INDEX(PP_Grid[#Data],$DD113,17),0)</f>
        <v/>
      </c>
      <c r="T113">
        <f>IFERROR(INDEX(PP_Grid[#Data],$DD113,18),0)</f>
        <v/>
      </c>
      <c r="U113">
        <f>IFERROR(INDEX(PP_Grid[#Data],$DD113,19),0)</f>
        <v/>
      </c>
      <c r="V113">
        <f>IFERROR(INDEX(PP_Grid[#Data],$DD113,20),0)</f>
        <v/>
      </c>
      <c r="W113">
        <f>IFERROR(INDEX(PP_Grid[#Data],$DD113,21),0)</f>
        <v/>
      </c>
      <c r="X113">
        <f>IFERROR(INDEX(PP_Grid[#Data],$DD113,22),0)</f>
        <v/>
      </c>
      <c r="Y113">
        <f>IFERROR(INDEX(PP_Grid[#Data],$DD113,23),0)</f>
        <v/>
      </c>
      <c r="Z113">
        <f>IFERROR(INDEX(PP_Grid[#Data],$DD113,24),0)</f>
        <v/>
      </c>
      <c r="AA113">
        <f>IFERROR(INDEX(PP_Grid[#Data],$DD113,25),0)</f>
        <v/>
      </c>
      <c r="AB113">
        <f>IFERROR(INDEX(PP_Grid[#Data],$DD113,26),0)</f>
        <v/>
      </c>
      <c r="AC113">
        <f>IFERROR(INDEX(PP_Grid[#Data],$DD113,27),0)</f>
        <v/>
      </c>
      <c r="AD113">
        <f>IFERROR(INDEX(PP_Grid[#Data],$DD113,28),0)</f>
        <v/>
      </c>
      <c r="AE113">
        <f>IFERROR(INDEX(PP_Grid[#Data],$DD113,29),0)</f>
        <v/>
      </c>
      <c r="AF113">
        <f>IFERROR(INDEX(PP_Grid[#Data],$DD113,30),0)</f>
        <v/>
      </c>
      <c r="AG113">
        <f>IFERROR(INDEX(PP_Grid[#Data],$DD113,31),0)</f>
        <v/>
      </c>
      <c r="AH113">
        <f>IFERROR(INDEX(PP_Grid[#Data],$DD113,32),0)</f>
        <v/>
      </c>
      <c r="AI113">
        <f>IFERROR(INDEX(PP_Grid[#Data],$DD113,33),0)</f>
        <v/>
      </c>
      <c r="AJ113">
        <f>IFERROR(INDEX(PP_Grid[#Data],$DD113,34),0)</f>
        <v/>
      </c>
      <c r="AK113">
        <f>IFERROR(INDEX(PP_Grid[#Data],$DD113,35),0)</f>
        <v/>
      </c>
      <c r="AL113">
        <f>IFERROR(INDEX(PP_Grid[#Data],$DD113,36),0)</f>
        <v/>
      </c>
      <c r="AM113">
        <f>IFERROR(INDEX(PP_Grid[#Data],$DD113,37),0)</f>
        <v/>
      </c>
      <c r="AN113">
        <f>IFERROR(INDEX(PP_Grid[#Data],$DD113,38),0)</f>
        <v/>
      </c>
      <c r="AO113">
        <f>IFERROR(INDEX(PP_Grid[#Data],$DD113,39),0)</f>
        <v/>
      </c>
      <c r="AP113">
        <f>IFERROR(INDEX(PP_Grid[#Data],$DD113,40),0)</f>
        <v/>
      </c>
      <c r="AQ113">
        <f>IFERROR(INDEX(PP_Grid[#Data],$DD113,41),0)</f>
        <v/>
      </c>
      <c r="AR113">
        <f>IFERROR(INDEX(PP_Grid[#Data],$DD113,42),0)</f>
        <v/>
      </c>
      <c r="AS113">
        <f>IFERROR(INDEX(PP_Grid[#Data],$DD113,43),0)</f>
        <v/>
      </c>
      <c r="AT113">
        <f>IFERROR(INDEX(PP_Grid[#Data],$DD113,44),0)</f>
        <v/>
      </c>
      <c r="AU113">
        <f>IFERROR(INDEX(PP_Grid[#Data],$DD113,45),0)</f>
        <v/>
      </c>
      <c r="AV113">
        <f>IFERROR(INDEX(PP_Grid[#Data],$DD113,46),0)</f>
        <v/>
      </c>
      <c r="AW113">
        <f>IFERROR(INDEX(PP_Grid[#Data],$DD113,47),0)</f>
        <v/>
      </c>
      <c r="AX113">
        <f>IFERROR(INDEX(PP_Grid[#Data],$DD113,48),0)</f>
        <v/>
      </c>
      <c r="AY113">
        <f>IFERROR(INDEX(PP_Grid[#Data],$DD113,49),0)</f>
        <v/>
      </c>
      <c r="AZ113">
        <f>IFERROR(INDEX(PP_Grid[#Data],$DD113,50),0)</f>
        <v/>
      </c>
      <c r="BA113">
        <f>IFERROR(INDEX(PP_Grid[#Data],$DD113,51),0)</f>
        <v/>
      </c>
      <c r="BB113">
        <f>IFERROR(INDEX(PP_Grid[#Data],$DD113,52),0)</f>
        <v/>
      </c>
      <c r="BC113">
        <f>IFERROR(INDEX(PP_Grid[#Data],$DD113,53),0)</f>
        <v/>
      </c>
      <c r="BD113">
        <f>IFERROR(INDEX(PP_Grid[#Data],$DD113,54),0)</f>
        <v/>
      </c>
      <c r="BE113">
        <f>IFERROR(INDEX(PP_Grid[#Data],$DD113,55),0)</f>
        <v/>
      </c>
      <c r="BF113">
        <f>IFERROR(INDEX(PP_Grid[#Data],$DD113,56),0)</f>
        <v/>
      </c>
      <c r="BG113">
        <f>IFERROR(INDEX(PP_Grid[#Data],$DD113,57),0)</f>
        <v/>
      </c>
      <c r="BH113">
        <f>IFERROR(INDEX(PP_Grid[#Data],$DD113,58),0)</f>
        <v/>
      </c>
      <c r="BI113">
        <f>IFERROR(INDEX(PP_Grid[#Data],$DD113,59),0)</f>
        <v/>
      </c>
      <c r="BJ113">
        <f>IFERROR(INDEX(PP_Grid[#Data],$DD113,60),0)</f>
        <v/>
      </c>
      <c r="BK113">
        <f>IFERROR(INDEX(PP_Grid[#Data],$DD113,61),0)</f>
        <v/>
      </c>
      <c r="BL113">
        <f>IFERROR(INDEX(PP_Grid[#Data],$DD113,62),0)</f>
        <v/>
      </c>
      <c r="BM113">
        <f>IFERROR(INDEX(PP_Grid[#Data],$DD113,63),0)</f>
        <v/>
      </c>
      <c r="BN113">
        <f>IFERROR(INDEX(PP_Grid[#Data],$DD113,64),0)</f>
        <v/>
      </c>
      <c r="BO113">
        <f>IFERROR(INDEX(PP_Grid[#Data],$DD113,65),0)</f>
        <v/>
      </c>
      <c r="BP113">
        <f>IFERROR(INDEX(PP_Grid[#Data],$DD113,66),0)</f>
        <v/>
      </c>
      <c r="BQ113">
        <f>IFERROR(INDEX(PP_Grid[#Data],$DD113,67),0)</f>
        <v/>
      </c>
      <c r="BR113">
        <f>IFERROR(INDEX(PP_Grid[#Data],$DD113,68),0)</f>
        <v/>
      </c>
      <c r="BS113">
        <f>IFERROR(INDEX(PP_Grid[#Data],$DD113,69),0)</f>
        <v/>
      </c>
      <c r="BT113">
        <f>IFERROR(INDEX(PP_Grid[#Data],$DD113,70),0)</f>
        <v/>
      </c>
      <c r="BU113">
        <f>IFERROR(INDEX(PP_Grid[#Data],$DD113,71),0)</f>
        <v/>
      </c>
      <c r="BV113">
        <f>IFERROR(INDEX(PP_Grid[#Data],$DD113,72),0)</f>
        <v/>
      </c>
      <c r="BW113">
        <f>IFERROR(INDEX(PP_Grid[#Data],$DD113,73),0)</f>
        <v/>
      </c>
      <c r="BX113">
        <f>IFERROR(INDEX(PP_Grid[#Data],$DD113,74),0)</f>
        <v/>
      </c>
      <c r="BY113">
        <f>IFERROR(INDEX(PP_Grid[#Data],$DD113,75),0)</f>
        <v/>
      </c>
      <c r="BZ113">
        <f>IFERROR(INDEX(PP_Grid[#Data],$DD113,76),0)</f>
        <v/>
      </c>
      <c r="CA113">
        <f>IFERROR(INDEX(PP_Grid[#Data],$DD113,77),0)</f>
        <v/>
      </c>
      <c r="CB113">
        <f>IFERROR(INDEX(PP_Grid[#Data],$DD113,78),0)</f>
        <v/>
      </c>
      <c r="CC113">
        <f>IFERROR(INDEX(PP_Grid[#Data],$DD113,79),0)</f>
        <v/>
      </c>
      <c r="CD113">
        <f>IFERROR(INDEX(PP_Grid[#Data],$DD113,80),0)</f>
        <v/>
      </c>
      <c r="CE113">
        <f>IFERROR(INDEX(PP_Grid[#Data],$DD113,81),0)</f>
        <v/>
      </c>
      <c r="CF113">
        <f>IFERROR(INDEX(PP_Grid[#Data],$DD113,82),0)</f>
        <v/>
      </c>
      <c r="CG113">
        <f>IFERROR(INDEX(PP_Grid[#Data],$DD113,83),0)</f>
        <v/>
      </c>
      <c r="CH113">
        <f>IFERROR(INDEX(PP_Grid[#Data],$DD113,84),0)</f>
        <v/>
      </c>
      <c r="CI113">
        <f>IFERROR(INDEX(PP_Grid[#Data],$DD113,85),0)</f>
        <v/>
      </c>
      <c r="CJ113">
        <f>IFERROR(INDEX(PP_Grid[#Data],$DD113,86),0)</f>
        <v/>
      </c>
      <c r="CK113">
        <f>IFERROR(INDEX(PP_Grid[#Data],$DD113,87),0)</f>
        <v/>
      </c>
      <c r="CL113">
        <f>IFERROR(INDEX(PP_Grid[#Data],$DD113,88),0)</f>
        <v/>
      </c>
      <c r="CM113">
        <f>IFERROR(INDEX(PP_Grid[#Data],$DD113,89),0)</f>
        <v/>
      </c>
      <c r="CN113">
        <f>IFERROR(INDEX(PP_Grid[#Data],$DD113,90),0)</f>
        <v/>
      </c>
      <c r="CO113">
        <f>IFERROR(INDEX(PP_Grid[#Data],$DD113,91),0)</f>
        <v/>
      </c>
      <c r="CP113">
        <f>IFERROR(INDEX(PP_Grid[#Data],$DD113,92),0)</f>
        <v/>
      </c>
      <c r="CQ113">
        <f>IFERROR(INDEX(PP_Grid[#Data],$DD113,93),0)</f>
        <v/>
      </c>
      <c r="CR113">
        <f>IFERROR(INDEX(PP_Grid[#Data],$DD113,94),0)</f>
        <v/>
      </c>
      <c r="CS113">
        <f>IFERROR(INDEX(PP_Grid[#Data],$DD113,95),0)</f>
        <v/>
      </c>
      <c r="CT113">
        <f>IFERROR(INDEX(PP_Grid[#Data],$DD113,96),0)</f>
        <v/>
      </c>
      <c r="CU113">
        <f>IFERROR(INDEX(PP_Grid[#Data],$DD113,97),0)</f>
        <v/>
      </c>
      <c r="CV113">
        <f>IFERROR(INDEX(PP_Grid[#Data],$DD113,98),0)</f>
        <v/>
      </c>
      <c r="CW113">
        <f>IFERROR(INDEX(PP_Grid[#Data],$DD113,99),0)</f>
        <v/>
      </c>
      <c r="CX113">
        <f>IFERROR(INDEX(PP_Grid[#Data],$DD113,100),0)</f>
        <v/>
      </c>
      <c r="CY113">
        <f>IFERROR(INDEX(PP_Grid[#Data],$DD113,101),0)</f>
        <v/>
      </c>
      <c r="CZ113">
        <f>IFERROR(INDEX(PP_Grid[#Data],$DD113,102),0)</f>
        <v/>
      </c>
      <c r="DA113">
        <f>IFERROR(INDEX(PP_Grid[#Data],$DD113,103),0)</f>
        <v/>
      </c>
      <c r="DB113">
        <f>IFERROR(INDEX(PP_Grid[#Data],$DD113,104),0)</f>
        <v/>
      </c>
      <c r="DC113">
        <f>IFERROR(INDEX(PP_Grid[#Data],$DD113,105),0)</f>
        <v/>
      </c>
      <c r="DD113" s="7">
        <f>IFERROR(MATCH($B113,PP_Grid[Intermediate],0),99999)</f>
        <v/>
      </c>
    </row>
    <row r="114">
      <c r="B114" t="inlineStr">
        <is>
          <t>使用量(kg)</t>
        </is>
      </c>
      <c r="C114">
        <f>SUMIFS(M_BOM[RM_Qty_Per_Batch],M_BOM[Intermediate],$B113,M_BOM[Part Name],$A44)</f>
        <v/>
      </c>
      <c r="D114">
        <f>$C114*D113</f>
        <v/>
      </c>
      <c r="E114">
        <f>$C114*E113</f>
        <v/>
      </c>
      <c r="F114">
        <f>$C114*F113</f>
        <v/>
      </c>
      <c r="G114">
        <f>$C114*G113</f>
        <v/>
      </c>
      <c r="H114">
        <f>$C114*H113</f>
        <v/>
      </c>
      <c r="I114">
        <f>$C114*I113</f>
        <v/>
      </c>
      <c r="J114">
        <f>$C114*J113</f>
        <v/>
      </c>
      <c r="K114">
        <f>$C114*K113</f>
        <v/>
      </c>
      <c r="L114">
        <f>$C114*L113</f>
        <v/>
      </c>
      <c r="M114">
        <f>$C114*M113</f>
        <v/>
      </c>
      <c r="N114">
        <f>$C114*N113</f>
        <v/>
      </c>
      <c r="O114">
        <f>$C114*O113</f>
        <v/>
      </c>
      <c r="P114">
        <f>$C114*P113</f>
        <v/>
      </c>
      <c r="Q114">
        <f>$C114*Q113</f>
        <v/>
      </c>
      <c r="R114">
        <f>$C114*R113</f>
        <v/>
      </c>
      <c r="S114">
        <f>$C114*S113</f>
        <v/>
      </c>
      <c r="T114">
        <f>$C114*T113</f>
        <v/>
      </c>
      <c r="U114">
        <f>$C114*U113</f>
        <v/>
      </c>
      <c r="V114">
        <f>$C114*V113</f>
        <v/>
      </c>
      <c r="W114">
        <f>$C114*W113</f>
        <v/>
      </c>
      <c r="X114">
        <f>$C114*X113</f>
        <v/>
      </c>
      <c r="Y114">
        <f>$C114*Y113</f>
        <v/>
      </c>
      <c r="Z114">
        <f>$C114*Z113</f>
        <v/>
      </c>
      <c r="AA114">
        <f>$C114*AA113</f>
        <v/>
      </c>
      <c r="AB114">
        <f>$C114*AB113</f>
        <v/>
      </c>
      <c r="AC114">
        <f>$C114*AC113</f>
        <v/>
      </c>
      <c r="AD114">
        <f>$C114*AD113</f>
        <v/>
      </c>
      <c r="AE114">
        <f>$C114*AE113</f>
        <v/>
      </c>
      <c r="AF114">
        <f>$C114*AF113</f>
        <v/>
      </c>
      <c r="AG114">
        <f>$C114*AG113</f>
        <v/>
      </c>
      <c r="AH114">
        <f>$C114*AH113</f>
        <v/>
      </c>
      <c r="AI114">
        <f>$C114*AI113</f>
        <v/>
      </c>
      <c r="AJ114">
        <f>$C114*AJ113</f>
        <v/>
      </c>
      <c r="AK114">
        <f>$C114*AK113</f>
        <v/>
      </c>
      <c r="AL114">
        <f>$C114*AL113</f>
        <v/>
      </c>
      <c r="AM114">
        <f>$C114*AM113</f>
        <v/>
      </c>
      <c r="AN114">
        <f>$C114*AN113</f>
        <v/>
      </c>
      <c r="AO114">
        <f>$C114*AO113</f>
        <v/>
      </c>
      <c r="AP114">
        <f>$C114*AP113</f>
        <v/>
      </c>
      <c r="AQ114">
        <f>$C114*AQ113</f>
        <v/>
      </c>
      <c r="AR114">
        <f>$C114*AR113</f>
        <v/>
      </c>
      <c r="AS114">
        <f>$C114*AS113</f>
        <v/>
      </c>
      <c r="AT114">
        <f>$C114*AT113</f>
        <v/>
      </c>
      <c r="AU114">
        <f>$C114*AU113</f>
        <v/>
      </c>
      <c r="AV114">
        <f>$C114*AV113</f>
        <v/>
      </c>
      <c r="AW114">
        <f>$C114*AW113</f>
        <v/>
      </c>
      <c r="AX114">
        <f>$C114*AX113</f>
        <v/>
      </c>
      <c r="AY114">
        <f>$C114*AY113</f>
        <v/>
      </c>
      <c r="AZ114">
        <f>$C114*AZ113</f>
        <v/>
      </c>
      <c r="BA114">
        <f>$C114*BA113</f>
        <v/>
      </c>
      <c r="BB114">
        <f>$C114*BB113</f>
        <v/>
      </c>
      <c r="BC114">
        <f>$C114*BC113</f>
        <v/>
      </c>
      <c r="BD114">
        <f>$C114*BD113</f>
        <v/>
      </c>
      <c r="BE114">
        <f>$C114*BE113</f>
        <v/>
      </c>
      <c r="BF114">
        <f>$C114*BF113</f>
        <v/>
      </c>
      <c r="BG114">
        <f>$C114*BG113</f>
        <v/>
      </c>
      <c r="BH114">
        <f>$C114*BH113</f>
        <v/>
      </c>
      <c r="BI114">
        <f>$C114*BI113</f>
        <v/>
      </c>
      <c r="BJ114">
        <f>$C114*BJ113</f>
        <v/>
      </c>
      <c r="BK114">
        <f>$C114*BK113</f>
        <v/>
      </c>
      <c r="BL114">
        <f>$C114*BL113</f>
        <v/>
      </c>
      <c r="BM114">
        <f>$C114*BM113</f>
        <v/>
      </c>
      <c r="BN114">
        <f>$C114*BN113</f>
        <v/>
      </c>
      <c r="BO114">
        <f>$C114*BO113</f>
        <v/>
      </c>
      <c r="BP114">
        <f>$C114*BP113</f>
        <v/>
      </c>
      <c r="BQ114">
        <f>$C114*BQ113</f>
        <v/>
      </c>
      <c r="BR114">
        <f>$C114*BR113</f>
        <v/>
      </c>
      <c r="BS114">
        <f>$C114*BS113</f>
        <v/>
      </c>
      <c r="BT114">
        <f>$C114*BT113</f>
        <v/>
      </c>
      <c r="BU114">
        <f>$C114*BU113</f>
        <v/>
      </c>
      <c r="BV114">
        <f>$C114*BV113</f>
        <v/>
      </c>
      <c r="BW114">
        <f>$C114*BW113</f>
        <v/>
      </c>
      <c r="BX114">
        <f>$C114*BX113</f>
        <v/>
      </c>
      <c r="BY114">
        <f>$C114*BY113</f>
        <v/>
      </c>
      <c r="BZ114">
        <f>$C114*BZ113</f>
        <v/>
      </c>
      <c r="CA114">
        <f>$C114*CA113</f>
        <v/>
      </c>
      <c r="CB114">
        <f>$C114*CB113</f>
        <v/>
      </c>
      <c r="CC114">
        <f>$C114*CC113</f>
        <v/>
      </c>
      <c r="CD114">
        <f>$C114*CD113</f>
        <v/>
      </c>
      <c r="CE114">
        <f>$C114*CE113</f>
        <v/>
      </c>
      <c r="CF114">
        <f>$C114*CF113</f>
        <v/>
      </c>
      <c r="CG114">
        <f>$C114*CG113</f>
        <v/>
      </c>
      <c r="CH114">
        <f>$C114*CH113</f>
        <v/>
      </c>
      <c r="CI114">
        <f>$C114*CI113</f>
        <v/>
      </c>
      <c r="CJ114">
        <f>$C114*CJ113</f>
        <v/>
      </c>
      <c r="CK114">
        <f>$C114*CK113</f>
        <v/>
      </c>
      <c r="CL114">
        <f>$C114*CL113</f>
        <v/>
      </c>
      <c r="CM114">
        <f>$C114*CM113</f>
        <v/>
      </c>
      <c r="CN114">
        <f>$C114*CN113</f>
        <v/>
      </c>
      <c r="CO114">
        <f>$C114*CO113</f>
        <v/>
      </c>
      <c r="CP114">
        <f>$C114*CP113</f>
        <v/>
      </c>
      <c r="CQ114">
        <f>$C114*CQ113</f>
        <v/>
      </c>
      <c r="CR114">
        <f>$C114*CR113</f>
        <v/>
      </c>
      <c r="CS114">
        <f>$C114*CS113</f>
        <v/>
      </c>
      <c r="CT114">
        <f>$C114*CT113</f>
        <v/>
      </c>
      <c r="CU114">
        <f>$C114*CU113</f>
        <v/>
      </c>
      <c r="CV114">
        <f>$C114*CV113</f>
        <v/>
      </c>
      <c r="CW114">
        <f>$C114*CW113</f>
        <v/>
      </c>
      <c r="CX114">
        <f>$C114*CX113</f>
        <v/>
      </c>
      <c r="CY114">
        <f>$C114*CY113</f>
        <v/>
      </c>
      <c r="CZ114">
        <f>$C114*CZ113</f>
        <v/>
      </c>
      <c r="DA114">
        <f>$C114*DA113</f>
        <v/>
      </c>
      <c r="DB114">
        <f>$C114*DB113</f>
        <v/>
      </c>
      <c r="DC114">
        <f>$C114*DC113</f>
        <v/>
      </c>
    </row>
    <row r="115">
      <c r="B115" t="inlineStr">
        <is>
          <t>TSP-670</t>
        </is>
      </c>
      <c r="C115" t="inlineStr">
        <is>
          <t>No. of batches</t>
        </is>
      </c>
      <c r="D115">
        <f>IFERROR(INDEX(PP_Grid[#Data],$DD115,2),0)</f>
        <v/>
      </c>
      <c r="E115">
        <f>IFERROR(INDEX(PP_Grid[#Data],$DD115,3),0)</f>
        <v/>
      </c>
      <c r="F115">
        <f>IFERROR(INDEX(PP_Grid[#Data],$DD115,4),0)</f>
        <v/>
      </c>
      <c r="G115">
        <f>IFERROR(INDEX(PP_Grid[#Data],$DD115,5),0)</f>
        <v/>
      </c>
      <c r="H115">
        <f>IFERROR(INDEX(PP_Grid[#Data],$DD115,6),0)</f>
        <v/>
      </c>
      <c r="I115">
        <f>IFERROR(INDEX(PP_Grid[#Data],$DD115,7),0)</f>
        <v/>
      </c>
      <c r="J115">
        <f>IFERROR(INDEX(PP_Grid[#Data],$DD115,8),0)</f>
        <v/>
      </c>
      <c r="K115">
        <f>IFERROR(INDEX(PP_Grid[#Data],$DD115,9),0)</f>
        <v/>
      </c>
      <c r="L115">
        <f>IFERROR(INDEX(PP_Grid[#Data],$DD115,10),0)</f>
        <v/>
      </c>
      <c r="M115">
        <f>IFERROR(INDEX(PP_Grid[#Data],$DD115,11),0)</f>
        <v/>
      </c>
      <c r="N115">
        <f>IFERROR(INDEX(PP_Grid[#Data],$DD115,12),0)</f>
        <v/>
      </c>
      <c r="O115">
        <f>IFERROR(INDEX(PP_Grid[#Data],$DD115,13),0)</f>
        <v/>
      </c>
      <c r="P115">
        <f>IFERROR(INDEX(PP_Grid[#Data],$DD115,14),0)</f>
        <v/>
      </c>
      <c r="Q115">
        <f>IFERROR(INDEX(PP_Grid[#Data],$DD115,15),0)</f>
        <v/>
      </c>
      <c r="R115">
        <f>IFERROR(INDEX(PP_Grid[#Data],$DD115,16),0)</f>
        <v/>
      </c>
      <c r="S115">
        <f>IFERROR(INDEX(PP_Grid[#Data],$DD115,17),0)</f>
        <v/>
      </c>
      <c r="T115">
        <f>IFERROR(INDEX(PP_Grid[#Data],$DD115,18),0)</f>
        <v/>
      </c>
      <c r="U115">
        <f>IFERROR(INDEX(PP_Grid[#Data],$DD115,19),0)</f>
        <v/>
      </c>
      <c r="V115">
        <f>IFERROR(INDEX(PP_Grid[#Data],$DD115,20),0)</f>
        <v/>
      </c>
      <c r="W115">
        <f>IFERROR(INDEX(PP_Grid[#Data],$DD115,21),0)</f>
        <v/>
      </c>
      <c r="X115">
        <f>IFERROR(INDEX(PP_Grid[#Data],$DD115,22),0)</f>
        <v/>
      </c>
      <c r="Y115">
        <f>IFERROR(INDEX(PP_Grid[#Data],$DD115,23),0)</f>
        <v/>
      </c>
      <c r="Z115">
        <f>IFERROR(INDEX(PP_Grid[#Data],$DD115,24),0)</f>
        <v/>
      </c>
      <c r="AA115">
        <f>IFERROR(INDEX(PP_Grid[#Data],$DD115,25),0)</f>
        <v/>
      </c>
      <c r="AB115">
        <f>IFERROR(INDEX(PP_Grid[#Data],$DD115,26),0)</f>
        <v/>
      </c>
      <c r="AC115">
        <f>IFERROR(INDEX(PP_Grid[#Data],$DD115,27),0)</f>
        <v/>
      </c>
      <c r="AD115">
        <f>IFERROR(INDEX(PP_Grid[#Data],$DD115,28),0)</f>
        <v/>
      </c>
      <c r="AE115">
        <f>IFERROR(INDEX(PP_Grid[#Data],$DD115,29),0)</f>
        <v/>
      </c>
      <c r="AF115">
        <f>IFERROR(INDEX(PP_Grid[#Data],$DD115,30),0)</f>
        <v/>
      </c>
      <c r="AG115">
        <f>IFERROR(INDEX(PP_Grid[#Data],$DD115,31),0)</f>
        <v/>
      </c>
      <c r="AH115">
        <f>IFERROR(INDEX(PP_Grid[#Data],$DD115,32),0)</f>
        <v/>
      </c>
      <c r="AI115">
        <f>IFERROR(INDEX(PP_Grid[#Data],$DD115,33),0)</f>
        <v/>
      </c>
      <c r="AJ115">
        <f>IFERROR(INDEX(PP_Grid[#Data],$DD115,34),0)</f>
        <v/>
      </c>
      <c r="AK115">
        <f>IFERROR(INDEX(PP_Grid[#Data],$DD115,35),0)</f>
        <v/>
      </c>
      <c r="AL115">
        <f>IFERROR(INDEX(PP_Grid[#Data],$DD115,36),0)</f>
        <v/>
      </c>
      <c r="AM115">
        <f>IFERROR(INDEX(PP_Grid[#Data],$DD115,37),0)</f>
        <v/>
      </c>
      <c r="AN115">
        <f>IFERROR(INDEX(PP_Grid[#Data],$DD115,38),0)</f>
        <v/>
      </c>
      <c r="AO115">
        <f>IFERROR(INDEX(PP_Grid[#Data],$DD115,39),0)</f>
        <v/>
      </c>
      <c r="AP115">
        <f>IFERROR(INDEX(PP_Grid[#Data],$DD115,40),0)</f>
        <v/>
      </c>
      <c r="AQ115">
        <f>IFERROR(INDEX(PP_Grid[#Data],$DD115,41),0)</f>
        <v/>
      </c>
      <c r="AR115">
        <f>IFERROR(INDEX(PP_Grid[#Data],$DD115,42),0)</f>
        <v/>
      </c>
      <c r="AS115">
        <f>IFERROR(INDEX(PP_Grid[#Data],$DD115,43),0)</f>
        <v/>
      </c>
      <c r="AT115">
        <f>IFERROR(INDEX(PP_Grid[#Data],$DD115,44),0)</f>
        <v/>
      </c>
      <c r="AU115">
        <f>IFERROR(INDEX(PP_Grid[#Data],$DD115,45),0)</f>
        <v/>
      </c>
      <c r="AV115">
        <f>IFERROR(INDEX(PP_Grid[#Data],$DD115,46),0)</f>
        <v/>
      </c>
      <c r="AW115">
        <f>IFERROR(INDEX(PP_Grid[#Data],$DD115,47),0)</f>
        <v/>
      </c>
      <c r="AX115">
        <f>IFERROR(INDEX(PP_Grid[#Data],$DD115,48),0)</f>
        <v/>
      </c>
      <c r="AY115">
        <f>IFERROR(INDEX(PP_Grid[#Data],$DD115,49),0)</f>
        <v/>
      </c>
      <c r="AZ115">
        <f>IFERROR(INDEX(PP_Grid[#Data],$DD115,50),0)</f>
        <v/>
      </c>
      <c r="BA115">
        <f>IFERROR(INDEX(PP_Grid[#Data],$DD115,51),0)</f>
        <v/>
      </c>
      <c r="BB115">
        <f>IFERROR(INDEX(PP_Grid[#Data],$DD115,52),0)</f>
        <v/>
      </c>
      <c r="BC115">
        <f>IFERROR(INDEX(PP_Grid[#Data],$DD115,53),0)</f>
        <v/>
      </c>
      <c r="BD115">
        <f>IFERROR(INDEX(PP_Grid[#Data],$DD115,54),0)</f>
        <v/>
      </c>
      <c r="BE115">
        <f>IFERROR(INDEX(PP_Grid[#Data],$DD115,55),0)</f>
        <v/>
      </c>
      <c r="BF115">
        <f>IFERROR(INDEX(PP_Grid[#Data],$DD115,56),0)</f>
        <v/>
      </c>
      <c r="BG115">
        <f>IFERROR(INDEX(PP_Grid[#Data],$DD115,57),0)</f>
        <v/>
      </c>
      <c r="BH115">
        <f>IFERROR(INDEX(PP_Grid[#Data],$DD115,58),0)</f>
        <v/>
      </c>
      <c r="BI115">
        <f>IFERROR(INDEX(PP_Grid[#Data],$DD115,59),0)</f>
        <v/>
      </c>
      <c r="BJ115">
        <f>IFERROR(INDEX(PP_Grid[#Data],$DD115,60),0)</f>
        <v/>
      </c>
      <c r="BK115">
        <f>IFERROR(INDEX(PP_Grid[#Data],$DD115,61),0)</f>
        <v/>
      </c>
      <c r="BL115">
        <f>IFERROR(INDEX(PP_Grid[#Data],$DD115,62),0)</f>
        <v/>
      </c>
      <c r="BM115">
        <f>IFERROR(INDEX(PP_Grid[#Data],$DD115,63),0)</f>
        <v/>
      </c>
      <c r="BN115">
        <f>IFERROR(INDEX(PP_Grid[#Data],$DD115,64),0)</f>
        <v/>
      </c>
      <c r="BO115">
        <f>IFERROR(INDEX(PP_Grid[#Data],$DD115,65),0)</f>
        <v/>
      </c>
      <c r="BP115">
        <f>IFERROR(INDEX(PP_Grid[#Data],$DD115,66),0)</f>
        <v/>
      </c>
      <c r="BQ115">
        <f>IFERROR(INDEX(PP_Grid[#Data],$DD115,67),0)</f>
        <v/>
      </c>
      <c r="BR115">
        <f>IFERROR(INDEX(PP_Grid[#Data],$DD115,68),0)</f>
        <v/>
      </c>
      <c r="BS115">
        <f>IFERROR(INDEX(PP_Grid[#Data],$DD115,69),0)</f>
        <v/>
      </c>
      <c r="BT115">
        <f>IFERROR(INDEX(PP_Grid[#Data],$DD115,70),0)</f>
        <v/>
      </c>
      <c r="BU115">
        <f>IFERROR(INDEX(PP_Grid[#Data],$DD115,71),0)</f>
        <v/>
      </c>
      <c r="BV115">
        <f>IFERROR(INDEX(PP_Grid[#Data],$DD115,72),0)</f>
        <v/>
      </c>
      <c r="BW115">
        <f>IFERROR(INDEX(PP_Grid[#Data],$DD115,73),0)</f>
        <v/>
      </c>
      <c r="BX115">
        <f>IFERROR(INDEX(PP_Grid[#Data],$DD115,74),0)</f>
        <v/>
      </c>
      <c r="BY115">
        <f>IFERROR(INDEX(PP_Grid[#Data],$DD115,75),0)</f>
        <v/>
      </c>
      <c r="BZ115">
        <f>IFERROR(INDEX(PP_Grid[#Data],$DD115,76),0)</f>
        <v/>
      </c>
      <c r="CA115">
        <f>IFERROR(INDEX(PP_Grid[#Data],$DD115,77),0)</f>
        <v/>
      </c>
      <c r="CB115">
        <f>IFERROR(INDEX(PP_Grid[#Data],$DD115,78),0)</f>
        <v/>
      </c>
      <c r="CC115">
        <f>IFERROR(INDEX(PP_Grid[#Data],$DD115,79),0)</f>
        <v/>
      </c>
      <c r="CD115">
        <f>IFERROR(INDEX(PP_Grid[#Data],$DD115,80),0)</f>
        <v/>
      </c>
      <c r="CE115">
        <f>IFERROR(INDEX(PP_Grid[#Data],$DD115,81),0)</f>
        <v/>
      </c>
      <c r="CF115">
        <f>IFERROR(INDEX(PP_Grid[#Data],$DD115,82),0)</f>
        <v/>
      </c>
      <c r="CG115">
        <f>IFERROR(INDEX(PP_Grid[#Data],$DD115,83),0)</f>
        <v/>
      </c>
      <c r="CH115">
        <f>IFERROR(INDEX(PP_Grid[#Data],$DD115,84),0)</f>
        <v/>
      </c>
      <c r="CI115">
        <f>IFERROR(INDEX(PP_Grid[#Data],$DD115,85),0)</f>
        <v/>
      </c>
      <c r="CJ115">
        <f>IFERROR(INDEX(PP_Grid[#Data],$DD115,86),0)</f>
        <v/>
      </c>
      <c r="CK115">
        <f>IFERROR(INDEX(PP_Grid[#Data],$DD115,87),0)</f>
        <v/>
      </c>
      <c r="CL115">
        <f>IFERROR(INDEX(PP_Grid[#Data],$DD115,88),0)</f>
        <v/>
      </c>
      <c r="CM115">
        <f>IFERROR(INDEX(PP_Grid[#Data],$DD115,89),0)</f>
        <v/>
      </c>
      <c r="CN115">
        <f>IFERROR(INDEX(PP_Grid[#Data],$DD115,90),0)</f>
        <v/>
      </c>
      <c r="CO115">
        <f>IFERROR(INDEX(PP_Grid[#Data],$DD115,91),0)</f>
        <v/>
      </c>
      <c r="CP115">
        <f>IFERROR(INDEX(PP_Grid[#Data],$DD115,92),0)</f>
        <v/>
      </c>
      <c r="CQ115">
        <f>IFERROR(INDEX(PP_Grid[#Data],$DD115,93),0)</f>
        <v/>
      </c>
      <c r="CR115">
        <f>IFERROR(INDEX(PP_Grid[#Data],$DD115,94),0)</f>
        <v/>
      </c>
      <c r="CS115">
        <f>IFERROR(INDEX(PP_Grid[#Data],$DD115,95),0)</f>
        <v/>
      </c>
      <c r="CT115">
        <f>IFERROR(INDEX(PP_Grid[#Data],$DD115,96),0)</f>
        <v/>
      </c>
      <c r="CU115">
        <f>IFERROR(INDEX(PP_Grid[#Data],$DD115,97),0)</f>
        <v/>
      </c>
      <c r="CV115">
        <f>IFERROR(INDEX(PP_Grid[#Data],$DD115,98),0)</f>
        <v/>
      </c>
      <c r="CW115">
        <f>IFERROR(INDEX(PP_Grid[#Data],$DD115,99),0)</f>
        <v/>
      </c>
      <c r="CX115">
        <f>IFERROR(INDEX(PP_Grid[#Data],$DD115,100),0)</f>
        <v/>
      </c>
      <c r="CY115">
        <f>IFERROR(INDEX(PP_Grid[#Data],$DD115,101),0)</f>
        <v/>
      </c>
      <c r="CZ115">
        <f>IFERROR(INDEX(PP_Grid[#Data],$DD115,102),0)</f>
        <v/>
      </c>
      <c r="DA115">
        <f>IFERROR(INDEX(PP_Grid[#Data],$DD115,103),0)</f>
        <v/>
      </c>
      <c r="DB115">
        <f>IFERROR(INDEX(PP_Grid[#Data],$DD115,104),0)</f>
        <v/>
      </c>
      <c r="DC115">
        <f>IFERROR(INDEX(PP_Grid[#Data],$DD115,105),0)</f>
        <v/>
      </c>
      <c r="DD115" s="7">
        <f>IFERROR(MATCH($B115,PP_Grid[Intermediate],0),99999)</f>
        <v/>
      </c>
    </row>
    <row r="116">
      <c r="B116" t="inlineStr">
        <is>
          <t>使用量(kg)</t>
        </is>
      </c>
      <c r="C116">
        <f>SUMIFS(M_BOM[RM_Qty_Per_Batch],M_BOM[Intermediate],$B115,M_BOM[Part Name],$A44)</f>
        <v/>
      </c>
      <c r="D116">
        <f>$C116*D115</f>
        <v/>
      </c>
      <c r="E116">
        <f>$C116*E115</f>
        <v/>
      </c>
      <c r="F116">
        <f>$C116*F115</f>
        <v/>
      </c>
      <c r="G116">
        <f>$C116*G115</f>
        <v/>
      </c>
      <c r="H116">
        <f>$C116*H115</f>
        <v/>
      </c>
      <c r="I116">
        <f>$C116*I115</f>
        <v/>
      </c>
      <c r="J116">
        <f>$C116*J115</f>
        <v/>
      </c>
      <c r="K116">
        <f>$C116*K115</f>
        <v/>
      </c>
      <c r="L116">
        <f>$C116*L115</f>
        <v/>
      </c>
      <c r="M116">
        <f>$C116*M115</f>
        <v/>
      </c>
      <c r="N116">
        <f>$C116*N115</f>
        <v/>
      </c>
      <c r="O116">
        <f>$C116*O115</f>
        <v/>
      </c>
      <c r="P116">
        <f>$C116*P115</f>
        <v/>
      </c>
      <c r="Q116">
        <f>$C116*Q115</f>
        <v/>
      </c>
      <c r="R116">
        <f>$C116*R115</f>
        <v/>
      </c>
      <c r="S116">
        <f>$C116*S115</f>
        <v/>
      </c>
      <c r="T116">
        <f>$C116*T115</f>
        <v/>
      </c>
      <c r="U116">
        <f>$C116*U115</f>
        <v/>
      </c>
      <c r="V116">
        <f>$C116*V115</f>
        <v/>
      </c>
      <c r="W116">
        <f>$C116*W115</f>
        <v/>
      </c>
      <c r="X116">
        <f>$C116*X115</f>
        <v/>
      </c>
      <c r="Y116">
        <f>$C116*Y115</f>
        <v/>
      </c>
      <c r="Z116">
        <f>$C116*Z115</f>
        <v/>
      </c>
      <c r="AA116">
        <f>$C116*AA115</f>
        <v/>
      </c>
      <c r="AB116">
        <f>$C116*AB115</f>
        <v/>
      </c>
      <c r="AC116">
        <f>$C116*AC115</f>
        <v/>
      </c>
      <c r="AD116">
        <f>$C116*AD115</f>
        <v/>
      </c>
      <c r="AE116">
        <f>$C116*AE115</f>
        <v/>
      </c>
      <c r="AF116">
        <f>$C116*AF115</f>
        <v/>
      </c>
      <c r="AG116">
        <f>$C116*AG115</f>
        <v/>
      </c>
      <c r="AH116">
        <f>$C116*AH115</f>
        <v/>
      </c>
      <c r="AI116">
        <f>$C116*AI115</f>
        <v/>
      </c>
      <c r="AJ116">
        <f>$C116*AJ115</f>
        <v/>
      </c>
      <c r="AK116">
        <f>$C116*AK115</f>
        <v/>
      </c>
      <c r="AL116">
        <f>$C116*AL115</f>
        <v/>
      </c>
      <c r="AM116">
        <f>$C116*AM115</f>
        <v/>
      </c>
      <c r="AN116">
        <f>$C116*AN115</f>
        <v/>
      </c>
      <c r="AO116">
        <f>$C116*AO115</f>
        <v/>
      </c>
      <c r="AP116">
        <f>$C116*AP115</f>
        <v/>
      </c>
      <c r="AQ116">
        <f>$C116*AQ115</f>
        <v/>
      </c>
      <c r="AR116">
        <f>$C116*AR115</f>
        <v/>
      </c>
      <c r="AS116">
        <f>$C116*AS115</f>
        <v/>
      </c>
      <c r="AT116">
        <f>$C116*AT115</f>
        <v/>
      </c>
      <c r="AU116">
        <f>$C116*AU115</f>
        <v/>
      </c>
      <c r="AV116">
        <f>$C116*AV115</f>
        <v/>
      </c>
      <c r="AW116">
        <f>$C116*AW115</f>
        <v/>
      </c>
      <c r="AX116">
        <f>$C116*AX115</f>
        <v/>
      </c>
      <c r="AY116">
        <f>$C116*AY115</f>
        <v/>
      </c>
      <c r="AZ116">
        <f>$C116*AZ115</f>
        <v/>
      </c>
      <c r="BA116">
        <f>$C116*BA115</f>
        <v/>
      </c>
      <c r="BB116">
        <f>$C116*BB115</f>
        <v/>
      </c>
      <c r="BC116">
        <f>$C116*BC115</f>
        <v/>
      </c>
      <c r="BD116">
        <f>$C116*BD115</f>
        <v/>
      </c>
      <c r="BE116">
        <f>$C116*BE115</f>
        <v/>
      </c>
      <c r="BF116">
        <f>$C116*BF115</f>
        <v/>
      </c>
      <c r="BG116">
        <f>$C116*BG115</f>
        <v/>
      </c>
      <c r="BH116">
        <f>$C116*BH115</f>
        <v/>
      </c>
      <c r="BI116">
        <f>$C116*BI115</f>
        <v/>
      </c>
      <c r="BJ116">
        <f>$C116*BJ115</f>
        <v/>
      </c>
      <c r="BK116">
        <f>$C116*BK115</f>
        <v/>
      </c>
      <c r="BL116">
        <f>$C116*BL115</f>
        <v/>
      </c>
      <c r="BM116">
        <f>$C116*BM115</f>
        <v/>
      </c>
      <c r="BN116">
        <f>$C116*BN115</f>
        <v/>
      </c>
      <c r="BO116">
        <f>$C116*BO115</f>
        <v/>
      </c>
      <c r="BP116">
        <f>$C116*BP115</f>
        <v/>
      </c>
      <c r="BQ116">
        <f>$C116*BQ115</f>
        <v/>
      </c>
      <c r="BR116">
        <f>$C116*BR115</f>
        <v/>
      </c>
      <c r="BS116">
        <f>$C116*BS115</f>
        <v/>
      </c>
      <c r="BT116">
        <f>$C116*BT115</f>
        <v/>
      </c>
      <c r="BU116">
        <f>$C116*BU115</f>
        <v/>
      </c>
      <c r="BV116">
        <f>$C116*BV115</f>
        <v/>
      </c>
      <c r="BW116">
        <f>$C116*BW115</f>
        <v/>
      </c>
      <c r="BX116">
        <f>$C116*BX115</f>
        <v/>
      </c>
      <c r="BY116">
        <f>$C116*BY115</f>
        <v/>
      </c>
      <c r="BZ116">
        <f>$C116*BZ115</f>
        <v/>
      </c>
      <c r="CA116">
        <f>$C116*CA115</f>
        <v/>
      </c>
      <c r="CB116">
        <f>$C116*CB115</f>
        <v/>
      </c>
      <c r="CC116">
        <f>$C116*CC115</f>
        <v/>
      </c>
      <c r="CD116">
        <f>$C116*CD115</f>
        <v/>
      </c>
      <c r="CE116">
        <f>$C116*CE115</f>
        <v/>
      </c>
      <c r="CF116">
        <f>$C116*CF115</f>
        <v/>
      </c>
      <c r="CG116">
        <f>$C116*CG115</f>
        <v/>
      </c>
      <c r="CH116">
        <f>$C116*CH115</f>
        <v/>
      </c>
      <c r="CI116">
        <f>$C116*CI115</f>
        <v/>
      </c>
      <c r="CJ116">
        <f>$C116*CJ115</f>
        <v/>
      </c>
      <c r="CK116">
        <f>$C116*CK115</f>
        <v/>
      </c>
      <c r="CL116">
        <f>$C116*CL115</f>
        <v/>
      </c>
      <c r="CM116">
        <f>$C116*CM115</f>
        <v/>
      </c>
      <c r="CN116">
        <f>$C116*CN115</f>
        <v/>
      </c>
      <c r="CO116">
        <f>$C116*CO115</f>
        <v/>
      </c>
      <c r="CP116">
        <f>$C116*CP115</f>
        <v/>
      </c>
      <c r="CQ116">
        <f>$C116*CQ115</f>
        <v/>
      </c>
      <c r="CR116">
        <f>$C116*CR115</f>
        <v/>
      </c>
      <c r="CS116">
        <f>$C116*CS115</f>
        <v/>
      </c>
      <c r="CT116">
        <f>$C116*CT115</f>
        <v/>
      </c>
      <c r="CU116">
        <f>$C116*CU115</f>
        <v/>
      </c>
      <c r="CV116">
        <f>$C116*CV115</f>
        <v/>
      </c>
      <c r="CW116">
        <f>$C116*CW115</f>
        <v/>
      </c>
      <c r="CX116">
        <f>$C116*CX115</f>
        <v/>
      </c>
      <c r="CY116">
        <f>$C116*CY115</f>
        <v/>
      </c>
      <c r="CZ116">
        <f>$C116*CZ115</f>
        <v/>
      </c>
      <c r="DA116">
        <f>$C116*DA115</f>
        <v/>
      </c>
      <c r="DB116">
        <f>$C116*DB115</f>
        <v/>
      </c>
      <c r="DC116">
        <f>$C116*DC115</f>
        <v/>
      </c>
    </row>
    <row r="117">
      <c r="B117" t="inlineStr">
        <is>
          <t>TSP-699</t>
        </is>
      </c>
      <c r="C117" t="inlineStr">
        <is>
          <t>No. of batches</t>
        </is>
      </c>
      <c r="D117">
        <f>IFERROR(INDEX(PP_Grid[#Data],$DD117,2),0)</f>
        <v/>
      </c>
      <c r="E117">
        <f>IFERROR(INDEX(PP_Grid[#Data],$DD117,3),0)</f>
        <v/>
      </c>
      <c r="F117">
        <f>IFERROR(INDEX(PP_Grid[#Data],$DD117,4),0)</f>
        <v/>
      </c>
      <c r="G117">
        <f>IFERROR(INDEX(PP_Grid[#Data],$DD117,5),0)</f>
        <v/>
      </c>
      <c r="H117">
        <f>IFERROR(INDEX(PP_Grid[#Data],$DD117,6),0)</f>
        <v/>
      </c>
      <c r="I117">
        <f>IFERROR(INDEX(PP_Grid[#Data],$DD117,7),0)</f>
        <v/>
      </c>
      <c r="J117">
        <f>IFERROR(INDEX(PP_Grid[#Data],$DD117,8),0)</f>
        <v/>
      </c>
      <c r="K117">
        <f>IFERROR(INDEX(PP_Grid[#Data],$DD117,9),0)</f>
        <v/>
      </c>
      <c r="L117">
        <f>IFERROR(INDEX(PP_Grid[#Data],$DD117,10),0)</f>
        <v/>
      </c>
      <c r="M117">
        <f>IFERROR(INDEX(PP_Grid[#Data],$DD117,11),0)</f>
        <v/>
      </c>
      <c r="N117">
        <f>IFERROR(INDEX(PP_Grid[#Data],$DD117,12),0)</f>
        <v/>
      </c>
      <c r="O117">
        <f>IFERROR(INDEX(PP_Grid[#Data],$DD117,13),0)</f>
        <v/>
      </c>
      <c r="P117">
        <f>IFERROR(INDEX(PP_Grid[#Data],$DD117,14),0)</f>
        <v/>
      </c>
      <c r="Q117">
        <f>IFERROR(INDEX(PP_Grid[#Data],$DD117,15),0)</f>
        <v/>
      </c>
      <c r="R117">
        <f>IFERROR(INDEX(PP_Grid[#Data],$DD117,16),0)</f>
        <v/>
      </c>
      <c r="S117">
        <f>IFERROR(INDEX(PP_Grid[#Data],$DD117,17),0)</f>
        <v/>
      </c>
      <c r="T117">
        <f>IFERROR(INDEX(PP_Grid[#Data],$DD117,18),0)</f>
        <v/>
      </c>
      <c r="U117">
        <f>IFERROR(INDEX(PP_Grid[#Data],$DD117,19),0)</f>
        <v/>
      </c>
      <c r="V117">
        <f>IFERROR(INDEX(PP_Grid[#Data],$DD117,20),0)</f>
        <v/>
      </c>
      <c r="W117">
        <f>IFERROR(INDEX(PP_Grid[#Data],$DD117,21),0)</f>
        <v/>
      </c>
      <c r="X117">
        <f>IFERROR(INDEX(PP_Grid[#Data],$DD117,22),0)</f>
        <v/>
      </c>
      <c r="Y117">
        <f>IFERROR(INDEX(PP_Grid[#Data],$DD117,23),0)</f>
        <v/>
      </c>
      <c r="Z117">
        <f>IFERROR(INDEX(PP_Grid[#Data],$DD117,24),0)</f>
        <v/>
      </c>
      <c r="AA117">
        <f>IFERROR(INDEX(PP_Grid[#Data],$DD117,25),0)</f>
        <v/>
      </c>
      <c r="AB117">
        <f>IFERROR(INDEX(PP_Grid[#Data],$DD117,26),0)</f>
        <v/>
      </c>
      <c r="AC117">
        <f>IFERROR(INDEX(PP_Grid[#Data],$DD117,27),0)</f>
        <v/>
      </c>
      <c r="AD117">
        <f>IFERROR(INDEX(PP_Grid[#Data],$DD117,28),0)</f>
        <v/>
      </c>
      <c r="AE117">
        <f>IFERROR(INDEX(PP_Grid[#Data],$DD117,29),0)</f>
        <v/>
      </c>
      <c r="AF117">
        <f>IFERROR(INDEX(PP_Grid[#Data],$DD117,30),0)</f>
        <v/>
      </c>
      <c r="AG117">
        <f>IFERROR(INDEX(PP_Grid[#Data],$DD117,31),0)</f>
        <v/>
      </c>
      <c r="AH117">
        <f>IFERROR(INDEX(PP_Grid[#Data],$DD117,32),0)</f>
        <v/>
      </c>
      <c r="AI117">
        <f>IFERROR(INDEX(PP_Grid[#Data],$DD117,33),0)</f>
        <v/>
      </c>
      <c r="AJ117">
        <f>IFERROR(INDEX(PP_Grid[#Data],$DD117,34),0)</f>
        <v/>
      </c>
      <c r="AK117">
        <f>IFERROR(INDEX(PP_Grid[#Data],$DD117,35),0)</f>
        <v/>
      </c>
      <c r="AL117">
        <f>IFERROR(INDEX(PP_Grid[#Data],$DD117,36),0)</f>
        <v/>
      </c>
      <c r="AM117">
        <f>IFERROR(INDEX(PP_Grid[#Data],$DD117,37),0)</f>
        <v/>
      </c>
      <c r="AN117">
        <f>IFERROR(INDEX(PP_Grid[#Data],$DD117,38),0)</f>
        <v/>
      </c>
      <c r="AO117">
        <f>IFERROR(INDEX(PP_Grid[#Data],$DD117,39),0)</f>
        <v/>
      </c>
      <c r="AP117">
        <f>IFERROR(INDEX(PP_Grid[#Data],$DD117,40),0)</f>
        <v/>
      </c>
      <c r="AQ117">
        <f>IFERROR(INDEX(PP_Grid[#Data],$DD117,41),0)</f>
        <v/>
      </c>
      <c r="AR117">
        <f>IFERROR(INDEX(PP_Grid[#Data],$DD117,42),0)</f>
        <v/>
      </c>
      <c r="AS117">
        <f>IFERROR(INDEX(PP_Grid[#Data],$DD117,43),0)</f>
        <v/>
      </c>
      <c r="AT117">
        <f>IFERROR(INDEX(PP_Grid[#Data],$DD117,44),0)</f>
        <v/>
      </c>
      <c r="AU117">
        <f>IFERROR(INDEX(PP_Grid[#Data],$DD117,45),0)</f>
        <v/>
      </c>
      <c r="AV117">
        <f>IFERROR(INDEX(PP_Grid[#Data],$DD117,46),0)</f>
        <v/>
      </c>
      <c r="AW117">
        <f>IFERROR(INDEX(PP_Grid[#Data],$DD117,47),0)</f>
        <v/>
      </c>
      <c r="AX117">
        <f>IFERROR(INDEX(PP_Grid[#Data],$DD117,48),0)</f>
        <v/>
      </c>
      <c r="AY117">
        <f>IFERROR(INDEX(PP_Grid[#Data],$DD117,49),0)</f>
        <v/>
      </c>
      <c r="AZ117">
        <f>IFERROR(INDEX(PP_Grid[#Data],$DD117,50),0)</f>
        <v/>
      </c>
      <c r="BA117">
        <f>IFERROR(INDEX(PP_Grid[#Data],$DD117,51),0)</f>
        <v/>
      </c>
      <c r="BB117">
        <f>IFERROR(INDEX(PP_Grid[#Data],$DD117,52),0)</f>
        <v/>
      </c>
      <c r="BC117">
        <f>IFERROR(INDEX(PP_Grid[#Data],$DD117,53),0)</f>
        <v/>
      </c>
      <c r="BD117">
        <f>IFERROR(INDEX(PP_Grid[#Data],$DD117,54),0)</f>
        <v/>
      </c>
      <c r="BE117">
        <f>IFERROR(INDEX(PP_Grid[#Data],$DD117,55),0)</f>
        <v/>
      </c>
      <c r="BF117">
        <f>IFERROR(INDEX(PP_Grid[#Data],$DD117,56),0)</f>
        <v/>
      </c>
      <c r="BG117">
        <f>IFERROR(INDEX(PP_Grid[#Data],$DD117,57),0)</f>
        <v/>
      </c>
      <c r="BH117">
        <f>IFERROR(INDEX(PP_Grid[#Data],$DD117,58),0)</f>
        <v/>
      </c>
      <c r="BI117">
        <f>IFERROR(INDEX(PP_Grid[#Data],$DD117,59),0)</f>
        <v/>
      </c>
      <c r="BJ117">
        <f>IFERROR(INDEX(PP_Grid[#Data],$DD117,60),0)</f>
        <v/>
      </c>
      <c r="BK117">
        <f>IFERROR(INDEX(PP_Grid[#Data],$DD117,61),0)</f>
        <v/>
      </c>
      <c r="BL117">
        <f>IFERROR(INDEX(PP_Grid[#Data],$DD117,62),0)</f>
        <v/>
      </c>
      <c r="BM117">
        <f>IFERROR(INDEX(PP_Grid[#Data],$DD117,63),0)</f>
        <v/>
      </c>
      <c r="BN117">
        <f>IFERROR(INDEX(PP_Grid[#Data],$DD117,64),0)</f>
        <v/>
      </c>
      <c r="BO117">
        <f>IFERROR(INDEX(PP_Grid[#Data],$DD117,65),0)</f>
        <v/>
      </c>
      <c r="BP117">
        <f>IFERROR(INDEX(PP_Grid[#Data],$DD117,66),0)</f>
        <v/>
      </c>
      <c r="BQ117">
        <f>IFERROR(INDEX(PP_Grid[#Data],$DD117,67),0)</f>
        <v/>
      </c>
      <c r="BR117">
        <f>IFERROR(INDEX(PP_Grid[#Data],$DD117,68),0)</f>
        <v/>
      </c>
      <c r="BS117">
        <f>IFERROR(INDEX(PP_Grid[#Data],$DD117,69),0)</f>
        <v/>
      </c>
      <c r="BT117">
        <f>IFERROR(INDEX(PP_Grid[#Data],$DD117,70),0)</f>
        <v/>
      </c>
      <c r="BU117">
        <f>IFERROR(INDEX(PP_Grid[#Data],$DD117,71),0)</f>
        <v/>
      </c>
      <c r="BV117">
        <f>IFERROR(INDEX(PP_Grid[#Data],$DD117,72),0)</f>
        <v/>
      </c>
      <c r="BW117">
        <f>IFERROR(INDEX(PP_Grid[#Data],$DD117,73),0)</f>
        <v/>
      </c>
      <c r="BX117">
        <f>IFERROR(INDEX(PP_Grid[#Data],$DD117,74),0)</f>
        <v/>
      </c>
      <c r="BY117">
        <f>IFERROR(INDEX(PP_Grid[#Data],$DD117,75),0)</f>
        <v/>
      </c>
      <c r="BZ117">
        <f>IFERROR(INDEX(PP_Grid[#Data],$DD117,76),0)</f>
        <v/>
      </c>
      <c r="CA117">
        <f>IFERROR(INDEX(PP_Grid[#Data],$DD117,77),0)</f>
        <v/>
      </c>
      <c r="CB117">
        <f>IFERROR(INDEX(PP_Grid[#Data],$DD117,78),0)</f>
        <v/>
      </c>
      <c r="CC117">
        <f>IFERROR(INDEX(PP_Grid[#Data],$DD117,79),0)</f>
        <v/>
      </c>
      <c r="CD117">
        <f>IFERROR(INDEX(PP_Grid[#Data],$DD117,80),0)</f>
        <v/>
      </c>
      <c r="CE117">
        <f>IFERROR(INDEX(PP_Grid[#Data],$DD117,81),0)</f>
        <v/>
      </c>
      <c r="CF117">
        <f>IFERROR(INDEX(PP_Grid[#Data],$DD117,82),0)</f>
        <v/>
      </c>
      <c r="CG117">
        <f>IFERROR(INDEX(PP_Grid[#Data],$DD117,83),0)</f>
        <v/>
      </c>
      <c r="CH117">
        <f>IFERROR(INDEX(PP_Grid[#Data],$DD117,84),0)</f>
        <v/>
      </c>
      <c r="CI117">
        <f>IFERROR(INDEX(PP_Grid[#Data],$DD117,85),0)</f>
        <v/>
      </c>
      <c r="CJ117">
        <f>IFERROR(INDEX(PP_Grid[#Data],$DD117,86),0)</f>
        <v/>
      </c>
      <c r="CK117">
        <f>IFERROR(INDEX(PP_Grid[#Data],$DD117,87),0)</f>
        <v/>
      </c>
      <c r="CL117">
        <f>IFERROR(INDEX(PP_Grid[#Data],$DD117,88),0)</f>
        <v/>
      </c>
      <c r="CM117">
        <f>IFERROR(INDEX(PP_Grid[#Data],$DD117,89),0)</f>
        <v/>
      </c>
      <c r="CN117">
        <f>IFERROR(INDEX(PP_Grid[#Data],$DD117,90),0)</f>
        <v/>
      </c>
      <c r="CO117">
        <f>IFERROR(INDEX(PP_Grid[#Data],$DD117,91),0)</f>
        <v/>
      </c>
      <c r="CP117">
        <f>IFERROR(INDEX(PP_Grid[#Data],$DD117,92),0)</f>
        <v/>
      </c>
      <c r="CQ117">
        <f>IFERROR(INDEX(PP_Grid[#Data],$DD117,93),0)</f>
        <v/>
      </c>
      <c r="CR117">
        <f>IFERROR(INDEX(PP_Grid[#Data],$DD117,94),0)</f>
        <v/>
      </c>
      <c r="CS117">
        <f>IFERROR(INDEX(PP_Grid[#Data],$DD117,95),0)</f>
        <v/>
      </c>
      <c r="CT117">
        <f>IFERROR(INDEX(PP_Grid[#Data],$DD117,96),0)</f>
        <v/>
      </c>
      <c r="CU117">
        <f>IFERROR(INDEX(PP_Grid[#Data],$DD117,97),0)</f>
        <v/>
      </c>
      <c r="CV117">
        <f>IFERROR(INDEX(PP_Grid[#Data],$DD117,98),0)</f>
        <v/>
      </c>
      <c r="CW117">
        <f>IFERROR(INDEX(PP_Grid[#Data],$DD117,99),0)</f>
        <v/>
      </c>
      <c r="CX117">
        <f>IFERROR(INDEX(PP_Grid[#Data],$DD117,100),0)</f>
        <v/>
      </c>
      <c r="CY117">
        <f>IFERROR(INDEX(PP_Grid[#Data],$DD117,101),0)</f>
        <v/>
      </c>
      <c r="CZ117">
        <f>IFERROR(INDEX(PP_Grid[#Data],$DD117,102),0)</f>
        <v/>
      </c>
      <c r="DA117">
        <f>IFERROR(INDEX(PP_Grid[#Data],$DD117,103),0)</f>
        <v/>
      </c>
      <c r="DB117">
        <f>IFERROR(INDEX(PP_Grid[#Data],$DD117,104),0)</f>
        <v/>
      </c>
      <c r="DC117">
        <f>IFERROR(INDEX(PP_Grid[#Data],$DD117,105),0)</f>
        <v/>
      </c>
      <c r="DD117" s="7">
        <f>IFERROR(MATCH($B117,PP_Grid[Intermediate],0),99999)</f>
        <v/>
      </c>
    </row>
    <row r="118">
      <c r="B118" t="inlineStr">
        <is>
          <t>使用量(kg)</t>
        </is>
      </c>
      <c r="C118">
        <f>SUMIFS(M_BOM[RM_Qty_Per_Batch],M_BOM[Intermediate],$B117,M_BOM[Part Name],$A44)</f>
        <v/>
      </c>
      <c r="D118">
        <f>$C118*D117</f>
        <v/>
      </c>
      <c r="E118">
        <f>$C118*E117</f>
        <v/>
      </c>
      <c r="F118">
        <f>$C118*F117</f>
        <v/>
      </c>
      <c r="G118">
        <f>$C118*G117</f>
        <v/>
      </c>
      <c r="H118">
        <f>$C118*H117</f>
        <v/>
      </c>
      <c r="I118">
        <f>$C118*I117</f>
        <v/>
      </c>
      <c r="J118">
        <f>$C118*J117</f>
        <v/>
      </c>
      <c r="K118">
        <f>$C118*K117</f>
        <v/>
      </c>
      <c r="L118">
        <f>$C118*L117</f>
        <v/>
      </c>
      <c r="M118">
        <f>$C118*M117</f>
        <v/>
      </c>
      <c r="N118">
        <f>$C118*N117</f>
        <v/>
      </c>
      <c r="O118">
        <f>$C118*O117</f>
        <v/>
      </c>
      <c r="P118">
        <f>$C118*P117</f>
        <v/>
      </c>
      <c r="Q118">
        <f>$C118*Q117</f>
        <v/>
      </c>
      <c r="R118">
        <f>$C118*R117</f>
        <v/>
      </c>
      <c r="S118">
        <f>$C118*S117</f>
        <v/>
      </c>
      <c r="T118">
        <f>$C118*T117</f>
        <v/>
      </c>
      <c r="U118">
        <f>$C118*U117</f>
        <v/>
      </c>
      <c r="V118">
        <f>$C118*V117</f>
        <v/>
      </c>
      <c r="W118">
        <f>$C118*W117</f>
        <v/>
      </c>
      <c r="X118">
        <f>$C118*X117</f>
        <v/>
      </c>
      <c r="Y118">
        <f>$C118*Y117</f>
        <v/>
      </c>
      <c r="Z118">
        <f>$C118*Z117</f>
        <v/>
      </c>
      <c r="AA118">
        <f>$C118*AA117</f>
        <v/>
      </c>
      <c r="AB118">
        <f>$C118*AB117</f>
        <v/>
      </c>
      <c r="AC118">
        <f>$C118*AC117</f>
        <v/>
      </c>
      <c r="AD118">
        <f>$C118*AD117</f>
        <v/>
      </c>
      <c r="AE118">
        <f>$C118*AE117</f>
        <v/>
      </c>
      <c r="AF118">
        <f>$C118*AF117</f>
        <v/>
      </c>
      <c r="AG118">
        <f>$C118*AG117</f>
        <v/>
      </c>
      <c r="AH118">
        <f>$C118*AH117</f>
        <v/>
      </c>
      <c r="AI118">
        <f>$C118*AI117</f>
        <v/>
      </c>
      <c r="AJ118">
        <f>$C118*AJ117</f>
        <v/>
      </c>
      <c r="AK118">
        <f>$C118*AK117</f>
        <v/>
      </c>
      <c r="AL118">
        <f>$C118*AL117</f>
        <v/>
      </c>
      <c r="AM118">
        <f>$C118*AM117</f>
        <v/>
      </c>
      <c r="AN118">
        <f>$C118*AN117</f>
        <v/>
      </c>
      <c r="AO118">
        <f>$C118*AO117</f>
        <v/>
      </c>
      <c r="AP118">
        <f>$C118*AP117</f>
        <v/>
      </c>
      <c r="AQ118">
        <f>$C118*AQ117</f>
        <v/>
      </c>
      <c r="AR118">
        <f>$C118*AR117</f>
        <v/>
      </c>
      <c r="AS118">
        <f>$C118*AS117</f>
        <v/>
      </c>
      <c r="AT118">
        <f>$C118*AT117</f>
        <v/>
      </c>
      <c r="AU118">
        <f>$C118*AU117</f>
        <v/>
      </c>
      <c r="AV118">
        <f>$C118*AV117</f>
        <v/>
      </c>
      <c r="AW118">
        <f>$C118*AW117</f>
        <v/>
      </c>
      <c r="AX118">
        <f>$C118*AX117</f>
        <v/>
      </c>
      <c r="AY118">
        <f>$C118*AY117</f>
        <v/>
      </c>
      <c r="AZ118">
        <f>$C118*AZ117</f>
        <v/>
      </c>
      <c r="BA118">
        <f>$C118*BA117</f>
        <v/>
      </c>
      <c r="BB118">
        <f>$C118*BB117</f>
        <v/>
      </c>
      <c r="BC118">
        <f>$C118*BC117</f>
        <v/>
      </c>
      <c r="BD118">
        <f>$C118*BD117</f>
        <v/>
      </c>
      <c r="BE118">
        <f>$C118*BE117</f>
        <v/>
      </c>
      <c r="BF118">
        <f>$C118*BF117</f>
        <v/>
      </c>
      <c r="BG118">
        <f>$C118*BG117</f>
        <v/>
      </c>
      <c r="BH118">
        <f>$C118*BH117</f>
        <v/>
      </c>
      <c r="BI118">
        <f>$C118*BI117</f>
        <v/>
      </c>
      <c r="BJ118">
        <f>$C118*BJ117</f>
        <v/>
      </c>
      <c r="BK118">
        <f>$C118*BK117</f>
        <v/>
      </c>
      <c r="BL118">
        <f>$C118*BL117</f>
        <v/>
      </c>
      <c r="BM118">
        <f>$C118*BM117</f>
        <v/>
      </c>
      <c r="BN118">
        <f>$C118*BN117</f>
        <v/>
      </c>
      <c r="BO118">
        <f>$C118*BO117</f>
        <v/>
      </c>
      <c r="BP118">
        <f>$C118*BP117</f>
        <v/>
      </c>
      <c r="BQ118">
        <f>$C118*BQ117</f>
        <v/>
      </c>
      <c r="BR118">
        <f>$C118*BR117</f>
        <v/>
      </c>
      <c r="BS118">
        <f>$C118*BS117</f>
        <v/>
      </c>
      <c r="BT118">
        <f>$C118*BT117</f>
        <v/>
      </c>
      <c r="BU118">
        <f>$C118*BU117</f>
        <v/>
      </c>
      <c r="BV118">
        <f>$C118*BV117</f>
        <v/>
      </c>
      <c r="BW118">
        <f>$C118*BW117</f>
        <v/>
      </c>
      <c r="BX118">
        <f>$C118*BX117</f>
        <v/>
      </c>
      <c r="BY118">
        <f>$C118*BY117</f>
        <v/>
      </c>
      <c r="BZ118">
        <f>$C118*BZ117</f>
        <v/>
      </c>
      <c r="CA118">
        <f>$C118*CA117</f>
        <v/>
      </c>
      <c r="CB118">
        <f>$C118*CB117</f>
        <v/>
      </c>
      <c r="CC118">
        <f>$C118*CC117</f>
        <v/>
      </c>
      <c r="CD118">
        <f>$C118*CD117</f>
        <v/>
      </c>
      <c r="CE118">
        <f>$C118*CE117</f>
        <v/>
      </c>
      <c r="CF118">
        <f>$C118*CF117</f>
        <v/>
      </c>
      <c r="CG118">
        <f>$C118*CG117</f>
        <v/>
      </c>
      <c r="CH118">
        <f>$C118*CH117</f>
        <v/>
      </c>
      <c r="CI118">
        <f>$C118*CI117</f>
        <v/>
      </c>
      <c r="CJ118">
        <f>$C118*CJ117</f>
        <v/>
      </c>
      <c r="CK118">
        <f>$C118*CK117</f>
        <v/>
      </c>
      <c r="CL118">
        <f>$C118*CL117</f>
        <v/>
      </c>
      <c r="CM118">
        <f>$C118*CM117</f>
        <v/>
      </c>
      <c r="CN118">
        <f>$C118*CN117</f>
        <v/>
      </c>
      <c r="CO118">
        <f>$C118*CO117</f>
        <v/>
      </c>
      <c r="CP118">
        <f>$C118*CP117</f>
        <v/>
      </c>
      <c r="CQ118">
        <f>$C118*CQ117</f>
        <v/>
      </c>
      <c r="CR118">
        <f>$C118*CR117</f>
        <v/>
      </c>
      <c r="CS118">
        <f>$C118*CS117</f>
        <v/>
      </c>
      <c r="CT118">
        <f>$C118*CT117</f>
        <v/>
      </c>
      <c r="CU118">
        <f>$C118*CU117</f>
        <v/>
      </c>
      <c r="CV118">
        <f>$C118*CV117</f>
        <v/>
      </c>
      <c r="CW118">
        <f>$C118*CW117</f>
        <v/>
      </c>
      <c r="CX118">
        <f>$C118*CX117</f>
        <v/>
      </c>
      <c r="CY118">
        <f>$C118*CY117</f>
        <v/>
      </c>
      <c r="CZ118">
        <f>$C118*CZ117</f>
        <v/>
      </c>
      <c r="DA118">
        <f>$C118*DA117</f>
        <v/>
      </c>
      <c r="DB118">
        <f>$C118*DB117</f>
        <v/>
      </c>
      <c r="DC118">
        <f>$C118*DC117</f>
        <v/>
      </c>
    </row>
    <row r="119">
      <c r="B119" t="inlineStr">
        <is>
          <t>TSP-710</t>
        </is>
      </c>
      <c r="C119" t="inlineStr">
        <is>
          <t>No. of batches</t>
        </is>
      </c>
      <c r="D119">
        <f>IFERROR(INDEX(PP_Grid[#Data],$DD119,2),0)</f>
        <v/>
      </c>
      <c r="E119">
        <f>IFERROR(INDEX(PP_Grid[#Data],$DD119,3),0)</f>
        <v/>
      </c>
      <c r="F119">
        <f>IFERROR(INDEX(PP_Grid[#Data],$DD119,4),0)</f>
        <v/>
      </c>
      <c r="G119">
        <f>IFERROR(INDEX(PP_Grid[#Data],$DD119,5),0)</f>
        <v/>
      </c>
      <c r="H119">
        <f>IFERROR(INDEX(PP_Grid[#Data],$DD119,6),0)</f>
        <v/>
      </c>
      <c r="I119">
        <f>IFERROR(INDEX(PP_Grid[#Data],$DD119,7),0)</f>
        <v/>
      </c>
      <c r="J119">
        <f>IFERROR(INDEX(PP_Grid[#Data],$DD119,8),0)</f>
        <v/>
      </c>
      <c r="K119">
        <f>IFERROR(INDEX(PP_Grid[#Data],$DD119,9),0)</f>
        <v/>
      </c>
      <c r="L119">
        <f>IFERROR(INDEX(PP_Grid[#Data],$DD119,10),0)</f>
        <v/>
      </c>
      <c r="M119">
        <f>IFERROR(INDEX(PP_Grid[#Data],$DD119,11),0)</f>
        <v/>
      </c>
      <c r="N119">
        <f>IFERROR(INDEX(PP_Grid[#Data],$DD119,12),0)</f>
        <v/>
      </c>
      <c r="O119">
        <f>IFERROR(INDEX(PP_Grid[#Data],$DD119,13),0)</f>
        <v/>
      </c>
      <c r="P119">
        <f>IFERROR(INDEX(PP_Grid[#Data],$DD119,14),0)</f>
        <v/>
      </c>
      <c r="Q119">
        <f>IFERROR(INDEX(PP_Grid[#Data],$DD119,15),0)</f>
        <v/>
      </c>
      <c r="R119">
        <f>IFERROR(INDEX(PP_Grid[#Data],$DD119,16),0)</f>
        <v/>
      </c>
      <c r="S119">
        <f>IFERROR(INDEX(PP_Grid[#Data],$DD119,17),0)</f>
        <v/>
      </c>
      <c r="T119">
        <f>IFERROR(INDEX(PP_Grid[#Data],$DD119,18),0)</f>
        <v/>
      </c>
      <c r="U119">
        <f>IFERROR(INDEX(PP_Grid[#Data],$DD119,19),0)</f>
        <v/>
      </c>
      <c r="V119">
        <f>IFERROR(INDEX(PP_Grid[#Data],$DD119,20),0)</f>
        <v/>
      </c>
      <c r="W119">
        <f>IFERROR(INDEX(PP_Grid[#Data],$DD119,21),0)</f>
        <v/>
      </c>
      <c r="X119">
        <f>IFERROR(INDEX(PP_Grid[#Data],$DD119,22),0)</f>
        <v/>
      </c>
      <c r="Y119">
        <f>IFERROR(INDEX(PP_Grid[#Data],$DD119,23),0)</f>
        <v/>
      </c>
      <c r="Z119">
        <f>IFERROR(INDEX(PP_Grid[#Data],$DD119,24),0)</f>
        <v/>
      </c>
      <c r="AA119">
        <f>IFERROR(INDEX(PP_Grid[#Data],$DD119,25),0)</f>
        <v/>
      </c>
      <c r="AB119">
        <f>IFERROR(INDEX(PP_Grid[#Data],$DD119,26),0)</f>
        <v/>
      </c>
      <c r="AC119">
        <f>IFERROR(INDEX(PP_Grid[#Data],$DD119,27),0)</f>
        <v/>
      </c>
      <c r="AD119">
        <f>IFERROR(INDEX(PP_Grid[#Data],$DD119,28),0)</f>
        <v/>
      </c>
      <c r="AE119">
        <f>IFERROR(INDEX(PP_Grid[#Data],$DD119,29),0)</f>
        <v/>
      </c>
      <c r="AF119">
        <f>IFERROR(INDEX(PP_Grid[#Data],$DD119,30),0)</f>
        <v/>
      </c>
      <c r="AG119">
        <f>IFERROR(INDEX(PP_Grid[#Data],$DD119,31),0)</f>
        <v/>
      </c>
      <c r="AH119">
        <f>IFERROR(INDEX(PP_Grid[#Data],$DD119,32),0)</f>
        <v/>
      </c>
      <c r="AI119">
        <f>IFERROR(INDEX(PP_Grid[#Data],$DD119,33),0)</f>
        <v/>
      </c>
      <c r="AJ119">
        <f>IFERROR(INDEX(PP_Grid[#Data],$DD119,34),0)</f>
        <v/>
      </c>
      <c r="AK119">
        <f>IFERROR(INDEX(PP_Grid[#Data],$DD119,35),0)</f>
        <v/>
      </c>
      <c r="AL119">
        <f>IFERROR(INDEX(PP_Grid[#Data],$DD119,36),0)</f>
        <v/>
      </c>
      <c r="AM119">
        <f>IFERROR(INDEX(PP_Grid[#Data],$DD119,37),0)</f>
        <v/>
      </c>
      <c r="AN119">
        <f>IFERROR(INDEX(PP_Grid[#Data],$DD119,38),0)</f>
        <v/>
      </c>
      <c r="AO119">
        <f>IFERROR(INDEX(PP_Grid[#Data],$DD119,39),0)</f>
        <v/>
      </c>
      <c r="AP119">
        <f>IFERROR(INDEX(PP_Grid[#Data],$DD119,40),0)</f>
        <v/>
      </c>
      <c r="AQ119">
        <f>IFERROR(INDEX(PP_Grid[#Data],$DD119,41),0)</f>
        <v/>
      </c>
      <c r="AR119">
        <f>IFERROR(INDEX(PP_Grid[#Data],$DD119,42),0)</f>
        <v/>
      </c>
      <c r="AS119">
        <f>IFERROR(INDEX(PP_Grid[#Data],$DD119,43),0)</f>
        <v/>
      </c>
      <c r="AT119">
        <f>IFERROR(INDEX(PP_Grid[#Data],$DD119,44),0)</f>
        <v/>
      </c>
      <c r="AU119">
        <f>IFERROR(INDEX(PP_Grid[#Data],$DD119,45),0)</f>
        <v/>
      </c>
      <c r="AV119">
        <f>IFERROR(INDEX(PP_Grid[#Data],$DD119,46),0)</f>
        <v/>
      </c>
      <c r="AW119">
        <f>IFERROR(INDEX(PP_Grid[#Data],$DD119,47),0)</f>
        <v/>
      </c>
      <c r="AX119">
        <f>IFERROR(INDEX(PP_Grid[#Data],$DD119,48),0)</f>
        <v/>
      </c>
      <c r="AY119">
        <f>IFERROR(INDEX(PP_Grid[#Data],$DD119,49),0)</f>
        <v/>
      </c>
      <c r="AZ119">
        <f>IFERROR(INDEX(PP_Grid[#Data],$DD119,50),0)</f>
        <v/>
      </c>
      <c r="BA119">
        <f>IFERROR(INDEX(PP_Grid[#Data],$DD119,51),0)</f>
        <v/>
      </c>
      <c r="BB119">
        <f>IFERROR(INDEX(PP_Grid[#Data],$DD119,52),0)</f>
        <v/>
      </c>
      <c r="BC119">
        <f>IFERROR(INDEX(PP_Grid[#Data],$DD119,53),0)</f>
        <v/>
      </c>
      <c r="BD119">
        <f>IFERROR(INDEX(PP_Grid[#Data],$DD119,54),0)</f>
        <v/>
      </c>
      <c r="BE119">
        <f>IFERROR(INDEX(PP_Grid[#Data],$DD119,55),0)</f>
        <v/>
      </c>
      <c r="BF119">
        <f>IFERROR(INDEX(PP_Grid[#Data],$DD119,56),0)</f>
        <v/>
      </c>
      <c r="BG119">
        <f>IFERROR(INDEX(PP_Grid[#Data],$DD119,57),0)</f>
        <v/>
      </c>
      <c r="BH119">
        <f>IFERROR(INDEX(PP_Grid[#Data],$DD119,58),0)</f>
        <v/>
      </c>
      <c r="BI119">
        <f>IFERROR(INDEX(PP_Grid[#Data],$DD119,59),0)</f>
        <v/>
      </c>
      <c r="BJ119">
        <f>IFERROR(INDEX(PP_Grid[#Data],$DD119,60),0)</f>
        <v/>
      </c>
      <c r="BK119">
        <f>IFERROR(INDEX(PP_Grid[#Data],$DD119,61),0)</f>
        <v/>
      </c>
      <c r="BL119">
        <f>IFERROR(INDEX(PP_Grid[#Data],$DD119,62),0)</f>
        <v/>
      </c>
      <c r="BM119">
        <f>IFERROR(INDEX(PP_Grid[#Data],$DD119,63),0)</f>
        <v/>
      </c>
      <c r="BN119">
        <f>IFERROR(INDEX(PP_Grid[#Data],$DD119,64),0)</f>
        <v/>
      </c>
      <c r="BO119">
        <f>IFERROR(INDEX(PP_Grid[#Data],$DD119,65),0)</f>
        <v/>
      </c>
      <c r="BP119">
        <f>IFERROR(INDEX(PP_Grid[#Data],$DD119,66),0)</f>
        <v/>
      </c>
      <c r="BQ119">
        <f>IFERROR(INDEX(PP_Grid[#Data],$DD119,67),0)</f>
        <v/>
      </c>
      <c r="BR119">
        <f>IFERROR(INDEX(PP_Grid[#Data],$DD119,68),0)</f>
        <v/>
      </c>
      <c r="BS119">
        <f>IFERROR(INDEX(PP_Grid[#Data],$DD119,69),0)</f>
        <v/>
      </c>
      <c r="BT119">
        <f>IFERROR(INDEX(PP_Grid[#Data],$DD119,70),0)</f>
        <v/>
      </c>
      <c r="BU119">
        <f>IFERROR(INDEX(PP_Grid[#Data],$DD119,71),0)</f>
        <v/>
      </c>
      <c r="BV119">
        <f>IFERROR(INDEX(PP_Grid[#Data],$DD119,72),0)</f>
        <v/>
      </c>
      <c r="BW119">
        <f>IFERROR(INDEX(PP_Grid[#Data],$DD119,73),0)</f>
        <v/>
      </c>
      <c r="BX119">
        <f>IFERROR(INDEX(PP_Grid[#Data],$DD119,74),0)</f>
        <v/>
      </c>
      <c r="BY119">
        <f>IFERROR(INDEX(PP_Grid[#Data],$DD119,75),0)</f>
        <v/>
      </c>
      <c r="BZ119">
        <f>IFERROR(INDEX(PP_Grid[#Data],$DD119,76),0)</f>
        <v/>
      </c>
      <c r="CA119">
        <f>IFERROR(INDEX(PP_Grid[#Data],$DD119,77),0)</f>
        <v/>
      </c>
      <c r="CB119">
        <f>IFERROR(INDEX(PP_Grid[#Data],$DD119,78),0)</f>
        <v/>
      </c>
      <c r="CC119">
        <f>IFERROR(INDEX(PP_Grid[#Data],$DD119,79),0)</f>
        <v/>
      </c>
      <c r="CD119">
        <f>IFERROR(INDEX(PP_Grid[#Data],$DD119,80),0)</f>
        <v/>
      </c>
      <c r="CE119">
        <f>IFERROR(INDEX(PP_Grid[#Data],$DD119,81),0)</f>
        <v/>
      </c>
      <c r="CF119">
        <f>IFERROR(INDEX(PP_Grid[#Data],$DD119,82),0)</f>
        <v/>
      </c>
      <c r="CG119">
        <f>IFERROR(INDEX(PP_Grid[#Data],$DD119,83),0)</f>
        <v/>
      </c>
      <c r="CH119">
        <f>IFERROR(INDEX(PP_Grid[#Data],$DD119,84),0)</f>
        <v/>
      </c>
      <c r="CI119">
        <f>IFERROR(INDEX(PP_Grid[#Data],$DD119,85),0)</f>
        <v/>
      </c>
      <c r="CJ119">
        <f>IFERROR(INDEX(PP_Grid[#Data],$DD119,86),0)</f>
        <v/>
      </c>
      <c r="CK119">
        <f>IFERROR(INDEX(PP_Grid[#Data],$DD119,87),0)</f>
        <v/>
      </c>
      <c r="CL119">
        <f>IFERROR(INDEX(PP_Grid[#Data],$DD119,88),0)</f>
        <v/>
      </c>
      <c r="CM119">
        <f>IFERROR(INDEX(PP_Grid[#Data],$DD119,89),0)</f>
        <v/>
      </c>
      <c r="CN119">
        <f>IFERROR(INDEX(PP_Grid[#Data],$DD119,90),0)</f>
        <v/>
      </c>
      <c r="CO119">
        <f>IFERROR(INDEX(PP_Grid[#Data],$DD119,91),0)</f>
        <v/>
      </c>
      <c r="CP119">
        <f>IFERROR(INDEX(PP_Grid[#Data],$DD119,92),0)</f>
        <v/>
      </c>
      <c r="CQ119">
        <f>IFERROR(INDEX(PP_Grid[#Data],$DD119,93),0)</f>
        <v/>
      </c>
      <c r="CR119">
        <f>IFERROR(INDEX(PP_Grid[#Data],$DD119,94),0)</f>
        <v/>
      </c>
      <c r="CS119">
        <f>IFERROR(INDEX(PP_Grid[#Data],$DD119,95),0)</f>
        <v/>
      </c>
      <c r="CT119">
        <f>IFERROR(INDEX(PP_Grid[#Data],$DD119,96),0)</f>
        <v/>
      </c>
      <c r="CU119">
        <f>IFERROR(INDEX(PP_Grid[#Data],$DD119,97),0)</f>
        <v/>
      </c>
      <c r="CV119">
        <f>IFERROR(INDEX(PP_Grid[#Data],$DD119,98),0)</f>
        <v/>
      </c>
      <c r="CW119">
        <f>IFERROR(INDEX(PP_Grid[#Data],$DD119,99),0)</f>
        <v/>
      </c>
      <c r="CX119">
        <f>IFERROR(INDEX(PP_Grid[#Data],$DD119,100),0)</f>
        <v/>
      </c>
      <c r="CY119">
        <f>IFERROR(INDEX(PP_Grid[#Data],$DD119,101),0)</f>
        <v/>
      </c>
      <c r="CZ119">
        <f>IFERROR(INDEX(PP_Grid[#Data],$DD119,102),0)</f>
        <v/>
      </c>
      <c r="DA119">
        <f>IFERROR(INDEX(PP_Grid[#Data],$DD119,103),0)</f>
        <v/>
      </c>
      <c r="DB119">
        <f>IFERROR(INDEX(PP_Grid[#Data],$DD119,104),0)</f>
        <v/>
      </c>
      <c r="DC119">
        <f>IFERROR(INDEX(PP_Grid[#Data],$DD119,105),0)</f>
        <v/>
      </c>
      <c r="DD119" s="7">
        <f>IFERROR(MATCH($B119,PP_Grid[Intermediate],0),99999)</f>
        <v/>
      </c>
    </row>
    <row r="120">
      <c r="B120" t="inlineStr">
        <is>
          <t>使用量(kg)</t>
        </is>
      </c>
      <c r="C120">
        <f>SUMIFS(M_BOM[RM_Qty_Per_Batch],M_BOM[Intermediate],$B119,M_BOM[Part Name],$A44)</f>
        <v/>
      </c>
      <c r="D120">
        <f>$C120*D119</f>
        <v/>
      </c>
      <c r="E120">
        <f>$C120*E119</f>
        <v/>
      </c>
      <c r="F120">
        <f>$C120*F119</f>
        <v/>
      </c>
      <c r="G120">
        <f>$C120*G119</f>
        <v/>
      </c>
      <c r="H120">
        <f>$C120*H119</f>
        <v/>
      </c>
      <c r="I120">
        <f>$C120*I119</f>
        <v/>
      </c>
      <c r="J120">
        <f>$C120*J119</f>
        <v/>
      </c>
      <c r="K120">
        <f>$C120*K119</f>
        <v/>
      </c>
      <c r="L120">
        <f>$C120*L119</f>
        <v/>
      </c>
      <c r="M120">
        <f>$C120*M119</f>
        <v/>
      </c>
      <c r="N120">
        <f>$C120*N119</f>
        <v/>
      </c>
      <c r="O120">
        <f>$C120*O119</f>
        <v/>
      </c>
      <c r="P120">
        <f>$C120*P119</f>
        <v/>
      </c>
      <c r="Q120">
        <f>$C120*Q119</f>
        <v/>
      </c>
      <c r="R120">
        <f>$C120*R119</f>
        <v/>
      </c>
      <c r="S120">
        <f>$C120*S119</f>
        <v/>
      </c>
      <c r="T120">
        <f>$C120*T119</f>
        <v/>
      </c>
      <c r="U120">
        <f>$C120*U119</f>
        <v/>
      </c>
      <c r="V120">
        <f>$C120*V119</f>
        <v/>
      </c>
      <c r="W120">
        <f>$C120*W119</f>
        <v/>
      </c>
      <c r="X120">
        <f>$C120*X119</f>
        <v/>
      </c>
      <c r="Y120">
        <f>$C120*Y119</f>
        <v/>
      </c>
      <c r="Z120">
        <f>$C120*Z119</f>
        <v/>
      </c>
      <c r="AA120">
        <f>$C120*AA119</f>
        <v/>
      </c>
      <c r="AB120">
        <f>$C120*AB119</f>
        <v/>
      </c>
      <c r="AC120">
        <f>$C120*AC119</f>
        <v/>
      </c>
      <c r="AD120">
        <f>$C120*AD119</f>
        <v/>
      </c>
      <c r="AE120">
        <f>$C120*AE119</f>
        <v/>
      </c>
      <c r="AF120">
        <f>$C120*AF119</f>
        <v/>
      </c>
      <c r="AG120">
        <f>$C120*AG119</f>
        <v/>
      </c>
      <c r="AH120">
        <f>$C120*AH119</f>
        <v/>
      </c>
      <c r="AI120">
        <f>$C120*AI119</f>
        <v/>
      </c>
      <c r="AJ120">
        <f>$C120*AJ119</f>
        <v/>
      </c>
      <c r="AK120">
        <f>$C120*AK119</f>
        <v/>
      </c>
      <c r="AL120">
        <f>$C120*AL119</f>
        <v/>
      </c>
      <c r="AM120">
        <f>$C120*AM119</f>
        <v/>
      </c>
      <c r="AN120">
        <f>$C120*AN119</f>
        <v/>
      </c>
      <c r="AO120">
        <f>$C120*AO119</f>
        <v/>
      </c>
      <c r="AP120">
        <f>$C120*AP119</f>
        <v/>
      </c>
      <c r="AQ120">
        <f>$C120*AQ119</f>
        <v/>
      </c>
      <c r="AR120">
        <f>$C120*AR119</f>
        <v/>
      </c>
      <c r="AS120">
        <f>$C120*AS119</f>
        <v/>
      </c>
      <c r="AT120">
        <f>$C120*AT119</f>
        <v/>
      </c>
      <c r="AU120">
        <f>$C120*AU119</f>
        <v/>
      </c>
      <c r="AV120">
        <f>$C120*AV119</f>
        <v/>
      </c>
      <c r="AW120">
        <f>$C120*AW119</f>
        <v/>
      </c>
      <c r="AX120">
        <f>$C120*AX119</f>
        <v/>
      </c>
      <c r="AY120">
        <f>$C120*AY119</f>
        <v/>
      </c>
      <c r="AZ120">
        <f>$C120*AZ119</f>
        <v/>
      </c>
      <c r="BA120">
        <f>$C120*BA119</f>
        <v/>
      </c>
      <c r="BB120">
        <f>$C120*BB119</f>
        <v/>
      </c>
      <c r="BC120">
        <f>$C120*BC119</f>
        <v/>
      </c>
      <c r="BD120">
        <f>$C120*BD119</f>
        <v/>
      </c>
      <c r="BE120">
        <f>$C120*BE119</f>
        <v/>
      </c>
      <c r="BF120">
        <f>$C120*BF119</f>
        <v/>
      </c>
      <c r="BG120">
        <f>$C120*BG119</f>
        <v/>
      </c>
      <c r="BH120">
        <f>$C120*BH119</f>
        <v/>
      </c>
      <c r="BI120">
        <f>$C120*BI119</f>
        <v/>
      </c>
      <c r="BJ120">
        <f>$C120*BJ119</f>
        <v/>
      </c>
      <c r="BK120">
        <f>$C120*BK119</f>
        <v/>
      </c>
      <c r="BL120">
        <f>$C120*BL119</f>
        <v/>
      </c>
      <c r="BM120">
        <f>$C120*BM119</f>
        <v/>
      </c>
      <c r="BN120">
        <f>$C120*BN119</f>
        <v/>
      </c>
      <c r="BO120">
        <f>$C120*BO119</f>
        <v/>
      </c>
      <c r="BP120">
        <f>$C120*BP119</f>
        <v/>
      </c>
      <c r="BQ120">
        <f>$C120*BQ119</f>
        <v/>
      </c>
      <c r="BR120">
        <f>$C120*BR119</f>
        <v/>
      </c>
      <c r="BS120">
        <f>$C120*BS119</f>
        <v/>
      </c>
      <c r="BT120">
        <f>$C120*BT119</f>
        <v/>
      </c>
      <c r="BU120">
        <f>$C120*BU119</f>
        <v/>
      </c>
      <c r="BV120">
        <f>$C120*BV119</f>
        <v/>
      </c>
      <c r="BW120">
        <f>$C120*BW119</f>
        <v/>
      </c>
      <c r="BX120">
        <f>$C120*BX119</f>
        <v/>
      </c>
      <c r="BY120">
        <f>$C120*BY119</f>
        <v/>
      </c>
      <c r="BZ120">
        <f>$C120*BZ119</f>
        <v/>
      </c>
      <c r="CA120">
        <f>$C120*CA119</f>
        <v/>
      </c>
      <c r="CB120">
        <f>$C120*CB119</f>
        <v/>
      </c>
      <c r="CC120">
        <f>$C120*CC119</f>
        <v/>
      </c>
      <c r="CD120">
        <f>$C120*CD119</f>
        <v/>
      </c>
      <c r="CE120">
        <f>$C120*CE119</f>
        <v/>
      </c>
      <c r="CF120">
        <f>$C120*CF119</f>
        <v/>
      </c>
      <c r="CG120">
        <f>$C120*CG119</f>
        <v/>
      </c>
      <c r="CH120">
        <f>$C120*CH119</f>
        <v/>
      </c>
      <c r="CI120">
        <f>$C120*CI119</f>
        <v/>
      </c>
      <c r="CJ120">
        <f>$C120*CJ119</f>
        <v/>
      </c>
      <c r="CK120">
        <f>$C120*CK119</f>
        <v/>
      </c>
      <c r="CL120">
        <f>$C120*CL119</f>
        <v/>
      </c>
      <c r="CM120">
        <f>$C120*CM119</f>
        <v/>
      </c>
      <c r="CN120">
        <f>$C120*CN119</f>
        <v/>
      </c>
      <c r="CO120">
        <f>$C120*CO119</f>
        <v/>
      </c>
      <c r="CP120">
        <f>$C120*CP119</f>
        <v/>
      </c>
      <c r="CQ120">
        <f>$C120*CQ119</f>
        <v/>
      </c>
      <c r="CR120">
        <f>$C120*CR119</f>
        <v/>
      </c>
      <c r="CS120">
        <f>$C120*CS119</f>
        <v/>
      </c>
      <c r="CT120">
        <f>$C120*CT119</f>
        <v/>
      </c>
      <c r="CU120">
        <f>$C120*CU119</f>
        <v/>
      </c>
      <c r="CV120">
        <f>$C120*CV119</f>
        <v/>
      </c>
      <c r="CW120">
        <f>$C120*CW119</f>
        <v/>
      </c>
      <c r="CX120">
        <f>$C120*CX119</f>
        <v/>
      </c>
      <c r="CY120">
        <f>$C120*CY119</f>
        <v/>
      </c>
      <c r="CZ120">
        <f>$C120*CZ119</f>
        <v/>
      </c>
      <c r="DA120">
        <f>$C120*DA119</f>
        <v/>
      </c>
      <c r="DB120">
        <f>$C120*DB119</f>
        <v/>
      </c>
      <c r="DC120">
        <f>$C120*DC119</f>
        <v/>
      </c>
    </row>
    <row r="121">
      <c r="B121" t="inlineStr">
        <is>
          <t>TSP-828</t>
        </is>
      </c>
      <c r="C121" t="inlineStr">
        <is>
          <t>No. of batches</t>
        </is>
      </c>
      <c r="D121">
        <f>IFERROR(INDEX(PP_Grid[#Data],$DD121,2),0)</f>
        <v/>
      </c>
      <c r="E121">
        <f>IFERROR(INDEX(PP_Grid[#Data],$DD121,3),0)</f>
        <v/>
      </c>
      <c r="F121">
        <f>IFERROR(INDEX(PP_Grid[#Data],$DD121,4),0)</f>
        <v/>
      </c>
      <c r="G121">
        <f>IFERROR(INDEX(PP_Grid[#Data],$DD121,5),0)</f>
        <v/>
      </c>
      <c r="H121">
        <f>IFERROR(INDEX(PP_Grid[#Data],$DD121,6),0)</f>
        <v/>
      </c>
      <c r="I121">
        <f>IFERROR(INDEX(PP_Grid[#Data],$DD121,7),0)</f>
        <v/>
      </c>
      <c r="J121">
        <f>IFERROR(INDEX(PP_Grid[#Data],$DD121,8),0)</f>
        <v/>
      </c>
      <c r="K121">
        <f>IFERROR(INDEX(PP_Grid[#Data],$DD121,9),0)</f>
        <v/>
      </c>
      <c r="L121">
        <f>IFERROR(INDEX(PP_Grid[#Data],$DD121,10),0)</f>
        <v/>
      </c>
      <c r="M121">
        <f>IFERROR(INDEX(PP_Grid[#Data],$DD121,11),0)</f>
        <v/>
      </c>
      <c r="N121">
        <f>IFERROR(INDEX(PP_Grid[#Data],$DD121,12),0)</f>
        <v/>
      </c>
      <c r="O121">
        <f>IFERROR(INDEX(PP_Grid[#Data],$DD121,13),0)</f>
        <v/>
      </c>
      <c r="P121">
        <f>IFERROR(INDEX(PP_Grid[#Data],$DD121,14),0)</f>
        <v/>
      </c>
      <c r="Q121">
        <f>IFERROR(INDEX(PP_Grid[#Data],$DD121,15),0)</f>
        <v/>
      </c>
      <c r="R121">
        <f>IFERROR(INDEX(PP_Grid[#Data],$DD121,16),0)</f>
        <v/>
      </c>
      <c r="S121">
        <f>IFERROR(INDEX(PP_Grid[#Data],$DD121,17),0)</f>
        <v/>
      </c>
      <c r="T121">
        <f>IFERROR(INDEX(PP_Grid[#Data],$DD121,18),0)</f>
        <v/>
      </c>
      <c r="U121">
        <f>IFERROR(INDEX(PP_Grid[#Data],$DD121,19),0)</f>
        <v/>
      </c>
      <c r="V121">
        <f>IFERROR(INDEX(PP_Grid[#Data],$DD121,20),0)</f>
        <v/>
      </c>
      <c r="W121">
        <f>IFERROR(INDEX(PP_Grid[#Data],$DD121,21),0)</f>
        <v/>
      </c>
      <c r="X121">
        <f>IFERROR(INDEX(PP_Grid[#Data],$DD121,22),0)</f>
        <v/>
      </c>
      <c r="Y121">
        <f>IFERROR(INDEX(PP_Grid[#Data],$DD121,23),0)</f>
        <v/>
      </c>
      <c r="Z121">
        <f>IFERROR(INDEX(PP_Grid[#Data],$DD121,24),0)</f>
        <v/>
      </c>
      <c r="AA121">
        <f>IFERROR(INDEX(PP_Grid[#Data],$DD121,25),0)</f>
        <v/>
      </c>
      <c r="AB121">
        <f>IFERROR(INDEX(PP_Grid[#Data],$DD121,26),0)</f>
        <v/>
      </c>
      <c r="AC121">
        <f>IFERROR(INDEX(PP_Grid[#Data],$DD121,27),0)</f>
        <v/>
      </c>
      <c r="AD121">
        <f>IFERROR(INDEX(PP_Grid[#Data],$DD121,28),0)</f>
        <v/>
      </c>
      <c r="AE121">
        <f>IFERROR(INDEX(PP_Grid[#Data],$DD121,29),0)</f>
        <v/>
      </c>
      <c r="AF121">
        <f>IFERROR(INDEX(PP_Grid[#Data],$DD121,30),0)</f>
        <v/>
      </c>
      <c r="AG121">
        <f>IFERROR(INDEX(PP_Grid[#Data],$DD121,31),0)</f>
        <v/>
      </c>
      <c r="AH121">
        <f>IFERROR(INDEX(PP_Grid[#Data],$DD121,32),0)</f>
        <v/>
      </c>
      <c r="AI121">
        <f>IFERROR(INDEX(PP_Grid[#Data],$DD121,33),0)</f>
        <v/>
      </c>
      <c r="AJ121">
        <f>IFERROR(INDEX(PP_Grid[#Data],$DD121,34),0)</f>
        <v/>
      </c>
      <c r="AK121">
        <f>IFERROR(INDEX(PP_Grid[#Data],$DD121,35),0)</f>
        <v/>
      </c>
      <c r="AL121">
        <f>IFERROR(INDEX(PP_Grid[#Data],$DD121,36),0)</f>
        <v/>
      </c>
      <c r="AM121">
        <f>IFERROR(INDEX(PP_Grid[#Data],$DD121,37),0)</f>
        <v/>
      </c>
      <c r="AN121">
        <f>IFERROR(INDEX(PP_Grid[#Data],$DD121,38),0)</f>
        <v/>
      </c>
      <c r="AO121">
        <f>IFERROR(INDEX(PP_Grid[#Data],$DD121,39),0)</f>
        <v/>
      </c>
      <c r="AP121">
        <f>IFERROR(INDEX(PP_Grid[#Data],$DD121,40),0)</f>
        <v/>
      </c>
      <c r="AQ121">
        <f>IFERROR(INDEX(PP_Grid[#Data],$DD121,41),0)</f>
        <v/>
      </c>
      <c r="AR121">
        <f>IFERROR(INDEX(PP_Grid[#Data],$DD121,42),0)</f>
        <v/>
      </c>
      <c r="AS121">
        <f>IFERROR(INDEX(PP_Grid[#Data],$DD121,43),0)</f>
        <v/>
      </c>
      <c r="AT121">
        <f>IFERROR(INDEX(PP_Grid[#Data],$DD121,44),0)</f>
        <v/>
      </c>
      <c r="AU121">
        <f>IFERROR(INDEX(PP_Grid[#Data],$DD121,45),0)</f>
        <v/>
      </c>
      <c r="AV121">
        <f>IFERROR(INDEX(PP_Grid[#Data],$DD121,46),0)</f>
        <v/>
      </c>
      <c r="AW121">
        <f>IFERROR(INDEX(PP_Grid[#Data],$DD121,47),0)</f>
        <v/>
      </c>
      <c r="AX121">
        <f>IFERROR(INDEX(PP_Grid[#Data],$DD121,48),0)</f>
        <v/>
      </c>
      <c r="AY121">
        <f>IFERROR(INDEX(PP_Grid[#Data],$DD121,49),0)</f>
        <v/>
      </c>
      <c r="AZ121">
        <f>IFERROR(INDEX(PP_Grid[#Data],$DD121,50),0)</f>
        <v/>
      </c>
      <c r="BA121">
        <f>IFERROR(INDEX(PP_Grid[#Data],$DD121,51),0)</f>
        <v/>
      </c>
      <c r="BB121">
        <f>IFERROR(INDEX(PP_Grid[#Data],$DD121,52),0)</f>
        <v/>
      </c>
      <c r="BC121">
        <f>IFERROR(INDEX(PP_Grid[#Data],$DD121,53),0)</f>
        <v/>
      </c>
      <c r="BD121">
        <f>IFERROR(INDEX(PP_Grid[#Data],$DD121,54),0)</f>
        <v/>
      </c>
      <c r="BE121">
        <f>IFERROR(INDEX(PP_Grid[#Data],$DD121,55),0)</f>
        <v/>
      </c>
      <c r="BF121">
        <f>IFERROR(INDEX(PP_Grid[#Data],$DD121,56),0)</f>
        <v/>
      </c>
      <c r="BG121">
        <f>IFERROR(INDEX(PP_Grid[#Data],$DD121,57),0)</f>
        <v/>
      </c>
      <c r="BH121">
        <f>IFERROR(INDEX(PP_Grid[#Data],$DD121,58),0)</f>
        <v/>
      </c>
      <c r="BI121">
        <f>IFERROR(INDEX(PP_Grid[#Data],$DD121,59),0)</f>
        <v/>
      </c>
      <c r="BJ121">
        <f>IFERROR(INDEX(PP_Grid[#Data],$DD121,60),0)</f>
        <v/>
      </c>
      <c r="BK121">
        <f>IFERROR(INDEX(PP_Grid[#Data],$DD121,61),0)</f>
        <v/>
      </c>
      <c r="BL121">
        <f>IFERROR(INDEX(PP_Grid[#Data],$DD121,62),0)</f>
        <v/>
      </c>
      <c r="BM121">
        <f>IFERROR(INDEX(PP_Grid[#Data],$DD121,63),0)</f>
        <v/>
      </c>
      <c r="BN121">
        <f>IFERROR(INDEX(PP_Grid[#Data],$DD121,64),0)</f>
        <v/>
      </c>
      <c r="BO121">
        <f>IFERROR(INDEX(PP_Grid[#Data],$DD121,65),0)</f>
        <v/>
      </c>
      <c r="BP121">
        <f>IFERROR(INDEX(PP_Grid[#Data],$DD121,66),0)</f>
        <v/>
      </c>
      <c r="BQ121">
        <f>IFERROR(INDEX(PP_Grid[#Data],$DD121,67),0)</f>
        <v/>
      </c>
      <c r="BR121">
        <f>IFERROR(INDEX(PP_Grid[#Data],$DD121,68),0)</f>
        <v/>
      </c>
      <c r="BS121">
        <f>IFERROR(INDEX(PP_Grid[#Data],$DD121,69),0)</f>
        <v/>
      </c>
      <c r="BT121">
        <f>IFERROR(INDEX(PP_Grid[#Data],$DD121,70),0)</f>
        <v/>
      </c>
      <c r="BU121">
        <f>IFERROR(INDEX(PP_Grid[#Data],$DD121,71),0)</f>
        <v/>
      </c>
      <c r="BV121">
        <f>IFERROR(INDEX(PP_Grid[#Data],$DD121,72),0)</f>
        <v/>
      </c>
      <c r="BW121">
        <f>IFERROR(INDEX(PP_Grid[#Data],$DD121,73),0)</f>
        <v/>
      </c>
      <c r="BX121">
        <f>IFERROR(INDEX(PP_Grid[#Data],$DD121,74),0)</f>
        <v/>
      </c>
      <c r="BY121">
        <f>IFERROR(INDEX(PP_Grid[#Data],$DD121,75),0)</f>
        <v/>
      </c>
      <c r="BZ121">
        <f>IFERROR(INDEX(PP_Grid[#Data],$DD121,76),0)</f>
        <v/>
      </c>
      <c r="CA121">
        <f>IFERROR(INDEX(PP_Grid[#Data],$DD121,77),0)</f>
        <v/>
      </c>
      <c r="CB121">
        <f>IFERROR(INDEX(PP_Grid[#Data],$DD121,78),0)</f>
        <v/>
      </c>
      <c r="CC121">
        <f>IFERROR(INDEX(PP_Grid[#Data],$DD121,79),0)</f>
        <v/>
      </c>
      <c r="CD121">
        <f>IFERROR(INDEX(PP_Grid[#Data],$DD121,80),0)</f>
        <v/>
      </c>
      <c r="CE121">
        <f>IFERROR(INDEX(PP_Grid[#Data],$DD121,81),0)</f>
        <v/>
      </c>
      <c r="CF121">
        <f>IFERROR(INDEX(PP_Grid[#Data],$DD121,82),0)</f>
        <v/>
      </c>
      <c r="CG121">
        <f>IFERROR(INDEX(PP_Grid[#Data],$DD121,83),0)</f>
        <v/>
      </c>
      <c r="CH121">
        <f>IFERROR(INDEX(PP_Grid[#Data],$DD121,84),0)</f>
        <v/>
      </c>
      <c r="CI121">
        <f>IFERROR(INDEX(PP_Grid[#Data],$DD121,85),0)</f>
        <v/>
      </c>
      <c r="CJ121">
        <f>IFERROR(INDEX(PP_Grid[#Data],$DD121,86),0)</f>
        <v/>
      </c>
      <c r="CK121">
        <f>IFERROR(INDEX(PP_Grid[#Data],$DD121,87),0)</f>
        <v/>
      </c>
      <c r="CL121">
        <f>IFERROR(INDEX(PP_Grid[#Data],$DD121,88),0)</f>
        <v/>
      </c>
      <c r="CM121">
        <f>IFERROR(INDEX(PP_Grid[#Data],$DD121,89),0)</f>
        <v/>
      </c>
      <c r="CN121">
        <f>IFERROR(INDEX(PP_Grid[#Data],$DD121,90),0)</f>
        <v/>
      </c>
      <c r="CO121">
        <f>IFERROR(INDEX(PP_Grid[#Data],$DD121,91),0)</f>
        <v/>
      </c>
      <c r="CP121">
        <f>IFERROR(INDEX(PP_Grid[#Data],$DD121,92),0)</f>
        <v/>
      </c>
      <c r="CQ121">
        <f>IFERROR(INDEX(PP_Grid[#Data],$DD121,93),0)</f>
        <v/>
      </c>
      <c r="CR121">
        <f>IFERROR(INDEX(PP_Grid[#Data],$DD121,94),0)</f>
        <v/>
      </c>
      <c r="CS121">
        <f>IFERROR(INDEX(PP_Grid[#Data],$DD121,95),0)</f>
        <v/>
      </c>
      <c r="CT121">
        <f>IFERROR(INDEX(PP_Grid[#Data],$DD121,96),0)</f>
        <v/>
      </c>
      <c r="CU121">
        <f>IFERROR(INDEX(PP_Grid[#Data],$DD121,97),0)</f>
        <v/>
      </c>
      <c r="CV121">
        <f>IFERROR(INDEX(PP_Grid[#Data],$DD121,98),0)</f>
        <v/>
      </c>
      <c r="CW121">
        <f>IFERROR(INDEX(PP_Grid[#Data],$DD121,99),0)</f>
        <v/>
      </c>
      <c r="CX121">
        <f>IFERROR(INDEX(PP_Grid[#Data],$DD121,100),0)</f>
        <v/>
      </c>
      <c r="CY121">
        <f>IFERROR(INDEX(PP_Grid[#Data],$DD121,101),0)</f>
        <v/>
      </c>
      <c r="CZ121">
        <f>IFERROR(INDEX(PP_Grid[#Data],$DD121,102),0)</f>
        <v/>
      </c>
      <c r="DA121">
        <f>IFERROR(INDEX(PP_Grid[#Data],$DD121,103),0)</f>
        <v/>
      </c>
      <c r="DB121">
        <f>IFERROR(INDEX(PP_Grid[#Data],$DD121,104),0)</f>
        <v/>
      </c>
      <c r="DC121">
        <f>IFERROR(INDEX(PP_Grid[#Data],$DD121,105),0)</f>
        <v/>
      </c>
      <c r="DD121" s="7">
        <f>IFERROR(MATCH($B121,PP_Grid[Intermediate],0),99999)</f>
        <v/>
      </c>
    </row>
    <row r="122">
      <c r="B122" t="inlineStr">
        <is>
          <t>使用量(kg)</t>
        </is>
      </c>
      <c r="C122">
        <f>SUMIFS(M_BOM[RM_Qty_Per_Batch],M_BOM[Intermediate],$B121,M_BOM[Part Name],$A44)</f>
        <v/>
      </c>
      <c r="D122">
        <f>$C122*D121</f>
        <v/>
      </c>
      <c r="E122">
        <f>$C122*E121</f>
        <v/>
      </c>
      <c r="F122">
        <f>$C122*F121</f>
        <v/>
      </c>
      <c r="G122">
        <f>$C122*G121</f>
        <v/>
      </c>
      <c r="H122">
        <f>$C122*H121</f>
        <v/>
      </c>
      <c r="I122">
        <f>$C122*I121</f>
        <v/>
      </c>
      <c r="J122">
        <f>$C122*J121</f>
        <v/>
      </c>
      <c r="K122">
        <f>$C122*K121</f>
        <v/>
      </c>
      <c r="L122">
        <f>$C122*L121</f>
        <v/>
      </c>
      <c r="M122">
        <f>$C122*M121</f>
        <v/>
      </c>
      <c r="N122">
        <f>$C122*N121</f>
        <v/>
      </c>
      <c r="O122">
        <f>$C122*O121</f>
        <v/>
      </c>
      <c r="P122">
        <f>$C122*P121</f>
        <v/>
      </c>
      <c r="Q122">
        <f>$C122*Q121</f>
        <v/>
      </c>
      <c r="R122">
        <f>$C122*R121</f>
        <v/>
      </c>
      <c r="S122">
        <f>$C122*S121</f>
        <v/>
      </c>
      <c r="T122">
        <f>$C122*T121</f>
        <v/>
      </c>
      <c r="U122">
        <f>$C122*U121</f>
        <v/>
      </c>
      <c r="V122">
        <f>$C122*V121</f>
        <v/>
      </c>
      <c r="W122">
        <f>$C122*W121</f>
        <v/>
      </c>
      <c r="X122">
        <f>$C122*X121</f>
        <v/>
      </c>
      <c r="Y122">
        <f>$C122*Y121</f>
        <v/>
      </c>
      <c r="Z122">
        <f>$C122*Z121</f>
        <v/>
      </c>
      <c r="AA122">
        <f>$C122*AA121</f>
        <v/>
      </c>
      <c r="AB122">
        <f>$C122*AB121</f>
        <v/>
      </c>
      <c r="AC122">
        <f>$C122*AC121</f>
        <v/>
      </c>
      <c r="AD122">
        <f>$C122*AD121</f>
        <v/>
      </c>
      <c r="AE122">
        <f>$C122*AE121</f>
        <v/>
      </c>
      <c r="AF122">
        <f>$C122*AF121</f>
        <v/>
      </c>
      <c r="AG122">
        <f>$C122*AG121</f>
        <v/>
      </c>
      <c r="AH122">
        <f>$C122*AH121</f>
        <v/>
      </c>
      <c r="AI122">
        <f>$C122*AI121</f>
        <v/>
      </c>
      <c r="AJ122">
        <f>$C122*AJ121</f>
        <v/>
      </c>
      <c r="AK122">
        <f>$C122*AK121</f>
        <v/>
      </c>
      <c r="AL122">
        <f>$C122*AL121</f>
        <v/>
      </c>
      <c r="AM122">
        <f>$C122*AM121</f>
        <v/>
      </c>
      <c r="AN122">
        <f>$C122*AN121</f>
        <v/>
      </c>
      <c r="AO122">
        <f>$C122*AO121</f>
        <v/>
      </c>
      <c r="AP122">
        <f>$C122*AP121</f>
        <v/>
      </c>
      <c r="AQ122">
        <f>$C122*AQ121</f>
        <v/>
      </c>
      <c r="AR122">
        <f>$C122*AR121</f>
        <v/>
      </c>
      <c r="AS122">
        <f>$C122*AS121</f>
        <v/>
      </c>
      <c r="AT122">
        <f>$C122*AT121</f>
        <v/>
      </c>
      <c r="AU122">
        <f>$C122*AU121</f>
        <v/>
      </c>
      <c r="AV122">
        <f>$C122*AV121</f>
        <v/>
      </c>
      <c r="AW122">
        <f>$C122*AW121</f>
        <v/>
      </c>
      <c r="AX122">
        <f>$C122*AX121</f>
        <v/>
      </c>
      <c r="AY122">
        <f>$C122*AY121</f>
        <v/>
      </c>
      <c r="AZ122">
        <f>$C122*AZ121</f>
        <v/>
      </c>
      <c r="BA122">
        <f>$C122*BA121</f>
        <v/>
      </c>
      <c r="BB122">
        <f>$C122*BB121</f>
        <v/>
      </c>
      <c r="BC122">
        <f>$C122*BC121</f>
        <v/>
      </c>
      <c r="BD122">
        <f>$C122*BD121</f>
        <v/>
      </c>
      <c r="BE122">
        <f>$C122*BE121</f>
        <v/>
      </c>
      <c r="BF122">
        <f>$C122*BF121</f>
        <v/>
      </c>
      <c r="BG122">
        <f>$C122*BG121</f>
        <v/>
      </c>
      <c r="BH122">
        <f>$C122*BH121</f>
        <v/>
      </c>
      <c r="BI122">
        <f>$C122*BI121</f>
        <v/>
      </c>
      <c r="BJ122">
        <f>$C122*BJ121</f>
        <v/>
      </c>
      <c r="BK122">
        <f>$C122*BK121</f>
        <v/>
      </c>
      <c r="BL122">
        <f>$C122*BL121</f>
        <v/>
      </c>
      <c r="BM122">
        <f>$C122*BM121</f>
        <v/>
      </c>
      <c r="BN122">
        <f>$C122*BN121</f>
        <v/>
      </c>
      <c r="BO122">
        <f>$C122*BO121</f>
        <v/>
      </c>
      <c r="BP122">
        <f>$C122*BP121</f>
        <v/>
      </c>
      <c r="BQ122">
        <f>$C122*BQ121</f>
        <v/>
      </c>
      <c r="BR122">
        <f>$C122*BR121</f>
        <v/>
      </c>
      <c r="BS122">
        <f>$C122*BS121</f>
        <v/>
      </c>
      <c r="BT122">
        <f>$C122*BT121</f>
        <v/>
      </c>
      <c r="BU122">
        <f>$C122*BU121</f>
        <v/>
      </c>
      <c r="BV122">
        <f>$C122*BV121</f>
        <v/>
      </c>
      <c r="BW122">
        <f>$C122*BW121</f>
        <v/>
      </c>
      <c r="BX122">
        <f>$C122*BX121</f>
        <v/>
      </c>
      <c r="BY122">
        <f>$C122*BY121</f>
        <v/>
      </c>
      <c r="BZ122">
        <f>$C122*BZ121</f>
        <v/>
      </c>
      <c r="CA122">
        <f>$C122*CA121</f>
        <v/>
      </c>
      <c r="CB122">
        <f>$C122*CB121</f>
        <v/>
      </c>
      <c r="CC122">
        <f>$C122*CC121</f>
        <v/>
      </c>
      <c r="CD122">
        <f>$C122*CD121</f>
        <v/>
      </c>
      <c r="CE122">
        <f>$C122*CE121</f>
        <v/>
      </c>
      <c r="CF122">
        <f>$C122*CF121</f>
        <v/>
      </c>
      <c r="CG122">
        <f>$C122*CG121</f>
        <v/>
      </c>
      <c r="CH122">
        <f>$C122*CH121</f>
        <v/>
      </c>
      <c r="CI122">
        <f>$C122*CI121</f>
        <v/>
      </c>
      <c r="CJ122">
        <f>$C122*CJ121</f>
        <v/>
      </c>
      <c r="CK122">
        <f>$C122*CK121</f>
        <v/>
      </c>
      <c r="CL122">
        <f>$C122*CL121</f>
        <v/>
      </c>
      <c r="CM122">
        <f>$C122*CM121</f>
        <v/>
      </c>
      <c r="CN122">
        <f>$C122*CN121</f>
        <v/>
      </c>
      <c r="CO122">
        <f>$C122*CO121</f>
        <v/>
      </c>
      <c r="CP122">
        <f>$C122*CP121</f>
        <v/>
      </c>
      <c r="CQ122">
        <f>$C122*CQ121</f>
        <v/>
      </c>
      <c r="CR122">
        <f>$C122*CR121</f>
        <v/>
      </c>
      <c r="CS122">
        <f>$C122*CS121</f>
        <v/>
      </c>
      <c r="CT122">
        <f>$C122*CT121</f>
        <v/>
      </c>
      <c r="CU122">
        <f>$C122*CU121</f>
        <v/>
      </c>
      <c r="CV122">
        <f>$C122*CV121</f>
        <v/>
      </c>
      <c r="CW122">
        <f>$C122*CW121</f>
        <v/>
      </c>
      <c r="CX122">
        <f>$C122*CX121</f>
        <v/>
      </c>
      <c r="CY122">
        <f>$C122*CY121</f>
        <v/>
      </c>
      <c r="CZ122">
        <f>$C122*CZ121</f>
        <v/>
      </c>
      <c r="DA122">
        <f>$C122*DA121</f>
        <v/>
      </c>
      <c r="DB122">
        <f>$C122*DB121</f>
        <v/>
      </c>
      <c r="DC122">
        <f>$C122*DC121</f>
        <v/>
      </c>
    </row>
    <row r="123">
      <c r="B123" t="inlineStr">
        <is>
          <t>TSP-903</t>
        </is>
      </c>
      <c r="C123" t="inlineStr">
        <is>
          <t>No. of batches</t>
        </is>
      </c>
      <c r="D123">
        <f>IFERROR(INDEX(PP_Grid[#Data],$DD123,2),0)</f>
        <v/>
      </c>
      <c r="E123">
        <f>IFERROR(INDEX(PP_Grid[#Data],$DD123,3),0)</f>
        <v/>
      </c>
      <c r="F123">
        <f>IFERROR(INDEX(PP_Grid[#Data],$DD123,4),0)</f>
        <v/>
      </c>
      <c r="G123">
        <f>IFERROR(INDEX(PP_Grid[#Data],$DD123,5),0)</f>
        <v/>
      </c>
      <c r="H123">
        <f>IFERROR(INDEX(PP_Grid[#Data],$DD123,6),0)</f>
        <v/>
      </c>
      <c r="I123">
        <f>IFERROR(INDEX(PP_Grid[#Data],$DD123,7),0)</f>
        <v/>
      </c>
      <c r="J123">
        <f>IFERROR(INDEX(PP_Grid[#Data],$DD123,8),0)</f>
        <v/>
      </c>
      <c r="K123">
        <f>IFERROR(INDEX(PP_Grid[#Data],$DD123,9),0)</f>
        <v/>
      </c>
      <c r="L123">
        <f>IFERROR(INDEX(PP_Grid[#Data],$DD123,10),0)</f>
        <v/>
      </c>
      <c r="M123">
        <f>IFERROR(INDEX(PP_Grid[#Data],$DD123,11),0)</f>
        <v/>
      </c>
      <c r="N123">
        <f>IFERROR(INDEX(PP_Grid[#Data],$DD123,12),0)</f>
        <v/>
      </c>
      <c r="O123">
        <f>IFERROR(INDEX(PP_Grid[#Data],$DD123,13),0)</f>
        <v/>
      </c>
      <c r="P123">
        <f>IFERROR(INDEX(PP_Grid[#Data],$DD123,14),0)</f>
        <v/>
      </c>
      <c r="Q123">
        <f>IFERROR(INDEX(PP_Grid[#Data],$DD123,15),0)</f>
        <v/>
      </c>
      <c r="R123">
        <f>IFERROR(INDEX(PP_Grid[#Data],$DD123,16),0)</f>
        <v/>
      </c>
      <c r="S123">
        <f>IFERROR(INDEX(PP_Grid[#Data],$DD123,17),0)</f>
        <v/>
      </c>
      <c r="T123">
        <f>IFERROR(INDEX(PP_Grid[#Data],$DD123,18),0)</f>
        <v/>
      </c>
      <c r="U123">
        <f>IFERROR(INDEX(PP_Grid[#Data],$DD123,19),0)</f>
        <v/>
      </c>
      <c r="V123">
        <f>IFERROR(INDEX(PP_Grid[#Data],$DD123,20),0)</f>
        <v/>
      </c>
      <c r="W123">
        <f>IFERROR(INDEX(PP_Grid[#Data],$DD123,21),0)</f>
        <v/>
      </c>
      <c r="X123">
        <f>IFERROR(INDEX(PP_Grid[#Data],$DD123,22),0)</f>
        <v/>
      </c>
      <c r="Y123">
        <f>IFERROR(INDEX(PP_Grid[#Data],$DD123,23),0)</f>
        <v/>
      </c>
      <c r="Z123">
        <f>IFERROR(INDEX(PP_Grid[#Data],$DD123,24),0)</f>
        <v/>
      </c>
      <c r="AA123">
        <f>IFERROR(INDEX(PP_Grid[#Data],$DD123,25),0)</f>
        <v/>
      </c>
      <c r="AB123">
        <f>IFERROR(INDEX(PP_Grid[#Data],$DD123,26),0)</f>
        <v/>
      </c>
      <c r="AC123">
        <f>IFERROR(INDEX(PP_Grid[#Data],$DD123,27),0)</f>
        <v/>
      </c>
      <c r="AD123">
        <f>IFERROR(INDEX(PP_Grid[#Data],$DD123,28),0)</f>
        <v/>
      </c>
      <c r="AE123">
        <f>IFERROR(INDEX(PP_Grid[#Data],$DD123,29),0)</f>
        <v/>
      </c>
      <c r="AF123">
        <f>IFERROR(INDEX(PP_Grid[#Data],$DD123,30),0)</f>
        <v/>
      </c>
      <c r="AG123">
        <f>IFERROR(INDEX(PP_Grid[#Data],$DD123,31),0)</f>
        <v/>
      </c>
      <c r="AH123">
        <f>IFERROR(INDEX(PP_Grid[#Data],$DD123,32),0)</f>
        <v/>
      </c>
      <c r="AI123">
        <f>IFERROR(INDEX(PP_Grid[#Data],$DD123,33),0)</f>
        <v/>
      </c>
      <c r="AJ123">
        <f>IFERROR(INDEX(PP_Grid[#Data],$DD123,34),0)</f>
        <v/>
      </c>
      <c r="AK123">
        <f>IFERROR(INDEX(PP_Grid[#Data],$DD123,35),0)</f>
        <v/>
      </c>
      <c r="AL123">
        <f>IFERROR(INDEX(PP_Grid[#Data],$DD123,36),0)</f>
        <v/>
      </c>
      <c r="AM123">
        <f>IFERROR(INDEX(PP_Grid[#Data],$DD123,37),0)</f>
        <v/>
      </c>
      <c r="AN123">
        <f>IFERROR(INDEX(PP_Grid[#Data],$DD123,38),0)</f>
        <v/>
      </c>
      <c r="AO123">
        <f>IFERROR(INDEX(PP_Grid[#Data],$DD123,39),0)</f>
        <v/>
      </c>
      <c r="AP123">
        <f>IFERROR(INDEX(PP_Grid[#Data],$DD123,40),0)</f>
        <v/>
      </c>
      <c r="AQ123">
        <f>IFERROR(INDEX(PP_Grid[#Data],$DD123,41),0)</f>
        <v/>
      </c>
      <c r="AR123">
        <f>IFERROR(INDEX(PP_Grid[#Data],$DD123,42),0)</f>
        <v/>
      </c>
      <c r="AS123">
        <f>IFERROR(INDEX(PP_Grid[#Data],$DD123,43),0)</f>
        <v/>
      </c>
      <c r="AT123">
        <f>IFERROR(INDEX(PP_Grid[#Data],$DD123,44),0)</f>
        <v/>
      </c>
      <c r="AU123">
        <f>IFERROR(INDEX(PP_Grid[#Data],$DD123,45),0)</f>
        <v/>
      </c>
      <c r="AV123">
        <f>IFERROR(INDEX(PP_Grid[#Data],$DD123,46),0)</f>
        <v/>
      </c>
      <c r="AW123">
        <f>IFERROR(INDEX(PP_Grid[#Data],$DD123,47),0)</f>
        <v/>
      </c>
      <c r="AX123">
        <f>IFERROR(INDEX(PP_Grid[#Data],$DD123,48),0)</f>
        <v/>
      </c>
      <c r="AY123">
        <f>IFERROR(INDEX(PP_Grid[#Data],$DD123,49),0)</f>
        <v/>
      </c>
      <c r="AZ123">
        <f>IFERROR(INDEX(PP_Grid[#Data],$DD123,50),0)</f>
        <v/>
      </c>
      <c r="BA123">
        <f>IFERROR(INDEX(PP_Grid[#Data],$DD123,51),0)</f>
        <v/>
      </c>
      <c r="BB123">
        <f>IFERROR(INDEX(PP_Grid[#Data],$DD123,52),0)</f>
        <v/>
      </c>
      <c r="BC123">
        <f>IFERROR(INDEX(PP_Grid[#Data],$DD123,53),0)</f>
        <v/>
      </c>
      <c r="BD123">
        <f>IFERROR(INDEX(PP_Grid[#Data],$DD123,54),0)</f>
        <v/>
      </c>
      <c r="BE123">
        <f>IFERROR(INDEX(PP_Grid[#Data],$DD123,55),0)</f>
        <v/>
      </c>
      <c r="BF123">
        <f>IFERROR(INDEX(PP_Grid[#Data],$DD123,56),0)</f>
        <v/>
      </c>
      <c r="BG123">
        <f>IFERROR(INDEX(PP_Grid[#Data],$DD123,57),0)</f>
        <v/>
      </c>
      <c r="BH123">
        <f>IFERROR(INDEX(PP_Grid[#Data],$DD123,58),0)</f>
        <v/>
      </c>
      <c r="BI123">
        <f>IFERROR(INDEX(PP_Grid[#Data],$DD123,59),0)</f>
        <v/>
      </c>
      <c r="BJ123">
        <f>IFERROR(INDEX(PP_Grid[#Data],$DD123,60),0)</f>
        <v/>
      </c>
      <c r="BK123">
        <f>IFERROR(INDEX(PP_Grid[#Data],$DD123,61),0)</f>
        <v/>
      </c>
      <c r="BL123">
        <f>IFERROR(INDEX(PP_Grid[#Data],$DD123,62),0)</f>
        <v/>
      </c>
      <c r="BM123">
        <f>IFERROR(INDEX(PP_Grid[#Data],$DD123,63),0)</f>
        <v/>
      </c>
      <c r="BN123">
        <f>IFERROR(INDEX(PP_Grid[#Data],$DD123,64),0)</f>
        <v/>
      </c>
      <c r="BO123">
        <f>IFERROR(INDEX(PP_Grid[#Data],$DD123,65),0)</f>
        <v/>
      </c>
      <c r="BP123">
        <f>IFERROR(INDEX(PP_Grid[#Data],$DD123,66),0)</f>
        <v/>
      </c>
      <c r="BQ123">
        <f>IFERROR(INDEX(PP_Grid[#Data],$DD123,67),0)</f>
        <v/>
      </c>
      <c r="BR123">
        <f>IFERROR(INDEX(PP_Grid[#Data],$DD123,68),0)</f>
        <v/>
      </c>
      <c r="BS123">
        <f>IFERROR(INDEX(PP_Grid[#Data],$DD123,69),0)</f>
        <v/>
      </c>
      <c r="BT123">
        <f>IFERROR(INDEX(PP_Grid[#Data],$DD123,70),0)</f>
        <v/>
      </c>
      <c r="BU123">
        <f>IFERROR(INDEX(PP_Grid[#Data],$DD123,71),0)</f>
        <v/>
      </c>
      <c r="BV123">
        <f>IFERROR(INDEX(PP_Grid[#Data],$DD123,72),0)</f>
        <v/>
      </c>
      <c r="BW123">
        <f>IFERROR(INDEX(PP_Grid[#Data],$DD123,73),0)</f>
        <v/>
      </c>
      <c r="BX123">
        <f>IFERROR(INDEX(PP_Grid[#Data],$DD123,74),0)</f>
        <v/>
      </c>
      <c r="BY123">
        <f>IFERROR(INDEX(PP_Grid[#Data],$DD123,75),0)</f>
        <v/>
      </c>
      <c r="BZ123">
        <f>IFERROR(INDEX(PP_Grid[#Data],$DD123,76),0)</f>
        <v/>
      </c>
      <c r="CA123">
        <f>IFERROR(INDEX(PP_Grid[#Data],$DD123,77),0)</f>
        <v/>
      </c>
      <c r="CB123">
        <f>IFERROR(INDEX(PP_Grid[#Data],$DD123,78),0)</f>
        <v/>
      </c>
      <c r="CC123">
        <f>IFERROR(INDEX(PP_Grid[#Data],$DD123,79),0)</f>
        <v/>
      </c>
      <c r="CD123">
        <f>IFERROR(INDEX(PP_Grid[#Data],$DD123,80),0)</f>
        <v/>
      </c>
      <c r="CE123">
        <f>IFERROR(INDEX(PP_Grid[#Data],$DD123,81),0)</f>
        <v/>
      </c>
      <c r="CF123">
        <f>IFERROR(INDEX(PP_Grid[#Data],$DD123,82),0)</f>
        <v/>
      </c>
      <c r="CG123">
        <f>IFERROR(INDEX(PP_Grid[#Data],$DD123,83),0)</f>
        <v/>
      </c>
      <c r="CH123">
        <f>IFERROR(INDEX(PP_Grid[#Data],$DD123,84),0)</f>
        <v/>
      </c>
      <c r="CI123">
        <f>IFERROR(INDEX(PP_Grid[#Data],$DD123,85),0)</f>
        <v/>
      </c>
      <c r="CJ123">
        <f>IFERROR(INDEX(PP_Grid[#Data],$DD123,86),0)</f>
        <v/>
      </c>
      <c r="CK123">
        <f>IFERROR(INDEX(PP_Grid[#Data],$DD123,87),0)</f>
        <v/>
      </c>
      <c r="CL123">
        <f>IFERROR(INDEX(PP_Grid[#Data],$DD123,88),0)</f>
        <v/>
      </c>
      <c r="CM123">
        <f>IFERROR(INDEX(PP_Grid[#Data],$DD123,89),0)</f>
        <v/>
      </c>
      <c r="CN123">
        <f>IFERROR(INDEX(PP_Grid[#Data],$DD123,90),0)</f>
        <v/>
      </c>
      <c r="CO123">
        <f>IFERROR(INDEX(PP_Grid[#Data],$DD123,91),0)</f>
        <v/>
      </c>
      <c r="CP123">
        <f>IFERROR(INDEX(PP_Grid[#Data],$DD123,92),0)</f>
        <v/>
      </c>
      <c r="CQ123">
        <f>IFERROR(INDEX(PP_Grid[#Data],$DD123,93),0)</f>
        <v/>
      </c>
      <c r="CR123">
        <f>IFERROR(INDEX(PP_Grid[#Data],$DD123,94),0)</f>
        <v/>
      </c>
      <c r="CS123">
        <f>IFERROR(INDEX(PP_Grid[#Data],$DD123,95),0)</f>
        <v/>
      </c>
      <c r="CT123">
        <f>IFERROR(INDEX(PP_Grid[#Data],$DD123,96),0)</f>
        <v/>
      </c>
      <c r="CU123">
        <f>IFERROR(INDEX(PP_Grid[#Data],$DD123,97),0)</f>
        <v/>
      </c>
      <c r="CV123">
        <f>IFERROR(INDEX(PP_Grid[#Data],$DD123,98),0)</f>
        <v/>
      </c>
      <c r="CW123">
        <f>IFERROR(INDEX(PP_Grid[#Data],$DD123,99),0)</f>
        <v/>
      </c>
      <c r="CX123">
        <f>IFERROR(INDEX(PP_Grid[#Data],$DD123,100),0)</f>
        <v/>
      </c>
      <c r="CY123">
        <f>IFERROR(INDEX(PP_Grid[#Data],$DD123,101),0)</f>
        <v/>
      </c>
      <c r="CZ123">
        <f>IFERROR(INDEX(PP_Grid[#Data],$DD123,102),0)</f>
        <v/>
      </c>
      <c r="DA123">
        <f>IFERROR(INDEX(PP_Grid[#Data],$DD123,103),0)</f>
        <v/>
      </c>
      <c r="DB123">
        <f>IFERROR(INDEX(PP_Grid[#Data],$DD123,104),0)</f>
        <v/>
      </c>
      <c r="DC123">
        <f>IFERROR(INDEX(PP_Grid[#Data],$DD123,105),0)</f>
        <v/>
      </c>
      <c r="DD123" s="7">
        <f>IFERROR(MATCH($B123,PP_Grid[Intermediate],0),99999)</f>
        <v/>
      </c>
    </row>
    <row r="124">
      <c r="B124" t="inlineStr">
        <is>
          <t>使用量(kg)</t>
        </is>
      </c>
      <c r="C124">
        <f>SUMIFS(M_BOM[RM_Qty_Per_Batch],M_BOM[Intermediate],$B123,M_BOM[Part Name],$A44)</f>
        <v/>
      </c>
      <c r="D124">
        <f>$C124*D123</f>
        <v/>
      </c>
      <c r="E124">
        <f>$C124*E123</f>
        <v/>
      </c>
      <c r="F124">
        <f>$C124*F123</f>
        <v/>
      </c>
      <c r="G124">
        <f>$C124*G123</f>
        <v/>
      </c>
      <c r="H124">
        <f>$C124*H123</f>
        <v/>
      </c>
      <c r="I124">
        <f>$C124*I123</f>
        <v/>
      </c>
      <c r="J124">
        <f>$C124*J123</f>
        <v/>
      </c>
      <c r="K124">
        <f>$C124*K123</f>
        <v/>
      </c>
      <c r="L124">
        <f>$C124*L123</f>
        <v/>
      </c>
      <c r="M124">
        <f>$C124*M123</f>
        <v/>
      </c>
      <c r="N124">
        <f>$C124*N123</f>
        <v/>
      </c>
      <c r="O124">
        <f>$C124*O123</f>
        <v/>
      </c>
      <c r="P124">
        <f>$C124*P123</f>
        <v/>
      </c>
      <c r="Q124">
        <f>$C124*Q123</f>
        <v/>
      </c>
      <c r="R124">
        <f>$C124*R123</f>
        <v/>
      </c>
      <c r="S124">
        <f>$C124*S123</f>
        <v/>
      </c>
      <c r="T124">
        <f>$C124*T123</f>
        <v/>
      </c>
      <c r="U124">
        <f>$C124*U123</f>
        <v/>
      </c>
      <c r="V124">
        <f>$C124*V123</f>
        <v/>
      </c>
      <c r="W124">
        <f>$C124*W123</f>
        <v/>
      </c>
      <c r="X124">
        <f>$C124*X123</f>
        <v/>
      </c>
      <c r="Y124">
        <f>$C124*Y123</f>
        <v/>
      </c>
      <c r="Z124">
        <f>$C124*Z123</f>
        <v/>
      </c>
      <c r="AA124">
        <f>$C124*AA123</f>
        <v/>
      </c>
      <c r="AB124">
        <f>$C124*AB123</f>
        <v/>
      </c>
      <c r="AC124">
        <f>$C124*AC123</f>
        <v/>
      </c>
      <c r="AD124">
        <f>$C124*AD123</f>
        <v/>
      </c>
      <c r="AE124">
        <f>$C124*AE123</f>
        <v/>
      </c>
      <c r="AF124">
        <f>$C124*AF123</f>
        <v/>
      </c>
      <c r="AG124">
        <f>$C124*AG123</f>
        <v/>
      </c>
      <c r="AH124">
        <f>$C124*AH123</f>
        <v/>
      </c>
      <c r="AI124">
        <f>$C124*AI123</f>
        <v/>
      </c>
      <c r="AJ124">
        <f>$C124*AJ123</f>
        <v/>
      </c>
      <c r="AK124">
        <f>$C124*AK123</f>
        <v/>
      </c>
      <c r="AL124">
        <f>$C124*AL123</f>
        <v/>
      </c>
      <c r="AM124">
        <f>$C124*AM123</f>
        <v/>
      </c>
      <c r="AN124">
        <f>$C124*AN123</f>
        <v/>
      </c>
      <c r="AO124">
        <f>$C124*AO123</f>
        <v/>
      </c>
      <c r="AP124">
        <f>$C124*AP123</f>
        <v/>
      </c>
      <c r="AQ124">
        <f>$C124*AQ123</f>
        <v/>
      </c>
      <c r="AR124">
        <f>$C124*AR123</f>
        <v/>
      </c>
      <c r="AS124">
        <f>$C124*AS123</f>
        <v/>
      </c>
      <c r="AT124">
        <f>$C124*AT123</f>
        <v/>
      </c>
      <c r="AU124">
        <f>$C124*AU123</f>
        <v/>
      </c>
      <c r="AV124">
        <f>$C124*AV123</f>
        <v/>
      </c>
      <c r="AW124">
        <f>$C124*AW123</f>
        <v/>
      </c>
      <c r="AX124">
        <f>$C124*AX123</f>
        <v/>
      </c>
      <c r="AY124">
        <f>$C124*AY123</f>
        <v/>
      </c>
      <c r="AZ124">
        <f>$C124*AZ123</f>
        <v/>
      </c>
      <c r="BA124">
        <f>$C124*BA123</f>
        <v/>
      </c>
      <c r="BB124">
        <f>$C124*BB123</f>
        <v/>
      </c>
      <c r="BC124">
        <f>$C124*BC123</f>
        <v/>
      </c>
      <c r="BD124">
        <f>$C124*BD123</f>
        <v/>
      </c>
      <c r="BE124">
        <f>$C124*BE123</f>
        <v/>
      </c>
      <c r="BF124">
        <f>$C124*BF123</f>
        <v/>
      </c>
      <c r="BG124">
        <f>$C124*BG123</f>
        <v/>
      </c>
      <c r="BH124">
        <f>$C124*BH123</f>
        <v/>
      </c>
      <c r="BI124">
        <f>$C124*BI123</f>
        <v/>
      </c>
      <c r="BJ124">
        <f>$C124*BJ123</f>
        <v/>
      </c>
      <c r="BK124">
        <f>$C124*BK123</f>
        <v/>
      </c>
      <c r="BL124">
        <f>$C124*BL123</f>
        <v/>
      </c>
      <c r="BM124">
        <f>$C124*BM123</f>
        <v/>
      </c>
      <c r="BN124">
        <f>$C124*BN123</f>
        <v/>
      </c>
      <c r="BO124">
        <f>$C124*BO123</f>
        <v/>
      </c>
      <c r="BP124">
        <f>$C124*BP123</f>
        <v/>
      </c>
      <c r="BQ124">
        <f>$C124*BQ123</f>
        <v/>
      </c>
      <c r="BR124">
        <f>$C124*BR123</f>
        <v/>
      </c>
      <c r="BS124">
        <f>$C124*BS123</f>
        <v/>
      </c>
      <c r="BT124">
        <f>$C124*BT123</f>
        <v/>
      </c>
      <c r="BU124">
        <f>$C124*BU123</f>
        <v/>
      </c>
      <c r="BV124">
        <f>$C124*BV123</f>
        <v/>
      </c>
      <c r="BW124">
        <f>$C124*BW123</f>
        <v/>
      </c>
      <c r="BX124">
        <f>$C124*BX123</f>
        <v/>
      </c>
      <c r="BY124">
        <f>$C124*BY123</f>
        <v/>
      </c>
      <c r="BZ124">
        <f>$C124*BZ123</f>
        <v/>
      </c>
      <c r="CA124">
        <f>$C124*CA123</f>
        <v/>
      </c>
      <c r="CB124">
        <f>$C124*CB123</f>
        <v/>
      </c>
      <c r="CC124">
        <f>$C124*CC123</f>
        <v/>
      </c>
      <c r="CD124">
        <f>$C124*CD123</f>
        <v/>
      </c>
      <c r="CE124">
        <f>$C124*CE123</f>
        <v/>
      </c>
      <c r="CF124">
        <f>$C124*CF123</f>
        <v/>
      </c>
      <c r="CG124">
        <f>$C124*CG123</f>
        <v/>
      </c>
      <c r="CH124">
        <f>$C124*CH123</f>
        <v/>
      </c>
      <c r="CI124">
        <f>$C124*CI123</f>
        <v/>
      </c>
      <c r="CJ124">
        <f>$C124*CJ123</f>
        <v/>
      </c>
      <c r="CK124">
        <f>$C124*CK123</f>
        <v/>
      </c>
      <c r="CL124">
        <f>$C124*CL123</f>
        <v/>
      </c>
      <c r="CM124">
        <f>$C124*CM123</f>
        <v/>
      </c>
      <c r="CN124">
        <f>$C124*CN123</f>
        <v/>
      </c>
      <c r="CO124">
        <f>$C124*CO123</f>
        <v/>
      </c>
      <c r="CP124">
        <f>$C124*CP123</f>
        <v/>
      </c>
      <c r="CQ124">
        <f>$C124*CQ123</f>
        <v/>
      </c>
      <c r="CR124">
        <f>$C124*CR123</f>
        <v/>
      </c>
      <c r="CS124">
        <f>$C124*CS123</f>
        <v/>
      </c>
      <c r="CT124">
        <f>$C124*CT123</f>
        <v/>
      </c>
      <c r="CU124">
        <f>$C124*CU123</f>
        <v/>
      </c>
      <c r="CV124">
        <f>$C124*CV123</f>
        <v/>
      </c>
      <c r="CW124">
        <f>$C124*CW123</f>
        <v/>
      </c>
      <c r="CX124">
        <f>$C124*CX123</f>
        <v/>
      </c>
      <c r="CY124">
        <f>$C124*CY123</f>
        <v/>
      </c>
      <c r="CZ124">
        <f>$C124*CZ123</f>
        <v/>
      </c>
      <c r="DA124">
        <f>$C124*DA123</f>
        <v/>
      </c>
      <c r="DB124">
        <f>$C124*DB123</f>
        <v/>
      </c>
      <c r="DC124">
        <f>$C124*DC123</f>
        <v/>
      </c>
    </row>
    <row r="125">
      <c r="B125" t="inlineStr">
        <is>
          <t>TSP-924</t>
        </is>
      </c>
      <c r="C125" t="inlineStr">
        <is>
          <t>No. of batches</t>
        </is>
      </c>
      <c r="D125">
        <f>IFERROR(INDEX(PP_Grid[#Data],$DD125,2),0)</f>
        <v/>
      </c>
      <c r="E125">
        <f>IFERROR(INDEX(PP_Grid[#Data],$DD125,3),0)</f>
        <v/>
      </c>
      <c r="F125">
        <f>IFERROR(INDEX(PP_Grid[#Data],$DD125,4),0)</f>
        <v/>
      </c>
      <c r="G125">
        <f>IFERROR(INDEX(PP_Grid[#Data],$DD125,5),0)</f>
        <v/>
      </c>
      <c r="H125">
        <f>IFERROR(INDEX(PP_Grid[#Data],$DD125,6),0)</f>
        <v/>
      </c>
      <c r="I125">
        <f>IFERROR(INDEX(PP_Grid[#Data],$DD125,7),0)</f>
        <v/>
      </c>
      <c r="J125">
        <f>IFERROR(INDEX(PP_Grid[#Data],$DD125,8),0)</f>
        <v/>
      </c>
      <c r="K125">
        <f>IFERROR(INDEX(PP_Grid[#Data],$DD125,9),0)</f>
        <v/>
      </c>
      <c r="L125">
        <f>IFERROR(INDEX(PP_Grid[#Data],$DD125,10),0)</f>
        <v/>
      </c>
      <c r="M125">
        <f>IFERROR(INDEX(PP_Grid[#Data],$DD125,11),0)</f>
        <v/>
      </c>
      <c r="N125">
        <f>IFERROR(INDEX(PP_Grid[#Data],$DD125,12),0)</f>
        <v/>
      </c>
      <c r="O125">
        <f>IFERROR(INDEX(PP_Grid[#Data],$DD125,13),0)</f>
        <v/>
      </c>
      <c r="P125">
        <f>IFERROR(INDEX(PP_Grid[#Data],$DD125,14),0)</f>
        <v/>
      </c>
      <c r="Q125">
        <f>IFERROR(INDEX(PP_Grid[#Data],$DD125,15),0)</f>
        <v/>
      </c>
      <c r="R125">
        <f>IFERROR(INDEX(PP_Grid[#Data],$DD125,16),0)</f>
        <v/>
      </c>
      <c r="S125">
        <f>IFERROR(INDEX(PP_Grid[#Data],$DD125,17),0)</f>
        <v/>
      </c>
      <c r="T125">
        <f>IFERROR(INDEX(PP_Grid[#Data],$DD125,18),0)</f>
        <v/>
      </c>
      <c r="U125">
        <f>IFERROR(INDEX(PP_Grid[#Data],$DD125,19),0)</f>
        <v/>
      </c>
      <c r="V125">
        <f>IFERROR(INDEX(PP_Grid[#Data],$DD125,20),0)</f>
        <v/>
      </c>
      <c r="W125">
        <f>IFERROR(INDEX(PP_Grid[#Data],$DD125,21),0)</f>
        <v/>
      </c>
      <c r="X125">
        <f>IFERROR(INDEX(PP_Grid[#Data],$DD125,22),0)</f>
        <v/>
      </c>
      <c r="Y125">
        <f>IFERROR(INDEX(PP_Grid[#Data],$DD125,23),0)</f>
        <v/>
      </c>
      <c r="Z125">
        <f>IFERROR(INDEX(PP_Grid[#Data],$DD125,24),0)</f>
        <v/>
      </c>
      <c r="AA125">
        <f>IFERROR(INDEX(PP_Grid[#Data],$DD125,25),0)</f>
        <v/>
      </c>
      <c r="AB125">
        <f>IFERROR(INDEX(PP_Grid[#Data],$DD125,26),0)</f>
        <v/>
      </c>
      <c r="AC125">
        <f>IFERROR(INDEX(PP_Grid[#Data],$DD125,27),0)</f>
        <v/>
      </c>
      <c r="AD125">
        <f>IFERROR(INDEX(PP_Grid[#Data],$DD125,28),0)</f>
        <v/>
      </c>
      <c r="AE125">
        <f>IFERROR(INDEX(PP_Grid[#Data],$DD125,29),0)</f>
        <v/>
      </c>
      <c r="AF125">
        <f>IFERROR(INDEX(PP_Grid[#Data],$DD125,30),0)</f>
        <v/>
      </c>
      <c r="AG125">
        <f>IFERROR(INDEX(PP_Grid[#Data],$DD125,31),0)</f>
        <v/>
      </c>
      <c r="AH125">
        <f>IFERROR(INDEX(PP_Grid[#Data],$DD125,32),0)</f>
        <v/>
      </c>
      <c r="AI125">
        <f>IFERROR(INDEX(PP_Grid[#Data],$DD125,33),0)</f>
        <v/>
      </c>
      <c r="AJ125">
        <f>IFERROR(INDEX(PP_Grid[#Data],$DD125,34),0)</f>
        <v/>
      </c>
      <c r="AK125">
        <f>IFERROR(INDEX(PP_Grid[#Data],$DD125,35),0)</f>
        <v/>
      </c>
      <c r="AL125">
        <f>IFERROR(INDEX(PP_Grid[#Data],$DD125,36),0)</f>
        <v/>
      </c>
      <c r="AM125">
        <f>IFERROR(INDEX(PP_Grid[#Data],$DD125,37),0)</f>
        <v/>
      </c>
      <c r="AN125">
        <f>IFERROR(INDEX(PP_Grid[#Data],$DD125,38),0)</f>
        <v/>
      </c>
      <c r="AO125">
        <f>IFERROR(INDEX(PP_Grid[#Data],$DD125,39),0)</f>
        <v/>
      </c>
      <c r="AP125">
        <f>IFERROR(INDEX(PP_Grid[#Data],$DD125,40),0)</f>
        <v/>
      </c>
      <c r="AQ125">
        <f>IFERROR(INDEX(PP_Grid[#Data],$DD125,41),0)</f>
        <v/>
      </c>
      <c r="AR125">
        <f>IFERROR(INDEX(PP_Grid[#Data],$DD125,42),0)</f>
        <v/>
      </c>
      <c r="AS125">
        <f>IFERROR(INDEX(PP_Grid[#Data],$DD125,43),0)</f>
        <v/>
      </c>
      <c r="AT125">
        <f>IFERROR(INDEX(PP_Grid[#Data],$DD125,44),0)</f>
        <v/>
      </c>
      <c r="AU125">
        <f>IFERROR(INDEX(PP_Grid[#Data],$DD125,45),0)</f>
        <v/>
      </c>
      <c r="AV125">
        <f>IFERROR(INDEX(PP_Grid[#Data],$DD125,46),0)</f>
        <v/>
      </c>
      <c r="AW125">
        <f>IFERROR(INDEX(PP_Grid[#Data],$DD125,47),0)</f>
        <v/>
      </c>
      <c r="AX125">
        <f>IFERROR(INDEX(PP_Grid[#Data],$DD125,48),0)</f>
        <v/>
      </c>
      <c r="AY125">
        <f>IFERROR(INDEX(PP_Grid[#Data],$DD125,49),0)</f>
        <v/>
      </c>
      <c r="AZ125">
        <f>IFERROR(INDEX(PP_Grid[#Data],$DD125,50),0)</f>
        <v/>
      </c>
      <c r="BA125">
        <f>IFERROR(INDEX(PP_Grid[#Data],$DD125,51),0)</f>
        <v/>
      </c>
      <c r="BB125">
        <f>IFERROR(INDEX(PP_Grid[#Data],$DD125,52),0)</f>
        <v/>
      </c>
      <c r="BC125">
        <f>IFERROR(INDEX(PP_Grid[#Data],$DD125,53),0)</f>
        <v/>
      </c>
      <c r="BD125">
        <f>IFERROR(INDEX(PP_Grid[#Data],$DD125,54),0)</f>
        <v/>
      </c>
      <c r="BE125">
        <f>IFERROR(INDEX(PP_Grid[#Data],$DD125,55),0)</f>
        <v/>
      </c>
      <c r="BF125">
        <f>IFERROR(INDEX(PP_Grid[#Data],$DD125,56),0)</f>
        <v/>
      </c>
      <c r="BG125">
        <f>IFERROR(INDEX(PP_Grid[#Data],$DD125,57),0)</f>
        <v/>
      </c>
      <c r="BH125">
        <f>IFERROR(INDEX(PP_Grid[#Data],$DD125,58),0)</f>
        <v/>
      </c>
      <c r="BI125">
        <f>IFERROR(INDEX(PP_Grid[#Data],$DD125,59),0)</f>
        <v/>
      </c>
      <c r="BJ125">
        <f>IFERROR(INDEX(PP_Grid[#Data],$DD125,60),0)</f>
        <v/>
      </c>
      <c r="BK125">
        <f>IFERROR(INDEX(PP_Grid[#Data],$DD125,61),0)</f>
        <v/>
      </c>
      <c r="BL125">
        <f>IFERROR(INDEX(PP_Grid[#Data],$DD125,62),0)</f>
        <v/>
      </c>
      <c r="BM125">
        <f>IFERROR(INDEX(PP_Grid[#Data],$DD125,63),0)</f>
        <v/>
      </c>
      <c r="BN125">
        <f>IFERROR(INDEX(PP_Grid[#Data],$DD125,64),0)</f>
        <v/>
      </c>
      <c r="BO125">
        <f>IFERROR(INDEX(PP_Grid[#Data],$DD125,65),0)</f>
        <v/>
      </c>
      <c r="BP125">
        <f>IFERROR(INDEX(PP_Grid[#Data],$DD125,66),0)</f>
        <v/>
      </c>
      <c r="BQ125">
        <f>IFERROR(INDEX(PP_Grid[#Data],$DD125,67),0)</f>
        <v/>
      </c>
      <c r="BR125">
        <f>IFERROR(INDEX(PP_Grid[#Data],$DD125,68),0)</f>
        <v/>
      </c>
      <c r="BS125">
        <f>IFERROR(INDEX(PP_Grid[#Data],$DD125,69),0)</f>
        <v/>
      </c>
      <c r="BT125">
        <f>IFERROR(INDEX(PP_Grid[#Data],$DD125,70),0)</f>
        <v/>
      </c>
      <c r="BU125">
        <f>IFERROR(INDEX(PP_Grid[#Data],$DD125,71),0)</f>
        <v/>
      </c>
      <c r="BV125">
        <f>IFERROR(INDEX(PP_Grid[#Data],$DD125,72),0)</f>
        <v/>
      </c>
      <c r="BW125">
        <f>IFERROR(INDEX(PP_Grid[#Data],$DD125,73),0)</f>
        <v/>
      </c>
      <c r="BX125">
        <f>IFERROR(INDEX(PP_Grid[#Data],$DD125,74),0)</f>
        <v/>
      </c>
      <c r="BY125">
        <f>IFERROR(INDEX(PP_Grid[#Data],$DD125,75),0)</f>
        <v/>
      </c>
      <c r="BZ125">
        <f>IFERROR(INDEX(PP_Grid[#Data],$DD125,76),0)</f>
        <v/>
      </c>
      <c r="CA125">
        <f>IFERROR(INDEX(PP_Grid[#Data],$DD125,77),0)</f>
        <v/>
      </c>
      <c r="CB125">
        <f>IFERROR(INDEX(PP_Grid[#Data],$DD125,78),0)</f>
        <v/>
      </c>
      <c r="CC125">
        <f>IFERROR(INDEX(PP_Grid[#Data],$DD125,79),0)</f>
        <v/>
      </c>
      <c r="CD125">
        <f>IFERROR(INDEX(PP_Grid[#Data],$DD125,80),0)</f>
        <v/>
      </c>
      <c r="CE125">
        <f>IFERROR(INDEX(PP_Grid[#Data],$DD125,81),0)</f>
        <v/>
      </c>
      <c r="CF125">
        <f>IFERROR(INDEX(PP_Grid[#Data],$DD125,82),0)</f>
        <v/>
      </c>
      <c r="CG125">
        <f>IFERROR(INDEX(PP_Grid[#Data],$DD125,83),0)</f>
        <v/>
      </c>
      <c r="CH125">
        <f>IFERROR(INDEX(PP_Grid[#Data],$DD125,84),0)</f>
        <v/>
      </c>
      <c r="CI125">
        <f>IFERROR(INDEX(PP_Grid[#Data],$DD125,85),0)</f>
        <v/>
      </c>
      <c r="CJ125">
        <f>IFERROR(INDEX(PP_Grid[#Data],$DD125,86),0)</f>
        <v/>
      </c>
      <c r="CK125">
        <f>IFERROR(INDEX(PP_Grid[#Data],$DD125,87),0)</f>
        <v/>
      </c>
      <c r="CL125">
        <f>IFERROR(INDEX(PP_Grid[#Data],$DD125,88),0)</f>
        <v/>
      </c>
      <c r="CM125">
        <f>IFERROR(INDEX(PP_Grid[#Data],$DD125,89),0)</f>
        <v/>
      </c>
      <c r="CN125">
        <f>IFERROR(INDEX(PP_Grid[#Data],$DD125,90),0)</f>
        <v/>
      </c>
      <c r="CO125">
        <f>IFERROR(INDEX(PP_Grid[#Data],$DD125,91),0)</f>
        <v/>
      </c>
      <c r="CP125">
        <f>IFERROR(INDEX(PP_Grid[#Data],$DD125,92),0)</f>
        <v/>
      </c>
      <c r="CQ125">
        <f>IFERROR(INDEX(PP_Grid[#Data],$DD125,93),0)</f>
        <v/>
      </c>
      <c r="CR125">
        <f>IFERROR(INDEX(PP_Grid[#Data],$DD125,94),0)</f>
        <v/>
      </c>
      <c r="CS125">
        <f>IFERROR(INDEX(PP_Grid[#Data],$DD125,95),0)</f>
        <v/>
      </c>
      <c r="CT125">
        <f>IFERROR(INDEX(PP_Grid[#Data],$DD125,96),0)</f>
        <v/>
      </c>
      <c r="CU125">
        <f>IFERROR(INDEX(PP_Grid[#Data],$DD125,97),0)</f>
        <v/>
      </c>
      <c r="CV125">
        <f>IFERROR(INDEX(PP_Grid[#Data],$DD125,98),0)</f>
        <v/>
      </c>
      <c r="CW125">
        <f>IFERROR(INDEX(PP_Grid[#Data],$DD125,99),0)</f>
        <v/>
      </c>
      <c r="CX125">
        <f>IFERROR(INDEX(PP_Grid[#Data],$DD125,100),0)</f>
        <v/>
      </c>
      <c r="CY125">
        <f>IFERROR(INDEX(PP_Grid[#Data],$DD125,101),0)</f>
        <v/>
      </c>
      <c r="CZ125">
        <f>IFERROR(INDEX(PP_Grid[#Data],$DD125,102),0)</f>
        <v/>
      </c>
      <c r="DA125">
        <f>IFERROR(INDEX(PP_Grid[#Data],$DD125,103),0)</f>
        <v/>
      </c>
      <c r="DB125">
        <f>IFERROR(INDEX(PP_Grid[#Data],$DD125,104),0)</f>
        <v/>
      </c>
      <c r="DC125">
        <f>IFERROR(INDEX(PP_Grid[#Data],$DD125,105),0)</f>
        <v/>
      </c>
      <c r="DD125" s="7">
        <f>IFERROR(MATCH($B125,PP_Grid[Intermediate],0),99999)</f>
        <v/>
      </c>
    </row>
    <row r="126">
      <c r="B126" t="inlineStr">
        <is>
          <t>使用量(kg)</t>
        </is>
      </c>
      <c r="C126">
        <f>SUMIFS(M_BOM[RM_Qty_Per_Batch],M_BOM[Intermediate],$B125,M_BOM[Part Name],$A44)</f>
        <v/>
      </c>
      <c r="D126">
        <f>$C126*D125</f>
        <v/>
      </c>
      <c r="E126">
        <f>$C126*E125</f>
        <v/>
      </c>
      <c r="F126">
        <f>$C126*F125</f>
        <v/>
      </c>
      <c r="G126">
        <f>$C126*G125</f>
        <v/>
      </c>
      <c r="H126">
        <f>$C126*H125</f>
        <v/>
      </c>
      <c r="I126">
        <f>$C126*I125</f>
        <v/>
      </c>
      <c r="J126">
        <f>$C126*J125</f>
        <v/>
      </c>
      <c r="K126">
        <f>$C126*K125</f>
        <v/>
      </c>
      <c r="L126">
        <f>$C126*L125</f>
        <v/>
      </c>
      <c r="M126">
        <f>$C126*M125</f>
        <v/>
      </c>
      <c r="N126">
        <f>$C126*N125</f>
        <v/>
      </c>
      <c r="O126">
        <f>$C126*O125</f>
        <v/>
      </c>
      <c r="P126">
        <f>$C126*P125</f>
        <v/>
      </c>
      <c r="Q126">
        <f>$C126*Q125</f>
        <v/>
      </c>
      <c r="R126">
        <f>$C126*R125</f>
        <v/>
      </c>
      <c r="S126">
        <f>$C126*S125</f>
        <v/>
      </c>
      <c r="T126">
        <f>$C126*T125</f>
        <v/>
      </c>
      <c r="U126">
        <f>$C126*U125</f>
        <v/>
      </c>
      <c r="V126">
        <f>$C126*V125</f>
        <v/>
      </c>
      <c r="W126">
        <f>$C126*W125</f>
        <v/>
      </c>
      <c r="X126">
        <f>$C126*X125</f>
        <v/>
      </c>
      <c r="Y126">
        <f>$C126*Y125</f>
        <v/>
      </c>
      <c r="Z126">
        <f>$C126*Z125</f>
        <v/>
      </c>
      <c r="AA126">
        <f>$C126*AA125</f>
        <v/>
      </c>
      <c r="AB126">
        <f>$C126*AB125</f>
        <v/>
      </c>
      <c r="AC126">
        <f>$C126*AC125</f>
        <v/>
      </c>
      <c r="AD126">
        <f>$C126*AD125</f>
        <v/>
      </c>
      <c r="AE126">
        <f>$C126*AE125</f>
        <v/>
      </c>
      <c r="AF126">
        <f>$C126*AF125</f>
        <v/>
      </c>
      <c r="AG126">
        <f>$C126*AG125</f>
        <v/>
      </c>
      <c r="AH126">
        <f>$C126*AH125</f>
        <v/>
      </c>
      <c r="AI126">
        <f>$C126*AI125</f>
        <v/>
      </c>
      <c r="AJ126">
        <f>$C126*AJ125</f>
        <v/>
      </c>
      <c r="AK126">
        <f>$C126*AK125</f>
        <v/>
      </c>
      <c r="AL126">
        <f>$C126*AL125</f>
        <v/>
      </c>
      <c r="AM126">
        <f>$C126*AM125</f>
        <v/>
      </c>
      <c r="AN126">
        <f>$C126*AN125</f>
        <v/>
      </c>
      <c r="AO126">
        <f>$C126*AO125</f>
        <v/>
      </c>
      <c r="AP126">
        <f>$C126*AP125</f>
        <v/>
      </c>
      <c r="AQ126">
        <f>$C126*AQ125</f>
        <v/>
      </c>
      <c r="AR126">
        <f>$C126*AR125</f>
        <v/>
      </c>
      <c r="AS126">
        <f>$C126*AS125</f>
        <v/>
      </c>
      <c r="AT126">
        <f>$C126*AT125</f>
        <v/>
      </c>
      <c r="AU126">
        <f>$C126*AU125</f>
        <v/>
      </c>
      <c r="AV126">
        <f>$C126*AV125</f>
        <v/>
      </c>
      <c r="AW126">
        <f>$C126*AW125</f>
        <v/>
      </c>
      <c r="AX126">
        <f>$C126*AX125</f>
        <v/>
      </c>
      <c r="AY126">
        <f>$C126*AY125</f>
        <v/>
      </c>
      <c r="AZ126">
        <f>$C126*AZ125</f>
        <v/>
      </c>
      <c r="BA126">
        <f>$C126*BA125</f>
        <v/>
      </c>
      <c r="BB126">
        <f>$C126*BB125</f>
        <v/>
      </c>
      <c r="BC126">
        <f>$C126*BC125</f>
        <v/>
      </c>
      <c r="BD126">
        <f>$C126*BD125</f>
        <v/>
      </c>
      <c r="BE126">
        <f>$C126*BE125</f>
        <v/>
      </c>
      <c r="BF126">
        <f>$C126*BF125</f>
        <v/>
      </c>
      <c r="BG126">
        <f>$C126*BG125</f>
        <v/>
      </c>
      <c r="BH126">
        <f>$C126*BH125</f>
        <v/>
      </c>
      <c r="BI126">
        <f>$C126*BI125</f>
        <v/>
      </c>
      <c r="BJ126">
        <f>$C126*BJ125</f>
        <v/>
      </c>
      <c r="BK126">
        <f>$C126*BK125</f>
        <v/>
      </c>
      <c r="BL126">
        <f>$C126*BL125</f>
        <v/>
      </c>
      <c r="BM126">
        <f>$C126*BM125</f>
        <v/>
      </c>
      <c r="BN126">
        <f>$C126*BN125</f>
        <v/>
      </c>
      <c r="BO126">
        <f>$C126*BO125</f>
        <v/>
      </c>
      <c r="BP126">
        <f>$C126*BP125</f>
        <v/>
      </c>
      <c r="BQ126">
        <f>$C126*BQ125</f>
        <v/>
      </c>
      <c r="BR126">
        <f>$C126*BR125</f>
        <v/>
      </c>
      <c r="BS126">
        <f>$C126*BS125</f>
        <v/>
      </c>
      <c r="BT126">
        <f>$C126*BT125</f>
        <v/>
      </c>
      <c r="BU126">
        <f>$C126*BU125</f>
        <v/>
      </c>
      <c r="BV126">
        <f>$C126*BV125</f>
        <v/>
      </c>
      <c r="BW126">
        <f>$C126*BW125</f>
        <v/>
      </c>
      <c r="BX126">
        <f>$C126*BX125</f>
        <v/>
      </c>
      <c r="BY126">
        <f>$C126*BY125</f>
        <v/>
      </c>
      <c r="BZ126">
        <f>$C126*BZ125</f>
        <v/>
      </c>
      <c r="CA126">
        <f>$C126*CA125</f>
        <v/>
      </c>
      <c r="CB126">
        <f>$C126*CB125</f>
        <v/>
      </c>
      <c r="CC126">
        <f>$C126*CC125</f>
        <v/>
      </c>
      <c r="CD126">
        <f>$C126*CD125</f>
        <v/>
      </c>
      <c r="CE126">
        <f>$C126*CE125</f>
        <v/>
      </c>
      <c r="CF126">
        <f>$C126*CF125</f>
        <v/>
      </c>
      <c r="CG126">
        <f>$C126*CG125</f>
        <v/>
      </c>
      <c r="CH126">
        <f>$C126*CH125</f>
        <v/>
      </c>
      <c r="CI126">
        <f>$C126*CI125</f>
        <v/>
      </c>
      <c r="CJ126">
        <f>$C126*CJ125</f>
        <v/>
      </c>
      <c r="CK126">
        <f>$C126*CK125</f>
        <v/>
      </c>
      <c r="CL126">
        <f>$C126*CL125</f>
        <v/>
      </c>
      <c r="CM126">
        <f>$C126*CM125</f>
        <v/>
      </c>
      <c r="CN126">
        <f>$C126*CN125</f>
        <v/>
      </c>
      <c r="CO126">
        <f>$C126*CO125</f>
        <v/>
      </c>
      <c r="CP126">
        <f>$C126*CP125</f>
        <v/>
      </c>
      <c r="CQ126">
        <f>$C126*CQ125</f>
        <v/>
      </c>
      <c r="CR126">
        <f>$C126*CR125</f>
        <v/>
      </c>
      <c r="CS126">
        <f>$C126*CS125</f>
        <v/>
      </c>
      <c r="CT126">
        <f>$C126*CT125</f>
        <v/>
      </c>
      <c r="CU126">
        <f>$C126*CU125</f>
        <v/>
      </c>
      <c r="CV126">
        <f>$C126*CV125</f>
        <v/>
      </c>
      <c r="CW126">
        <f>$C126*CW125</f>
        <v/>
      </c>
      <c r="CX126">
        <f>$C126*CX125</f>
        <v/>
      </c>
      <c r="CY126">
        <f>$C126*CY125</f>
        <v/>
      </c>
      <c r="CZ126">
        <f>$C126*CZ125</f>
        <v/>
      </c>
      <c r="DA126">
        <f>$C126*DA125</f>
        <v/>
      </c>
      <c r="DB126">
        <f>$C126*DB125</f>
        <v/>
      </c>
      <c r="DC126">
        <f>$C126*DC125</f>
        <v/>
      </c>
    </row>
    <row r="127">
      <c r="B127" t="inlineStr">
        <is>
          <t>TSP-925</t>
        </is>
      </c>
      <c r="C127" t="inlineStr">
        <is>
          <t>No. of batches</t>
        </is>
      </c>
      <c r="D127">
        <f>IFERROR(INDEX(PP_Grid[#Data],$DD127,2),0)</f>
        <v/>
      </c>
      <c r="E127">
        <f>IFERROR(INDEX(PP_Grid[#Data],$DD127,3),0)</f>
        <v/>
      </c>
      <c r="F127">
        <f>IFERROR(INDEX(PP_Grid[#Data],$DD127,4),0)</f>
        <v/>
      </c>
      <c r="G127">
        <f>IFERROR(INDEX(PP_Grid[#Data],$DD127,5),0)</f>
        <v/>
      </c>
      <c r="H127">
        <f>IFERROR(INDEX(PP_Grid[#Data],$DD127,6),0)</f>
        <v/>
      </c>
      <c r="I127">
        <f>IFERROR(INDEX(PP_Grid[#Data],$DD127,7),0)</f>
        <v/>
      </c>
      <c r="J127">
        <f>IFERROR(INDEX(PP_Grid[#Data],$DD127,8),0)</f>
        <v/>
      </c>
      <c r="K127">
        <f>IFERROR(INDEX(PP_Grid[#Data],$DD127,9),0)</f>
        <v/>
      </c>
      <c r="L127">
        <f>IFERROR(INDEX(PP_Grid[#Data],$DD127,10),0)</f>
        <v/>
      </c>
      <c r="M127">
        <f>IFERROR(INDEX(PP_Grid[#Data],$DD127,11),0)</f>
        <v/>
      </c>
      <c r="N127">
        <f>IFERROR(INDEX(PP_Grid[#Data],$DD127,12),0)</f>
        <v/>
      </c>
      <c r="O127">
        <f>IFERROR(INDEX(PP_Grid[#Data],$DD127,13),0)</f>
        <v/>
      </c>
      <c r="P127">
        <f>IFERROR(INDEX(PP_Grid[#Data],$DD127,14),0)</f>
        <v/>
      </c>
      <c r="Q127">
        <f>IFERROR(INDEX(PP_Grid[#Data],$DD127,15),0)</f>
        <v/>
      </c>
      <c r="R127">
        <f>IFERROR(INDEX(PP_Grid[#Data],$DD127,16),0)</f>
        <v/>
      </c>
      <c r="S127">
        <f>IFERROR(INDEX(PP_Grid[#Data],$DD127,17),0)</f>
        <v/>
      </c>
      <c r="T127">
        <f>IFERROR(INDEX(PP_Grid[#Data],$DD127,18),0)</f>
        <v/>
      </c>
      <c r="U127">
        <f>IFERROR(INDEX(PP_Grid[#Data],$DD127,19),0)</f>
        <v/>
      </c>
      <c r="V127">
        <f>IFERROR(INDEX(PP_Grid[#Data],$DD127,20),0)</f>
        <v/>
      </c>
      <c r="W127">
        <f>IFERROR(INDEX(PP_Grid[#Data],$DD127,21),0)</f>
        <v/>
      </c>
      <c r="X127">
        <f>IFERROR(INDEX(PP_Grid[#Data],$DD127,22),0)</f>
        <v/>
      </c>
      <c r="Y127">
        <f>IFERROR(INDEX(PP_Grid[#Data],$DD127,23),0)</f>
        <v/>
      </c>
      <c r="Z127">
        <f>IFERROR(INDEX(PP_Grid[#Data],$DD127,24),0)</f>
        <v/>
      </c>
      <c r="AA127">
        <f>IFERROR(INDEX(PP_Grid[#Data],$DD127,25),0)</f>
        <v/>
      </c>
      <c r="AB127">
        <f>IFERROR(INDEX(PP_Grid[#Data],$DD127,26),0)</f>
        <v/>
      </c>
      <c r="AC127">
        <f>IFERROR(INDEX(PP_Grid[#Data],$DD127,27),0)</f>
        <v/>
      </c>
      <c r="AD127">
        <f>IFERROR(INDEX(PP_Grid[#Data],$DD127,28),0)</f>
        <v/>
      </c>
      <c r="AE127">
        <f>IFERROR(INDEX(PP_Grid[#Data],$DD127,29),0)</f>
        <v/>
      </c>
      <c r="AF127">
        <f>IFERROR(INDEX(PP_Grid[#Data],$DD127,30),0)</f>
        <v/>
      </c>
      <c r="AG127">
        <f>IFERROR(INDEX(PP_Grid[#Data],$DD127,31),0)</f>
        <v/>
      </c>
      <c r="AH127">
        <f>IFERROR(INDEX(PP_Grid[#Data],$DD127,32),0)</f>
        <v/>
      </c>
      <c r="AI127">
        <f>IFERROR(INDEX(PP_Grid[#Data],$DD127,33),0)</f>
        <v/>
      </c>
      <c r="AJ127">
        <f>IFERROR(INDEX(PP_Grid[#Data],$DD127,34),0)</f>
        <v/>
      </c>
      <c r="AK127">
        <f>IFERROR(INDEX(PP_Grid[#Data],$DD127,35),0)</f>
        <v/>
      </c>
      <c r="AL127">
        <f>IFERROR(INDEX(PP_Grid[#Data],$DD127,36),0)</f>
        <v/>
      </c>
      <c r="AM127">
        <f>IFERROR(INDEX(PP_Grid[#Data],$DD127,37),0)</f>
        <v/>
      </c>
      <c r="AN127">
        <f>IFERROR(INDEX(PP_Grid[#Data],$DD127,38),0)</f>
        <v/>
      </c>
      <c r="AO127">
        <f>IFERROR(INDEX(PP_Grid[#Data],$DD127,39),0)</f>
        <v/>
      </c>
      <c r="AP127">
        <f>IFERROR(INDEX(PP_Grid[#Data],$DD127,40),0)</f>
        <v/>
      </c>
      <c r="AQ127">
        <f>IFERROR(INDEX(PP_Grid[#Data],$DD127,41),0)</f>
        <v/>
      </c>
      <c r="AR127">
        <f>IFERROR(INDEX(PP_Grid[#Data],$DD127,42),0)</f>
        <v/>
      </c>
      <c r="AS127">
        <f>IFERROR(INDEX(PP_Grid[#Data],$DD127,43),0)</f>
        <v/>
      </c>
      <c r="AT127">
        <f>IFERROR(INDEX(PP_Grid[#Data],$DD127,44),0)</f>
        <v/>
      </c>
      <c r="AU127">
        <f>IFERROR(INDEX(PP_Grid[#Data],$DD127,45),0)</f>
        <v/>
      </c>
      <c r="AV127">
        <f>IFERROR(INDEX(PP_Grid[#Data],$DD127,46),0)</f>
        <v/>
      </c>
      <c r="AW127">
        <f>IFERROR(INDEX(PP_Grid[#Data],$DD127,47),0)</f>
        <v/>
      </c>
      <c r="AX127">
        <f>IFERROR(INDEX(PP_Grid[#Data],$DD127,48),0)</f>
        <v/>
      </c>
      <c r="AY127">
        <f>IFERROR(INDEX(PP_Grid[#Data],$DD127,49),0)</f>
        <v/>
      </c>
      <c r="AZ127">
        <f>IFERROR(INDEX(PP_Grid[#Data],$DD127,50),0)</f>
        <v/>
      </c>
      <c r="BA127">
        <f>IFERROR(INDEX(PP_Grid[#Data],$DD127,51),0)</f>
        <v/>
      </c>
      <c r="BB127">
        <f>IFERROR(INDEX(PP_Grid[#Data],$DD127,52),0)</f>
        <v/>
      </c>
      <c r="BC127">
        <f>IFERROR(INDEX(PP_Grid[#Data],$DD127,53),0)</f>
        <v/>
      </c>
      <c r="BD127">
        <f>IFERROR(INDEX(PP_Grid[#Data],$DD127,54),0)</f>
        <v/>
      </c>
      <c r="BE127">
        <f>IFERROR(INDEX(PP_Grid[#Data],$DD127,55),0)</f>
        <v/>
      </c>
      <c r="BF127">
        <f>IFERROR(INDEX(PP_Grid[#Data],$DD127,56),0)</f>
        <v/>
      </c>
      <c r="BG127">
        <f>IFERROR(INDEX(PP_Grid[#Data],$DD127,57),0)</f>
        <v/>
      </c>
      <c r="BH127">
        <f>IFERROR(INDEX(PP_Grid[#Data],$DD127,58),0)</f>
        <v/>
      </c>
      <c r="BI127">
        <f>IFERROR(INDEX(PP_Grid[#Data],$DD127,59),0)</f>
        <v/>
      </c>
      <c r="BJ127">
        <f>IFERROR(INDEX(PP_Grid[#Data],$DD127,60),0)</f>
        <v/>
      </c>
      <c r="BK127">
        <f>IFERROR(INDEX(PP_Grid[#Data],$DD127,61),0)</f>
        <v/>
      </c>
      <c r="BL127">
        <f>IFERROR(INDEX(PP_Grid[#Data],$DD127,62),0)</f>
        <v/>
      </c>
      <c r="BM127">
        <f>IFERROR(INDEX(PP_Grid[#Data],$DD127,63),0)</f>
        <v/>
      </c>
      <c r="BN127">
        <f>IFERROR(INDEX(PP_Grid[#Data],$DD127,64),0)</f>
        <v/>
      </c>
      <c r="BO127">
        <f>IFERROR(INDEX(PP_Grid[#Data],$DD127,65),0)</f>
        <v/>
      </c>
      <c r="BP127">
        <f>IFERROR(INDEX(PP_Grid[#Data],$DD127,66),0)</f>
        <v/>
      </c>
      <c r="BQ127">
        <f>IFERROR(INDEX(PP_Grid[#Data],$DD127,67),0)</f>
        <v/>
      </c>
      <c r="BR127">
        <f>IFERROR(INDEX(PP_Grid[#Data],$DD127,68),0)</f>
        <v/>
      </c>
      <c r="BS127">
        <f>IFERROR(INDEX(PP_Grid[#Data],$DD127,69),0)</f>
        <v/>
      </c>
      <c r="BT127">
        <f>IFERROR(INDEX(PP_Grid[#Data],$DD127,70),0)</f>
        <v/>
      </c>
      <c r="BU127">
        <f>IFERROR(INDEX(PP_Grid[#Data],$DD127,71),0)</f>
        <v/>
      </c>
      <c r="BV127">
        <f>IFERROR(INDEX(PP_Grid[#Data],$DD127,72),0)</f>
        <v/>
      </c>
      <c r="BW127">
        <f>IFERROR(INDEX(PP_Grid[#Data],$DD127,73),0)</f>
        <v/>
      </c>
      <c r="BX127">
        <f>IFERROR(INDEX(PP_Grid[#Data],$DD127,74),0)</f>
        <v/>
      </c>
      <c r="BY127">
        <f>IFERROR(INDEX(PP_Grid[#Data],$DD127,75),0)</f>
        <v/>
      </c>
      <c r="BZ127">
        <f>IFERROR(INDEX(PP_Grid[#Data],$DD127,76),0)</f>
        <v/>
      </c>
      <c r="CA127">
        <f>IFERROR(INDEX(PP_Grid[#Data],$DD127,77),0)</f>
        <v/>
      </c>
      <c r="CB127">
        <f>IFERROR(INDEX(PP_Grid[#Data],$DD127,78),0)</f>
        <v/>
      </c>
      <c r="CC127">
        <f>IFERROR(INDEX(PP_Grid[#Data],$DD127,79),0)</f>
        <v/>
      </c>
      <c r="CD127">
        <f>IFERROR(INDEX(PP_Grid[#Data],$DD127,80),0)</f>
        <v/>
      </c>
      <c r="CE127">
        <f>IFERROR(INDEX(PP_Grid[#Data],$DD127,81),0)</f>
        <v/>
      </c>
      <c r="CF127">
        <f>IFERROR(INDEX(PP_Grid[#Data],$DD127,82),0)</f>
        <v/>
      </c>
      <c r="CG127">
        <f>IFERROR(INDEX(PP_Grid[#Data],$DD127,83),0)</f>
        <v/>
      </c>
      <c r="CH127">
        <f>IFERROR(INDEX(PP_Grid[#Data],$DD127,84),0)</f>
        <v/>
      </c>
      <c r="CI127">
        <f>IFERROR(INDEX(PP_Grid[#Data],$DD127,85),0)</f>
        <v/>
      </c>
      <c r="CJ127">
        <f>IFERROR(INDEX(PP_Grid[#Data],$DD127,86),0)</f>
        <v/>
      </c>
      <c r="CK127">
        <f>IFERROR(INDEX(PP_Grid[#Data],$DD127,87),0)</f>
        <v/>
      </c>
      <c r="CL127">
        <f>IFERROR(INDEX(PP_Grid[#Data],$DD127,88),0)</f>
        <v/>
      </c>
      <c r="CM127">
        <f>IFERROR(INDEX(PP_Grid[#Data],$DD127,89),0)</f>
        <v/>
      </c>
      <c r="CN127">
        <f>IFERROR(INDEX(PP_Grid[#Data],$DD127,90),0)</f>
        <v/>
      </c>
      <c r="CO127">
        <f>IFERROR(INDEX(PP_Grid[#Data],$DD127,91),0)</f>
        <v/>
      </c>
      <c r="CP127">
        <f>IFERROR(INDEX(PP_Grid[#Data],$DD127,92),0)</f>
        <v/>
      </c>
      <c r="CQ127">
        <f>IFERROR(INDEX(PP_Grid[#Data],$DD127,93),0)</f>
        <v/>
      </c>
      <c r="CR127">
        <f>IFERROR(INDEX(PP_Grid[#Data],$DD127,94),0)</f>
        <v/>
      </c>
      <c r="CS127">
        <f>IFERROR(INDEX(PP_Grid[#Data],$DD127,95),0)</f>
        <v/>
      </c>
      <c r="CT127">
        <f>IFERROR(INDEX(PP_Grid[#Data],$DD127,96),0)</f>
        <v/>
      </c>
      <c r="CU127">
        <f>IFERROR(INDEX(PP_Grid[#Data],$DD127,97),0)</f>
        <v/>
      </c>
      <c r="CV127">
        <f>IFERROR(INDEX(PP_Grid[#Data],$DD127,98),0)</f>
        <v/>
      </c>
      <c r="CW127">
        <f>IFERROR(INDEX(PP_Grid[#Data],$DD127,99),0)</f>
        <v/>
      </c>
      <c r="CX127">
        <f>IFERROR(INDEX(PP_Grid[#Data],$DD127,100),0)</f>
        <v/>
      </c>
      <c r="CY127">
        <f>IFERROR(INDEX(PP_Grid[#Data],$DD127,101),0)</f>
        <v/>
      </c>
      <c r="CZ127">
        <f>IFERROR(INDEX(PP_Grid[#Data],$DD127,102),0)</f>
        <v/>
      </c>
      <c r="DA127">
        <f>IFERROR(INDEX(PP_Grid[#Data],$DD127,103),0)</f>
        <v/>
      </c>
      <c r="DB127">
        <f>IFERROR(INDEX(PP_Grid[#Data],$DD127,104),0)</f>
        <v/>
      </c>
      <c r="DC127">
        <f>IFERROR(INDEX(PP_Grid[#Data],$DD127,105),0)</f>
        <v/>
      </c>
      <c r="DD127" s="7">
        <f>IFERROR(MATCH($B127,PP_Grid[Intermediate],0),99999)</f>
        <v/>
      </c>
    </row>
    <row r="128">
      <c r="B128" t="inlineStr">
        <is>
          <t>使用量(kg)</t>
        </is>
      </c>
      <c r="C128">
        <f>SUMIFS(M_BOM[RM_Qty_Per_Batch],M_BOM[Intermediate],$B127,M_BOM[Part Name],$A44)</f>
        <v/>
      </c>
      <c r="D128">
        <f>$C128*D127</f>
        <v/>
      </c>
      <c r="E128">
        <f>$C128*E127</f>
        <v/>
      </c>
      <c r="F128">
        <f>$C128*F127</f>
        <v/>
      </c>
      <c r="G128">
        <f>$C128*G127</f>
        <v/>
      </c>
      <c r="H128">
        <f>$C128*H127</f>
        <v/>
      </c>
      <c r="I128">
        <f>$C128*I127</f>
        <v/>
      </c>
      <c r="J128">
        <f>$C128*J127</f>
        <v/>
      </c>
      <c r="K128">
        <f>$C128*K127</f>
        <v/>
      </c>
      <c r="L128">
        <f>$C128*L127</f>
        <v/>
      </c>
      <c r="M128">
        <f>$C128*M127</f>
        <v/>
      </c>
      <c r="N128">
        <f>$C128*N127</f>
        <v/>
      </c>
      <c r="O128">
        <f>$C128*O127</f>
        <v/>
      </c>
      <c r="P128">
        <f>$C128*P127</f>
        <v/>
      </c>
      <c r="Q128">
        <f>$C128*Q127</f>
        <v/>
      </c>
      <c r="R128">
        <f>$C128*R127</f>
        <v/>
      </c>
      <c r="S128">
        <f>$C128*S127</f>
        <v/>
      </c>
      <c r="T128">
        <f>$C128*T127</f>
        <v/>
      </c>
      <c r="U128">
        <f>$C128*U127</f>
        <v/>
      </c>
      <c r="V128">
        <f>$C128*V127</f>
        <v/>
      </c>
      <c r="W128">
        <f>$C128*W127</f>
        <v/>
      </c>
      <c r="X128">
        <f>$C128*X127</f>
        <v/>
      </c>
      <c r="Y128">
        <f>$C128*Y127</f>
        <v/>
      </c>
      <c r="Z128">
        <f>$C128*Z127</f>
        <v/>
      </c>
      <c r="AA128">
        <f>$C128*AA127</f>
        <v/>
      </c>
      <c r="AB128">
        <f>$C128*AB127</f>
        <v/>
      </c>
      <c r="AC128">
        <f>$C128*AC127</f>
        <v/>
      </c>
      <c r="AD128">
        <f>$C128*AD127</f>
        <v/>
      </c>
      <c r="AE128">
        <f>$C128*AE127</f>
        <v/>
      </c>
      <c r="AF128">
        <f>$C128*AF127</f>
        <v/>
      </c>
      <c r="AG128">
        <f>$C128*AG127</f>
        <v/>
      </c>
      <c r="AH128">
        <f>$C128*AH127</f>
        <v/>
      </c>
      <c r="AI128">
        <f>$C128*AI127</f>
        <v/>
      </c>
      <c r="AJ128">
        <f>$C128*AJ127</f>
        <v/>
      </c>
      <c r="AK128">
        <f>$C128*AK127</f>
        <v/>
      </c>
      <c r="AL128">
        <f>$C128*AL127</f>
        <v/>
      </c>
      <c r="AM128">
        <f>$C128*AM127</f>
        <v/>
      </c>
      <c r="AN128">
        <f>$C128*AN127</f>
        <v/>
      </c>
      <c r="AO128">
        <f>$C128*AO127</f>
        <v/>
      </c>
      <c r="AP128">
        <f>$C128*AP127</f>
        <v/>
      </c>
      <c r="AQ128">
        <f>$C128*AQ127</f>
        <v/>
      </c>
      <c r="AR128">
        <f>$C128*AR127</f>
        <v/>
      </c>
      <c r="AS128">
        <f>$C128*AS127</f>
        <v/>
      </c>
      <c r="AT128">
        <f>$C128*AT127</f>
        <v/>
      </c>
      <c r="AU128">
        <f>$C128*AU127</f>
        <v/>
      </c>
      <c r="AV128">
        <f>$C128*AV127</f>
        <v/>
      </c>
      <c r="AW128">
        <f>$C128*AW127</f>
        <v/>
      </c>
      <c r="AX128">
        <f>$C128*AX127</f>
        <v/>
      </c>
      <c r="AY128">
        <f>$C128*AY127</f>
        <v/>
      </c>
      <c r="AZ128">
        <f>$C128*AZ127</f>
        <v/>
      </c>
      <c r="BA128">
        <f>$C128*BA127</f>
        <v/>
      </c>
      <c r="BB128">
        <f>$C128*BB127</f>
        <v/>
      </c>
      <c r="BC128">
        <f>$C128*BC127</f>
        <v/>
      </c>
      <c r="BD128">
        <f>$C128*BD127</f>
        <v/>
      </c>
      <c r="BE128">
        <f>$C128*BE127</f>
        <v/>
      </c>
      <c r="BF128">
        <f>$C128*BF127</f>
        <v/>
      </c>
      <c r="BG128">
        <f>$C128*BG127</f>
        <v/>
      </c>
      <c r="BH128">
        <f>$C128*BH127</f>
        <v/>
      </c>
      <c r="BI128">
        <f>$C128*BI127</f>
        <v/>
      </c>
      <c r="BJ128">
        <f>$C128*BJ127</f>
        <v/>
      </c>
      <c r="BK128">
        <f>$C128*BK127</f>
        <v/>
      </c>
      <c r="BL128">
        <f>$C128*BL127</f>
        <v/>
      </c>
      <c r="BM128">
        <f>$C128*BM127</f>
        <v/>
      </c>
      <c r="BN128">
        <f>$C128*BN127</f>
        <v/>
      </c>
      <c r="BO128">
        <f>$C128*BO127</f>
        <v/>
      </c>
      <c r="BP128">
        <f>$C128*BP127</f>
        <v/>
      </c>
      <c r="BQ128">
        <f>$C128*BQ127</f>
        <v/>
      </c>
      <c r="BR128">
        <f>$C128*BR127</f>
        <v/>
      </c>
      <c r="BS128">
        <f>$C128*BS127</f>
        <v/>
      </c>
      <c r="BT128">
        <f>$C128*BT127</f>
        <v/>
      </c>
      <c r="BU128">
        <f>$C128*BU127</f>
        <v/>
      </c>
      <c r="BV128">
        <f>$C128*BV127</f>
        <v/>
      </c>
      <c r="BW128">
        <f>$C128*BW127</f>
        <v/>
      </c>
      <c r="BX128">
        <f>$C128*BX127</f>
        <v/>
      </c>
      <c r="BY128">
        <f>$C128*BY127</f>
        <v/>
      </c>
      <c r="BZ128">
        <f>$C128*BZ127</f>
        <v/>
      </c>
      <c r="CA128">
        <f>$C128*CA127</f>
        <v/>
      </c>
      <c r="CB128">
        <f>$C128*CB127</f>
        <v/>
      </c>
      <c r="CC128">
        <f>$C128*CC127</f>
        <v/>
      </c>
      <c r="CD128">
        <f>$C128*CD127</f>
        <v/>
      </c>
      <c r="CE128">
        <f>$C128*CE127</f>
        <v/>
      </c>
      <c r="CF128">
        <f>$C128*CF127</f>
        <v/>
      </c>
      <c r="CG128">
        <f>$C128*CG127</f>
        <v/>
      </c>
      <c r="CH128">
        <f>$C128*CH127</f>
        <v/>
      </c>
      <c r="CI128">
        <f>$C128*CI127</f>
        <v/>
      </c>
      <c r="CJ128">
        <f>$C128*CJ127</f>
        <v/>
      </c>
      <c r="CK128">
        <f>$C128*CK127</f>
        <v/>
      </c>
      <c r="CL128">
        <f>$C128*CL127</f>
        <v/>
      </c>
      <c r="CM128">
        <f>$C128*CM127</f>
        <v/>
      </c>
      <c r="CN128">
        <f>$C128*CN127</f>
        <v/>
      </c>
      <c r="CO128">
        <f>$C128*CO127</f>
        <v/>
      </c>
      <c r="CP128">
        <f>$C128*CP127</f>
        <v/>
      </c>
      <c r="CQ128">
        <f>$C128*CQ127</f>
        <v/>
      </c>
      <c r="CR128">
        <f>$C128*CR127</f>
        <v/>
      </c>
      <c r="CS128">
        <f>$C128*CS127</f>
        <v/>
      </c>
      <c r="CT128">
        <f>$C128*CT127</f>
        <v/>
      </c>
      <c r="CU128">
        <f>$C128*CU127</f>
        <v/>
      </c>
      <c r="CV128">
        <f>$C128*CV127</f>
        <v/>
      </c>
      <c r="CW128">
        <f>$C128*CW127</f>
        <v/>
      </c>
      <c r="CX128">
        <f>$C128*CX127</f>
        <v/>
      </c>
      <c r="CY128">
        <f>$C128*CY127</f>
        <v/>
      </c>
      <c r="CZ128">
        <f>$C128*CZ127</f>
        <v/>
      </c>
      <c r="DA128">
        <f>$C128*DA127</f>
        <v/>
      </c>
      <c r="DB128">
        <f>$C128*DB127</f>
        <v/>
      </c>
      <c r="DC128">
        <f>$C128*DC127</f>
        <v/>
      </c>
    </row>
    <row r="129">
      <c r="B129" t="inlineStr">
        <is>
          <t>TSP-927</t>
        </is>
      </c>
      <c r="C129" t="inlineStr">
        <is>
          <t>No. of batches</t>
        </is>
      </c>
      <c r="D129">
        <f>IFERROR(INDEX(PP_Grid[#Data],$DD129,2),0)</f>
        <v/>
      </c>
      <c r="E129">
        <f>IFERROR(INDEX(PP_Grid[#Data],$DD129,3),0)</f>
        <v/>
      </c>
      <c r="F129">
        <f>IFERROR(INDEX(PP_Grid[#Data],$DD129,4),0)</f>
        <v/>
      </c>
      <c r="G129">
        <f>IFERROR(INDEX(PP_Grid[#Data],$DD129,5),0)</f>
        <v/>
      </c>
      <c r="H129">
        <f>IFERROR(INDEX(PP_Grid[#Data],$DD129,6),0)</f>
        <v/>
      </c>
      <c r="I129">
        <f>IFERROR(INDEX(PP_Grid[#Data],$DD129,7),0)</f>
        <v/>
      </c>
      <c r="J129">
        <f>IFERROR(INDEX(PP_Grid[#Data],$DD129,8),0)</f>
        <v/>
      </c>
      <c r="K129">
        <f>IFERROR(INDEX(PP_Grid[#Data],$DD129,9),0)</f>
        <v/>
      </c>
      <c r="L129">
        <f>IFERROR(INDEX(PP_Grid[#Data],$DD129,10),0)</f>
        <v/>
      </c>
      <c r="M129">
        <f>IFERROR(INDEX(PP_Grid[#Data],$DD129,11),0)</f>
        <v/>
      </c>
      <c r="N129">
        <f>IFERROR(INDEX(PP_Grid[#Data],$DD129,12),0)</f>
        <v/>
      </c>
      <c r="O129">
        <f>IFERROR(INDEX(PP_Grid[#Data],$DD129,13),0)</f>
        <v/>
      </c>
      <c r="P129">
        <f>IFERROR(INDEX(PP_Grid[#Data],$DD129,14),0)</f>
        <v/>
      </c>
      <c r="Q129">
        <f>IFERROR(INDEX(PP_Grid[#Data],$DD129,15),0)</f>
        <v/>
      </c>
      <c r="R129">
        <f>IFERROR(INDEX(PP_Grid[#Data],$DD129,16),0)</f>
        <v/>
      </c>
      <c r="S129">
        <f>IFERROR(INDEX(PP_Grid[#Data],$DD129,17),0)</f>
        <v/>
      </c>
      <c r="T129">
        <f>IFERROR(INDEX(PP_Grid[#Data],$DD129,18),0)</f>
        <v/>
      </c>
      <c r="U129">
        <f>IFERROR(INDEX(PP_Grid[#Data],$DD129,19),0)</f>
        <v/>
      </c>
      <c r="V129">
        <f>IFERROR(INDEX(PP_Grid[#Data],$DD129,20),0)</f>
        <v/>
      </c>
      <c r="W129">
        <f>IFERROR(INDEX(PP_Grid[#Data],$DD129,21),0)</f>
        <v/>
      </c>
      <c r="X129">
        <f>IFERROR(INDEX(PP_Grid[#Data],$DD129,22),0)</f>
        <v/>
      </c>
      <c r="Y129">
        <f>IFERROR(INDEX(PP_Grid[#Data],$DD129,23),0)</f>
        <v/>
      </c>
      <c r="Z129">
        <f>IFERROR(INDEX(PP_Grid[#Data],$DD129,24),0)</f>
        <v/>
      </c>
      <c r="AA129">
        <f>IFERROR(INDEX(PP_Grid[#Data],$DD129,25),0)</f>
        <v/>
      </c>
      <c r="AB129">
        <f>IFERROR(INDEX(PP_Grid[#Data],$DD129,26),0)</f>
        <v/>
      </c>
      <c r="AC129">
        <f>IFERROR(INDEX(PP_Grid[#Data],$DD129,27),0)</f>
        <v/>
      </c>
      <c r="AD129">
        <f>IFERROR(INDEX(PP_Grid[#Data],$DD129,28),0)</f>
        <v/>
      </c>
      <c r="AE129">
        <f>IFERROR(INDEX(PP_Grid[#Data],$DD129,29),0)</f>
        <v/>
      </c>
      <c r="AF129">
        <f>IFERROR(INDEX(PP_Grid[#Data],$DD129,30),0)</f>
        <v/>
      </c>
      <c r="AG129">
        <f>IFERROR(INDEX(PP_Grid[#Data],$DD129,31),0)</f>
        <v/>
      </c>
      <c r="AH129">
        <f>IFERROR(INDEX(PP_Grid[#Data],$DD129,32),0)</f>
        <v/>
      </c>
      <c r="AI129">
        <f>IFERROR(INDEX(PP_Grid[#Data],$DD129,33),0)</f>
        <v/>
      </c>
      <c r="AJ129">
        <f>IFERROR(INDEX(PP_Grid[#Data],$DD129,34),0)</f>
        <v/>
      </c>
      <c r="AK129">
        <f>IFERROR(INDEX(PP_Grid[#Data],$DD129,35),0)</f>
        <v/>
      </c>
      <c r="AL129">
        <f>IFERROR(INDEX(PP_Grid[#Data],$DD129,36),0)</f>
        <v/>
      </c>
      <c r="AM129">
        <f>IFERROR(INDEX(PP_Grid[#Data],$DD129,37),0)</f>
        <v/>
      </c>
      <c r="AN129">
        <f>IFERROR(INDEX(PP_Grid[#Data],$DD129,38),0)</f>
        <v/>
      </c>
      <c r="AO129">
        <f>IFERROR(INDEX(PP_Grid[#Data],$DD129,39),0)</f>
        <v/>
      </c>
      <c r="AP129">
        <f>IFERROR(INDEX(PP_Grid[#Data],$DD129,40),0)</f>
        <v/>
      </c>
      <c r="AQ129">
        <f>IFERROR(INDEX(PP_Grid[#Data],$DD129,41),0)</f>
        <v/>
      </c>
      <c r="AR129">
        <f>IFERROR(INDEX(PP_Grid[#Data],$DD129,42),0)</f>
        <v/>
      </c>
      <c r="AS129">
        <f>IFERROR(INDEX(PP_Grid[#Data],$DD129,43),0)</f>
        <v/>
      </c>
      <c r="AT129">
        <f>IFERROR(INDEX(PP_Grid[#Data],$DD129,44),0)</f>
        <v/>
      </c>
      <c r="AU129">
        <f>IFERROR(INDEX(PP_Grid[#Data],$DD129,45),0)</f>
        <v/>
      </c>
      <c r="AV129">
        <f>IFERROR(INDEX(PP_Grid[#Data],$DD129,46),0)</f>
        <v/>
      </c>
      <c r="AW129">
        <f>IFERROR(INDEX(PP_Grid[#Data],$DD129,47),0)</f>
        <v/>
      </c>
      <c r="AX129">
        <f>IFERROR(INDEX(PP_Grid[#Data],$DD129,48),0)</f>
        <v/>
      </c>
      <c r="AY129">
        <f>IFERROR(INDEX(PP_Grid[#Data],$DD129,49),0)</f>
        <v/>
      </c>
      <c r="AZ129">
        <f>IFERROR(INDEX(PP_Grid[#Data],$DD129,50),0)</f>
        <v/>
      </c>
      <c r="BA129">
        <f>IFERROR(INDEX(PP_Grid[#Data],$DD129,51),0)</f>
        <v/>
      </c>
      <c r="BB129">
        <f>IFERROR(INDEX(PP_Grid[#Data],$DD129,52),0)</f>
        <v/>
      </c>
      <c r="BC129">
        <f>IFERROR(INDEX(PP_Grid[#Data],$DD129,53),0)</f>
        <v/>
      </c>
      <c r="BD129">
        <f>IFERROR(INDEX(PP_Grid[#Data],$DD129,54),0)</f>
        <v/>
      </c>
      <c r="BE129">
        <f>IFERROR(INDEX(PP_Grid[#Data],$DD129,55),0)</f>
        <v/>
      </c>
      <c r="BF129">
        <f>IFERROR(INDEX(PP_Grid[#Data],$DD129,56),0)</f>
        <v/>
      </c>
      <c r="BG129">
        <f>IFERROR(INDEX(PP_Grid[#Data],$DD129,57),0)</f>
        <v/>
      </c>
      <c r="BH129">
        <f>IFERROR(INDEX(PP_Grid[#Data],$DD129,58),0)</f>
        <v/>
      </c>
      <c r="BI129">
        <f>IFERROR(INDEX(PP_Grid[#Data],$DD129,59),0)</f>
        <v/>
      </c>
      <c r="BJ129">
        <f>IFERROR(INDEX(PP_Grid[#Data],$DD129,60),0)</f>
        <v/>
      </c>
      <c r="BK129">
        <f>IFERROR(INDEX(PP_Grid[#Data],$DD129,61),0)</f>
        <v/>
      </c>
      <c r="BL129">
        <f>IFERROR(INDEX(PP_Grid[#Data],$DD129,62),0)</f>
        <v/>
      </c>
      <c r="BM129">
        <f>IFERROR(INDEX(PP_Grid[#Data],$DD129,63),0)</f>
        <v/>
      </c>
      <c r="BN129">
        <f>IFERROR(INDEX(PP_Grid[#Data],$DD129,64),0)</f>
        <v/>
      </c>
      <c r="BO129">
        <f>IFERROR(INDEX(PP_Grid[#Data],$DD129,65),0)</f>
        <v/>
      </c>
      <c r="BP129">
        <f>IFERROR(INDEX(PP_Grid[#Data],$DD129,66),0)</f>
        <v/>
      </c>
      <c r="BQ129">
        <f>IFERROR(INDEX(PP_Grid[#Data],$DD129,67),0)</f>
        <v/>
      </c>
      <c r="BR129">
        <f>IFERROR(INDEX(PP_Grid[#Data],$DD129,68),0)</f>
        <v/>
      </c>
      <c r="BS129">
        <f>IFERROR(INDEX(PP_Grid[#Data],$DD129,69),0)</f>
        <v/>
      </c>
      <c r="BT129">
        <f>IFERROR(INDEX(PP_Grid[#Data],$DD129,70),0)</f>
        <v/>
      </c>
      <c r="BU129">
        <f>IFERROR(INDEX(PP_Grid[#Data],$DD129,71),0)</f>
        <v/>
      </c>
      <c r="BV129">
        <f>IFERROR(INDEX(PP_Grid[#Data],$DD129,72),0)</f>
        <v/>
      </c>
      <c r="BW129">
        <f>IFERROR(INDEX(PP_Grid[#Data],$DD129,73),0)</f>
        <v/>
      </c>
      <c r="BX129">
        <f>IFERROR(INDEX(PP_Grid[#Data],$DD129,74),0)</f>
        <v/>
      </c>
      <c r="BY129">
        <f>IFERROR(INDEX(PP_Grid[#Data],$DD129,75),0)</f>
        <v/>
      </c>
      <c r="BZ129">
        <f>IFERROR(INDEX(PP_Grid[#Data],$DD129,76),0)</f>
        <v/>
      </c>
      <c r="CA129">
        <f>IFERROR(INDEX(PP_Grid[#Data],$DD129,77),0)</f>
        <v/>
      </c>
      <c r="CB129">
        <f>IFERROR(INDEX(PP_Grid[#Data],$DD129,78),0)</f>
        <v/>
      </c>
      <c r="CC129">
        <f>IFERROR(INDEX(PP_Grid[#Data],$DD129,79),0)</f>
        <v/>
      </c>
      <c r="CD129">
        <f>IFERROR(INDEX(PP_Grid[#Data],$DD129,80),0)</f>
        <v/>
      </c>
      <c r="CE129">
        <f>IFERROR(INDEX(PP_Grid[#Data],$DD129,81),0)</f>
        <v/>
      </c>
      <c r="CF129">
        <f>IFERROR(INDEX(PP_Grid[#Data],$DD129,82),0)</f>
        <v/>
      </c>
      <c r="CG129">
        <f>IFERROR(INDEX(PP_Grid[#Data],$DD129,83),0)</f>
        <v/>
      </c>
      <c r="CH129">
        <f>IFERROR(INDEX(PP_Grid[#Data],$DD129,84),0)</f>
        <v/>
      </c>
      <c r="CI129">
        <f>IFERROR(INDEX(PP_Grid[#Data],$DD129,85),0)</f>
        <v/>
      </c>
      <c r="CJ129">
        <f>IFERROR(INDEX(PP_Grid[#Data],$DD129,86),0)</f>
        <v/>
      </c>
      <c r="CK129">
        <f>IFERROR(INDEX(PP_Grid[#Data],$DD129,87),0)</f>
        <v/>
      </c>
      <c r="CL129">
        <f>IFERROR(INDEX(PP_Grid[#Data],$DD129,88),0)</f>
        <v/>
      </c>
      <c r="CM129">
        <f>IFERROR(INDEX(PP_Grid[#Data],$DD129,89),0)</f>
        <v/>
      </c>
      <c r="CN129">
        <f>IFERROR(INDEX(PP_Grid[#Data],$DD129,90),0)</f>
        <v/>
      </c>
      <c r="CO129">
        <f>IFERROR(INDEX(PP_Grid[#Data],$DD129,91),0)</f>
        <v/>
      </c>
      <c r="CP129">
        <f>IFERROR(INDEX(PP_Grid[#Data],$DD129,92),0)</f>
        <v/>
      </c>
      <c r="CQ129">
        <f>IFERROR(INDEX(PP_Grid[#Data],$DD129,93),0)</f>
        <v/>
      </c>
      <c r="CR129">
        <f>IFERROR(INDEX(PP_Grid[#Data],$DD129,94),0)</f>
        <v/>
      </c>
      <c r="CS129">
        <f>IFERROR(INDEX(PP_Grid[#Data],$DD129,95),0)</f>
        <v/>
      </c>
      <c r="CT129">
        <f>IFERROR(INDEX(PP_Grid[#Data],$DD129,96),0)</f>
        <v/>
      </c>
      <c r="CU129">
        <f>IFERROR(INDEX(PP_Grid[#Data],$DD129,97),0)</f>
        <v/>
      </c>
      <c r="CV129">
        <f>IFERROR(INDEX(PP_Grid[#Data],$DD129,98),0)</f>
        <v/>
      </c>
      <c r="CW129">
        <f>IFERROR(INDEX(PP_Grid[#Data],$DD129,99),0)</f>
        <v/>
      </c>
      <c r="CX129">
        <f>IFERROR(INDEX(PP_Grid[#Data],$DD129,100),0)</f>
        <v/>
      </c>
      <c r="CY129">
        <f>IFERROR(INDEX(PP_Grid[#Data],$DD129,101),0)</f>
        <v/>
      </c>
      <c r="CZ129">
        <f>IFERROR(INDEX(PP_Grid[#Data],$DD129,102),0)</f>
        <v/>
      </c>
      <c r="DA129">
        <f>IFERROR(INDEX(PP_Grid[#Data],$DD129,103),0)</f>
        <v/>
      </c>
      <c r="DB129">
        <f>IFERROR(INDEX(PP_Grid[#Data],$DD129,104),0)</f>
        <v/>
      </c>
      <c r="DC129">
        <f>IFERROR(INDEX(PP_Grid[#Data],$DD129,105),0)</f>
        <v/>
      </c>
      <c r="DD129" s="7">
        <f>IFERROR(MATCH($B129,PP_Grid[Intermediate],0),99999)</f>
        <v/>
      </c>
    </row>
    <row r="130">
      <c r="B130" t="inlineStr">
        <is>
          <t>使用量(kg)</t>
        </is>
      </c>
      <c r="C130">
        <f>SUMIFS(M_BOM[RM_Qty_Per_Batch],M_BOM[Intermediate],$B129,M_BOM[Part Name],$A44)</f>
        <v/>
      </c>
      <c r="D130">
        <f>$C130*D129</f>
        <v/>
      </c>
      <c r="E130">
        <f>$C130*E129</f>
        <v/>
      </c>
      <c r="F130">
        <f>$C130*F129</f>
        <v/>
      </c>
      <c r="G130">
        <f>$C130*G129</f>
        <v/>
      </c>
      <c r="H130">
        <f>$C130*H129</f>
        <v/>
      </c>
      <c r="I130">
        <f>$C130*I129</f>
        <v/>
      </c>
      <c r="J130">
        <f>$C130*J129</f>
        <v/>
      </c>
      <c r="K130">
        <f>$C130*K129</f>
        <v/>
      </c>
      <c r="L130">
        <f>$C130*L129</f>
        <v/>
      </c>
      <c r="M130">
        <f>$C130*M129</f>
        <v/>
      </c>
      <c r="N130">
        <f>$C130*N129</f>
        <v/>
      </c>
      <c r="O130">
        <f>$C130*O129</f>
        <v/>
      </c>
      <c r="P130">
        <f>$C130*P129</f>
        <v/>
      </c>
      <c r="Q130">
        <f>$C130*Q129</f>
        <v/>
      </c>
      <c r="R130">
        <f>$C130*R129</f>
        <v/>
      </c>
      <c r="S130">
        <f>$C130*S129</f>
        <v/>
      </c>
      <c r="T130">
        <f>$C130*T129</f>
        <v/>
      </c>
      <c r="U130">
        <f>$C130*U129</f>
        <v/>
      </c>
      <c r="V130">
        <f>$C130*V129</f>
        <v/>
      </c>
      <c r="W130">
        <f>$C130*W129</f>
        <v/>
      </c>
      <c r="X130">
        <f>$C130*X129</f>
        <v/>
      </c>
      <c r="Y130">
        <f>$C130*Y129</f>
        <v/>
      </c>
      <c r="Z130">
        <f>$C130*Z129</f>
        <v/>
      </c>
      <c r="AA130">
        <f>$C130*AA129</f>
        <v/>
      </c>
      <c r="AB130">
        <f>$C130*AB129</f>
        <v/>
      </c>
      <c r="AC130">
        <f>$C130*AC129</f>
        <v/>
      </c>
      <c r="AD130">
        <f>$C130*AD129</f>
        <v/>
      </c>
      <c r="AE130">
        <f>$C130*AE129</f>
        <v/>
      </c>
      <c r="AF130">
        <f>$C130*AF129</f>
        <v/>
      </c>
      <c r="AG130">
        <f>$C130*AG129</f>
        <v/>
      </c>
      <c r="AH130">
        <f>$C130*AH129</f>
        <v/>
      </c>
      <c r="AI130">
        <f>$C130*AI129</f>
        <v/>
      </c>
      <c r="AJ130">
        <f>$C130*AJ129</f>
        <v/>
      </c>
      <c r="AK130">
        <f>$C130*AK129</f>
        <v/>
      </c>
      <c r="AL130">
        <f>$C130*AL129</f>
        <v/>
      </c>
      <c r="AM130">
        <f>$C130*AM129</f>
        <v/>
      </c>
      <c r="AN130">
        <f>$C130*AN129</f>
        <v/>
      </c>
      <c r="AO130">
        <f>$C130*AO129</f>
        <v/>
      </c>
      <c r="AP130">
        <f>$C130*AP129</f>
        <v/>
      </c>
      <c r="AQ130">
        <f>$C130*AQ129</f>
        <v/>
      </c>
      <c r="AR130">
        <f>$C130*AR129</f>
        <v/>
      </c>
      <c r="AS130">
        <f>$C130*AS129</f>
        <v/>
      </c>
      <c r="AT130">
        <f>$C130*AT129</f>
        <v/>
      </c>
      <c r="AU130">
        <f>$C130*AU129</f>
        <v/>
      </c>
      <c r="AV130">
        <f>$C130*AV129</f>
        <v/>
      </c>
      <c r="AW130">
        <f>$C130*AW129</f>
        <v/>
      </c>
      <c r="AX130">
        <f>$C130*AX129</f>
        <v/>
      </c>
      <c r="AY130">
        <f>$C130*AY129</f>
        <v/>
      </c>
      <c r="AZ130">
        <f>$C130*AZ129</f>
        <v/>
      </c>
      <c r="BA130">
        <f>$C130*BA129</f>
        <v/>
      </c>
      <c r="BB130">
        <f>$C130*BB129</f>
        <v/>
      </c>
      <c r="BC130">
        <f>$C130*BC129</f>
        <v/>
      </c>
      <c r="BD130">
        <f>$C130*BD129</f>
        <v/>
      </c>
      <c r="BE130">
        <f>$C130*BE129</f>
        <v/>
      </c>
      <c r="BF130">
        <f>$C130*BF129</f>
        <v/>
      </c>
      <c r="BG130">
        <f>$C130*BG129</f>
        <v/>
      </c>
      <c r="BH130">
        <f>$C130*BH129</f>
        <v/>
      </c>
      <c r="BI130">
        <f>$C130*BI129</f>
        <v/>
      </c>
      <c r="BJ130">
        <f>$C130*BJ129</f>
        <v/>
      </c>
      <c r="BK130">
        <f>$C130*BK129</f>
        <v/>
      </c>
      <c r="BL130">
        <f>$C130*BL129</f>
        <v/>
      </c>
      <c r="BM130">
        <f>$C130*BM129</f>
        <v/>
      </c>
      <c r="BN130">
        <f>$C130*BN129</f>
        <v/>
      </c>
      <c r="BO130">
        <f>$C130*BO129</f>
        <v/>
      </c>
      <c r="BP130">
        <f>$C130*BP129</f>
        <v/>
      </c>
      <c r="BQ130">
        <f>$C130*BQ129</f>
        <v/>
      </c>
      <c r="BR130">
        <f>$C130*BR129</f>
        <v/>
      </c>
      <c r="BS130">
        <f>$C130*BS129</f>
        <v/>
      </c>
      <c r="BT130">
        <f>$C130*BT129</f>
        <v/>
      </c>
      <c r="BU130">
        <f>$C130*BU129</f>
        <v/>
      </c>
      <c r="BV130">
        <f>$C130*BV129</f>
        <v/>
      </c>
      <c r="BW130">
        <f>$C130*BW129</f>
        <v/>
      </c>
      <c r="BX130">
        <f>$C130*BX129</f>
        <v/>
      </c>
      <c r="BY130">
        <f>$C130*BY129</f>
        <v/>
      </c>
      <c r="BZ130">
        <f>$C130*BZ129</f>
        <v/>
      </c>
      <c r="CA130">
        <f>$C130*CA129</f>
        <v/>
      </c>
      <c r="CB130">
        <f>$C130*CB129</f>
        <v/>
      </c>
      <c r="CC130">
        <f>$C130*CC129</f>
        <v/>
      </c>
      <c r="CD130">
        <f>$C130*CD129</f>
        <v/>
      </c>
      <c r="CE130">
        <f>$C130*CE129</f>
        <v/>
      </c>
      <c r="CF130">
        <f>$C130*CF129</f>
        <v/>
      </c>
      <c r="CG130">
        <f>$C130*CG129</f>
        <v/>
      </c>
      <c r="CH130">
        <f>$C130*CH129</f>
        <v/>
      </c>
      <c r="CI130">
        <f>$C130*CI129</f>
        <v/>
      </c>
      <c r="CJ130">
        <f>$C130*CJ129</f>
        <v/>
      </c>
      <c r="CK130">
        <f>$C130*CK129</f>
        <v/>
      </c>
      <c r="CL130">
        <f>$C130*CL129</f>
        <v/>
      </c>
      <c r="CM130">
        <f>$C130*CM129</f>
        <v/>
      </c>
      <c r="CN130">
        <f>$C130*CN129</f>
        <v/>
      </c>
      <c r="CO130">
        <f>$C130*CO129</f>
        <v/>
      </c>
      <c r="CP130">
        <f>$C130*CP129</f>
        <v/>
      </c>
      <c r="CQ130">
        <f>$C130*CQ129</f>
        <v/>
      </c>
      <c r="CR130">
        <f>$C130*CR129</f>
        <v/>
      </c>
      <c r="CS130">
        <f>$C130*CS129</f>
        <v/>
      </c>
      <c r="CT130">
        <f>$C130*CT129</f>
        <v/>
      </c>
      <c r="CU130">
        <f>$C130*CU129</f>
        <v/>
      </c>
      <c r="CV130">
        <f>$C130*CV129</f>
        <v/>
      </c>
      <c r="CW130">
        <f>$C130*CW129</f>
        <v/>
      </c>
      <c r="CX130">
        <f>$C130*CX129</f>
        <v/>
      </c>
      <c r="CY130">
        <f>$C130*CY129</f>
        <v/>
      </c>
      <c r="CZ130">
        <f>$C130*CZ129</f>
        <v/>
      </c>
      <c r="DA130">
        <f>$C130*DA129</f>
        <v/>
      </c>
      <c r="DB130">
        <f>$C130*DB129</f>
        <v/>
      </c>
      <c r="DC130">
        <f>$C130*DC129</f>
        <v/>
      </c>
    </row>
    <row r="131">
      <c r="B131" t="inlineStr">
        <is>
          <t>TSP-928</t>
        </is>
      </c>
      <c r="C131" t="inlineStr">
        <is>
          <t>No. of batches</t>
        </is>
      </c>
      <c r="D131">
        <f>IFERROR(INDEX(PP_Grid[#Data],$DD131,2),0)</f>
        <v/>
      </c>
      <c r="E131">
        <f>IFERROR(INDEX(PP_Grid[#Data],$DD131,3),0)</f>
        <v/>
      </c>
      <c r="F131">
        <f>IFERROR(INDEX(PP_Grid[#Data],$DD131,4),0)</f>
        <v/>
      </c>
      <c r="G131">
        <f>IFERROR(INDEX(PP_Grid[#Data],$DD131,5),0)</f>
        <v/>
      </c>
      <c r="H131">
        <f>IFERROR(INDEX(PP_Grid[#Data],$DD131,6),0)</f>
        <v/>
      </c>
      <c r="I131">
        <f>IFERROR(INDEX(PP_Grid[#Data],$DD131,7),0)</f>
        <v/>
      </c>
      <c r="J131">
        <f>IFERROR(INDEX(PP_Grid[#Data],$DD131,8),0)</f>
        <v/>
      </c>
      <c r="K131">
        <f>IFERROR(INDEX(PP_Grid[#Data],$DD131,9),0)</f>
        <v/>
      </c>
      <c r="L131">
        <f>IFERROR(INDEX(PP_Grid[#Data],$DD131,10),0)</f>
        <v/>
      </c>
      <c r="M131">
        <f>IFERROR(INDEX(PP_Grid[#Data],$DD131,11),0)</f>
        <v/>
      </c>
      <c r="N131">
        <f>IFERROR(INDEX(PP_Grid[#Data],$DD131,12),0)</f>
        <v/>
      </c>
      <c r="O131">
        <f>IFERROR(INDEX(PP_Grid[#Data],$DD131,13),0)</f>
        <v/>
      </c>
      <c r="P131">
        <f>IFERROR(INDEX(PP_Grid[#Data],$DD131,14),0)</f>
        <v/>
      </c>
      <c r="Q131">
        <f>IFERROR(INDEX(PP_Grid[#Data],$DD131,15),0)</f>
        <v/>
      </c>
      <c r="R131">
        <f>IFERROR(INDEX(PP_Grid[#Data],$DD131,16),0)</f>
        <v/>
      </c>
      <c r="S131">
        <f>IFERROR(INDEX(PP_Grid[#Data],$DD131,17),0)</f>
        <v/>
      </c>
      <c r="T131">
        <f>IFERROR(INDEX(PP_Grid[#Data],$DD131,18),0)</f>
        <v/>
      </c>
      <c r="U131">
        <f>IFERROR(INDEX(PP_Grid[#Data],$DD131,19),0)</f>
        <v/>
      </c>
      <c r="V131">
        <f>IFERROR(INDEX(PP_Grid[#Data],$DD131,20),0)</f>
        <v/>
      </c>
      <c r="W131">
        <f>IFERROR(INDEX(PP_Grid[#Data],$DD131,21),0)</f>
        <v/>
      </c>
      <c r="X131">
        <f>IFERROR(INDEX(PP_Grid[#Data],$DD131,22),0)</f>
        <v/>
      </c>
      <c r="Y131">
        <f>IFERROR(INDEX(PP_Grid[#Data],$DD131,23),0)</f>
        <v/>
      </c>
      <c r="Z131">
        <f>IFERROR(INDEX(PP_Grid[#Data],$DD131,24),0)</f>
        <v/>
      </c>
      <c r="AA131">
        <f>IFERROR(INDEX(PP_Grid[#Data],$DD131,25),0)</f>
        <v/>
      </c>
      <c r="AB131">
        <f>IFERROR(INDEX(PP_Grid[#Data],$DD131,26),0)</f>
        <v/>
      </c>
      <c r="AC131">
        <f>IFERROR(INDEX(PP_Grid[#Data],$DD131,27),0)</f>
        <v/>
      </c>
      <c r="AD131">
        <f>IFERROR(INDEX(PP_Grid[#Data],$DD131,28),0)</f>
        <v/>
      </c>
      <c r="AE131">
        <f>IFERROR(INDEX(PP_Grid[#Data],$DD131,29),0)</f>
        <v/>
      </c>
      <c r="AF131">
        <f>IFERROR(INDEX(PP_Grid[#Data],$DD131,30),0)</f>
        <v/>
      </c>
      <c r="AG131">
        <f>IFERROR(INDEX(PP_Grid[#Data],$DD131,31),0)</f>
        <v/>
      </c>
      <c r="AH131">
        <f>IFERROR(INDEX(PP_Grid[#Data],$DD131,32),0)</f>
        <v/>
      </c>
      <c r="AI131">
        <f>IFERROR(INDEX(PP_Grid[#Data],$DD131,33),0)</f>
        <v/>
      </c>
      <c r="AJ131">
        <f>IFERROR(INDEX(PP_Grid[#Data],$DD131,34),0)</f>
        <v/>
      </c>
      <c r="AK131">
        <f>IFERROR(INDEX(PP_Grid[#Data],$DD131,35),0)</f>
        <v/>
      </c>
      <c r="AL131">
        <f>IFERROR(INDEX(PP_Grid[#Data],$DD131,36),0)</f>
        <v/>
      </c>
      <c r="AM131">
        <f>IFERROR(INDEX(PP_Grid[#Data],$DD131,37),0)</f>
        <v/>
      </c>
      <c r="AN131">
        <f>IFERROR(INDEX(PP_Grid[#Data],$DD131,38),0)</f>
        <v/>
      </c>
      <c r="AO131">
        <f>IFERROR(INDEX(PP_Grid[#Data],$DD131,39),0)</f>
        <v/>
      </c>
      <c r="AP131">
        <f>IFERROR(INDEX(PP_Grid[#Data],$DD131,40),0)</f>
        <v/>
      </c>
      <c r="AQ131">
        <f>IFERROR(INDEX(PP_Grid[#Data],$DD131,41),0)</f>
        <v/>
      </c>
      <c r="AR131">
        <f>IFERROR(INDEX(PP_Grid[#Data],$DD131,42),0)</f>
        <v/>
      </c>
      <c r="AS131">
        <f>IFERROR(INDEX(PP_Grid[#Data],$DD131,43),0)</f>
        <v/>
      </c>
      <c r="AT131">
        <f>IFERROR(INDEX(PP_Grid[#Data],$DD131,44),0)</f>
        <v/>
      </c>
      <c r="AU131">
        <f>IFERROR(INDEX(PP_Grid[#Data],$DD131,45),0)</f>
        <v/>
      </c>
      <c r="AV131">
        <f>IFERROR(INDEX(PP_Grid[#Data],$DD131,46),0)</f>
        <v/>
      </c>
      <c r="AW131">
        <f>IFERROR(INDEX(PP_Grid[#Data],$DD131,47),0)</f>
        <v/>
      </c>
      <c r="AX131">
        <f>IFERROR(INDEX(PP_Grid[#Data],$DD131,48),0)</f>
        <v/>
      </c>
      <c r="AY131">
        <f>IFERROR(INDEX(PP_Grid[#Data],$DD131,49),0)</f>
        <v/>
      </c>
      <c r="AZ131">
        <f>IFERROR(INDEX(PP_Grid[#Data],$DD131,50),0)</f>
        <v/>
      </c>
      <c r="BA131">
        <f>IFERROR(INDEX(PP_Grid[#Data],$DD131,51),0)</f>
        <v/>
      </c>
      <c r="BB131">
        <f>IFERROR(INDEX(PP_Grid[#Data],$DD131,52),0)</f>
        <v/>
      </c>
      <c r="BC131">
        <f>IFERROR(INDEX(PP_Grid[#Data],$DD131,53),0)</f>
        <v/>
      </c>
      <c r="BD131">
        <f>IFERROR(INDEX(PP_Grid[#Data],$DD131,54),0)</f>
        <v/>
      </c>
      <c r="BE131">
        <f>IFERROR(INDEX(PP_Grid[#Data],$DD131,55),0)</f>
        <v/>
      </c>
      <c r="BF131">
        <f>IFERROR(INDEX(PP_Grid[#Data],$DD131,56),0)</f>
        <v/>
      </c>
      <c r="BG131">
        <f>IFERROR(INDEX(PP_Grid[#Data],$DD131,57),0)</f>
        <v/>
      </c>
      <c r="BH131">
        <f>IFERROR(INDEX(PP_Grid[#Data],$DD131,58),0)</f>
        <v/>
      </c>
      <c r="BI131">
        <f>IFERROR(INDEX(PP_Grid[#Data],$DD131,59),0)</f>
        <v/>
      </c>
      <c r="BJ131">
        <f>IFERROR(INDEX(PP_Grid[#Data],$DD131,60),0)</f>
        <v/>
      </c>
      <c r="BK131">
        <f>IFERROR(INDEX(PP_Grid[#Data],$DD131,61),0)</f>
        <v/>
      </c>
      <c r="BL131">
        <f>IFERROR(INDEX(PP_Grid[#Data],$DD131,62),0)</f>
        <v/>
      </c>
      <c r="BM131">
        <f>IFERROR(INDEX(PP_Grid[#Data],$DD131,63),0)</f>
        <v/>
      </c>
      <c r="BN131">
        <f>IFERROR(INDEX(PP_Grid[#Data],$DD131,64),0)</f>
        <v/>
      </c>
      <c r="BO131">
        <f>IFERROR(INDEX(PP_Grid[#Data],$DD131,65),0)</f>
        <v/>
      </c>
      <c r="BP131">
        <f>IFERROR(INDEX(PP_Grid[#Data],$DD131,66),0)</f>
        <v/>
      </c>
      <c r="BQ131">
        <f>IFERROR(INDEX(PP_Grid[#Data],$DD131,67),0)</f>
        <v/>
      </c>
      <c r="BR131">
        <f>IFERROR(INDEX(PP_Grid[#Data],$DD131,68),0)</f>
        <v/>
      </c>
      <c r="BS131">
        <f>IFERROR(INDEX(PP_Grid[#Data],$DD131,69),0)</f>
        <v/>
      </c>
      <c r="BT131">
        <f>IFERROR(INDEX(PP_Grid[#Data],$DD131,70),0)</f>
        <v/>
      </c>
      <c r="BU131">
        <f>IFERROR(INDEX(PP_Grid[#Data],$DD131,71),0)</f>
        <v/>
      </c>
      <c r="BV131">
        <f>IFERROR(INDEX(PP_Grid[#Data],$DD131,72),0)</f>
        <v/>
      </c>
      <c r="BW131">
        <f>IFERROR(INDEX(PP_Grid[#Data],$DD131,73),0)</f>
        <v/>
      </c>
      <c r="BX131">
        <f>IFERROR(INDEX(PP_Grid[#Data],$DD131,74),0)</f>
        <v/>
      </c>
      <c r="BY131">
        <f>IFERROR(INDEX(PP_Grid[#Data],$DD131,75),0)</f>
        <v/>
      </c>
      <c r="BZ131">
        <f>IFERROR(INDEX(PP_Grid[#Data],$DD131,76),0)</f>
        <v/>
      </c>
      <c r="CA131">
        <f>IFERROR(INDEX(PP_Grid[#Data],$DD131,77),0)</f>
        <v/>
      </c>
      <c r="CB131">
        <f>IFERROR(INDEX(PP_Grid[#Data],$DD131,78),0)</f>
        <v/>
      </c>
      <c r="CC131">
        <f>IFERROR(INDEX(PP_Grid[#Data],$DD131,79),0)</f>
        <v/>
      </c>
      <c r="CD131">
        <f>IFERROR(INDEX(PP_Grid[#Data],$DD131,80),0)</f>
        <v/>
      </c>
      <c r="CE131">
        <f>IFERROR(INDEX(PP_Grid[#Data],$DD131,81),0)</f>
        <v/>
      </c>
      <c r="CF131">
        <f>IFERROR(INDEX(PP_Grid[#Data],$DD131,82),0)</f>
        <v/>
      </c>
      <c r="CG131">
        <f>IFERROR(INDEX(PP_Grid[#Data],$DD131,83),0)</f>
        <v/>
      </c>
      <c r="CH131">
        <f>IFERROR(INDEX(PP_Grid[#Data],$DD131,84),0)</f>
        <v/>
      </c>
      <c r="CI131">
        <f>IFERROR(INDEX(PP_Grid[#Data],$DD131,85),0)</f>
        <v/>
      </c>
      <c r="CJ131">
        <f>IFERROR(INDEX(PP_Grid[#Data],$DD131,86),0)</f>
        <v/>
      </c>
      <c r="CK131">
        <f>IFERROR(INDEX(PP_Grid[#Data],$DD131,87),0)</f>
        <v/>
      </c>
      <c r="CL131">
        <f>IFERROR(INDEX(PP_Grid[#Data],$DD131,88),0)</f>
        <v/>
      </c>
      <c r="CM131">
        <f>IFERROR(INDEX(PP_Grid[#Data],$DD131,89),0)</f>
        <v/>
      </c>
      <c r="CN131">
        <f>IFERROR(INDEX(PP_Grid[#Data],$DD131,90),0)</f>
        <v/>
      </c>
      <c r="CO131">
        <f>IFERROR(INDEX(PP_Grid[#Data],$DD131,91),0)</f>
        <v/>
      </c>
      <c r="CP131">
        <f>IFERROR(INDEX(PP_Grid[#Data],$DD131,92),0)</f>
        <v/>
      </c>
      <c r="CQ131">
        <f>IFERROR(INDEX(PP_Grid[#Data],$DD131,93),0)</f>
        <v/>
      </c>
      <c r="CR131">
        <f>IFERROR(INDEX(PP_Grid[#Data],$DD131,94),0)</f>
        <v/>
      </c>
      <c r="CS131">
        <f>IFERROR(INDEX(PP_Grid[#Data],$DD131,95),0)</f>
        <v/>
      </c>
      <c r="CT131">
        <f>IFERROR(INDEX(PP_Grid[#Data],$DD131,96),0)</f>
        <v/>
      </c>
      <c r="CU131">
        <f>IFERROR(INDEX(PP_Grid[#Data],$DD131,97),0)</f>
        <v/>
      </c>
      <c r="CV131">
        <f>IFERROR(INDEX(PP_Grid[#Data],$DD131,98),0)</f>
        <v/>
      </c>
      <c r="CW131">
        <f>IFERROR(INDEX(PP_Grid[#Data],$DD131,99),0)</f>
        <v/>
      </c>
      <c r="CX131">
        <f>IFERROR(INDEX(PP_Grid[#Data],$DD131,100),0)</f>
        <v/>
      </c>
      <c r="CY131">
        <f>IFERROR(INDEX(PP_Grid[#Data],$DD131,101),0)</f>
        <v/>
      </c>
      <c r="CZ131">
        <f>IFERROR(INDEX(PP_Grid[#Data],$DD131,102),0)</f>
        <v/>
      </c>
      <c r="DA131">
        <f>IFERROR(INDEX(PP_Grid[#Data],$DD131,103),0)</f>
        <v/>
      </c>
      <c r="DB131">
        <f>IFERROR(INDEX(PP_Grid[#Data],$DD131,104),0)</f>
        <v/>
      </c>
      <c r="DC131">
        <f>IFERROR(INDEX(PP_Grid[#Data],$DD131,105),0)</f>
        <v/>
      </c>
      <c r="DD131" s="7">
        <f>IFERROR(MATCH($B131,PP_Grid[Intermediate],0),99999)</f>
        <v/>
      </c>
    </row>
    <row r="132">
      <c r="B132" t="inlineStr">
        <is>
          <t>使用量(kg)</t>
        </is>
      </c>
      <c r="C132">
        <f>SUMIFS(M_BOM[RM_Qty_Per_Batch],M_BOM[Intermediate],$B131,M_BOM[Part Name],$A44)</f>
        <v/>
      </c>
      <c r="D132">
        <f>$C132*D131</f>
        <v/>
      </c>
      <c r="E132">
        <f>$C132*E131</f>
        <v/>
      </c>
      <c r="F132">
        <f>$C132*F131</f>
        <v/>
      </c>
      <c r="G132">
        <f>$C132*G131</f>
        <v/>
      </c>
      <c r="H132">
        <f>$C132*H131</f>
        <v/>
      </c>
      <c r="I132">
        <f>$C132*I131</f>
        <v/>
      </c>
      <c r="J132">
        <f>$C132*J131</f>
        <v/>
      </c>
      <c r="K132">
        <f>$C132*K131</f>
        <v/>
      </c>
      <c r="L132">
        <f>$C132*L131</f>
        <v/>
      </c>
      <c r="M132">
        <f>$C132*M131</f>
        <v/>
      </c>
      <c r="N132">
        <f>$C132*N131</f>
        <v/>
      </c>
      <c r="O132">
        <f>$C132*O131</f>
        <v/>
      </c>
      <c r="P132">
        <f>$C132*P131</f>
        <v/>
      </c>
      <c r="Q132">
        <f>$C132*Q131</f>
        <v/>
      </c>
      <c r="R132">
        <f>$C132*R131</f>
        <v/>
      </c>
      <c r="S132">
        <f>$C132*S131</f>
        <v/>
      </c>
      <c r="T132">
        <f>$C132*T131</f>
        <v/>
      </c>
      <c r="U132">
        <f>$C132*U131</f>
        <v/>
      </c>
      <c r="V132">
        <f>$C132*V131</f>
        <v/>
      </c>
      <c r="W132">
        <f>$C132*W131</f>
        <v/>
      </c>
      <c r="X132">
        <f>$C132*X131</f>
        <v/>
      </c>
      <c r="Y132">
        <f>$C132*Y131</f>
        <v/>
      </c>
      <c r="Z132">
        <f>$C132*Z131</f>
        <v/>
      </c>
      <c r="AA132">
        <f>$C132*AA131</f>
        <v/>
      </c>
      <c r="AB132">
        <f>$C132*AB131</f>
        <v/>
      </c>
      <c r="AC132">
        <f>$C132*AC131</f>
        <v/>
      </c>
      <c r="AD132">
        <f>$C132*AD131</f>
        <v/>
      </c>
      <c r="AE132">
        <f>$C132*AE131</f>
        <v/>
      </c>
      <c r="AF132">
        <f>$C132*AF131</f>
        <v/>
      </c>
      <c r="AG132">
        <f>$C132*AG131</f>
        <v/>
      </c>
      <c r="AH132">
        <f>$C132*AH131</f>
        <v/>
      </c>
      <c r="AI132">
        <f>$C132*AI131</f>
        <v/>
      </c>
      <c r="AJ132">
        <f>$C132*AJ131</f>
        <v/>
      </c>
      <c r="AK132">
        <f>$C132*AK131</f>
        <v/>
      </c>
      <c r="AL132">
        <f>$C132*AL131</f>
        <v/>
      </c>
      <c r="AM132">
        <f>$C132*AM131</f>
        <v/>
      </c>
      <c r="AN132">
        <f>$C132*AN131</f>
        <v/>
      </c>
      <c r="AO132">
        <f>$C132*AO131</f>
        <v/>
      </c>
      <c r="AP132">
        <f>$C132*AP131</f>
        <v/>
      </c>
      <c r="AQ132">
        <f>$C132*AQ131</f>
        <v/>
      </c>
      <c r="AR132">
        <f>$C132*AR131</f>
        <v/>
      </c>
      <c r="AS132">
        <f>$C132*AS131</f>
        <v/>
      </c>
      <c r="AT132">
        <f>$C132*AT131</f>
        <v/>
      </c>
      <c r="AU132">
        <f>$C132*AU131</f>
        <v/>
      </c>
      <c r="AV132">
        <f>$C132*AV131</f>
        <v/>
      </c>
      <c r="AW132">
        <f>$C132*AW131</f>
        <v/>
      </c>
      <c r="AX132">
        <f>$C132*AX131</f>
        <v/>
      </c>
      <c r="AY132">
        <f>$C132*AY131</f>
        <v/>
      </c>
      <c r="AZ132">
        <f>$C132*AZ131</f>
        <v/>
      </c>
      <c r="BA132">
        <f>$C132*BA131</f>
        <v/>
      </c>
      <c r="BB132">
        <f>$C132*BB131</f>
        <v/>
      </c>
      <c r="BC132">
        <f>$C132*BC131</f>
        <v/>
      </c>
      <c r="BD132">
        <f>$C132*BD131</f>
        <v/>
      </c>
      <c r="BE132">
        <f>$C132*BE131</f>
        <v/>
      </c>
      <c r="BF132">
        <f>$C132*BF131</f>
        <v/>
      </c>
      <c r="BG132">
        <f>$C132*BG131</f>
        <v/>
      </c>
      <c r="BH132">
        <f>$C132*BH131</f>
        <v/>
      </c>
      <c r="BI132">
        <f>$C132*BI131</f>
        <v/>
      </c>
      <c r="BJ132">
        <f>$C132*BJ131</f>
        <v/>
      </c>
      <c r="BK132">
        <f>$C132*BK131</f>
        <v/>
      </c>
      <c r="BL132">
        <f>$C132*BL131</f>
        <v/>
      </c>
      <c r="BM132">
        <f>$C132*BM131</f>
        <v/>
      </c>
      <c r="BN132">
        <f>$C132*BN131</f>
        <v/>
      </c>
      <c r="BO132">
        <f>$C132*BO131</f>
        <v/>
      </c>
      <c r="BP132">
        <f>$C132*BP131</f>
        <v/>
      </c>
      <c r="BQ132">
        <f>$C132*BQ131</f>
        <v/>
      </c>
      <c r="BR132">
        <f>$C132*BR131</f>
        <v/>
      </c>
      <c r="BS132">
        <f>$C132*BS131</f>
        <v/>
      </c>
      <c r="BT132">
        <f>$C132*BT131</f>
        <v/>
      </c>
      <c r="BU132">
        <f>$C132*BU131</f>
        <v/>
      </c>
      <c r="BV132">
        <f>$C132*BV131</f>
        <v/>
      </c>
      <c r="BW132">
        <f>$C132*BW131</f>
        <v/>
      </c>
      <c r="BX132">
        <f>$C132*BX131</f>
        <v/>
      </c>
      <c r="BY132">
        <f>$C132*BY131</f>
        <v/>
      </c>
      <c r="BZ132">
        <f>$C132*BZ131</f>
        <v/>
      </c>
      <c r="CA132">
        <f>$C132*CA131</f>
        <v/>
      </c>
      <c r="CB132">
        <f>$C132*CB131</f>
        <v/>
      </c>
      <c r="CC132">
        <f>$C132*CC131</f>
        <v/>
      </c>
      <c r="CD132">
        <f>$C132*CD131</f>
        <v/>
      </c>
      <c r="CE132">
        <f>$C132*CE131</f>
        <v/>
      </c>
      <c r="CF132">
        <f>$C132*CF131</f>
        <v/>
      </c>
      <c r="CG132">
        <f>$C132*CG131</f>
        <v/>
      </c>
      <c r="CH132">
        <f>$C132*CH131</f>
        <v/>
      </c>
      <c r="CI132">
        <f>$C132*CI131</f>
        <v/>
      </c>
      <c r="CJ132">
        <f>$C132*CJ131</f>
        <v/>
      </c>
      <c r="CK132">
        <f>$C132*CK131</f>
        <v/>
      </c>
      <c r="CL132">
        <f>$C132*CL131</f>
        <v/>
      </c>
      <c r="CM132">
        <f>$C132*CM131</f>
        <v/>
      </c>
      <c r="CN132">
        <f>$C132*CN131</f>
        <v/>
      </c>
      <c r="CO132">
        <f>$C132*CO131</f>
        <v/>
      </c>
      <c r="CP132">
        <f>$C132*CP131</f>
        <v/>
      </c>
      <c r="CQ132">
        <f>$C132*CQ131</f>
        <v/>
      </c>
      <c r="CR132">
        <f>$C132*CR131</f>
        <v/>
      </c>
      <c r="CS132">
        <f>$C132*CS131</f>
        <v/>
      </c>
      <c r="CT132">
        <f>$C132*CT131</f>
        <v/>
      </c>
      <c r="CU132">
        <f>$C132*CU131</f>
        <v/>
      </c>
      <c r="CV132">
        <f>$C132*CV131</f>
        <v/>
      </c>
      <c r="CW132">
        <f>$C132*CW131</f>
        <v/>
      </c>
      <c r="CX132">
        <f>$C132*CX131</f>
        <v/>
      </c>
      <c r="CY132">
        <f>$C132*CY131</f>
        <v/>
      </c>
      <c r="CZ132">
        <f>$C132*CZ131</f>
        <v/>
      </c>
      <c r="DA132">
        <f>$C132*DA131</f>
        <v/>
      </c>
      <c r="DB132">
        <f>$C132*DB131</f>
        <v/>
      </c>
      <c r="DC132">
        <f>$C132*DC131</f>
        <v/>
      </c>
    </row>
    <row r="133">
      <c r="B133" t="inlineStr">
        <is>
          <t>TSP-929</t>
        </is>
      </c>
      <c r="C133" t="inlineStr">
        <is>
          <t>No. of batches</t>
        </is>
      </c>
      <c r="D133">
        <f>IFERROR(INDEX(PP_Grid[#Data],$DD133,2),0)</f>
        <v/>
      </c>
      <c r="E133">
        <f>IFERROR(INDEX(PP_Grid[#Data],$DD133,3),0)</f>
        <v/>
      </c>
      <c r="F133">
        <f>IFERROR(INDEX(PP_Grid[#Data],$DD133,4),0)</f>
        <v/>
      </c>
      <c r="G133">
        <f>IFERROR(INDEX(PP_Grid[#Data],$DD133,5),0)</f>
        <v/>
      </c>
      <c r="H133">
        <f>IFERROR(INDEX(PP_Grid[#Data],$DD133,6),0)</f>
        <v/>
      </c>
      <c r="I133">
        <f>IFERROR(INDEX(PP_Grid[#Data],$DD133,7),0)</f>
        <v/>
      </c>
      <c r="J133">
        <f>IFERROR(INDEX(PP_Grid[#Data],$DD133,8),0)</f>
        <v/>
      </c>
      <c r="K133">
        <f>IFERROR(INDEX(PP_Grid[#Data],$DD133,9),0)</f>
        <v/>
      </c>
      <c r="L133">
        <f>IFERROR(INDEX(PP_Grid[#Data],$DD133,10),0)</f>
        <v/>
      </c>
      <c r="M133">
        <f>IFERROR(INDEX(PP_Grid[#Data],$DD133,11),0)</f>
        <v/>
      </c>
      <c r="N133">
        <f>IFERROR(INDEX(PP_Grid[#Data],$DD133,12),0)</f>
        <v/>
      </c>
      <c r="O133">
        <f>IFERROR(INDEX(PP_Grid[#Data],$DD133,13),0)</f>
        <v/>
      </c>
      <c r="P133">
        <f>IFERROR(INDEX(PP_Grid[#Data],$DD133,14),0)</f>
        <v/>
      </c>
      <c r="Q133">
        <f>IFERROR(INDEX(PP_Grid[#Data],$DD133,15),0)</f>
        <v/>
      </c>
      <c r="R133">
        <f>IFERROR(INDEX(PP_Grid[#Data],$DD133,16),0)</f>
        <v/>
      </c>
      <c r="S133">
        <f>IFERROR(INDEX(PP_Grid[#Data],$DD133,17),0)</f>
        <v/>
      </c>
      <c r="T133">
        <f>IFERROR(INDEX(PP_Grid[#Data],$DD133,18),0)</f>
        <v/>
      </c>
      <c r="U133">
        <f>IFERROR(INDEX(PP_Grid[#Data],$DD133,19),0)</f>
        <v/>
      </c>
      <c r="V133">
        <f>IFERROR(INDEX(PP_Grid[#Data],$DD133,20),0)</f>
        <v/>
      </c>
      <c r="W133">
        <f>IFERROR(INDEX(PP_Grid[#Data],$DD133,21),0)</f>
        <v/>
      </c>
      <c r="X133">
        <f>IFERROR(INDEX(PP_Grid[#Data],$DD133,22),0)</f>
        <v/>
      </c>
      <c r="Y133">
        <f>IFERROR(INDEX(PP_Grid[#Data],$DD133,23),0)</f>
        <v/>
      </c>
      <c r="Z133">
        <f>IFERROR(INDEX(PP_Grid[#Data],$DD133,24),0)</f>
        <v/>
      </c>
      <c r="AA133">
        <f>IFERROR(INDEX(PP_Grid[#Data],$DD133,25),0)</f>
        <v/>
      </c>
      <c r="AB133">
        <f>IFERROR(INDEX(PP_Grid[#Data],$DD133,26),0)</f>
        <v/>
      </c>
      <c r="AC133">
        <f>IFERROR(INDEX(PP_Grid[#Data],$DD133,27),0)</f>
        <v/>
      </c>
      <c r="AD133">
        <f>IFERROR(INDEX(PP_Grid[#Data],$DD133,28),0)</f>
        <v/>
      </c>
      <c r="AE133">
        <f>IFERROR(INDEX(PP_Grid[#Data],$DD133,29),0)</f>
        <v/>
      </c>
      <c r="AF133">
        <f>IFERROR(INDEX(PP_Grid[#Data],$DD133,30),0)</f>
        <v/>
      </c>
      <c r="AG133">
        <f>IFERROR(INDEX(PP_Grid[#Data],$DD133,31),0)</f>
        <v/>
      </c>
      <c r="AH133">
        <f>IFERROR(INDEX(PP_Grid[#Data],$DD133,32),0)</f>
        <v/>
      </c>
      <c r="AI133">
        <f>IFERROR(INDEX(PP_Grid[#Data],$DD133,33),0)</f>
        <v/>
      </c>
      <c r="AJ133">
        <f>IFERROR(INDEX(PP_Grid[#Data],$DD133,34),0)</f>
        <v/>
      </c>
      <c r="AK133">
        <f>IFERROR(INDEX(PP_Grid[#Data],$DD133,35),0)</f>
        <v/>
      </c>
      <c r="AL133">
        <f>IFERROR(INDEX(PP_Grid[#Data],$DD133,36),0)</f>
        <v/>
      </c>
      <c r="AM133">
        <f>IFERROR(INDEX(PP_Grid[#Data],$DD133,37),0)</f>
        <v/>
      </c>
      <c r="AN133">
        <f>IFERROR(INDEX(PP_Grid[#Data],$DD133,38),0)</f>
        <v/>
      </c>
      <c r="AO133">
        <f>IFERROR(INDEX(PP_Grid[#Data],$DD133,39),0)</f>
        <v/>
      </c>
      <c r="AP133">
        <f>IFERROR(INDEX(PP_Grid[#Data],$DD133,40),0)</f>
        <v/>
      </c>
      <c r="AQ133">
        <f>IFERROR(INDEX(PP_Grid[#Data],$DD133,41),0)</f>
        <v/>
      </c>
      <c r="AR133">
        <f>IFERROR(INDEX(PP_Grid[#Data],$DD133,42),0)</f>
        <v/>
      </c>
      <c r="AS133">
        <f>IFERROR(INDEX(PP_Grid[#Data],$DD133,43),0)</f>
        <v/>
      </c>
      <c r="AT133">
        <f>IFERROR(INDEX(PP_Grid[#Data],$DD133,44),0)</f>
        <v/>
      </c>
      <c r="AU133">
        <f>IFERROR(INDEX(PP_Grid[#Data],$DD133,45),0)</f>
        <v/>
      </c>
      <c r="AV133">
        <f>IFERROR(INDEX(PP_Grid[#Data],$DD133,46),0)</f>
        <v/>
      </c>
      <c r="AW133">
        <f>IFERROR(INDEX(PP_Grid[#Data],$DD133,47),0)</f>
        <v/>
      </c>
      <c r="AX133">
        <f>IFERROR(INDEX(PP_Grid[#Data],$DD133,48),0)</f>
        <v/>
      </c>
      <c r="AY133">
        <f>IFERROR(INDEX(PP_Grid[#Data],$DD133,49),0)</f>
        <v/>
      </c>
      <c r="AZ133">
        <f>IFERROR(INDEX(PP_Grid[#Data],$DD133,50),0)</f>
        <v/>
      </c>
      <c r="BA133">
        <f>IFERROR(INDEX(PP_Grid[#Data],$DD133,51),0)</f>
        <v/>
      </c>
      <c r="BB133">
        <f>IFERROR(INDEX(PP_Grid[#Data],$DD133,52),0)</f>
        <v/>
      </c>
      <c r="BC133">
        <f>IFERROR(INDEX(PP_Grid[#Data],$DD133,53),0)</f>
        <v/>
      </c>
      <c r="BD133">
        <f>IFERROR(INDEX(PP_Grid[#Data],$DD133,54),0)</f>
        <v/>
      </c>
      <c r="BE133">
        <f>IFERROR(INDEX(PP_Grid[#Data],$DD133,55),0)</f>
        <v/>
      </c>
      <c r="BF133">
        <f>IFERROR(INDEX(PP_Grid[#Data],$DD133,56),0)</f>
        <v/>
      </c>
      <c r="BG133">
        <f>IFERROR(INDEX(PP_Grid[#Data],$DD133,57),0)</f>
        <v/>
      </c>
      <c r="BH133">
        <f>IFERROR(INDEX(PP_Grid[#Data],$DD133,58),0)</f>
        <v/>
      </c>
      <c r="BI133">
        <f>IFERROR(INDEX(PP_Grid[#Data],$DD133,59),0)</f>
        <v/>
      </c>
      <c r="BJ133">
        <f>IFERROR(INDEX(PP_Grid[#Data],$DD133,60),0)</f>
        <v/>
      </c>
      <c r="BK133">
        <f>IFERROR(INDEX(PP_Grid[#Data],$DD133,61),0)</f>
        <v/>
      </c>
      <c r="BL133">
        <f>IFERROR(INDEX(PP_Grid[#Data],$DD133,62),0)</f>
        <v/>
      </c>
      <c r="BM133">
        <f>IFERROR(INDEX(PP_Grid[#Data],$DD133,63),0)</f>
        <v/>
      </c>
      <c r="BN133">
        <f>IFERROR(INDEX(PP_Grid[#Data],$DD133,64),0)</f>
        <v/>
      </c>
      <c r="BO133">
        <f>IFERROR(INDEX(PP_Grid[#Data],$DD133,65),0)</f>
        <v/>
      </c>
      <c r="BP133">
        <f>IFERROR(INDEX(PP_Grid[#Data],$DD133,66),0)</f>
        <v/>
      </c>
      <c r="BQ133">
        <f>IFERROR(INDEX(PP_Grid[#Data],$DD133,67),0)</f>
        <v/>
      </c>
      <c r="BR133">
        <f>IFERROR(INDEX(PP_Grid[#Data],$DD133,68),0)</f>
        <v/>
      </c>
      <c r="BS133">
        <f>IFERROR(INDEX(PP_Grid[#Data],$DD133,69),0)</f>
        <v/>
      </c>
      <c r="BT133">
        <f>IFERROR(INDEX(PP_Grid[#Data],$DD133,70),0)</f>
        <v/>
      </c>
      <c r="BU133">
        <f>IFERROR(INDEX(PP_Grid[#Data],$DD133,71),0)</f>
        <v/>
      </c>
      <c r="BV133">
        <f>IFERROR(INDEX(PP_Grid[#Data],$DD133,72),0)</f>
        <v/>
      </c>
      <c r="BW133">
        <f>IFERROR(INDEX(PP_Grid[#Data],$DD133,73),0)</f>
        <v/>
      </c>
      <c r="BX133">
        <f>IFERROR(INDEX(PP_Grid[#Data],$DD133,74),0)</f>
        <v/>
      </c>
      <c r="BY133">
        <f>IFERROR(INDEX(PP_Grid[#Data],$DD133,75),0)</f>
        <v/>
      </c>
      <c r="BZ133">
        <f>IFERROR(INDEX(PP_Grid[#Data],$DD133,76),0)</f>
        <v/>
      </c>
      <c r="CA133">
        <f>IFERROR(INDEX(PP_Grid[#Data],$DD133,77),0)</f>
        <v/>
      </c>
      <c r="CB133">
        <f>IFERROR(INDEX(PP_Grid[#Data],$DD133,78),0)</f>
        <v/>
      </c>
      <c r="CC133">
        <f>IFERROR(INDEX(PP_Grid[#Data],$DD133,79),0)</f>
        <v/>
      </c>
      <c r="CD133">
        <f>IFERROR(INDEX(PP_Grid[#Data],$DD133,80),0)</f>
        <v/>
      </c>
      <c r="CE133">
        <f>IFERROR(INDEX(PP_Grid[#Data],$DD133,81),0)</f>
        <v/>
      </c>
      <c r="CF133">
        <f>IFERROR(INDEX(PP_Grid[#Data],$DD133,82),0)</f>
        <v/>
      </c>
      <c r="CG133">
        <f>IFERROR(INDEX(PP_Grid[#Data],$DD133,83),0)</f>
        <v/>
      </c>
      <c r="CH133">
        <f>IFERROR(INDEX(PP_Grid[#Data],$DD133,84),0)</f>
        <v/>
      </c>
      <c r="CI133">
        <f>IFERROR(INDEX(PP_Grid[#Data],$DD133,85),0)</f>
        <v/>
      </c>
      <c r="CJ133">
        <f>IFERROR(INDEX(PP_Grid[#Data],$DD133,86),0)</f>
        <v/>
      </c>
      <c r="CK133">
        <f>IFERROR(INDEX(PP_Grid[#Data],$DD133,87),0)</f>
        <v/>
      </c>
      <c r="CL133">
        <f>IFERROR(INDEX(PP_Grid[#Data],$DD133,88),0)</f>
        <v/>
      </c>
      <c r="CM133">
        <f>IFERROR(INDEX(PP_Grid[#Data],$DD133,89),0)</f>
        <v/>
      </c>
      <c r="CN133">
        <f>IFERROR(INDEX(PP_Grid[#Data],$DD133,90),0)</f>
        <v/>
      </c>
      <c r="CO133">
        <f>IFERROR(INDEX(PP_Grid[#Data],$DD133,91),0)</f>
        <v/>
      </c>
      <c r="CP133">
        <f>IFERROR(INDEX(PP_Grid[#Data],$DD133,92),0)</f>
        <v/>
      </c>
      <c r="CQ133">
        <f>IFERROR(INDEX(PP_Grid[#Data],$DD133,93),0)</f>
        <v/>
      </c>
      <c r="CR133">
        <f>IFERROR(INDEX(PP_Grid[#Data],$DD133,94),0)</f>
        <v/>
      </c>
      <c r="CS133">
        <f>IFERROR(INDEX(PP_Grid[#Data],$DD133,95),0)</f>
        <v/>
      </c>
      <c r="CT133">
        <f>IFERROR(INDEX(PP_Grid[#Data],$DD133,96),0)</f>
        <v/>
      </c>
      <c r="CU133">
        <f>IFERROR(INDEX(PP_Grid[#Data],$DD133,97),0)</f>
        <v/>
      </c>
      <c r="CV133">
        <f>IFERROR(INDEX(PP_Grid[#Data],$DD133,98),0)</f>
        <v/>
      </c>
      <c r="CW133">
        <f>IFERROR(INDEX(PP_Grid[#Data],$DD133,99),0)</f>
        <v/>
      </c>
      <c r="CX133">
        <f>IFERROR(INDEX(PP_Grid[#Data],$DD133,100),0)</f>
        <v/>
      </c>
      <c r="CY133">
        <f>IFERROR(INDEX(PP_Grid[#Data],$DD133,101),0)</f>
        <v/>
      </c>
      <c r="CZ133">
        <f>IFERROR(INDEX(PP_Grid[#Data],$DD133,102),0)</f>
        <v/>
      </c>
      <c r="DA133">
        <f>IFERROR(INDEX(PP_Grid[#Data],$DD133,103),0)</f>
        <v/>
      </c>
      <c r="DB133">
        <f>IFERROR(INDEX(PP_Grid[#Data],$DD133,104),0)</f>
        <v/>
      </c>
      <c r="DC133">
        <f>IFERROR(INDEX(PP_Grid[#Data],$DD133,105),0)</f>
        <v/>
      </c>
      <c r="DD133" s="7">
        <f>IFERROR(MATCH($B133,PP_Grid[Intermediate],0),99999)</f>
        <v/>
      </c>
    </row>
    <row r="134">
      <c r="B134" t="inlineStr">
        <is>
          <t>使用量(kg)</t>
        </is>
      </c>
      <c r="C134">
        <f>SUMIFS(M_BOM[RM_Qty_Per_Batch],M_BOM[Intermediate],$B133,M_BOM[Part Name],$A44)</f>
        <v/>
      </c>
      <c r="D134">
        <f>$C134*D133</f>
        <v/>
      </c>
      <c r="E134">
        <f>$C134*E133</f>
        <v/>
      </c>
      <c r="F134">
        <f>$C134*F133</f>
        <v/>
      </c>
      <c r="G134">
        <f>$C134*G133</f>
        <v/>
      </c>
      <c r="H134">
        <f>$C134*H133</f>
        <v/>
      </c>
      <c r="I134">
        <f>$C134*I133</f>
        <v/>
      </c>
      <c r="J134">
        <f>$C134*J133</f>
        <v/>
      </c>
      <c r="K134">
        <f>$C134*K133</f>
        <v/>
      </c>
      <c r="L134">
        <f>$C134*L133</f>
        <v/>
      </c>
      <c r="M134">
        <f>$C134*M133</f>
        <v/>
      </c>
      <c r="N134">
        <f>$C134*N133</f>
        <v/>
      </c>
      <c r="O134">
        <f>$C134*O133</f>
        <v/>
      </c>
      <c r="P134">
        <f>$C134*P133</f>
        <v/>
      </c>
      <c r="Q134">
        <f>$C134*Q133</f>
        <v/>
      </c>
      <c r="R134">
        <f>$C134*R133</f>
        <v/>
      </c>
      <c r="S134">
        <f>$C134*S133</f>
        <v/>
      </c>
      <c r="T134">
        <f>$C134*T133</f>
        <v/>
      </c>
      <c r="U134">
        <f>$C134*U133</f>
        <v/>
      </c>
      <c r="V134">
        <f>$C134*V133</f>
        <v/>
      </c>
      <c r="W134">
        <f>$C134*W133</f>
        <v/>
      </c>
      <c r="X134">
        <f>$C134*X133</f>
        <v/>
      </c>
      <c r="Y134">
        <f>$C134*Y133</f>
        <v/>
      </c>
      <c r="Z134">
        <f>$C134*Z133</f>
        <v/>
      </c>
      <c r="AA134">
        <f>$C134*AA133</f>
        <v/>
      </c>
      <c r="AB134">
        <f>$C134*AB133</f>
        <v/>
      </c>
      <c r="AC134">
        <f>$C134*AC133</f>
        <v/>
      </c>
      <c r="AD134">
        <f>$C134*AD133</f>
        <v/>
      </c>
      <c r="AE134">
        <f>$C134*AE133</f>
        <v/>
      </c>
      <c r="AF134">
        <f>$C134*AF133</f>
        <v/>
      </c>
      <c r="AG134">
        <f>$C134*AG133</f>
        <v/>
      </c>
      <c r="AH134">
        <f>$C134*AH133</f>
        <v/>
      </c>
      <c r="AI134">
        <f>$C134*AI133</f>
        <v/>
      </c>
      <c r="AJ134">
        <f>$C134*AJ133</f>
        <v/>
      </c>
      <c r="AK134">
        <f>$C134*AK133</f>
        <v/>
      </c>
      <c r="AL134">
        <f>$C134*AL133</f>
        <v/>
      </c>
      <c r="AM134">
        <f>$C134*AM133</f>
        <v/>
      </c>
      <c r="AN134">
        <f>$C134*AN133</f>
        <v/>
      </c>
      <c r="AO134">
        <f>$C134*AO133</f>
        <v/>
      </c>
      <c r="AP134">
        <f>$C134*AP133</f>
        <v/>
      </c>
      <c r="AQ134">
        <f>$C134*AQ133</f>
        <v/>
      </c>
      <c r="AR134">
        <f>$C134*AR133</f>
        <v/>
      </c>
      <c r="AS134">
        <f>$C134*AS133</f>
        <v/>
      </c>
      <c r="AT134">
        <f>$C134*AT133</f>
        <v/>
      </c>
      <c r="AU134">
        <f>$C134*AU133</f>
        <v/>
      </c>
      <c r="AV134">
        <f>$C134*AV133</f>
        <v/>
      </c>
      <c r="AW134">
        <f>$C134*AW133</f>
        <v/>
      </c>
      <c r="AX134">
        <f>$C134*AX133</f>
        <v/>
      </c>
      <c r="AY134">
        <f>$C134*AY133</f>
        <v/>
      </c>
      <c r="AZ134">
        <f>$C134*AZ133</f>
        <v/>
      </c>
      <c r="BA134">
        <f>$C134*BA133</f>
        <v/>
      </c>
      <c r="BB134">
        <f>$C134*BB133</f>
        <v/>
      </c>
      <c r="BC134">
        <f>$C134*BC133</f>
        <v/>
      </c>
      <c r="BD134">
        <f>$C134*BD133</f>
        <v/>
      </c>
      <c r="BE134">
        <f>$C134*BE133</f>
        <v/>
      </c>
      <c r="BF134">
        <f>$C134*BF133</f>
        <v/>
      </c>
      <c r="BG134">
        <f>$C134*BG133</f>
        <v/>
      </c>
      <c r="BH134">
        <f>$C134*BH133</f>
        <v/>
      </c>
      <c r="BI134">
        <f>$C134*BI133</f>
        <v/>
      </c>
      <c r="BJ134">
        <f>$C134*BJ133</f>
        <v/>
      </c>
      <c r="BK134">
        <f>$C134*BK133</f>
        <v/>
      </c>
      <c r="BL134">
        <f>$C134*BL133</f>
        <v/>
      </c>
      <c r="BM134">
        <f>$C134*BM133</f>
        <v/>
      </c>
      <c r="BN134">
        <f>$C134*BN133</f>
        <v/>
      </c>
      <c r="BO134">
        <f>$C134*BO133</f>
        <v/>
      </c>
      <c r="BP134">
        <f>$C134*BP133</f>
        <v/>
      </c>
      <c r="BQ134">
        <f>$C134*BQ133</f>
        <v/>
      </c>
      <c r="BR134">
        <f>$C134*BR133</f>
        <v/>
      </c>
      <c r="BS134">
        <f>$C134*BS133</f>
        <v/>
      </c>
      <c r="BT134">
        <f>$C134*BT133</f>
        <v/>
      </c>
      <c r="BU134">
        <f>$C134*BU133</f>
        <v/>
      </c>
      <c r="BV134">
        <f>$C134*BV133</f>
        <v/>
      </c>
      <c r="BW134">
        <f>$C134*BW133</f>
        <v/>
      </c>
      <c r="BX134">
        <f>$C134*BX133</f>
        <v/>
      </c>
      <c r="BY134">
        <f>$C134*BY133</f>
        <v/>
      </c>
      <c r="BZ134">
        <f>$C134*BZ133</f>
        <v/>
      </c>
      <c r="CA134">
        <f>$C134*CA133</f>
        <v/>
      </c>
      <c r="CB134">
        <f>$C134*CB133</f>
        <v/>
      </c>
      <c r="CC134">
        <f>$C134*CC133</f>
        <v/>
      </c>
      <c r="CD134">
        <f>$C134*CD133</f>
        <v/>
      </c>
      <c r="CE134">
        <f>$C134*CE133</f>
        <v/>
      </c>
      <c r="CF134">
        <f>$C134*CF133</f>
        <v/>
      </c>
      <c r="CG134">
        <f>$C134*CG133</f>
        <v/>
      </c>
      <c r="CH134">
        <f>$C134*CH133</f>
        <v/>
      </c>
      <c r="CI134">
        <f>$C134*CI133</f>
        <v/>
      </c>
      <c r="CJ134">
        <f>$C134*CJ133</f>
        <v/>
      </c>
      <c r="CK134">
        <f>$C134*CK133</f>
        <v/>
      </c>
      <c r="CL134">
        <f>$C134*CL133</f>
        <v/>
      </c>
      <c r="CM134">
        <f>$C134*CM133</f>
        <v/>
      </c>
      <c r="CN134">
        <f>$C134*CN133</f>
        <v/>
      </c>
      <c r="CO134">
        <f>$C134*CO133</f>
        <v/>
      </c>
      <c r="CP134">
        <f>$C134*CP133</f>
        <v/>
      </c>
      <c r="CQ134">
        <f>$C134*CQ133</f>
        <v/>
      </c>
      <c r="CR134">
        <f>$C134*CR133</f>
        <v/>
      </c>
      <c r="CS134">
        <f>$C134*CS133</f>
        <v/>
      </c>
      <c r="CT134">
        <f>$C134*CT133</f>
        <v/>
      </c>
      <c r="CU134">
        <f>$C134*CU133</f>
        <v/>
      </c>
      <c r="CV134">
        <f>$C134*CV133</f>
        <v/>
      </c>
      <c r="CW134">
        <f>$C134*CW133</f>
        <v/>
      </c>
      <c r="CX134">
        <f>$C134*CX133</f>
        <v/>
      </c>
      <c r="CY134">
        <f>$C134*CY133</f>
        <v/>
      </c>
      <c r="CZ134">
        <f>$C134*CZ133</f>
        <v/>
      </c>
      <c r="DA134">
        <f>$C134*DA133</f>
        <v/>
      </c>
      <c r="DB134">
        <f>$C134*DB133</f>
        <v/>
      </c>
      <c r="DC134">
        <f>$C134*DC133</f>
        <v/>
      </c>
    </row>
    <row r="135">
      <c r="B135" t="inlineStr">
        <is>
          <t>TSP-930</t>
        </is>
      </c>
      <c r="C135" t="inlineStr">
        <is>
          <t>No. of batches</t>
        </is>
      </c>
      <c r="D135">
        <f>IFERROR(INDEX(PP_Grid[#Data],$DD135,2),0)</f>
        <v/>
      </c>
      <c r="E135">
        <f>IFERROR(INDEX(PP_Grid[#Data],$DD135,3),0)</f>
        <v/>
      </c>
      <c r="F135">
        <f>IFERROR(INDEX(PP_Grid[#Data],$DD135,4),0)</f>
        <v/>
      </c>
      <c r="G135">
        <f>IFERROR(INDEX(PP_Grid[#Data],$DD135,5),0)</f>
        <v/>
      </c>
      <c r="H135">
        <f>IFERROR(INDEX(PP_Grid[#Data],$DD135,6),0)</f>
        <v/>
      </c>
      <c r="I135">
        <f>IFERROR(INDEX(PP_Grid[#Data],$DD135,7),0)</f>
        <v/>
      </c>
      <c r="J135">
        <f>IFERROR(INDEX(PP_Grid[#Data],$DD135,8),0)</f>
        <v/>
      </c>
      <c r="K135">
        <f>IFERROR(INDEX(PP_Grid[#Data],$DD135,9),0)</f>
        <v/>
      </c>
      <c r="L135">
        <f>IFERROR(INDEX(PP_Grid[#Data],$DD135,10),0)</f>
        <v/>
      </c>
      <c r="M135">
        <f>IFERROR(INDEX(PP_Grid[#Data],$DD135,11),0)</f>
        <v/>
      </c>
      <c r="N135">
        <f>IFERROR(INDEX(PP_Grid[#Data],$DD135,12),0)</f>
        <v/>
      </c>
      <c r="O135">
        <f>IFERROR(INDEX(PP_Grid[#Data],$DD135,13),0)</f>
        <v/>
      </c>
      <c r="P135">
        <f>IFERROR(INDEX(PP_Grid[#Data],$DD135,14),0)</f>
        <v/>
      </c>
      <c r="Q135">
        <f>IFERROR(INDEX(PP_Grid[#Data],$DD135,15),0)</f>
        <v/>
      </c>
      <c r="R135">
        <f>IFERROR(INDEX(PP_Grid[#Data],$DD135,16),0)</f>
        <v/>
      </c>
      <c r="S135">
        <f>IFERROR(INDEX(PP_Grid[#Data],$DD135,17),0)</f>
        <v/>
      </c>
      <c r="T135">
        <f>IFERROR(INDEX(PP_Grid[#Data],$DD135,18),0)</f>
        <v/>
      </c>
      <c r="U135">
        <f>IFERROR(INDEX(PP_Grid[#Data],$DD135,19),0)</f>
        <v/>
      </c>
      <c r="V135">
        <f>IFERROR(INDEX(PP_Grid[#Data],$DD135,20),0)</f>
        <v/>
      </c>
      <c r="W135">
        <f>IFERROR(INDEX(PP_Grid[#Data],$DD135,21),0)</f>
        <v/>
      </c>
      <c r="X135">
        <f>IFERROR(INDEX(PP_Grid[#Data],$DD135,22),0)</f>
        <v/>
      </c>
      <c r="Y135">
        <f>IFERROR(INDEX(PP_Grid[#Data],$DD135,23),0)</f>
        <v/>
      </c>
      <c r="Z135">
        <f>IFERROR(INDEX(PP_Grid[#Data],$DD135,24),0)</f>
        <v/>
      </c>
      <c r="AA135">
        <f>IFERROR(INDEX(PP_Grid[#Data],$DD135,25),0)</f>
        <v/>
      </c>
      <c r="AB135">
        <f>IFERROR(INDEX(PP_Grid[#Data],$DD135,26),0)</f>
        <v/>
      </c>
      <c r="AC135">
        <f>IFERROR(INDEX(PP_Grid[#Data],$DD135,27),0)</f>
        <v/>
      </c>
      <c r="AD135">
        <f>IFERROR(INDEX(PP_Grid[#Data],$DD135,28),0)</f>
        <v/>
      </c>
      <c r="AE135">
        <f>IFERROR(INDEX(PP_Grid[#Data],$DD135,29),0)</f>
        <v/>
      </c>
      <c r="AF135">
        <f>IFERROR(INDEX(PP_Grid[#Data],$DD135,30),0)</f>
        <v/>
      </c>
      <c r="AG135">
        <f>IFERROR(INDEX(PP_Grid[#Data],$DD135,31),0)</f>
        <v/>
      </c>
      <c r="AH135">
        <f>IFERROR(INDEX(PP_Grid[#Data],$DD135,32),0)</f>
        <v/>
      </c>
      <c r="AI135">
        <f>IFERROR(INDEX(PP_Grid[#Data],$DD135,33),0)</f>
        <v/>
      </c>
      <c r="AJ135">
        <f>IFERROR(INDEX(PP_Grid[#Data],$DD135,34),0)</f>
        <v/>
      </c>
      <c r="AK135">
        <f>IFERROR(INDEX(PP_Grid[#Data],$DD135,35),0)</f>
        <v/>
      </c>
      <c r="AL135">
        <f>IFERROR(INDEX(PP_Grid[#Data],$DD135,36),0)</f>
        <v/>
      </c>
      <c r="AM135">
        <f>IFERROR(INDEX(PP_Grid[#Data],$DD135,37),0)</f>
        <v/>
      </c>
      <c r="AN135">
        <f>IFERROR(INDEX(PP_Grid[#Data],$DD135,38),0)</f>
        <v/>
      </c>
      <c r="AO135">
        <f>IFERROR(INDEX(PP_Grid[#Data],$DD135,39),0)</f>
        <v/>
      </c>
      <c r="AP135">
        <f>IFERROR(INDEX(PP_Grid[#Data],$DD135,40),0)</f>
        <v/>
      </c>
      <c r="AQ135">
        <f>IFERROR(INDEX(PP_Grid[#Data],$DD135,41),0)</f>
        <v/>
      </c>
      <c r="AR135">
        <f>IFERROR(INDEX(PP_Grid[#Data],$DD135,42),0)</f>
        <v/>
      </c>
      <c r="AS135">
        <f>IFERROR(INDEX(PP_Grid[#Data],$DD135,43),0)</f>
        <v/>
      </c>
      <c r="AT135">
        <f>IFERROR(INDEX(PP_Grid[#Data],$DD135,44),0)</f>
        <v/>
      </c>
      <c r="AU135">
        <f>IFERROR(INDEX(PP_Grid[#Data],$DD135,45),0)</f>
        <v/>
      </c>
      <c r="AV135">
        <f>IFERROR(INDEX(PP_Grid[#Data],$DD135,46),0)</f>
        <v/>
      </c>
      <c r="AW135">
        <f>IFERROR(INDEX(PP_Grid[#Data],$DD135,47),0)</f>
        <v/>
      </c>
      <c r="AX135">
        <f>IFERROR(INDEX(PP_Grid[#Data],$DD135,48),0)</f>
        <v/>
      </c>
      <c r="AY135">
        <f>IFERROR(INDEX(PP_Grid[#Data],$DD135,49),0)</f>
        <v/>
      </c>
      <c r="AZ135">
        <f>IFERROR(INDEX(PP_Grid[#Data],$DD135,50),0)</f>
        <v/>
      </c>
      <c r="BA135">
        <f>IFERROR(INDEX(PP_Grid[#Data],$DD135,51),0)</f>
        <v/>
      </c>
      <c r="BB135">
        <f>IFERROR(INDEX(PP_Grid[#Data],$DD135,52),0)</f>
        <v/>
      </c>
      <c r="BC135">
        <f>IFERROR(INDEX(PP_Grid[#Data],$DD135,53),0)</f>
        <v/>
      </c>
      <c r="BD135">
        <f>IFERROR(INDEX(PP_Grid[#Data],$DD135,54),0)</f>
        <v/>
      </c>
      <c r="BE135">
        <f>IFERROR(INDEX(PP_Grid[#Data],$DD135,55),0)</f>
        <v/>
      </c>
      <c r="BF135">
        <f>IFERROR(INDEX(PP_Grid[#Data],$DD135,56),0)</f>
        <v/>
      </c>
      <c r="BG135">
        <f>IFERROR(INDEX(PP_Grid[#Data],$DD135,57),0)</f>
        <v/>
      </c>
      <c r="BH135">
        <f>IFERROR(INDEX(PP_Grid[#Data],$DD135,58),0)</f>
        <v/>
      </c>
      <c r="BI135">
        <f>IFERROR(INDEX(PP_Grid[#Data],$DD135,59),0)</f>
        <v/>
      </c>
      <c r="BJ135">
        <f>IFERROR(INDEX(PP_Grid[#Data],$DD135,60),0)</f>
        <v/>
      </c>
      <c r="BK135">
        <f>IFERROR(INDEX(PP_Grid[#Data],$DD135,61),0)</f>
        <v/>
      </c>
      <c r="BL135">
        <f>IFERROR(INDEX(PP_Grid[#Data],$DD135,62),0)</f>
        <v/>
      </c>
      <c r="BM135">
        <f>IFERROR(INDEX(PP_Grid[#Data],$DD135,63),0)</f>
        <v/>
      </c>
      <c r="BN135">
        <f>IFERROR(INDEX(PP_Grid[#Data],$DD135,64),0)</f>
        <v/>
      </c>
      <c r="BO135">
        <f>IFERROR(INDEX(PP_Grid[#Data],$DD135,65),0)</f>
        <v/>
      </c>
      <c r="BP135">
        <f>IFERROR(INDEX(PP_Grid[#Data],$DD135,66),0)</f>
        <v/>
      </c>
      <c r="BQ135">
        <f>IFERROR(INDEX(PP_Grid[#Data],$DD135,67),0)</f>
        <v/>
      </c>
      <c r="BR135">
        <f>IFERROR(INDEX(PP_Grid[#Data],$DD135,68),0)</f>
        <v/>
      </c>
      <c r="BS135">
        <f>IFERROR(INDEX(PP_Grid[#Data],$DD135,69),0)</f>
        <v/>
      </c>
      <c r="BT135">
        <f>IFERROR(INDEX(PP_Grid[#Data],$DD135,70),0)</f>
        <v/>
      </c>
      <c r="BU135">
        <f>IFERROR(INDEX(PP_Grid[#Data],$DD135,71),0)</f>
        <v/>
      </c>
      <c r="BV135">
        <f>IFERROR(INDEX(PP_Grid[#Data],$DD135,72),0)</f>
        <v/>
      </c>
      <c r="BW135">
        <f>IFERROR(INDEX(PP_Grid[#Data],$DD135,73),0)</f>
        <v/>
      </c>
      <c r="BX135">
        <f>IFERROR(INDEX(PP_Grid[#Data],$DD135,74),0)</f>
        <v/>
      </c>
      <c r="BY135">
        <f>IFERROR(INDEX(PP_Grid[#Data],$DD135,75),0)</f>
        <v/>
      </c>
      <c r="BZ135">
        <f>IFERROR(INDEX(PP_Grid[#Data],$DD135,76),0)</f>
        <v/>
      </c>
      <c r="CA135">
        <f>IFERROR(INDEX(PP_Grid[#Data],$DD135,77),0)</f>
        <v/>
      </c>
      <c r="CB135">
        <f>IFERROR(INDEX(PP_Grid[#Data],$DD135,78),0)</f>
        <v/>
      </c>
      <c r="CC135">
        <f>IFERROR(INDEX(PP_Grid[#Data],$DD135,79),0)</f>
        <v/>
      </c>
      <c r="CD135">
        <f>IFERROR(INDEX(PP_Grid[#Data],$DD135,80),0)</f>
        <v/>
      </c>
      <c r="CE135">
        <f>IFERROR(INDEX(PP_Grid[#Data],$DD135,81),0)</f>
        <v/>
      </c>
      <c r="CF135">
        <f>IFERROR(INDEX(PP_Grid[#Data],$DD135,82),0)</f>
        <v/>
      </c>
      <c r="CG135">
        <f>IFERROR(INDEX(PP_Grid[#Data],$DD135,83),0)</f>
        <v/>
      </c>
      <c r="CH135">
        <f>IFERROR(INDEX(PP_Grid[#Data],$DD135,84),0)</f>
        <v/>
      </c>
      <c r="CI135">
        <f>IFERROR(INDEX(PP_Grid[#Data],$DD135,85),0)</f>
        <v/>
      </c>
      <c r="CJ135">
        <f>IFERROR(INDEX(PP_Grid[#Data],$DD135,86),0)</f>
        <v/>
      </c>
      <c r="CK135">
        <f>IFERROR(INDEX(PP_Grid[#Data],$DD135,87),0)</f>
        <v/>
      </c>
      <c r="CL135">
        <f>IFERROR(INDEX(PP_Grid[#Data],$DD135,88),0)</f>
        <v/>
      </c>
      <c r="CM135">
        <f>IFERROR(INDEX(PP_Grid[#Data],$DD135,89),0)</f>
        <v/>
      </c>
      <c r="CN135">
        <f>IFERROR(INDEX(PP_Grid[#Data],$DD135,90),0)</f>
        <v/>
      </c>
      <c r="CO135">
        <f>IFERROR(INDEX(PP_Grid[#Data],$DD135,91),0)</f>
        <v/>
      </c>
      <c r="CP135">
        <f>IFERROR(INDEX(PP_Grid[#Data],$DD135,92),0)</f>
        <v/>
      </c>
      <c r="CQ135">
        <f>IFERROR(INDEX(PP_Grid[#Data],$DD135,93),0)</f>
        <v/>
      </c>
      <c r="CR135">
        <f>IFERROR(INDEX(PP_Grid[#Data],$DD135,94),0)</f>
        <v/>
      </c>
      <c r="CS135">
        <f>IFERROR(INDEX(PP_Grid[#Data],$DD135,95),0)</f>
        <v/>
      </c>
      <c r="CT135">
        <f>IFERROR(INDEX(PP_Grid[#Data],$DD135,96),0)</f>
        <v/>
      </c>
      <c r="CU135">
        <f>IFERROR(INDEX(PP_Grid[#Data],$DD135,97),0)</f>
        <v/>
      </c>
      <c r="CV135">
        <f>IFERROR(INDEX(PP_Grid[#Data],$DD135,98),0)</f>
        <v/>
      </c>
      <c r="CW135">
        <f>IFERROR(INDEX(PP_Grid[#Data],$DD135,99),0)</f>
        <v/>
      </c>
      <c r="CX135">
        <f>IFERROR(INDEX(PP_Grid[#Data],$DD135,100),0)</f>
        <v/>
      </c>
      <c r="CY135">
        <f>IFERROR(INDEX(PP_Grid[#Data],$DD135,101),0)</f>
        <v/>
      </c>
      <c r="CZ135">
        <f>IFERROR(INDEX(PP_Grid[#Data],$DD135,102),0)</f>
        <v/>
      </c>
      <c r="DA135">
        <f>IFERROR(INDEX(PP_Grid[#Data],$DD135,103),0)</f>
        <v/>
      </c>
      <c r="DB135">
        <f>IFERROR(INDEX(PP_Grid[#Data],$DD135,104),0)</f>
        <v/>
      </c>
      <c r="DC135">
        <f>IFERROR(INDEX(PP_Grid[#Data],$DD135,105),0)</f>
        <v/>
      </c>
      <c r="DD135" s="7">
        <f>IFERROR(MATCH($B135,PP_Grid[Intermediate],0),99999)</f>
        <v/>
      </c>
    </row>
    <row r="136">
      <c r="B136" t="inlineStr">
        <is>
          <t>使用量(kg)</t>
        </is>
      </c>
      <c r="C136">
        <f>SUMIFS(M_BOM[RM_Qty_Per_Batch],M_BOM[Intermediate],$B135,M_BOM[Part Name],$A44)</f>
        <v/>
      </c>
      <c r="D136">
        <f>$C136*D135</f>
        <v/>
      </c>
      <c r="E136">
        <f>$C136*E135</f>
        <v/>
      </c>
      <c r="F136">
        <f>$C136*F135</f>
        <v/>
      </c>
      <c r="G136">
        <f>$C136*G135</f>
        <v/>
      </c>
      <c r="H136">
        <f>$C136*H135</f>
        <v/>
      </c>
      <c r="I136">
        <f>$C136*I135</f>
        <v/>
      </c>
      <c r="J136">
        <f>$C136*J135</f>
        <v/>
      </c>
      <c r="K136">
        <f>$C136*K135</f>
        <v/>
      </c>
      <c r="L136">
        <f>$C136*L135</f>
        <v/>
      </c>
      <c r="M136">
        <f>$C136*M135</f>
        <v/>
      </c>
      <c r="N136">
        <f>$C136*N135</f>
        <v/>
      </c>
      <c r="O136">
        <f>$C136*O135</f>
        <v/>
      </c>
      <c r="P136">
        <f>$C136*P135</f>
        <v/>
      </c>
      <c r="Q136">
        <f>$C136*Q135</f>
        <v/>
      </c>
      <c r="R136">
        <f>$C136*R135</f>
        <v/>
      </c>
      <c r="S136">
        <f>$C136*S135</f>
        <v/>
      </c>
      <c r="T136">
        <f>$C136*T135</f>
        <v/>
      </c>
      <c r="U136">
        <f>$C136*U135</f>
        <v/>
      </c>
      <c r="V136">
        <f>$C136*V135</f>
        <v/>
      </c>
      <c r="W136">
        <f>$C136*W135</f>
        <v/>
      </c>
      <c r="X136">
        <f>$C136*X135</f>
        <v/>
      </c>
      <c r="Y136">
        <f>$C136*Y135</f>
        <v/>
      </c>
      <c r="Z136">
        <f>$C136*Z135</f>
        <v/>
      </c>
      <c r="AA136">
        <f>$C136*AA135</f>
        <v/>
      </c>
      <c r="AB136">
        <f>$C136*AB135</f>
        <v/>
      </c>
      <c r="AC136">
        <f>$C136*AC135</f>
        <v/>
      </c>
      <c r="AD136">
        <f>$C136*AD135</f>
        <v/>
      </c>
      <c r="AE136">
        <f>$C136*AE135</f>
        <v/>
      </c>
      <c r="AF136">
        <f>$C136*AF135</f>
        <v/>
      </c>
      <c r="AG136">
        <f>$C136*AG135</f>
        <v/>
      </c>
      <c r="AH136">
        <f>$C136*AH135</f>
        <v/>
      </c>
      <c r="AI136">
        <f>$C136*AI135</f>
        <v/>
      </c>
      <c r="AJ136">
        <f>$C136*AJ135</f>
        <v/>
      </c>
      <c r="AK136">
        <f>$C136*AK135</f>
        <v/>
      </c>
      <c r="AL136">
        <f>$C136*AL135</f>
        <v/>
      </c>
      <c r="AM136">
        <f>$C136*AM135</f>
        <v/>
      </c>
      <c r="AN136">
        <f>$C136*AN135</f>
        <v/>
      </c>
      <c r="AO136">
        <f>$C136*AO135</f>
        <v/>
      </c>
      <c r="AP136">
        <f>$C136*AP135</f>
        <v/>
      </c>
      <c r="AQ136">
        <f>$C136*AQ135</f>
        <v/>
      </c>
      <c r="AR136">
        <f>$C136*AR135</f>
        <v/>
      </c>
      <c r="AS136">
        <f>$C136*AS135</f>
        <v/>
      </c>
      <c r="AT136">
        <f>$C136*AT135</f>
        <v/>
      </c>
      <c r="AU136">
        <f>$C136*AU135</f>
        <v/>
      </c>
      <c r="AV136">
        <f>$C136*AV135</f>
        <v/>
      </c>
      <c r="AW136">
        <f>$C136*AW135</f>
        <v/>
      </c>
      <c r="AX136">
        <f>$C136*AX135</f>
        <v/>
      </c>
      <c r="AY136">
        <f>$C136*AY135</f>
        <v/>
      </c>
      <c r="AZ136">
        <f>$C136*AZ135</f>
        <v/>
      </c>
      <c r="BA136">
        <f>$C136*BA135</f>
        <v/>
      </c>
      <c r="BB136">
        <f>$C136*BB135</f>
        <v/>
      </c>
      <c r="BC136">
        <f>$C136*BC135</f>
        <v/>
      </c>
      <c r="BD136">
        <f>$C136*BD135</f>
        <v/>
      </c>
      <c r="BE136">
        <f>$C136*BE135</f>
        <v/>
      </c>
      <c r="BF136">
        <f>$C136*BF135</f>
        <v/>
      </c>
      <c r="BG136">
        <f>$C136*BG135</f>
        <v/>
      </c>
      <c r="BH136">
        <f>$C136*BH135</f>
        <v/>
      </c>
      <c r="BI136">
        <f>$C136*BI135</f>
        <v/>
      </c>
      <c r="BJ136">
        <f>$C136*BJ135</f>
        <v/>
      </c>
      <c r="BK136">
        <f>$C136*BK135</f>
        <v/>
      </c>
      <c r="BL136">
        <f>$C136*BL135</f>
        <v/>
      </c>
      <c r="BM136">
        <f>$C136*BM135</f>
        <v/>
      </c>
      <c r="BN136">
        <f>$C136*BN135</f>
        <v/>
      </c>
      <c r="BO136">
        <f>$C136*BO135</f>
        <v/>
      </c>
      <c r="BP136">
        <f>$C136*BP135</f>
        <v/>
      </c>
      <c r="BQ136">
        <f>$C136*BQ135</f>
        <v/>
      </c>
      <c r="BR136">
        <f>$C136*BR135</f>
        <v/>
      </c>
      <c r="BS136">
        <f>$C136*BS135</f>
        <v/>
      </c>
      <c r="BT136">
        <f>$C136*BT135</f>
        <v/>
      </c>
      <c r="BU136">
        <f>$C136*BU135</f>
        <v/>
      </c>
      <c r="BV136">
        <f>$C136*BV135</f>
        <v/>
      </c>
      <c r="BW136">
        <f>$C136*BW135</f>
        <v/>
      </c>
      <c r="BX136">
        <f>$C136*BX135</f>
        <v/>
      </c>
      <c r="BY136">
        <f>$C136*BY135</f>
        <v/>
      </c>
      <c r="BZ136">
        <f>$C136*BZ135</f>
        <v/>
      </c>
      <c r="CA136">
        <f>$C136*CA135</f>
        <v/>
      </c>
      <c r="CB136">
        <f>$C136*CB135</f>
        <v/>
      </c>
      <c r="CC136">
        <f>$C136*CC135</f>
        <v/>
      </c>
      <c r="CD136">
        <f>$C136*CD135</f>
        <v/>
      </c>
      <c r="CE136">
        <f>$C136*CE135</f>
        <v/>
      </c>
      <c r="CF136">
        <f>$C136*CF135</f>
        <v/>
      </c>
      <c r="CG136">
        <f>$C136*CG135</f>
        <v/>
      </c>
      <c r="CH136">
        <f>$C136*CH135</f>
        <v/>
      </c>
      <c r="CI136">
        <f>$C136*CI135</f>
        <v/>
      </c>
      <c r="CJ136">
        <f>$C136*CJ135</f>
        <v/>
      </c>
      <c r="CK136">
        <f>$C136*CK135</f>
        <v/>
      </c>
      <c r="CL136">
        <f>$C136*CL135</f>
        <v/>
      </c>
      <c r="CM136">
        <f>$C136*CM135</f>
        <v/>
      </c>
      <c r="CN136">
        <f>$C136*CN135</f>
        <v/>
      </c>
      <c r="CO136">
        <f>$C136*CO135</f>
        <v/>
      </c>
      <c r="CP136">
        <f>$C136*CP135</f>
        <v/>
      </c>
      <c r="CQ136">
        <f>$C136*CQ135</f>
        <v/>
      </c>
      <c r="CR136">
        <f>$C136*CR135</f>
        <v/>
      </c>
      <c r="CS136">
        <f>$C136*CS135</f>
        <v/>
      </c>
      <c r="CT136">
        <f>$C136*CT135</f>
        <v/>
      </c>
      <c r="CU136">
        <f>$C136*CU135</f>
        <v/>
      </c>
      <c r="CV136">
        <f>$C136*CV135</f>
        <v/>
      </c>
      <c r="CW136">
        <f>$C136*CW135</f>
        <v/>
      </c>
      <c r="CX136">
        <f>$C136*CX135</f>
        <v/>
      </c>
      <c r="CY136">
        <f>$C136*CY135</f>
        <v/>
      </c>
      <c r="CZ136">
        <f>$C136*CZ135</f>
        <v/>
      </c>
      <c r="DA136">
        <f>$C136*DA135</f>
        <v/>
      </c>
      <c r="DB136">
        <f>$C136*DB135</f>
        <v/>
      </c>
      <c r="DC136">
        <f>$C136*DC135</f>
        <v/>
      </c>
    </row>
    <row r="137">
      <c r="B137" t="inlineStr">
        <is>
          <t>TSP-934</t>
        </is>
      </c>
      <c r="C137" t="inlineStr">
        <is>
          <t>No. of batches</t>
        </is>
      </c>
      <c r="D137">
        <f>IFERROR(INDEX(PP_Grid[#Data],$DD137,2),0)</f>
        <v/>
      </c>
      <c r="E137">
        <f>IFERROR(INDEX(PP_Grid[#Data],$DD137,3),0)</f>
        <v/>
      </c>
      <c r="F137">
        <f>IFERROR(INDEX(PP_Grid[#Data],$DD137,4),0)</f>
        <v/>
      </c>
      <c r="G137">
        <f>IFERROR(INDEX(PP_Grid[#Data],$DD137,5),0)</f>
        <v/>
      </c>
      <c r="H137">
        <f>IFERROR(INDEX(PP_Grid[#Data],$DD137,6),0)</f>
        <v/>
      </c>
      <c r="I137">
        <f>IFERROR(INDEX(PP_Grid[#Data],$DD137,7),0)</f>
        <v/>
      </c>
      <c r="J137">
        <f>IFERROR(INDEX(PP_Grid[#Data],$DD137,8),0)</f>
        <v/>
      </c>
      <c r="K137">
        <f>IFERROR(INDEX(PP_Grid[#Data],$DD137,9),0)</f>
        <v/>
      </c>
      <c r="L137">
        <f>IFERROR(INDEX(PP_Grid[#Data],$DD137,10),0)</f>
        <v/>
      </c>
      <c r="M137">
        <f>IFERROR(INDEX(PP_Grid[#Data],$DD137,11),0)</f>
        <v/>
      </c>
      <c r="N137">
        <f>IFERROR(INDEX(PP_Grid[#Data],$DD137,12),0)</f>
        <v/>
      </c>
      <c r="O137">
        <f>IFERROR(INDEX(PP_Grid[#Data],$DD137,13),0)</f>
        <v/>
      </c>
      <c r="P137">
        <f>IFERROR(INDEX(PP_Grid[#Data],$DD137,14),0)</f>
        <v/>
      </c>
      <c r="Q137">
        <f>IFERROR(INDEX(PP_Grid[#Data],$DD137,15),0)</f>
        <v/>
      </c>
      <c r="R137">
        <f>IFERROR(INDEX(PP_Grid[#Data],$DD137,16),0)</f>
        <v/>
      </c>
      <c r="S137">
        <f>IFERROR(INDEX(PP_Grid[#Data],$DD137,17),0)</f>
        <v/>
      </c>
      <c r="T137">
        <f>IFERROR(INDEX(PP_Grid[#Data],$DD137,18),0)</f>
        <v/>
      </c>
      <c r="U137">
        <f>IFERROR(INDEX(PP_Grid[#Data],$DD137,19),0)</f>
        <v/>
      </c>
      <c r="V137">
        <f>IFERROR(INDEX(PP_Grid[#Data],$DD137,20),0)</f>
        <v/>
      </c>
      <c r="W137">
        <f>IFERROR(INDEX(PP_Grid[#Data],$DD137,21),0)</f>
        <v/>
      </c>
      <c r="X137">
        <f>IFERROR(INDEX(PP_Grid[#Data],$DD137,22),0)</f>
        <v/>
      </c>
      <c r="Y137">
        <f>IFERROR(INDEX(PP_Grid[#Data],$DD137,23),0)</f>
        <v/>
      </c>
      <c r="Z137">
        <f>IFERROR(INDEX(PP_Grid[#Data],$DD137,24),0)</f>
        <v/>
      </c>
      <c r="AA137">
        <f>IFERROR(INDEX(PP_Grid[#Data],$DD137,25),0)</f>
        <v/>
      </c>
      <c r="AB137">
        <f>IFERROR(INDEX(PP_Grid[#Data],$DD137,26),0)</f>
        <v/>
      </c>
      <c r="AC137">
        <f>IFERROR(INDEX(PP_Grid[#Data],$DD137,27),0)</f>
        <v/>
      </c>
      <c r="AD137">
        <f>IFERROR(INDEX(PP_Grid[#Data],$DD137,28),0)</f>
        <v/>
      </c>
      <c r="AE137">
        <f>IFERROR(INDEX(PP_Grid[#Data],$DD137,29),0)</f>
        <v/>
      </c>
      <c r="AF137">
        <f>IFERROR(INDEX(PP_Grid[#Data],$DD137,30),0)</f>
        <v/>
      </c>
      <c r="AG137">
        <f>IFERROR(INDEX(PP_Grid[#Data],$DD137,31),0)</f>
        <v/>
      </c>
      <c r="AH137">
        <f>IFERROR(INDEX(PP_Grid[#Data],$DD137,32),0)</f>
        <v/>
      </c>
      <c r="AI137">
        <f>IFERROR(INDEX(PP_Grid[#Data],$DD137,33),0)</f>
        <v/>
      </c>
      <c r="AJ137">
        <f>IFERROR(INDEX(PP_Grid[#Data],$DD137,34),0)</f>
        <v/>
      </c>
      <c r="AK137">
        <f>IFERROR(INDEX(PP_Grid[#Data],$DD137,35),0)</f>
        <v/>
      </c>
      <c r="AL137">
        <f>IFERROR(INDEX(PP_Grid[#Data],$DD137,36),0)</f>
        <v/>
      </c>
      <c r="AM137">
        <f>IFERROR(INDEX(PP_Grid[#Data],$DD137,37),0)</f>
        <v/>
      </c>
      <c r="AN137">
        <f>IFERROR(INDEX(PP_Grid[#Data],$DD137,38),0)</f>
        <v/>
      </c>
      <c r="AO137">
        <f>IFERROR(INDEX(PP_Grid[#Data],$DD137,39),0)</f>
        <v/>
      </c>
      <c r="AP137">
        <f>IFERROR(INDEX(PP_Grid[#Data],$DD137,40),0)</f>
        <v/>
      </c>
      <c r="AQ137">
        <f>IFERROR(INDEX(PP_Grid[#Data],$DD137,41),0)</f>
        <v/>
      </c>
      <c r="AR137">
        <f>IFERROR(INDEX(PP_Grid[#Data],$DD137,42),0)</f>
        <v/>
      </c>
      <c r="AS137">
        <f>IFERROR(INDEX(PP_Grid[#Data],$DD137,43),0)</f>
        <v/>
      </c>
      <c r="AT137">
        <f>IFERROR(INDEX(PP_Grid[#Data],$DD137,44),0)</f>
        <v/>
      </c>
      <c r="AU137">
        <f>IFERROR(INDEX(PP_Grid[#Data],$DD137,45),0)</f>
        <v/>
      </c>
      <c r="AV137">
        <f>IFERROR(INDEX(PP_Grid[#Data],$DD137,46),0)</f>
        <v/>
      </c>
      <c r="AW137">
        <f>IFERROR(INDEX(PP_Grid[#Data],$DD137,47),0)</f>
        <v/>
      </c>
      <c r="AX137">
        <f>IFERROR(INDEX(PP_Grid[#Data],$DD137,48),0)</f>
        <v/>
      </c>
      <c r="AY137">
        <f>IFERROR(INDEX(PP_Grid[#Data],$DD137,49),0)</f>
        <v/>
      </c>
      <c r="AZ137">
        <f>IFERROR(INDEX(PP_Grid[#Data],$DD137,50),0)</f>
        <v/>
      </c>
      <c r="BA137">
        <f>IFERROR(INDEX(PP_Grid[#Data],$DD137,51),0)</f>
        <v/>
      </c>
      <c r="BB137">
        <f>IFERROR(INDEX(PP_Grid[#Data],$DD137,52),0)</f>
        <v/>
      </c>
      <c r="BC137">
        <f>IFERROR(INDEX(PP_Grid[#Data],$DD137,53),0)</f>
        <v/>
      </c>
      <c r="BD137">
        <f>IFERROR(INDEX(PP_Grid[#Data],$DD137,54),0)</f>
        <v/>
      </c>
      <c r="BE137">
        <f>IFERROR(INDEX(PP_Grid[#Data],$DD137,55),0)</f>
        <v/>
      </c>
      <c r="BF137">
        <f>IFERROR(INDEX(PP_Grid[#Data],$DD137,56),0)</f>
        <v/>
      </c>
      <c r="BG137">
        <f>IFERROR(INDEX(PP_Grid[#Data],$DD137,57),0)</f>
        <v/>
      </c>
      <c r="BH137">
        <f>IFERROR(INDEX(PP_Grid[#Data],$DD137,58),0)</f>
        <v/>
      </c>
      <c r="BI137">
        <f>IFERROR(INDEX(PP_Grid[#Data],$DD137,59),0)</f>
        <v/>
      </c>
      <c r="BJ137">
        <f>IFERROR(INDEX(PP_Grid[#Data],$DD137,60),0)</f>
        <v/>
      </c>
      <c r="BK137">
        <f>IFERROR(INDEX(PP_Grid[#Data],$DD137,61),0)</f>
        <v/>
      </c>
      <c r="BL137">
        <f>IFERROR(INDEX(PP_Grid[#Data],$DD137,62),0)</f>
        <v/>
      </c>
      <c r="BM137">
        <f>IFERROR(INDEX(PP_Grid[#Data],$DD137,63),0)</f>
        <v/>
      </c>
      <c r="BN137">
        <f>IFERROR(INDEX(PP_Grid[#Data],$DD137,64),0)</f>
        <v/>
      </c>
      <c r="BO137">
        <f>IFERROR(INDEX(PP_Grid[#Data],$DD137,65),0)</f>
        <v/>
      </c>
      <c r="BP137">
        <f>IFERROR(INDEX(PP_Grid[#Data],$DD137,66),0)</f>
        <v/>
      </c>
      <c r="BQ137">
        <f>IFERROR(INDEX(PP_Grid[#Data],$DD137,67),0)</f>
        <v/>
      </c>
      <c r="BR137">
        <f>IFERROR(INDEX(PP_Grid[#Data],$DD137,68),0)</f>
        <v/>
      </c>
      <c r="BS137">
        <f>IFERROR(INDEX(PP_Grid[#Data],$DD137,69),0)</f>
        <v/>
      </c>
      <c r="BT137">
        <f>IFERROR(INDEX(PP_Grid[#Data],$DD137,70),0)</f>
        <v/>
      </c>
      <c r="BU137">
        <f>IFERROR(INDEX(PP_Grid[#Data],$DD137,71),0)</f>
        <v/>
      </c>
      <c r="BV137">
        <f>IFERROR(INDEX(PP_Grid[#Data],$DD137,72),0)</f>
        <v/>
      </c>
      <c r="BW137">
        <f>IFERROR(INDEX(PP_Grid[#Data],$DD137,73),0)</f>
        <v/>
      </c>
      <c r="BX137">
        <f>IFERROR(INDEX(PP_Grid[#Data],$DD137,74),0)</f>
        <v/>
      </c>
      <c r="BY137">
        <f>IFERROR(INDEX(PP_Grid[#Data],$DD137,75),0)</f>
        <v/>
      </c>
      <c r="BZ137">
        <f>IFERROR(INDEX(PP_Grid[#Data],$DD137,76),0)</f>
        <v/>
      </c>
      <c r="CA137">
        <f>IFERROR(INDEX(PP_Grid[#Data],$DD137,77),0)</f>
        <v/>
      </c>
      <c r="CB137">
        <f>IFERROR(INDEX(PP_Grid[#Data],$DD137,78),0)</f>
        <v/>
      </c>
      <c r="CC137">
        <f>IFERROR(INDEX(PP_Grid[#Data],$DD137,79),0)</f>
        <v/>
      </c>
      <c r="CD137">
        <f>IFERROR(INDEX(PP_Grid[#Data],$DD137,80),0)</f>
        <v/>
      </c>
      <c r="CE137">
        <f>IFERROR(INDEX(PP_Grid[#Data],$DD137,81),0)</f>
        <v/>
      </c>
      <c r="CF137">
        <f>IFERROR(INDEX(PP_Grid[#Data],$DD137,82),0)</f>
        <v/>
      </c>
      <c r="CG137">
        <f>IFERROR(INDEX(PP_Grid[#Data],$DD137,83),0)</f>
        <v/>
      </c>
      <c r="CH137">
        <f>IFERROR(INDEX(PP_Grid[#Data],$DD137,84),0)</f>
        <v/>
      </c>
      <c r="CI137">
        <f>IFERROR(INDEX(PP_Grid[#Data],$DD137,85),0)</f>
        <v/>
      </c>
      <c r="CJ137">
        <f>IFERROR(INDEX(PP_Grid[#Data],$DD137,86),0)</f>
        <v/>
      </c>
      <c r="CK137">
        <f>IFERROR(INDEX(PP_Grid[#Data],$DD137,87),0)</f>
        <v/>
      </c>
      <c r="CL137">
        <f>IFERROR(INDEX(PP_Grid[#Data],$DD137,88),0)</f>
        <v/>
      </c>
      <c r="CM137">
        <f>IFERROR(INDEX(PP_Grid[#Data],$DD137,89),0)</f>
        <v/>
      </c>
      <c r="CN137">
        <f>IFERROR(INDEX(PP_Grid[#Data],$DD137,90),0)</f>
        <v/>
      </c>
      <c r="CO137">
        <f>IFERROR(INDEX(PP_Grid[#Data],$DD137,91),0)</f>
        <v/>
      </c>
      <c r="CP137">
        <f>IFERROR(INDEX(PP_Grid[#Data],$DD137,92),0)</f>
        <v/>
      </c>
      <c r="CQ137">
        <f>IFERROR(INDEX(PP_Grid[#Data],$DD137,93),0)</f>
        <v/>
      </c>
      <c r="CR137">
        <f>IFERROR(INDEX(PP_Grid[#Data],$DD137,94),0)</f>
        <v/>
      </c>
      <c r="CS137">
        <f>IFERROR(INDEX(PP_Grid[#Data],$DD137,95),0)</f>
        <v/>
      </c>
      <c r="CT137">
        <f>IFERROR(INDEX(PP_Grid[#Data],$DD137,96),0)</f>
        <v/>
      </c>
      <c r="CU137">
        <f>IFERROR(INDEX(PP_Grid[#Data],$DD137,97),0)</f>
        <v/>
      </c>
      <c r="CV137">
        <f>IFERROR(INDEX(PP_Grid[#Data],$DD137,98),0)</f>
        <v/>
      </c>
      <c r="CW137">
        <f>IFERROR(INDEX(PP_Grid[#Data],$DD137,99),0)</f>
        <v/>
      </c>
      <c r="CX137">
        <f>IFERROR(INDEX(PP_Grid[#Data],$DD137,100),0)</f>
        <v/>
      </c>
      <c r="CY137">
        <f>IFERROR(INDEX(PP_Grid[#Data],$DD137,101),0)</f>
        <v/>
      </c>
      <c r="CZ137">
        <f>IFERROR(INDEX(PP_Grid[#Data],$DD137,102),0)</f>
        <v/>
      </c>
      <c r="DA137">
        <f>IFERROR(INDEX(PP_Grid[#Data],$DD137,103),0)</f>
        <v/>
      </c>
      <c r="DB137">
        <f>IFERROR(INDEX(PP_Grid[#Data],$DD137,104),0)</f>
        <v/>
      </c>
      <c r="DC137">
        <f>IFERROR(INDEX(PP_Grid[#Data],$DD137,105),0)</f>
        <v/>
      </c>
      <c r="DD137" s="7">
        <f>IFERROR(MATCH($B137,PP_Grid[Intermediate],0),99999)</f>
        <v/>
      </c>
    </row>
    <row r="138">
      <c r="B138" t="inlineStr">
        <is>
          <t>使用量(kg)</t>
        </is>
      </c>
      <c r="C138">
        <f>SUMIFS(M_BOM[RM_Qty_Per_Batch],M_BOM[Intermediate],$B137,M_BOM[Part Name],$A44)</f>
        <v/>
      </c>
      <c r="D138">
        <f>$C138*D137</f>
        <v/>
      </c>
      <c r="E138">
        <f>$C138*E137</f>
        <v/>
      </c>
      <c r="F138">
        <f>$C138*F137</f>
        <v/>
      </c>
      <c r="G138">
        <f>$C138*G137</f>
        <v/>
      </c>
      <c r="H138">
        <f>$C138*H137</f>
        <v/>
      </c>
      <c r="I138">
        <f>$C138*I137</f>
        <v/>
      </c>
      <c r="J138">
        <f>$C138*J137</f>
        <v/>
      </c>
      <c r="K138">
        <f>$C138*K137</f>
        <v/>
      </c>
      <c r="L138">
        <f>$C138*L137</f>
        <v/>
      </c>
      <c r="M138">
        <f>$C138*M137</f>
        <v/>
      </c>
      <c r="N138">
        <f>$C138*N137</f>
        <v/>
      </c>
      <c r="O138">
        <f>$C138*O137</f>
        <v/>
      </c>
      <c r="P138">
        <f>$C138*P137</f>
        <v/>
      </c>
      <c r="Q138">
        <f>$C138*Q137</f>
        <v/>
      </c>
      <c r="R138">
        <f>$C138*R137</f>
        <v/>
      </c>
      <c r="S138">
        <f>$C138*S137</f>
        <v/>
      </c>
      <c r="T138">
        <f>$C138*T137</f>
        <v/>
      </c>
      <c r="U138">
        <f>$C138*U137</f>
        <v/>
      </c>
      <c r="V138">
        <f>$C138*V137</f>
        <v/>
      </c>
      <c r="W138">
        <f>$C138*W137</f>
        <v/>
      </c>
      <c r="X138">
        <f>$C138*X137</f>
        <v/>
      </c>
      <c r="Y138">
        <f>$C138*Y137</f>
        <v/>
      </c>
      <c r="Z138">
        <f>$C138*Z137</f>
        <v/>
      </c>
      <c r="AA138">
        <f>$C138*AA137</f>
        <v/>
      </c>
      <c r="AB138">
        <f>$C138*AB137</f>
        <v/>
      </c>
      <c r="AC138">
        <f>$C138*AC137</f>
        <v/>
      </c>
      <c r="AD138">
        <f>$C138*AD137</f>
        <v/>
      </c>
      <c r="AE138">
        <f>$C138*AE137</f>
        <v/>
      </c>
      <c r="AF138">
        <f>$C138*AF137</f>
        <v/>
      </c>
      <c r="AG138">
        <f>$C138*AG137</f>
        <v/>
      </c>
      <c r="AH138">
        <f>$C138*AH137</f>
        <v/>
      </c>
      <c r="AI138">
        <f>$C138*AI137</f>
        <v/>
      </c>
      <c r="AJ138">
        <f>$C138*AJ137</f>
        <v/>
      </c>
      <c r="AK138">
        <f>$C138*AK137</f>
        <v/>
      </c>
      <c r="AL138">
        <f>$C138*AL137</f>
        <v/>
      </c>
      <c r="AM138">
        <f>$C138*AM137</f>
        <v/>
      </c>
      <c r="AN138">
        <f>$C138*AN137</f>
        <v/>
      </c>
      <c r="AO138">
        <f>$C138*AO137</f>
        <v/>
      </c>
      <c r="AP138">
        <f>$C138*AP137</f>
        <v/>
      </c>
      <c r="AQ138">
        <f>$C138*AQ137</f>
        <v/>
      </c>
      <c r="AR138">
        <f>$C138*AR137</f>
        <v/>
      </c>
      <c r="AS138">
        <f>$C138*AS137</f>
        <v/>
      </c>
      <c r="AT138">
        <f>$C138*AT137</f>
        <v/>
      </c>
      <c r="AU138">
        <f>$C138*AU137</f>
        <v/>
      </c>
      <c r="AV138">
        <f>$C138*AV137</f>
        <v/>
      </c>
      <c r="AW138">
        <f>$C138*AW137</f>
        <v/>
      </c>
      <c r="AX138">
        <f>$C138*AX137</f>
        <v/>
      </c>
      <c r="AY138">
        <f>$C138*AY137</f>
        <v/>
      </c>
      <c r="AZ138">
        <f>$C138*AZ137</f>
        <v/>
      </c>
      <c r="BA138">
        <f>$C138*BA137</f>
        <v/>
      </c>
      <c r="BB138">
        <f>$C138*BB137</f>
        <v/>
      </c>
      <c r="BC138">
        <f>$C138*BC137</f>
        <v/>
      </c>
      <c r="BD138">
        <f>$C138*BD137</f>
        <v/>
      </c>
      <c r="BE138">
        <f>$C138*BE137</f>
        <v/>
      </c>
      <c r="BF138">
        <f>$C138*BF137</f>
        <v/>
      </c>
      <c r="BG138">
        <f>$C138*BG137</f>
        <v/>
      </c>
      <c r="BH138">
        <f>$C138*BH137</f>
        <v/>
      </c>
      <c r="BI138">
        <f>$C138*BI137</f>
        <v/>
      </c>
      <c r="BJ138">
        <f>$C138*BJ137</f>
        <v/>
      </c>
      <c r="BK138">
        <f>$C138*BK137</f>
        <v/>
      </c>
      <c r="BL138">
        <f>$C138*BL137</f>
        <v/>
      </c>
      <c r="BM138">
        <f>$C138*BM137</f>
        <v/>
      </c>
      <c r="BN138">
        <f>$C138*BN137</f>
        <v/>
      </c>
      <c r="BO138">
        <f>$C138*BO137</f>
        <v/>
      </c>
      <c r="BP138">
        <f>$C138*BP137</f>
        <v/>
      </c>
      <c r="BQ138">
        <f>$C138*BQ137</f>
        <v/>
      </c>
      <c r="BR138">
        <f>$C138*BR137</f>
        <v/>
      </c>
      <c r="BS138">
        <f>$C138*BS137</f>
        <v/>
      </c>
      <c r="BT138">
        <f>$C138*BT137</f>
        <v/>
      </c>
      <c r="BU138">
        <f>$C138*BU137</f>
        <v/>
      </c>
      <c r="BV138">
        <f>$C138*BV137</f>
        <v/>
      </c>
      <c r="BW138">
        <f>$C138*BW137</f>
        <v/>
      </c>
      <c r="BX138">
        <f>$C138*BX137</f>
        <v/>
      </c>
      <c r="BY138">
        <f>$C138*BY137</f>
        <v/>
      </c>
      <c r="BZ138">
        <f>$C138*BZ137</f>
        <v/>
      </c>
      <c r="CA138">
        <f>$C138*CA137</f>
        <v/>
      </c>
      <c r="CB138">
        <f>$C138*CB137</f>
        <v/>
      </c>
      <c r="CC138">
        <f>$C138*CC137</f>
        <v/>
      </c>
      <c r="CD138">
        <f>$C138*CD137</f>
        <v/>
      </c>
      <c r="CE138">
        <f>$C138*CE137</f>
        <v/>
      </c>
      <c r="CF138">
        <f>$C138*CF137</f>
        <v/>
      </c>
      <c r="CG138">
        <f>$C138*CG137</f>
        <v/>
      </c>
      <c r="CH138">
        <f>$C138*CH137</f>
        <v/>
      </c>
      <c r="CI138">
        <f>$C138*CI137</f>
        <v/>
      </c>
      <c r="CJ138">
        <f>$C138*CJ137</f>
        <v/>
      </c>
      <c r="CK138">
        <f>$C138*CK137</f>
        <v/>
      </c>
      <c r="CL138">
        <f>$C138*CL137</f>
        <v/>
      </c>
      <c r="CM138">
        <f>$C138*CM137</f>
        <v/>
      </c>
      <c r="CN138">
        <f>$C138*CN137</f>
        <v/>
      </c>
      <c r="CO138">
        <f>$C138*CO137</f>
        <v/>
      </c>
      <c r="CP138">
        <f>$C138*CP137</f>
        <v/>
      </c>
      <c r="CQ138">
        <f>$C138*CQ137</f>
        <v/>
      </c>
      <c r="CR138">
        <f>$C138*CR137</f>
        <v/>
      </c>
      <c r="CS138">
        <f>$C138*CS137</f>
        <v/>
      </c>
      <c r="CT138">
        <f>$C138*CT137</f>
        <v/>
      </c>
      <c r="CU138">
        <f>$C138*CU137</f>
        <v/>
      </c>
      <c r="CV138">
        <f>$C138*CV137</f>
        <v/>
      </c>
      <c r="CW138">
        <f>$C138*CW137</f>
        <v/>
      </c>
      <c r="CX138">
        <f>$C138*CX137</f>
        <v/>
      </c>
      <c r="CY138">
        <f>$C138*CY137</f>
        <v/>
      </c>
      <c r="CZ138">
        <f>$C138*CZ137</f>
        <v/>
      </c>
      <c r="DA138">
        <f>$C138*DA137</f>
        <v/>
      </c>
      <c r="DB138">
        <f>$C138*DB137</f>
        <v/>
      </c>
      <c r="DC138">
        <f>$C138*DC137</f>
        <v/>
      </c>
    </row>
    <row r="139">
      <c r="B139" t="inlineStr">
        <is>
          <t>TSP-935</t>
        </is>
      </c>
      <c r="C139" t="inlineStr">
        <is>
          <t>No. of batches</t>
        </is>
      </c>
      <c r="D139">
        <f>IFERROR(INDEX(PP_Grid[#Data],$DD139,2),0)</f>
        <v/>
      </c>
      <c r="E139">
        <f>IFERROR(INDEX(PP_Grid[#Data],$DD139,3),0)</f>
        <v/>
      </c>
      <c r="F139">
        <f>IFERROR(INDEX(PP_Grid[#Data],$DD139,4),0)</f>
        <v/>
      </c>
      <c r="G139">
        <f>IFERROR(INDEX(PP_Grid[#Data],$DD139,5),0)</f>
        <v/>
      </c>
      <c r="H139">
        <f>IFERROR(INDEX(PP_Grid[#Data],$DD139,6),0)</f>
        <v/>
      </c>
      <c r="I139">
        <f>IFERROR(INDEX(PP_Grid[#Data],$DD139,7),0)</f>
        <v/>
      </c>
      <c r="J139">
        <f>IFERROR(INDEX(PP_Grid[#Data],$DD139,8),0)</f>
        <v/>
      </c>
      <c r="K139">
        <f>IFERROR(INDEX(PP_Grid[#Data],$DD139,9),0)</f>
        <v/>
      </c>
      <c r="L139">
        <f>IFERROR(INDEX(PP_Grid[#Data],$DD139,10),0)</f>
        <v/>
      </c>
      <c r="M139">
        <f>IFERROR(INDEX(PP_Grid[#Data],$DD139,11),0)</f>
        <v/>
      </c>
      <c r="N139">
        <f>IFERROR(INDEX(PP_Grid[#Data],$DD139,12),0)</f>
        <v/>
      </c>
      <c r="O139">
        <f>IFERROR(INDEX(PP_Grid[#Data],$DD139,13),0)</f>
        <v/>
      </c>
      <c r="P139">
        <f>IFERROR(INDEX(PP_Grid[#Data],$DD139,14),0)</f>
        <v/>
      </c>
      <c r="Q139">
        <f>IFERROR(INDEX(PP_Grid[#Data],$DD139,15),0)</f>
        <v/>
      </c>
      <c r="R139">
        <f>IFERROR(INDEX(PP_Grid[#Data],$DD139,16),0)</f>
        <v/>
      </c>
      <c r="S139">
        <f>IFERROR(INDEX(PP_Grid[#Data],$DD139,17),0)</f>
        <v/>
      </c>
      <c r="T139">
        <f>IFERROR(INDEX(PP_Grid[#Data],$DD139,18),0)</f>
        <v/>
      </c>
      <c r="U139">
        <f>IFERROR(INDEX(PP_Grid[#Data],$DD139,19),0)</f>
        <v/>
      </c>
      <c r="V139">
        <f>IFERROR(INDEX(PP_Grid[#Data],$DD139,20),0)</f>
        <v/>
      </c>
      <c r="W139">
        <f>IFERROR(INDEX(PP_Grid[#Data],$DD139,21),0)</f>
        <v/>
      </c>
      <c r="X139">
        <f>IFERROR(INDEX(PP_Grid[#Data],$DD139,22),0)</f>
        <v/>
      </c>
      <c r="Y139">
        <f>IFERROR(INDEX(PP_Grid[#Data],$DD139,23),0)</f>
        <v/>
      </c>
      <c r="Z139">
        <f>IFERROR(INDEX(PP_Grid[#Data],$DD139,24),0)</f>
        <v/>
      </c>
      <c r="AA139">
        <f>IFERROR(INDEX(PP_Grid[#Data],$DD139,25),0)</f>
        <v/>
      </c>
      <c r="AB139">
        <f>IFERROR(INDEX(PP_Grid[#Data],$DD139,26),0)</f>
        <v/>
      </c>
      <c r="AC139">
        <f>IFERROR(INDEX(PP_Grid[#Data],$DD139,27),0)</f>
        <v/>
      </c>
      <c r="AD139">
        <f>IFERROR(INDEX(PP_Grid[#Data],$DD139,28),0)</f>
        <v/>
      </c>
      <c r="AE139">
        <f>IFERROR(INDEX(PP_Grid[#Data],$DD139,29),0)</f>
        <v/>
      </c>
      <c r="AF139">
        <f>IFERROR(INDEX(PP_Grid[#Data],$DD139,30),0)</f>
        <v/>
      </c>
      <c r="AG139">
        <f>IFERROR(INDEX(PP_Grid[#Data],$DD139,31),0)</f>
        <v/>
      </c>
      <c r="AH139">
        <f>IFERROR(INDEX(PP_Grid[#Data],$DD139,32),0)</f>
        <v/>
      </c>
      <c r="AI139">
        <f>IFERROR(INDEX(PP_Grid[#Data],$DD139,33),0)</f>
        <v/>
      </c>
      <c r="AJ139">
        <f>IFERROR(INDEX(PP_Grid[#Data],$DD139,34),0)</f>
        <v/>
      </c>
      <c r="AK139">
        <f>IFERROR(INDEX(PP_Grid[#Data],$DD139,35),0)</f>
        <v/>
      </c>
      <c r="AL139">
        <f>IFERROR(INDEX(PP_Grid[#Data],$DD139,36),0)</f>
        <v/>
      </c>
      <c r="AM139">
        <f>IFERROR(INDEX(PP_Grid[#Data],$DD139,37),0)</f>
        <v/>
      </c>
      <c r="AN139">
        <f>IFERROR(INDEX(PP_Grid[#Data],$DD139,38),0)</f>
        <v/>
      </c>
      <c r="AO139">
        <f>IFERROR(INDEX(PP_Grid[#Data],$DD139,39),0)</f>
        <v/>
      </c>
      <c r="AP139">
        <f>IFERROR(INDEX(PP_Grid[#Data],$DD139,40),0)</f>
        <v/>
      </c>
      <c r="AQ139">
        <f>IFERROR(INDEX(PP_Grid[#Data],$DD139,41),0)</f>
        <v/>
      </c>
      <c r="AR139">
        <f>IFERROR(INDEX(PP_Grid[#Data],$DD139,42),0)</f>
        <v/>
      </c>
      <c r="AS139">
        <f>IFERROR(INDEX(PP_Grid[#Data],$DD139,43),0)</f>
        <v/>
      </c>
      <c r="AT139">
        <f>IFERROR(INDEX(PP_Grid[#Data],$DD139,44),0)</f>
        <v/>
      </c>
      <c r="AU139">
        <f>IFERROR(INDEX(PP_Grid[#Data],$DD139,45),0)</f>
        <v/>
      </c>
      <c r="AV139">
        <f>IFERROR(INDEX(PP_Grid[#Data],$DD139,46),0)</f>
        <v/>
      </c>
      <c r="AW139">
        <f>IFERROR(INDEX(PP_Grid[#Data],$DD139,47),0)</f>
        <v/>
      </c>
      <c r="AX139">
        <f>IFERROR(INDEX(PP_Grid[#Data],$DD139,48),0)</f>
        <v/>
      </c>
      <c r="AY139">
        <f>IFERROR(INDEX(PP_Grid[#Data],$DD139,49),0)</f>
        <v/>
      </c>
      <c r="AZ139">
        <f>IFERROR(INDEX(PP_Grid[#Data],$DD139,50),0)</f>
        <v/>
      </c>
      <c r="BA139">
        <f>IFERROR(INDEX(PP_Grid[#Data],$DD139,51),0)</f>
        <v/>
      </c>
      <c r="BB139">
        <f>IFERROR(INDEX(PP_Grid[#Data],$DD139,52),0)</f>
        <v/>
      </c>
      <c r="BC139">
        <f>IFERROR(INDEX(PP_Grid[#Data],$DD139,53),0)</f>
        <v/>
      </c>
      <c r="BD139">
        <f>IFERROR(INDEX(PP_Grid[#Data],$DD139,54),0)</f>
        <v/>
      </c>
      <c r="BE139">
        <f>IFERROR(INDEX(PP_Grid[#Data],$DD139,55),0)</f>
        <v/>
      </c>
      <c r="BF139">
        <f>IFERROR(INDEX(PP_Grid[#Data],$DD139,56),0)</f>
        <v/>
      </c>
      <c r="BG139">
        <f>IFERROR(INDEX(PP_Grid[#Data],$DD139,57),0)</f>
        <v/>
      </c>
      <c r="BH139">
        <f>IFERROR(INDEX(PP_Grid[#Data],$DD139,58),0)</f>
        <v/>
      </c>
      <c r="BI139">
        <f>IFERROR(INDEX(PP_Grid[#Data],$DD139,59),0)</f>
        <v/>
      </c>
      <c r="BJ139">
        <f>IFERROR(INDEX(PP_Grid[#Data],$DD139,60),0)</f>
        <v/>
      </c>
      <c r="BK139">
        <f>IFERROR(INDEX(PP_Grid[#Data],$DD139,61),0)</f>
        <v/>
      </c>
      <c r="BL139">
        <f>IFERROR(INDEX(PP_Grid[#Data],$DD139,62),0)</f>
        <v/>
      </c>
      <c r="BM139">
        <f>IFERROR(INDEX(PP_Grid[#Data],$DD139,63),0)</f>
        <v/>
      </c>
      <c r="BN139">
        <f>IFERROR(INDEX(PP_Grid[#Data],$DD139,64),0)</f>
        <v/>
      </c>
      <c r="BO139">
        <f>IFERROR(INDEX(PP_Grid[#Data],$DD139,65),0)</f>
        <v/>
      </c>
      <c r="BP139">
        <f>IFERROR(INDEX(PP_Grid[#Data],$DD139,66),0)</f>
        <v/>
      </c>
      <c r="BQ139">
        <f>IFERROR(INDEX(PP_Grid[#Data],$DD139,67),0)</f>
        <v/>
      </c>
      <c r="BR139">
        <f>IFERROR(INDEX(PP_Grid[#Data],$DD139,68),0)</f>
        <v/>
      </c>
      <c r="BS139">
        <f>IFERROR(INDEX(PP_Grid[#Data],$DD139,69),0)</f>
        <v/>
      </c>
      <c r="BT139">
        <f>IFERROR(INDEX(PP_Grid[#Data],$DD139,70),0)</f>
        <v/>
      </c>
      <c r="BU139">
        <f>IFERROR(INDEX(PP_Grid[#Data],$DD139,71),0)</f>
        <v/>
      </c>
      <c r="BV139">
        <f>IFERROR(INDEX(PP_Grid[#Data],$DD139,72),0)</f>
        <v/>
      </c>
      <c r="BW139">
        <f>IFERROR(INDEX(PP_Grid[#Data],$DD139,73),0)</f>
        <v/>
      </c>
      <c r="BX139">
        <f>IFERROR(INDEX(PP_Grid[#Data],$DD139,74),0)</f>
        <v/>
      </c>
      <c r="BY139">
        <f>IFERROR(INDEX(PP_Grid[#Data],$DD139,75),0)</f>
        <v/>
      </c>
      <c r="BZ139">
        <f>IFERROR(INDEX(PP_Grid[#Data],$DD139,76),0)</f>
        <v/>
      </c>
      <c r="CA139">
        <f>IFERROR(INDEX(PP_Grid[#Data],$DD139,77),0)</f>
        <v/>
      </c>
      <c r="CB139">
        <f>IFERROR(INDEX(PP_Grid[#Data],$DD139,78),0)</f>
        <v/>
      </c>
      <c r="CC139">
        <f>IFERROR(INDEX(PP_Grid[#Data],$DD139,79),0)</f>
        <v/>
      </c>
      <c r="CD139">
        <f>IFERROR(INDEX(PP_Grid[#Data],$DD139,80),0)</f>
        <v/>
      </c>
      <c r="CE139">
        <f>IFERROR(INDEX(PP_Grid[#Data],$DD139,81),0)</f>
        <v/>
      </c>
      <c r="CF139">
        <f>IFERROR(INDEX(PP_Grid[#Data],$DD139,82),0)</f>
        <v/>
      </c>
      <c r="CG139">
        <f>IFERROR(INDEX(PP_Grid[#Data],$DD139,83),0)</f>
        <v/>
      </c>
      <c r="CH139">
        <f>IFERROR(INDEX(PP_Grid[#Data],$DD139,84),0)</f>
        <v/>
      </c>
      <c r="CI139">
        <f>IFERROR(INDEX(PP_Grid[#Data],$DD139,85),0)</f>
        <v/>
      </c>
      <c r="CJ139">
        <f>IFERROR(INDEX(PP_Grid[#Data],$DD139,86),0)</f>
        <v/>
      </c>
      <c r="CK139">
        <f>IFERROR(INDEX(PP_Grid[#Data],$DD139,87),0)</f>
        <v/>
      </c>
      <c r="CL139">
        <f>IFERROR(INDEX(PP_Grid[#Data],$DD139,88),0)</f>
        <v/>
      </c>
      <c r="CM139">
        <f>IFERROR(INDEX(PP_Grid[#Data],$DD139,89),0)</f>
        <v/>
      </c>
      <c r="CN139">
        <f>IFERROR(INDEX(PP_Grid[#Data],$DD139,90),0)</f>
        <v/>
      </c>
      <c r="CO139">
        <f>IFERROR(INDEX(PP_Grid[#Data],$DD139,91),0)</f>
        <v/>
      </c>
      <c r="CP139">
        <f>IFERROR(INDEX(PP_Grid[#Data],$DD139,92),0)</f>
        <v/>
      </c>
      <c r="CQ139">
        <f>IFERROR(INDEX(PP_Grid[#Data],$DD139,93),0)</f>
        <v/>
      </c>
      <c r="CR139">
        <f>IFERROR(INDEX(PP_Grid[#Data],$DD139,94),0)</f>
        <v/>
      </c>
      <c r="CS139">
        <f>IFERROR(INDEX(PP_Grid[#Data],$DD139,95),0)</f>
        <v/>
      </c>
      <c r="CT139">
        <f>IFERROR(INDEX(PP_Grid[#Data],$DD139,96),0)</f>
        <v/>
      </c>
      <c r="CU139">
        <f>IFERROR(INDEX(PP_Grid[#Data],$DD139,97),0)</f>
        <v/>
      </c>
      <c r="CV139">
        <f>IFERROR(INDEX(PP_Grid[#Data],$DD139,98),0)</f>
        <v/>
      </c>
      <c r="CW139">
        <f>IFERROR(INDEX(PP_Grid[#Data],$DD139,99),0)</f>
        <v/>
      </c>
      <c r="CX139">
        <f>IFERROR(INDEX(PP_Grid[#Data],$DD139,100),0)</f>
        <v/>
      </c>
      <c r="CY139">
        <f>IFERROR(INDEX(PP_Grid[#Data],$DD139,101),0)</f>
        <v/>
      </c>
      <c r="CZ139">
        <f>IFERROR(INDEX(PP_Grid[#Data],$DD139,102),0)</f>
        <v/>
      </c>
      <c r="DA139">
        <f>IFERROR(INDEX(PP_Grid[#Data],$DD139,103),0)</f>
        <v/>
      </c>
      <c r="DB139">
        <f>IFERROR(INDEX(PP_Grid[#Data],$DD139,104),0)</f>
        <v/>
      </c>
      <c r="DC139">
        <f>IFERROR(INDEX(PP_Grid[#Data],$DD139,105),0)</f>
        <v/>
      </c>
      <c r="DD139" s="7">
        <f>IFERROR(MATCH($B139,PP_Grid[Intermediate],0),99999)</f>
        <v/>
      </c>
    </row>
    <row r="140">
      <c r="B140" t="inlineStr">
        <is>
          <t>使用量(kg)</t>
        </is>
      </c>
      <c r="C140">
        <f>SUMIFS(M_BOM[RM_Qty_Per_Batch],M_BOM[Intermediate],$B139,M_BOM[Part Name],$A44)</f>
        <v/>
      </c>
      <c r="D140">
        <f>$C140*D139</f>
        <v/>
      </c>
      <c r="E140">
        <f>$C140*E139</f>
        <v/>
      </c>
      <c r="F140">
        <f>$C140*F139</f>
        <v/>
      </c>
      <c r="G140">
        <f>$C140*G139</f>
        <v/>
      </c>
      <c r="H140">
        <f>$C140*H139</f>
        <v/>
      </c>
      <c r="I140">
        <f>$C140*I139</f>
        <v/>
      </c>
      <c r="J140">
        <f>$C140*J139</f>
        <v/>
      </c>
      <c r="K140">
        <f>$C140*K139</f>
        <v/>
      </c>
      <c r="L140">
        <f>$C140*L139</f>
        <v/>
      </c>
      <c r="M140">
        <f>$C140*M139</f>
        <v/>
      </c>
      <c r="N140">
        <f>$C140*N139</f>
        <v/>
      </c>
      <c r="O140">
        <f>$C140*O139</f>
        <v/>
      </c>
      <c r="P140">
        <f>$C140*P139</f>
        <v/>
      </c>
      <c r="Q140">
        <f>$C140*Q139</f>
        <v/>
      </c>
      <c r="R140">
        <f>$C140*R139</f>
        <v/>
      </c>
      <c r="S140">
        <f>$C140*S139</f>
        <v/>
      </c>
      <c r="T140">
        <f>$C140*T139</f>
        <v/>
      </c>
      <c r="U140">
        <f>$C140*U139</f>
        <v/>
      </c>
      <c r="V140">
        <f>$C140*V139</f>
        <v/>
      </c>
      <c r="W140">
        <f>$C140*W139</f>
        <v/>
      </c>
      <c r="X140">
        <f>$C140*X139</f>
        <v/>
      </c>
      <c r="Y140">
        <f>$C140*Y139</f>
        <v/>
      </c>
      <c r="Z140">
        <f>$C140*Z139</f>
        <v/>
      </c>
      <c r="AA140">
        <f>$C140*AA139</f>
        <v/>
      </c>
      <c r="AB140">
        <f>$C140*AB139</f>
        <v/>
      </c>
      <c r="AC140">
        <f>$C140*AC139</f>
        <v/>
      </c>
      <c r="AD140">
        <f>$C140*AD139</f>
        <v/>
      </c>
      <c r="AE140">
        <f>$C140*AE139</f>
        <v/>
      </c>
      <c r="AF140">
        <f>$C140*AF139</f>
        <v/>
      </c>
      <c r="AG140">
        <f>$C140*AG139</f>
        <v/>
      </c>
      <c r="AH140">
        <f>$C140*AH139</f>
        <v/>
      </c>
      <c r="AI140">
        <f>$C140*AI139</f>
        <v/>
      </c>
      <c r="AJ140">
        <f>$C140*AJ139</f>
        <v/>
      </c>
      <c r="AK140">
        <f>$C140*AK139</f>
        <v/>
      </c>
      <c r="AL140">
        <f>$C140*AL139</f>
        <v/>
      </c>
      <c r="AM140">
        <f>$C140*AM139</f>
        <v/>
      </c>
      <c r="AN140">
        <f>$C140*AN139</f>
        <v/>
      </c>
      <c r="AO140">
        <f>$C140*AO139</f>
        <v/>
      </c>
      <c r="AP140">
        <f>$C140*AP139</f>
        <v/>
      </c>
      <c r="AQ140">
        <f>$C140*AQ139</f>
        <v/>
      </c>
      <c r="AR140">
        <f>$C140*AR139</f>
        <v/>
      </c>
      <c r="AS140">
        <f>$C140*AS139</f>
        <v/>
      </c>
      <c r="AT140">
        <f>$C140*AT139</f>
        <v/>
      </c>
      <c r="AU140">
        <f>$C140*AU139</f>
        <v/>
      </c>
      <c r="AV140">
        <f>$C140*AV139</f>
        <v/>
      </c>
      <c r="AW140">
        <f>$C140*AW139</f>
        <v/>
      </c>
      <c r="AX140">
        <f>$C140*AX139</f>
        <v/>
      </c>
      <c r="AY140">
        <f>$C140*AY139</f>
        <v/>
      </c>
      <c r="AZ140">
        <f>$C140*AZ139</f>
        <v/>
      </c>
      <c r="BA140">
        <f>$C140*BA139</f>
        <v/>
      </c>
      <c r="BB140">
        <f>$C140*BB139</f>
        <v/>
      </c>
      <c r="BC140">
        <f>$C140*BC139</f>
        <v/>
      </c>
      <c r="BD140">
        <f>$C140*BD139</f>
        <v/>
      </c>
      <c r="BE140">
        <f>$C140*BE139</f>
        <v/>
      </c>
      <c r="BF140">
        <f>$C140*BF139</f>
        <v/>
      </c>
      <c r="BG140">
        <f>$C140*BG139</f>
        <v/>
      </c>
      <c r="BH140">
        <f>$C140*BH139</f>
        <v/>
      </c>
      <c r="BI140">
        <f>$C140*BI139</f>
        <v/>
      </c>
      <c r="BJ140">
        <f>$C140*BJ139</f>
        <v/>
      </c>
      <c r="BK140">
        <f>$C140*BK139</f>
        <v/>
      </c>
      <c r="BL140">
        <f>$C140*BL139</f>
        <v/>
      </c>
      <c r="BM140">
        <f>$C140*BM139</f>
        <v/>
      </c>
      <c r="BN140">
        <f>$C140*BN139</f>
        <v/>
      </c>
      <c r="BO140">
        <f>$C140*BO139</f>
        <v/>
      </c>
      <c r="BP140">
        <f>$C140*BP139</f>
        <v/>
      </c>
      <c r="BQ140">
        <f>$C140*BQ139</f>
        <v/>
      </c>
      <c r="BR140">
        <f>$C140*BR139</f>
        <v/>
      </c>
      <c r="BS140">
        <f>$C140*BS139</f>
        <v/>
      </c>
      <c r="BT140">
        <f>$C140*BT139</f>
        <v/>
      </c>
      <c r="BU140">
        <f>$C140*BU139</f>
        <v/>
      </c>
      <c r="BV140">
        <f>$C140*BV139</f>
        <v/>
      </c>
      <c r="BW140">
        <f>$C140*BW139</f>
        <v/>
      </c>
      <c r="BX140">
        <f>$C140*BX139</f>
        <v/>
      </c>
      <c r="BY140">
        <f>$C140*BY139</f>
        <v/>
      </c>
      <c r="BZ140">
        <f>$C140*BZ139</f>
        <v/>
      </c>
      <c r="CA140">
        <f>$C140*CA139</f>
        <v/>
      </c>
      <c r="CB140">
        <f>$C140*CB139</f>
        <v/>
      </c>
      <c r="CC140">
        <f>$C140*CC139</f>
        <v/>
      </c>
      <c r="CD140">
        <f>$C140*CD139</f>
        <v/>
      </c>
      <c r="CE140">
        <f>$C140*CE139</f>
        <v/>
      </c>
      <c r="CF140">
        <f>$C140*CF139</f>
        <v/>
      </c>
      <c r="CG140">
        <f>$C140*CG139</f>
        <v/>
      </c>
      <c r="CH140">
        <f>$C140*CH139</f>
        <v/>
      </c>
      <c r="CI140">
        <f>$C140*CI139</f>
        <v/>
      </c>
      <c r="CJ140">
        <f>$C140*CJ139</f>
        <v/>
      </c>
      <c r="CK140">
        <f>$C140*CK139</f>
        <v/>
      </c>
      <c r="CL140">
        <f>$C140*CL139</f>
        <v/>
      </c>
      <c r="CM140">
        <f>$C140*CM139</f>
        <v/>
      </c>
      <c r="CN140">
        <f>$C140*CN139</f>
        <v/>
      </c>
      <c r="CO140">
        <f>$C140*CO139</f>
        <v/>
      </c>
      <c r="CP140">
        <f>$C140*CP139</f>
        <v/>
      </c>
      <c r="CQ140">
        <f>$C140*CQ139</f>
        <v/>
      </c>
      <c r="CR140">
        <f>$C140*CR139</f>
        <v/>
      </c>
      <c r="CS140">
        <f>$C140*CS139</f>
        <v/>
      </c>
      <c r="CT140">
        <f>$C140*CT139</f>
        <v/>
      </c>
      <c r="CU140">
        <f>$C140*CU139</f>
        <v/>
      </c>
      <c r="CV140">
        <f>$C140*CV139</f>
        <v/>
      </c>
      <c r="CW140">
        <f>$C140*CW139</f>
        <v/>
      </c>
      <c r="CX140">
        <f>$C140*CX139</f>
        <v/>
      </c>
      <c r="CY140">
        <f>$C140*CY139</f>
        <v/>
      </c>
      <c r="CZ140">
        <f>$C140*CZ139</f>
        <v/>
      </c>
      <c r="DA140">
        <f>$C140*DA139</f>
        <v/>
      </c>
      <c r="DB140">
        <f>$C140*DB139</f>
        <v/>
      </c>
      <c r="DC140">
        <f>$C140*DC139</f>
        <v/>
      </c>
    </row>
    <row r="141">
      <c r="B141" t="inlineStr">
        <is>
          <t>TSP-936</t>
        </is>
      </c>
      <c r="C141" t="inlineStr">
        <is>
          <t>No. of batches</t>
        </is>
      </c>
      <c r="D141">
        <f>IFERROR(INDEX(PP_Grid[#Data],$DD141,2),0)</f>
        <v/>
      </c>
      <c r="E141">
        <f>IFERROR(INDEX(PP_Grid[#Data],$DD141,3),0)</f>
        <v/>
      </c>
      <c r="F141">
        <f>IFERROR(INDEX(PP_Grid[#Data],$DD141,4),0)</f>
        <v/>
      </c>
      <c r="G141">
        <f>IFERROR(INDEX(PP_Grid[#Data],$DD141,5),0)</f>
        <v/>
      </c>
      <c r="H141">
        <f>IFERROR(INDEX(PP_Grid[#Data],$DD141,6),0)</f>
        <v/>
      </c>
      <c r="I141">
        <f>IFERROR(INDEX(PP_Grid[#Data],$DD141,7),0)</f>
        <v/>
      </c>
      <c r="J141">
        <f>IFERROR(INDEX(PP_Grid[#Data],$DD141,8),0)</f>
        <v/>
      </c>
      <c r="K141">
        <f>IFERROR(INDEX(PP_Grid[#Data],$DD141,9),0)</f>
        <v/>
      </c>
      <c r="L141">
        <f>IFERROR(INDEX(PP_Grid[#Data],$DD141,10),0)</f>
        <v/>
      </c>
      <c r="M141">
        <f>IFERROR(INDEX(PP_Grid[#Data],$DD141,11),0)</f>
        <v/>
      </c>
      <c r="N141">
        <f>IFERROR(INDEX(PP_Grid[#Data],$DD141,12),0)</f>
        <v/>
      </c>
      <c r="O141">
        <f>IFERROR(INDEX(PP_Grid[#Data],$DD141,13),0)</f>
        <v/>
      </c>
      <c r="P141">
        <f>IFERROR(INDEX(PP_Grid[#Data],$DD141,14),0)</f>
        <v/>
      </c>
      <c r="Q141">
        <f>IFERROR(INDEX(PP_Grid[#Data],$DD141,15),0)</f>
        <v/>
      </c>
      <c r="R141">
        <f>IFERROR(INDEX(PP_Grid[#Data],$DD141,16),0)</f>
        <v/>
      </c>
      <c r="S141">
        <f>IFERROR(INDEX(PP_Grid[#Data],$DD141,17),0)</f>
        <v/>
      </c>
      <c r="T141">
        <f>IFERROR(INDEX(PP_Grid[#Data],$DD141,18),0)</f>
        <v/>
      </c>
      <c r="U141">
        <f>IFERROR(INDEX(PP_Grid[#Data],$DD141,19),0)</f>
        <v/>
      </c>
      <c r="V141">
        <f>IFERROR(INDEX(PP_Grid[#Data],$DD141,20),0)</f>
        <v/>
      </c>
      <c r="W141">
        <f>IFERROR(INDEX(PP_Grid[#Data],$DD141,21),0)</f>
        <v/>
      </c>
      <c r="X141">
        <f>IFERROR(INDEX(PP_Grid[#Data],$DD141,22),0)</f>
        <v/>
      </c>
      <c r="Y141">
        <f>IFERROR(INDEX(PP_Grid[#Data],$DD141,23),0)</f>
        <v/>
      </c>
      <c r="Z141">
        <f>IFERROR(INDEX(PP_Grid[#Data],$DD141,24),0)</f>
        <v/>
      </c>
      <c r="AA141">
        <f>IFERROR(INDEX(PP_Grid[#Data],$DD141,25),0)</f>
        <v/>
      </c>
      <c r="AB141">
        <f>IFERROR(INDEX(PP_Grid[#Data],$DD141,26),0)</f>
        <v/>
      </c>
      <c r="AC141">
        <f>IFERROR(INDEX(PP_Grid[#Data],$DD141,27),0)</f>
        <v/>
      </c>
      <c r="AD141">
        <f>IFERROR(INDEX(PP_Grid[#Data],$DD141,28),0)</f>
        <v/>
      </c>
      <c r="AE141">
        <f>IFERROR(INDEX(PP_Grid[#Data],$DD141,29),0)</f>
        <v/>
      </c>
      <c r="AF141">
        <f>IFERROR(INDEX(PP_Grid[#Data],$DD141,30),0)</f>
        <v/>
      </c>
      <c r="AG141">
        <f>IFERROR(INDEX(PP_Grid[#Data],$DD141,31),0)</f>
        <v/>
      </c>
      <c r="AH141">
        <f>IFERROR(INDEX(PP_Grid[#Data],$DD141,32),0)</f>
        <v/>
      </c>
      <c r="AI141">
        <f>IFERROR(INDEX(PP_Grid[#Data],$DD141,33),0)</f>
        <v/>
      </c>
      <c r="AJ141">
        <f>IFERROR(INDEX(PP_Grid[#Data],$DD141,34),0)</f>
        <v/>
      </c>
      <c r="AK141">
        <f>IFERROR(INDEX(PP_Grid[#Data],$DD141,35),0)</f>
        <v/>
      </c>
      <c r="AL141">
        <f>IFERROR(INDEX(PP_Grid[#Data],$DD141,36),0)</f>
        <v/>
      </c>
      <c r="AM141">
        <f>IFERROR(INDEX(PP_Grid[#Data],$DD141,37),0)</f>
        <v/>
      </c>
      <c r="AN141">
        <f>IFERROR(INDEX(PP_Grid[#Data],$DD141,38),0)</f>
        <v/>
      </c>
      <c r="AO141">
        <f>IFERROR(INDEX(PP_Grid[#Data],$DD141,39),0)</f>
        <v/>
      </c>
      <c r="AP141">
        <f>IFERROR(INDEX(PP_Grid[#Data],$DD141,40),0)</f>
        <v/>
      </c>
      <c r="AQ141">
        <f>IFERROR(INDEX(PP_Grid[#Data],$DD141,41),0)</f>
        <v/>
      </c>
      <c r="AR141">
        <f>IFERROR(INDEX(PP_Grid[#Data],$DD141,42),0)</f>
        <v/>
      </c>
      <c r="AS141">
        <f>IFERROR(INDEX(PP_Grid[#Data],$DD141,43),0)</f>
        <v/>
      </c>
      <c r="AT141">
        <f>IFERROR(INDEX(PP_Grid[#Data],$DD141,44),0)</f>
        <v/>
      </c>
      <c r="AU141">
        <f>IFERROR(INDEX(PP_Grid[#Data],$DD141,45),0)</f>
        <v/>
      </c>
      <c r="AV141">
        <f>IFERROR(INDEX(PP_Grid[#Data],$DD141,46),0)</f>
        <v/>
      </c>
      <c r="AW141">
        <f>IFERROR(INDEX(PP_Grid[#Data],$DD141,47),0)</f>
        <v/>
      </c>
      <c r="AX141">
        <f>IFERROR(INDEX(PP_Grid[#Data],$DD141,48),0)</f>
        <v/>
      </c>
      <c r="AY141">
        <f>IFERROR(INDEX(PP_Grid[#Data],$DD141,49),0)</f>
        <v/>
      </c>
      <c r="AZ141">
        <f>IFERROR(INDEX(PP_Grid[#Data],$DD141,50),0)</f>
        <v/>
      </c>
      <c r="BA141">
        <f>IFERROR(INDEX(PP_Grid[#Data],$DD141,51),0)</f>
        <v/>
      </c>
      <c r="BB141">
        <f>IFERROR(INDEX(PP_Grid[#Data],$DD141,52),0)</f>
        <v/>
      </c>
      <c r="BC141">
        <f>IFERROR(INDEX(PP_Grid[#Data],$DD141,53),0)</f>
        <v/>
      </c>
      <c r="BD141">
        <f>IFERROR(INDEX(PP_Grid[#Data],$DD141,54),0)</f>
        <v/>
      </c>
      <c r="BE141">
        <f>IFERROR(INDEX(PP_Grid[#Data],$DD141,55),0)</f>
        <v/>
      </c>
      <c r="BF141">
        <f>IFERROR(INDEX(PP_Grid[#Data],$DD141,56),0)</f>
        <v/>
      </c>
      <c r="BG141">
        <f>IFERROR(INDEX(PP_Grid[#Data],$DD141,57),0)</f>
        <v/>
      </c>
      <c r="BH141">
        <f>IFERROR(INDEX(PP_Grid[#Data],$DD141,58),0)</f>
        <v/>
      </c>
      <c r="BI141">
        <f>IFERROR(INDEX(PP_Grid[#Data],$DD141,59),0)</f>
        <v/>
      </c>
      <c r="BJ141">
        <f>IFERROR(INDEX(PP_Grid[#Data],$DD141,60),0)</f>
        <v/>
      </c>
      <c r="BK141">
        <f>IFERROR(INDEX(PP_Grid[#Data],$DD141,61),0)</f>
        <v/>
      </c>
      <c r="BL141">
        <f>IFERROR(INDEX(PP_Grid[#Data],$DD141,62),0)</f>
        <v/>
      </c>
      <c r="BM141">
        <f>IFERROR(INDEX(PP_Grid[#Data],$DD141,63),0)</f>
        <v/>
      </c>
      <c r="BN141">
        <f>IFERROR(INDEX(PP_Grid[#Data],$DD141,64),0)</f>
        <v/>
      </c>
      <c r="BO141">
        <f>IFERROR(INDEX(PP_Grid[#Data],$DD141,65),0)</f>
        <v/>
      </c>
      <c r="BP141">
        <f>IFERROR(INDEX(PP_Grid[#Data],$DD141,66),0)</f>
        <v/>
      </c>
      <c r="BQ141">
        <f>IFERROR(INDEX(PP_Grid[#Data],$DD141,67),0)</f>
        <v/>
      </c>
      <c r="BR141">
        <f>IFERROR(INDEX(PP_Grid[#Data],$DD141,68),0)</f>
        <v/>
      </c>
      <c r="BS141">
        <f>IFERROR(INDEX(PP_Grid[#Data],$DD141,69),0)</f>
        <v/>
      </c>
      <c r="BT141">
        <f>IFERROR(INDEX(PP_Grid[#Data],$DD141,70),0)</f>
        <v/>
      </c>
      <c r="BU141">
        <f>IFERROR(INDEX(PP_Grid[#Data],$DD141,71),0)</f>
        <v/>
      </c>
      <c r="BV141">
        <f>IFERROR(INDEX(PP_Grid[#Data],$DD141,72),0)</f>
        <v/>
      </c>
      <c r="BW141">
        <f>IFERROR(INDEX(PP_Grid[#Data],$DD141,73),0)</f>
        <v/>
      </c>
      <c r="BX141">
        <f>IFERROR(INDEX(PP_Grid[#Data],$DD141,74),0)</f>
        <v/>
      </c>
      <c r="BY141">
        <f>IFERROR(INDEX(PP_Grid[#Data],$DD141,75),0)</f>
        <v/>
      </c>
      <c r="BZ141">
        <f>IFERROR(INDEX(PP_Grid[#Data],$DD141,76),0)</f>
        <v/>
      </c>
      <c r="CA141">
        <f>IFERROR(INDEX(PP_Grid[#Data],$DD141,77),0)</f>
        <v/>
      </c>
      <c r="CB141">
        <f>IFERROR(INDEX(PP_Grid[#Data],$DD141,78),0)</f>
        <v/>
      </c>
      <c r="CC141">
        <f>IFERROR(INDEX(PP_Grid[#Data],$DD141,79),0)</f>
        <v/>
      </c>
      <c r="CD141">
        <f>IFERROR(INDEX(PP_Grid[#Data],$DD141,80),0)</f>
        <v/>
      </c>
      <c r="CE141">
        <f>IFERROR(INDEX(PP_Grid[#Data],$DD141,81),0)</f>
        <v/>
      </c>
      <c r="CF141">
        <f>IFERROR(INDEX(PP_Grid[#Data],$DD141,82),0)</f>
        <v/>
      </c>
      <c r="CG141">
        <f>IFERROR(INDEX(PP_Grid[#Data],$DD141,83),0)</f>
        <v/>
      </c>
      <c r="CH141">
        <f>IFERROR(INDEX(PP_Grid[#Data],$DD141,84),0)</f>
        <v/>
      </c>
      <c r="CI141">
        <f>IFERROR(INDEX(PP_Grid[#Data],$DD141,85),0)</f>
        <v/>
      </c>
      <c r="CJ141">
        <f>IFERROR(INDEX(PP_Grid[#Data],$DD141,86),0)</f>
        <v/>
      </c>
      <c r="CK141">
        <f>IFERROR(INDEX(PP_Grid[#Data],$DD141,87),0)</f>
        <v/>
      </c>
      <c r="CL141">
        <f>IFERROR(INDEX(PP_Grid[#Data],$DD141,88),0)</f>
        <v/>
      </c>
      <c r="CM141">
        <f>IFERROR(INDEX(PP_Grid[#Data],$DD141,89),0)</f>
        <v/>
      </c>
      <c r="CN141">
        <f>IFERROR(INDEX(PP_Grid[#Data],$DD141,90),0)</f>
        <v/>
      </c>
      <c r="CO141">
        <f>IFERROR(INDEX(PP_Grid[#Data],$DD141,91),0)</f>
        <v/>
      </c>
      <c r="CP141">
        <f>IFERROR(INDEX(PP_Grid[#Data],$DD141,92),0)</f>
        <v/>
      </c>
      <c r="CQ141">
        <f>IFERROR(INDEX(PP_Grid[#Data],$DD141,93),0)</f>
        <v/>
      </c>
      <c r="CR141">
        <f>IFERROR(INDEX(PP_Grid[#Data],$DD141,94),0)</f>
        <v/>
      </c>
      <c r="CS141">
        <f>IFERROR(INDEX(PP_Grid[#Data],$DD141,95),0)</f>
        <v/>
      </c>
      <c r="CT141">
        <f>IFERROR(INDEX(PP_Grid[#Data],$DD141,96),0)</f>
        <v/>
      </c>
      <c r="CU141">
        <f>IFERROR(INDEX(PP_Grid[#Data],$DD141,97),0)</f>
        <v/>
      </c>
      <c r="CV141">
        <f>IFERROR(INDEX(PP_Grid[#Data],$DD141,98),0)</f>
        <v/>
      </c>
      <c r="CW141">
        <f>IFERROR(INDEX(PP_Grid[#Data],$DD141,99),0)</f>
        <v/>
      </c>
      <c r="CX141">
        <f>IFERROR(INDEX(PP_Grid[#Data],$DD141,100),0)</f>
        <v/>
      </c>
      <c r="CY141">
        <f>IFERROR(INDEX(PP_Grid[#Data],$DD141,101),0)</f>
        <v/>
      </c>
      <c r="CZ141">
        <f>IFERROR(INDEX(PP_Grid[#Data],$DD141,102),0)</f>
        <v/>
      </c>
      <c r="DA141">
        <f>IFERROR(INDEX(PP_Grid[#Data],$DD141,103),0)</f>
        <v/>
      </c>
      <c r="DB141">
        <f>IFERROR(INDEX(PP_Grid[#Data],$DD141,104),0)</f>
        <v/>
      </c>
      <c r="DC141">
        <f>IFERROR(INDEX(PP_Grid[#Data],$DD141,105),0)</f>
        <v/>
      </c>
      <c r="DD141" s="7">
        <f>IFERROR(MATCH($B141,PP_Grid[Intermediate],0),99999)</f>
        <v/>
      </c>
    </row>
    <row r="142">
      <c r="B142" t="inlineStr">
        <is>
          <t>使用量(kg)</t>
        </is>
      </c>
      <c r="C142">
        <f>SUMIFS(M_BOM[RM_Qty_Per_Batch],M_BOM[Intermediate],$B141,M_BOM[Part Name],$A44)</f>
        <v/>
      </c>
      <c r="D142">
        <f>$C142*D141</f>
        <v/>
      </c>
      <c r="E142">
        <f>$C142*E141</f>
        <v/>
      </c>
      <c r="F142">
        <f>$C142*F141</f>
        <v/>
      </c>
      <c r="G142">
        <f>$C142*G141</f>
        <v/>
      </c>
      <c r="H142">
        <f>$C142*H141</f>
        <v/>
      </c>
      <c r="I142">
        <f>$C142*I141</f>
        <v/>
      </c>
      <c r="J142">
        <f>$C142*J141</f>
        <v/>
      </c>
      <c r="K142">
        <f>$C142*K141</f>
        <v/>
      </c>
      <c r="L142">
        <f>$C142*L141</f>
        <v/>
      </c>
      <c r="M142">
        <f>$C142*M141</f>
        <v/>
      </c>
      <c r="N142">
        <f>$C142*N141</f>
        <v/>
      </c>
      <c r="O142">
        <f>$C142*O141</f>
        <v/>
      </c>
      <c r="P142">
        <f>$C142*P141</f>
        <v/>
      </c>
      <c r="Q142">
        <f>$C142*Q141</f>
        <v/>
      </c>
      <c r="R142">
        <f>$C142*R141</f>
        <v/>
      </c>
      <c r="S142">
        <f>$C142*S141</f>
        <v/>
      </c>
      <c r="T142">
        <f>$C142*T141</f>
        <v/>
      </c>
      <c r="U142">
        <f>$C142*U141</f>
        <v/>
      </c>
      <c r="V142">
        <f>$C142*V141</f>
        <v/>
      </c>
      <c r="W142">
        <f>$C142*W141</f>
        <v/>
      </c>
      <c r="X142">
        <f>$C142*X141</f>
        <v/>
      </c>
      <c r="Y142">
        <f>$C142*Y141</f>
        <v/>
      </c>
      <c r="Z142">
        <f>$C142*Z141</f>
        <v/>
      </c>
      <c r="AA142">
        <f>$C142*AA141</f>
        <v/>
      </c>
      <c r="AB142">
        <f>$C142*AB141</f>
        <v/>
      </c>
      <c r="AC142">
        <f>$C142*AC141</f>
        <v/>
      </c>
      <c r="AD142">
        <f>$C142*AD141</f>
        <v/>
      </c>
      <c r="AE142">
        <f>$C142*AE141</f>
        <v/>
      </c>
      <c r="AF142">
        <f>$C142*AF141</f>
        <v/>
      </c>
      <c r="AG142">
        <f>$C142*AG141</f>
        <v/>
      </c>
      <c r="AH142">
        <f>$C142*AH141</f>
        <v/>
      </c>
      <c r="AI142">
        <f>$C142*AI141</f>
        <v/>
      </c>
      <c r="AJ142">
        <f>$C142*AJ141</f>
        <v/>
      </c>
      <c r="AK142">
        <f>$C142*AK141</f>
        <v/>
      </c>
      <c r="AL142">
        <f>$C142*AL141</f>
        <v/>
      </c>
      <c r="AM142">
        <f>$C142*AM141</f>
        <v/>
      </c>
      <c r="AN142">
        <f>$C142*AN141</f>
        <v/>
      </c>
      <c r="AO142">
        <f>$C142*AO141</f>
        <v/>
      </c>
      <c r="AP142">
        <f>$C142*AP141</f>
        <v/>
      </c>
      <c r="AQ142">
        <f>$C142*AQ141</f>
        <v/>
      </c>
      <c r="AR142">
        <f>$C142*AR141</f>
        <v/>
      </c>
      <c r="AS142">
        <f>$C142*AS141</f>
        <v/>
      </c>
      <c r="AT142">
        <f>$C142*AT141</f>
        <v/>
      </c>
      <c r="AU142">
        <f>$C142*AU141</f>
        <v/>
      </c>
      <c r="AV142">
        <f>$C142*AV141</f>
        <v/>
      </c>
      <c r="AW142">
        <f>$C142*AW141</f>
        <v/>
      </c>
      <c r="AX142">
        <f>$C142*AX141</f>
        <v/>
      </c>
      <c r="AY142">
        <f>$C142*AY141</f>
        <v/>
      </c>
      <c r="AZ142">
        <f>$C142*AZ141</f>
        <v/>
      </c>
      <c r="BA142">
        <f>$C142*BA141</f>
        <v/>
      </c>
      <c r="BB142">
        <f>$C142*BB141</f>
        <v/>
      </c>
      <c r="BC142">
        <f>$C142*BC141</f>
        <v/>
      </c>
      <c r="BD142">
        <f>$C142*BD141</f>
        <v/>
      </c>
      <c r="BE142">
        <f>$C142*BE141</f>
        <v/>
      </c>
      <c r="BF142">
        <f>$C142*BF141</f>
        <v/>
      </c>
      <c r="BG142">
        <f>$C142*BG141</f>
        <v/>
      </c>
      <c r="BH142">
        <f>$C142*BH141</f>
        <v/>
      </c>
      <c r="BI142">
        <f>$C142*BI141</f>
        <v/>
      </c>
      <c r="BJ142">
        <f>$C142*BJ141</f>
        <v/>
      </c>
      <c r="BK142">
        <f>$C142*BK141</f>
        <v/>
      </c>
      <c r="BL142">
        <f>$C142*BL141</f>
        <v/>
      </c>
      <c r="BM142">
        <f>$C142*BM141</f>
        <v/>
      </c>
      <c r="BN142">
        <f>$C142*BN141</f>
        <v/>
      </c>
      <c r="BO142">
        <f>$C142*BO141</f>
        <v/>
      </c>
      <c r="BP142">
        <f>$C142*BP141</f>
        <v/>
      </c>
      <c r="BQ142">
        <f>$C142*BQ141</f>
        <v/>
      </c>
      <c r="BR142">
        <f>$C142*BR141</f>
        <v/>
      </c>
      <c r="BS142">
        <f>$C142*BS141</f>
        <v/>
      </c>
      <c r="BT142">
        <f>$C142*BT141</f>
        <v/>
      </c>
      <c r="BU142">
        <f>$C142*BU141</f>
        <v/>
      </c>
      <c r="BV142">
        <f>$C142*BV141</f>
        <v/>
      </c>
      <c r="BW142">
        <f>$C142*BW141</f>
        <v/>
      </c>
      <c r="BX142">
        <f>$C142*BX141</f>
        <v/>
      </c>
      <c r="BY142">
        <f>$C142*BY141</f>
        <v/>
      </c>
      <c r="BZ142">
        <f>$C142*BZ141</f>
        <v/>
      </c>
      <c r="CA142">
        <f>$C142*CA141</f>
        <v/>
      </c>
      <c r="CB142">
        <f>$C142*CB141</f>
        <v/>
      </c>
      <c r="CC142">
        <f>$C142*CC141</f>
        <v/>
      </c>
      <c r="CD142">
        <f>$C142*CD141</f>
        <v/>
      </c>
      <c r="CE142">
        <f>$C142*CE141</f>
        <v/>
      </c>
      <c r="CF142">
        <f>$C142*CF141</f>
        <v/>
      </c>
      <c r="CG142">
        <f>$C142*CG141</f>
        <v/>
      </c>
      <c r="CH142">
        <f>$C142*CH141</f>
        <v/>
      </c>
      <c r="CI142">
        <f>$C142*CI141</f>
        <v/>
      </c>
      <c r="CJ142">
        <f>$C142*CJ141</f>
        <v/>
      </c>
      <c r="CK142">
        <f>$C142*CK141</f>
        <v/>
      </c>
      <c r="CL142">
        <f>$C142*CL141</f>
        <v/>
      </c>
      <c r="CM142">
        <f>$C142*CM141</f>
        <v/>
      </c>
      <c r="CN142">
        <f>$C142*CN141</f>
        <v/>
      </c>
      <c r="CO142">
        <f>$C142*CO141</f>
        <v/>
      </c>
      <c r="CP142">
        <f>$C142*CP141</f>
        <v/>
      </c>
      <c r="CQ142">
        <f>$C142*CQ141</f>
        <v/>
      </c>
      <c r="CR142">
        <f>$C142*CR141</f>
        <v/>
      </c>
      <c r="CS142">
        <f>$C142*CS141</f>
        <v/>
      </c>
      <c r="CT142">
        <f>$C142*CT141</f>
        <v/>
      </c>
      <c r="CU142">
        <f>$C142*CU141</f>
        <v/>
      </c>
      <c r="CV142">
        <f>$C142*CV141</f>
        <v/>
      </c>
      <c r="CW142">
        <f>$C142*CW141</f>
        <v/>
      </c>
      <c r="CX142">
        <f>$C142*CX141</f>
        <v/>
      </c>
      <c r="CY142">
        <f>$C142*CY141</f>
        <v/>
      </c>
      <c r="CZ142">
        <f>$C142*CZ141</f>
        <v/>
      </c>
      <c r="DA142">
        <f>$C142*DA141</f>
        <v/>
      </c>
      <c r="DB142">
        <f>$C142*DB141</f>
        <v/>
      </c>
      <c r="DC142">
        <f>$C142*DC141</f>
        <v/>
      </c>
    </row>
    <row r="143">
      <c r="B143" t="inlineStr">
        <is>
          <t>TSP-937</t>
        </is>
      </c>
      <c r="C143" t="inlineStr">
        <is>
          <t>No. of batches</t>
        </is>
      </c>
      <c r="D143">
        <f>IFERROR(INDEX(PP_Grid[#Data],$DD143,2),0)</f>
        <v/>
      </c>
      <c r="E143">
        <f>IFERROR(INDEX(PP_Grid[#Data],$DD143,3),0)</f>
        <v/>
      </c>
      <c r="F143">
        <f>IFERROR(INDEX(PP_Grid[#Data],$DD143,4),0)</f>
        <v/>
      </c>
      <c r="G143">
        <f>IFERROR(INDEX(PP_Grid[#Data],$DD143,5),0)</f>
        <v/>
      </c>
      <c r="H143">
        <f>IFERROR(INDEX(PP_Grid[#Data],$DD143,6),0)</f>
        <v/>
      </c>
      <c r="I143">
        <f>IFERROR(INDEX(PP_Grid[#Data],$DD143,7),0)</f>
        <v/>
      </c>
      <c r="J143">
        <f>IFERROR(INDEX(PP_Grid[#Data],$DD143,8),0)</f>
        <v/>
      </c>
      <c r="K143">
        <f>IFERROR(INDEX(PP_Grid[#Data],$DD143,9),0)</f>
        <v/>
      </c>
      <c r="L143">
        <f>IFERROR(INDEX(PP_Grid[#Data],$DD143,10),0)</f>
        <v/>
      </c>
      <c r="M143">
        <f>IFERROR(INDEX(PP_Grid[#Data],$DD143,11),0)</f>
        <v/>
      </c>
      <c r="N143">
        <f>IFERROR(INDEX(PP_Grid[#Data],$DD143,12),0)</f>
        <v/>
      </c>
      <c r="O143">
        <f>IFERROR(INDEX(PP_Grid[#Data],$DD143,13),0)</f>
        <v/>
      </c>
      <c r="P143">
        <f>IFERROR(INDEX(PP_Grid[#Data],$DD143,14),0)</f>
        <v/>
      </c>
      <c r="Q143">
        <f>IFERROR(INDEX(PP_Grid[#Data],$DD143,15),0)</f>
        <v/>
      </c>
      <c r="R143">
        <f>IFERROR(INDEX(PP_Grid[#Data],$DD143,16),0)</f>
        <v/>
      </c>
      <c r="S143">
        <f>IFERROR(INDEX(PP_Grid[#Data],$DD143,17),0)</f>
        <v/>
      </c>
      <c r="T143">
        <f>IFERROR(INDEX(PP_Grid[#Data],$DD143,18),0)</f>
        <v/>
      </c>
      <c r="U143">
        <f>IFERROR(INDEX(PP_Grid[#Data],$DD143,19),0)</f>
        <v/>
      </c>
      <c r="V143">
        <f>IFERROR(INDEX(PP_Grid[#Data],$DD143,20),0)</f>
        <v/>
      </c>
      <c r="W143">
        <f>IFERROR(INDEX(PP_Grid[#Data],$DD143,21),0)</f>
        <v/>
      </c>
      <c r="X143">
        <f>IFERROR(INDEX(PP_Grid[#Data],$DD143,22),0)</f>
        <v/>
      </c>
      <c r="Y143">
        <f>IFERROR(INDEX(PP_Grid[#Data],$DD143,23),0)</f>
        <v/>
      </c>
      <c r="Z143">
        <f>IFERROR(INDEX(PP_Grid[#Data],$DD143,24),0)</f>
        <v/>
      </c>
      <c r="AA143">
        <f>IFERROR(INDEX(PP_Grid[#Data],$DD143,25),0)</f>
        <v/>
      </c>
      <c r="AB143">
        <f>IFERROR(INDEX(PP_Grid[#Data],$DD143,26),0)</f>
        <v/>
      </c>
      <c r="AC143">
        <f>IFERROR(INDEX(PP_Grid[#Data],$DD143,27),0)</f>
        <v/>
      </c>
      <c r="AD143">
        <f>IFERROR(INDEX(PP_Grid[#Data],$DD143,28),0)</f>
        <v/>
      </c>
      <c r="AE143">
        <f>IFERROR(INDEX(PP_Grid[#Data],$DD143,29),0)</f>
        <v/>
      </c>
      <c r="AF143">
        <f>IFERROR(INDEX(PP_Grid[#Data],$DD143,30),0)</f>
        <v/>
      </c>
      <c r="AG143">
        <f>IFERROR(INDEX(PP_Grid[#Data],$DD143,31),0)</f>
        <v/>
      </c>
      <c r="AH143">
        <f>IFERROR(INDEX(PP_Grid[#Data],$DD143,32),0)</f>
        <v/>
      </c>
      <c r="AI143">
        <f>IFERROR(INDEX(PP_Grid[#Data],$DD143,33),0)</f>
        <v/>
      </c>
      <c r="AJ143">
        <f>IFERROR(INDEX(PP_Grid[#Data],$DD143,34),0)</f>
        <v/>
      </c>
      <c r="AK143">
        <f>IFERROR(INDEX(PP_Grid[#Data],$DD143,35),0)</f>
        <v/>
      </c>
      <c r="AL143">
        <f>IFERROR(INDEX(PP_Grid[#Data],$DD143,36),0)</f>
        <v/>
      </c>
      <c r="AM143">
        <f>IFERROR(INDEX(PP_Grid[#Data],$DD143,37),0)</f>
        <v/>
      </c>
      <c r="AN143">
        <f>IFERROR(INDEX(PP_Grid[#Data],$DD143,38),0)</f>
        <v/>
      </c>
      <c r="AO143">
        <f>IFERROR(INDEX(PP_Grid[#Data],$DD143,39),0)</f>
        <v/>
      </c>
      <c r="AP143">
        <f>IFERROR(INDEX(PP_Grid[#Data],$DD143,40),0)</f>
        <v/>
      </c>
      <c r="AQ143">
        <f>IFERROR(INDEX(PP_Grid[#Data],$DD143,41),0)</f>
        <v/>
      </c>
      <c r="AR143">
        <f>IFERROR(INDEX(PP_Grid[#Data],$DD143,42),0)</f>
        <v/>
      </c>
      <c r="AS143">
        <f>IFERROR(INDEX(PP_Grid[#Data],$DD143,43),0)</f>
        <v/>
      </c>
      <c r="AT143">
        <f>IFERROR(INDEX(PP_Grid[#Data],$DD143,44),0)</f>
        <v/>
      </c>
      <c r="AU143">
        <f>IFERROR(INDEX(PP_Grid[#Data],$DD143,45),0)</f>
        <v/>
      </c>
      <c r="AV143">
        <f>IFERROR(INDEX(PP_Grid[#Data],$DD143,46),0)</f>
        <v/>
      </c>
      <c r="AW143">
        <f>IFERROR(INDEX(PP_Grid[#Data],$DD143,47),0)</f>
        <v/>
      </c>
      <c r="AX143">
        <f>IFERROR(INDEX(PP_Grid[#Data],$DD143,48),0)</f>
        <v/>
      </c>
      <c r="AY143">
        <f>IFERROR(INDEX(PP_Grid[#Data],$DD143,49),0)</f>
        <v/>
      </c>
      <c r="AZ143">
        <f>IFERROR(INDEX(PP_Grid[#Data],$DD143,50),0)</f>
        <v/>
      </c>
      <c r="BA143">
        <f>IFERROR(INDEX(PP_Grid[#Data],$DD143,51),0)</f>
        <v/>
      </c>
      <c r="BB143">
        <f>IFERROR(INDEX(PP_Grid[#Data],$DD143,52),0)</f>
        <v/>
      </c>
      <c r="BC143">
        <f>IFERROR(INDEX(PP_Grid[#Data],$DD143,53),0)</f>
        <v/>
      </c>
      <c r="BD143">
        <f>IFERROR(INDEX(PP_Grid[#Data],$DD143,54),0)</f>
        <v/>
      </c>
      <c r="BE143">
        <f>IFERROR(INDEX(PP_Grid[#Data],$DD143,55),0)</f>
        <v/>
      </c>
      <c r="BF143">
        <f>IFERROR(INDEX(PP_Grid[#Data],$DD143,56),0)</f>
        <v/>
      </c>
      <c r="BG143">
        <f>IFERROR(INDEX(PP_Grid[#Data],$DD143,57),0)</f>
        <v/>
      </c>
      <c r="BH143">
        <f>IFERROR(INDEX(PP_Grid[#Data],$DD143,58),0)</f>
        <v/>
      </c>
      <c r="BI143">
        <f>IFERROR(INDEX(PP_Grid[#Data],$DD143,59),0)</f>
        <v/>
      </c>
      <c r="BJ143">
        <f>IFERROR(INDEX(PP_Grid[#Data],$DD143,60),0)</f>
        <v/>
      </c>
      <c r="BK143">
        <f>IFERROR(INDEX(PP_Grid[#Data],$DD143,61),0)</f>
        <v/>
      </c>
      <c r="BL143">
        <f>IFERROR(INDEX(PP_Grid[#Data],$DD143,62),0)</f>
        <v/>
      </c>
      <c r="BM143">
        <f>IFERROR(INDEX(PP_Grid[#Data],$DD143,63),0)</f>
        <v/>
      </c>
      <c r="BN143">
        <f>IFERROR(INDEX(PP_Grid[#Data],$DD143,64),0)</f>
        <v/>
      </c>
      <c r="BO143">
        <f>IFERROR(INDEX(PP_Grid[#Data],$DD143,65),0)</f>
        <v/>
      </c>
      <c r="BP143">
        <f>IFERROR(INDEX(PP_Grid[#Data],$DD143,66),0)</f>
        <v/>
      </c>
      <c r="BQ143">
        <f>IFERROR(INDEX(PP_Grid[#Data],$DD143,67),0)</f>
        <v/>
      </c>
      <c r="BR143">
        <f>IFERROR(INDEX(PP_Grid[#Data],$DD143,68),0)</f>
        <v/>
      </c>
      <c r="BS143">
        <f>IFERROR(INDEX(PP_Grid[#Data],$DD143,69),0)</f>
        <v/>
      </c>
      <c r="BT143">
        <f>IFERROR(INDEX(PP_Grid[#Data],$DD143,70),0)</f>
        <v/>
      </c>
      <c r="BU143">
        <f>IFERROR(INDEX(PP_Grid[#Data],$DD143,71),0)</f>
        <v/>
      </c>
      <c r="BV143">
        <f>IFERROR(INDEX(PP_Grid[#Data],$DD143,72),0)</f>
        <v/>
      </c>
      <c r="BW143">
        <f>IFERROR(INDEX(PP_Grid[#Data],$DD143,73),0)</f>
        <v/>
      </c>
      <c r="BX143">
        <f>IFERROR(INDEX(PP_Grid[#Data],$DD143,74),0)</f>
        <v/>
      </c>
      <c r="BY143">
        <f>IFERROR(INDEX(PP_Grid[#Data],$DD143,75),0)</f>
        <v/>
      </c>
      <c r="BZ143">
        <f>IFERROR(INDEX(PP_Grid[#Data],$DD143,76),0)</f>
        <v/>
      </c>
      <c r="CA143">
        <f>IFERROR(INDEX(PP_Grid[#Data],$DD143,77),0)</f>
        <v/>
      </c>
      <c r="CB143">
        <f>IFERROR(INDEX(PP_Grid[#Data],$DD143,78),0)</f>
        <v/>
      </c>
      <c r="CC143">
        <f>IFERROR(INDEX(PP_Grid[#Data],$DD143,79),0)</f>
        <v/>
      </c>
      <c r="CD143">
        <f>IFERROR(INDEX(PP_Grid[#Data],$DD143,80),0)</f>
        <v/>
      </c>
      <c r="CE143">
        <f>IFERROR(INDEX(PP_Grid[#Data],$DD143,81),0)</f>
        <v/>
      </c>
      <c r="CF143">
        <f>IFERROR(INDEX(PP_Grid[#Data],$DD143,82),0)</f>
        <v/>
      </c>
      <c r="CG143">
        <f>IFERROR(INDEX(PP_Grid[#Data],$DD143,83),0)</f>
        <v/>
      </c>
      <c r="CH143">
        <f>IFERROR(INDEX(PP_Grid[#Data],$DD143,84),0)</f>
        <v/>
      </c>
      <c r="CI143">
        <f>IFERROR(INDEX(PP_Grid[#Data],$DD143,85),0)</f>
        <v/>
      </c>
      <c r="CJ143">
        <f>IFERROR(INDEX(PP_Grid[#Data],$DD143,86),0)</f>
        <v/>
      </c>
      <c r="CK143">
        <f>IFERROR(INDEX(PP_Grid[#Data],$DD143,87),0)</f>
        <v/>
      </c>
      <c r="CL143">
        <f>IFERROR(INDEX(PP_Grid[#Data],$DD143,88),0)</f>
        <v/>
      </c>
      <c r="CM143">
        <f>IFERROR(INDEX(PP_Grid[#Data],$DD143,89),0)</f>
        <v/>
      </c>
      <c r="CN143">
        <f>IFERROR(INDEX(PP_Grid[#Data],$DD143,90),0)</f>
        <v/>
      </c>
      <c r="CO143">
        <f>IFERROR(INDEX(PP_Grid[#Data],$DD143,91),0)</f>
        <v/>
      </c>
      <c r="CP143">
        <f>IFERROR(INDEX(PP_Grid[#Data],$DD143,92),0)</f>
        <v/>
      </c>
      <c r="CQ143">
        <f>IFERROR(INDEX(PP_Grid[#Data],$DD143,93),0)</f>
        <v/>
      </c>
      <c r="CR143">
        <f>IFERROR(INDEX(PP_Grid[#Data],$DD143,94),0)</f>
        <v/>
      </c>
      <c r="CS143">
        <f>IFERROR(INDEX(PP_Grid[#Data],$DD143,95),0)</f>
        <v/>
      </c>
      <c r="CT143">
        <f>IFERROR(INDEX(PP_Grid[#Data],$DD143,96),0)</f>
        <v/>
      </c>
      <c r="CU143">
        <f>IFERROR(INDEX(PP_Grid[#Data],$DD143,97),0)</f>
        <v/>
      </c>
      <c r="CV143">
        <f>IFERROR(INDEX(PP_Grid[#Data],$DD143,98),0)</f>
        <v/>
      </c>
      <c r="CW143">
        <f>IFERROR(INDEX(PP_Grid[#Data],$DD143,99),0)</f>
        <v/>
      </c>
      <c r="CX143">
        <f>IFERROR(INDEX(PP_Grid[#Data],$DD143,100),0)</f>
        <v/>
      </c>
      <c r="CY143">
        <f>IFERROR(INDEX(PP_Grid[#Data],$DD143,101),0)</f>
        <v/>
      </c>
      <c r="CZ143">
        <f>IFERROR(INDEX(PP_Grid[#Data],$DD143,102),0)</f>
        <v/>
      </c>
      <c r="DA143">
        <f>IFERROR(INDEX(PP_Grid[#Data],$DD143,103),0)</f>
        <v/>
      </c>
      <c r="DB143">
        <f>IFERROR(INDEX(PP_Grid[#Data],$DD143,104),0)</f>
        <v/>
      </c>
      <c r="DC143">
        <f>IFERROR(INDEX(PP_Grid[#Data],$DD143,105),0)</f>
        <v/>
      </c>
      <c r="DD143" s="7">
        <f>IFERROR(MATCH($B143,PP_Grid[Intermediate],0),99999)</f>
        <v/>
      </c>
    </row>
    <row r="144">
      <c r="B144" t="inlineStr">
        <is>
          <t>使用量(kg)</t>
        </is>
      </c>
      <c r="C144">
        <f>SUMIFS(M_BOM[RM_Qty_Per_Batch],M_BOM[Intermediate],$B143,M_BOM[Part Name],$A44)</f>
        <v/>
      </c>
      <c r="D144">
        <f>$C144*D143</f>
        <v/>
      </c>
      <c r="E144">
        <f>$C144*E143</f>
        <v/>
      </c>
      <c r="F144">
        <f>$C144*F143</f>
        <v/>
      </c>
      <c r="G144">
        <f>$C144*G143</f>
        <v/>
      </c>
      <c r="H144">
        <f>$C144*H143</f>
        <v/>
      </c>
      <c r="I144">
        <f>$C144*I143</f>
        <v/>
      </c>
      <c r="J144">
        <f>$C144*J143</f>
        <v/>
      </c>
      <c r="K144">
        <f>$C144*K143</f>
        <v/>
      </c>
      <c r="L144">
        <f>$C144*L143</f>
        <v/>
      </c>
      <c r="M144">
        <f>$C144*M143</f>
        <v/>
      </c>
      <c r="N144">
        <f>$C144*N143</f>
        <v/>
      </c>
      <c r="O144">
        <f>$C144*O143</f>
        <v/>
      </c>
      <c r="P144">
        <f>$C144*P143</f>
        <v/>
      </c>
      <c r="Q144">
        <f>$C144*Q143</f>
        <v/>
      </c>
      <c r="R144">
        <f>$C144*R143</f>
        <v/>
      </c>
      <c r="S144">
        <f>$C144*S143</f>
        <v/>
      </c>
      <c r="T144">
        <f>$C144*T143</f>
        <v/>
      </c>
      <c r="U144">
        <f>$C144*U143</f>
        <v/>
      </c>
      <c r="V144">
        <f>$C144*V143</f>
        <v/>
      </c>
      <c r="W144">
        <f>$C144*W143</f>
        <v/>
      </c>
      <c r="X144">
        <f>$C144*X143</f>
        <v/>
      </c>
      <c r="Y144">
        <f>$C144*Y143</f>
        <v/>
      </c>
      <c r="Z144">
        <f>$C144*Z143</f>
        <v/>
      </c>
      <c r="AA144">
        <f>$C144*AA143</f>
        <v/>
      </c>
      <c r="AB144">
        <f>$C144*AB143</f>
        <v/>
      </c>
      <c r="AC144">
        <f>$C144*AC143</f>
        <v/>
      </c>
      <c r="AD144">
        <f>$C144*AD143</f>
        <v/>
      </c>
      <c r="AE144">
        <f>$C144*AE143</f>
        <v/>
      </c>
      <c r="AF144">
        <f>$C144*AF143</f>
        <v/>
      </c>
      <c r="AG144">
        <f>$C144*AG143</f>
        <v/>
      </c>
      <c r="AH144">
        <f>$C144*AH143</f>
        <v/>
      </c>
      <c r="AI144">
        <f>$C144*AI143</f>
        <v/>
      </c>
      <c r="AJ144">
        <f>$C144*AJ143</f>
        <v/>
      </c>
      <c r="AK144">
        <f>$C144*AK143</f>
        <v/>
      </c>
      <c r="AL144">
        <f>$C144*AL143</f>
        <v/>
      </c>
      <c r="AM144">
        <f>$C144*AM143</f>
        <v/>
      </c>
      <c r="AN144">
        <f>$C144*AN143</f>
        <v/>
      </c>
      <c r="AO144">
        <f>$C144*AO143</f>
        <v/>
      </c>
      <c r="AP144">
        <f>$C144*AP143</f>
        <v/>
      </c>
      <c r="AQ144">
        <f>$C144*AQ143</f>
        <v/>
      </c>
      <c r="AR144">
        <f>$C144*AR143</f>
        <v/>
      </c>
      <c r="AS144">
        <f>$C144*AS143</f>
        <v/>
      </c>
      <c r="AT144">
        <f>$C144*AT143</f>
        <v/>
      </c>
      <c r="AU144">
        <f>$C144*AU143</f>
        <v/>
      </c>
      <c r="AV144">
        <f>$C144*AV143</f>
        <v/>
      </c>
      <c r="AW144">
        <f>$C144*AW143</f>
        <v/>
      </c>
      <c r="AX144">
        <f>$C144*AX143</f>
        <v/>
      </c>
      <c r="AY144">
        <f>$C144*AY143</f>
        <v/>
      </c>
      <c r="AZ144">
        <f>$C144*AZ143</f>
        <v/>
      </c>
      <c r="BA144">
        <f>$C144*BA143</f>
        <v/>
      </c>
      <c r="BB144">
        <f>$C144*BB143</f>
        <v/>
      </c>
      <c r="BC144">
        <f>$C144*BC143</f>
        <v/>
      </c>
      <c r="BD144">
        <f>$C144*BD143</f>
        <v/>
      </c>
      <c r="BE144">
        <f>$C144*BE143</f>
        <v/>
      </c>
      <c r="BF144">
        <f>$C144*BF143</f>
        <v/>
      </c>
      <c r="BG144">
        <f>$C144*BG143</f>
        <v/>
      </c>
      <c r="BH144">
        <f>$C144*BH143</f>
        <v/>
      </c>
      <c r="BI144">
        <f>$C144*BI143</f>
        <v/>
      </c>
      <c r="BJ144">
        <f>$C144*BJ143</f>
        <v/>
      </c>
      <c r="BK144">
        <f>$C144*BK143</f>
        <v/>
      </c>
      <c r="BL144">
        <f>$C144*BL143</f>
        <v/>
      </c>
      <c r="BM144">
        <f>$C144*BM143</f>
        <v/>
      </c>
      <c r="BN144">
        <f>$C144*BN143</f>
        <v/>
      </c>
      <c r="BO144">
        <f>$C144*BO143</f>
        <v/>
      </c>
      <c r="BP144">
        <f>$C144*BP143</f>
        <v/>
      </c>
      <c r="BQ144">
        <f>$C144*BQ143</f>
        <v/>
      </c>
      <c r="BR144">
        <f>$C144*BR143</f>
        <v/>
      </c>
      <c r="BS144">
        <f>$C144*BS143</f>
        <v/>
      </c>
      <c r="BT144">
        <f>$C144*BT143</f>
        <v/>
      </c>
      <c r="BU144">
        <f>$C144*BU143</f>
        <v/>
      </c>
      <c r="BV144">
        <f>$C144*BV143</f>
        <v/>
      </c>
      <c r="BW144">
        <f>$C144*BW143</f>
        <v/>
      </c>
      <c r="BX144">
        <f>$C144*BX143</f>
        <v/>
      </c>
      <c r="BY144">
        <f>$C144*BY143</f>
        <v/>
      </c>
      <c r="BZ144">
        <f>$C144*BZ143</f>
        <v/>
      </c>
      <c r="CA144">
        <f>$C144*CA143</f>
        <v/>
      </c>
      <c r="CB144">
        <f>$C144*CB143</f>
        <v/>
      </c>
      <c r="CC144">
        <f>$C144*CC143</f>
        <v/>
      </c>
      <c r="CD144">
        <f>$C144*CD143</f>
        <v/>
      </c>
      <c r="CE144">
        <f>$C144*CE143</f>
        <v/>
      </c>
      <c r="CF144">
        <f>$C144*CF143</f>
        <v/>
      </c>
      <c r="CG144">
        <f>$C144*CG143</f>
        <v/>
      </c>
      <c r="CH144">
        <f>$C144*CH143</f>
        <v/>
      </c>
      <c r="CI144">
        <f>$C144*CI143</f>
        <v/>
      </c>
      <c r="CJ144">
        <f>$C144*CJ143</f>
        <v/>
      </c>
      <c r="CK144">
        <f>$C144*CK143</f>
        <v/>
      </c>
      <c r="CL144">
        <f>$C144*CL143</f>
        <v/>
      </c>
      <c r="CM144">
        <f>$C144*CM143</f>
        <v/>
      </c>
      <c r="CN144">
        <f>$C144*CN143</f>
        <v/>
      </c>
      <c r="CO144">
        <f>$C144*CO143</f>
        <v/>
      </c>
      <c r="CP144">
        <f>$C144*CP143</f>
        <v/>
      </c>
      <c r="CQ144">
        <f>$C144*CQ143</f>
        <v/>
      </c>
      <c r="CR144">
        <f>$C144*CR143</f>
        <v/>
      </c>
      <c r="CS144">
        <f>$C144*CS143</f>
        <v/>
      </c>
      <c r="CT144">
        <f>$C144*CT143</f>
        <v/>
      </c>
      <c r="CU144">
        <f>$C144*CU143</f>
        <v/>
      </c>
      <c r="CV144">
        <f>$C144*CV143</f>
        <v/>
      </c>
      <c r="CW144">
        <f>$C144*CW143</f>
        <v/>
      </c>
      <c r="CX144">
        <f>$C144*CX143</f>
        <v/>
      </c>
      <c r="CY144">
        <f>$C144*CY143</f>
        <v/>
      </c>
      <c r="CZ144">
        <f>$C144*CZ143</f>
        <v/>
      </c>
      <c r="DA144">
        <f>$C144*DA143</f>
        <v/>
      </c>
      <c r="DB144">
        <f>$C144*DB143</f>
        <v/>
      </c>
      <c r="DC144">
        <f>$C144*DC143</f>
        <v/>
      </c>
    </row>
    <row r="145">
      <c r="B145" t="inlineStr">
        <is>
          <t>TSP-959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7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t="inlineStr">
        <is>
          <t>TSP-966</t>
        </is>
      </c>
      <c r="C147" t="inlineStr">
        <is>
          <t>No. of batches</t>
        </is>
      </c>
      <c r="D147">
        <f>IFERROR(INDEX(PP_Grid[#Data],$DD147,2),0)</f>
        <v/>
      </c>
      <c r="E147">
        <f>IFERROR(INDEX(PP_Grid[#Data],$DD147,3),0)</f>
        <v/>
      </c>
      <c r="F147">
        <f>IFERROR(INDEX(PP_Grid[#Data],$DD147,4),0)</f>
        <v/>
      </c>
      <c r="G147">
        <f>IFERROR(INDEX(PP_Grid[#Data],$DD147,5),0)</f>
        <v/>
      </c>
      <c r="H147">
        <f>IFERROR(INDEX(PP_Grid[#Data],$DD147,6),0)</f>
        <v/>
      </c>
      <c r="I147">
        <f>IFERROR(INDEX(PP_Grid[#Data],$DD147,7),0)</f>
        <v/>
      </c>
      <c r="J147">
        <f>IFERROR(INDEX(PP_Grid[#Data],$DD147,8),0)</f>
        <v/>
      </c>
      <c r="K147">
        <f>IFERROR(INDEX(PP_Grid[#Data],$DD147,9),0)</f>
        <v/>
      </c>
      <c r="L147">
        <f>IFERROR(INDEX(PP_Grid[#Data],$DD147,10),0)</f>
        <v/>
      </c>
      <c r="M147">
        <f>IFERROR(INDEX(PP_Grid[#Data],$DD147,11),0)</f>
        <v/>
      </c>
      <c r="N147">
        <f>IFERROR(INDEX(PP_Grid[#Data],$DD147,12),0)</f>
        <v/>
      </c>
      <c r="O147">
        <f>IFERROR(INDEX(PP_Grid[#Data],$DD147,13),0)</f>
        <v/>
      </c>
      <c r="P147">
        <f>IFERROR(INDEX(PP_Grid[#Data],$DD147,14),0)</f>
        <v/>
      </c>
      <c r="Q147">
        <f>IFERROR(INDEX(PP_Grid[#Data],$DD147,15),0)</f>
        <v/>
      </c>
      <c r="R147">
        <f>IFERROR(INDEX(PP_Grid[#Data],$DD147,16),0)</f>
        <v/>
      </c>
      <c r="S147">
        <f>IFERROR(INDEX(PP_Grid[#Data],$DD147,17),0)</f>
        <v/>
      </c>
      <c r="T147">
        <f>IFERROR(INDEX(PP_Grid[#Data],$DD147,18),0)</f>
        <v/>
      </c>
      <c r="U147">
        <f>IFERROR(INDEX(PP_Grid[#Data],$DD147,19),0)</f>
        <v/>
      </c>
      <c r="V147">
        <f>IFERROR(INDEX(PP_Grid[#Data],$DD147,20),0)</f>
        <v/>
      </c>
      <c r="W147">
        <f>IFERROR(INDEX(PP_Grid[#Data],$DD147,21),0)</f>
        <v/>
      </c>
      <c r="X147">
        <f>IFERROR(INDEX(PP_Grid[#Data],$DD147,22),0)</f>
        <v/>
      </c>
      <c r="Y147">
        <f>IFERROR(INDEX(PP_Grid[#Data],$DD147,23),0)</f>
        <v/>
      </c>
      <c r="Z147">
        <f>IFERROR(INDEX(PP_Grid[#Data],$DD147,24),0)</f>
        <v/>
      </c>
      <c r="AA147">
        <f>IFERROR(INDEX(PP_Grid[#Data],$DD147,25),0)</f>
        <v/>
      </c>
      <c r="AB147">
        <f>IFERROR(INDEX(PP_Grid[#Data],$DD147,26),0)</f>
        <v/>
      </c>
      <c r="AC147">
        <f>IFERROR(INDEX(PP_Grid[#Data],$DD147,27),0)</f>
        <v/>
      </c>
      <c r="AD147">
        <f>IFERROR(INDEX(PP_Grid[#Data],$DD147,28),0)</f>
        <v/>
      </c>
      <c r="AE147">
        <f>IFERROR(INDEX(PP_Grid[#Data],$DD147,29),0)</f>
        <v/>
      </c>
      <c r="AF147">
        <f>IFERROR(INDEX(PP_Grid[#Data],$DD147,30),0)</f>
        <v/>
      </c>
      <c r="AG147">
        <f>IFERROR(INDEX(PP_Grid[#Data],$DD147,31),0)</f>
        <v/>
      </c>
      <c r="AH147">
        <f>IFERROR(INDEX(PP_Grid[#Data],$DD147,32),0)</f>
        <v/>
      </c>
      <c r="AI147">
        <f>IFERROR(INDEX(PP_Grid[#Data],$DD147,33),0)</f>
        <v/>
      </c>
      <c r="AJ147">
        <f>IFERROR(INDEX(PP_Grid[#Data],$DD147,34),0)</f>
        <v/>
      </c>
      <c r="AK147">
        <f>IFERROR(INDEX(PP_Grid[#Data],$DD147,35),0)</f>
        <v/>
      </c>
      <c r="AL147">
        <f>IFERROR(INDEX(PP_Grid[#Data],$DD147,36),0)</f>
        <v/>
      </c>
      <c r="AM147">
        <f>IFERROR(INDEX(PP_Grid[#Data],$DD147,37),0)</f>
        <v/>
      </c>
      <c r="AN147">
        <f>IFERROR(INDEX(PP_Grid[#Data],$DD147,38),0)</f>
        <v/>
      </c>
      <c r="AO147">
        <f>IFERROR(INDEX(PP_Grid[#Data],$DD147,39),0)</f>
        <v/>
      </c>
      <c r="AP147">
        <f>IFERROR(INDEX(PP_Grid[#Data],$DD147,40),0)</f>
        <v/>
      </c>
      <c r="AQ147">
        <f>IFERROR(INDEX(PP_Grid[#Data],$DD147,41),0)</f>
        <v/>
      </c>
      <c r="AR147">
        <f>IFERROR(INDEX(PP_Grid[#Data],$DD147,42),0)</f>
        <v/>
      </c>
      <c r="AS147">
        <f>IFERROR(INDEX(PP_Grid[#Data],$DD147,43),0)</f>
        <v/>
      </c>
      <c r="AT147">
        <f>IFERROR(INDEX(PP_Grid[#Data],$DD147,44),0)</f>
        <v/>
      </c>
      <c r="AU147">
        <f>IFERROR(INDEX(PP_Grid[#Data],$DD147,45),0)</f>
        <v/>
      </c>
      <c r="AV147">
        <f>IFERROR(INDEX(PP_Grid[#Data],$DD147,46),0)</f>
        <v/>
      </c>
      <c r="AW147">
        <f>IFERROR(INDEX(PP_Grid[#Data],$DD147,47),0)</f>
        <v/>
      </c>
      <c r="AX147">
        <f>IFERROR(INDEX(PP_Grid[#Data],$DD147,48),0)</f>
        <v/>
      </c>
      <c r="AY147">
        <f>IFERROR(INDEX(PP_Grid[#Data],$DD147,49),0)</f>
        <v/>
      </c>
      <c r="AZ147">
        <f>IFERROR(INDEX(PP_Grid[#Data],$DD147,50),0)</f>
        <v/>
      </c>
      <c r="BA147">
        <f>IFERROR(INDEX(PP_Grid[#Data],$DD147,51),0)</f>
        <v/>
      </c>
      <c r="BB147">
        <f>IFERROR(INDEX(PP_Grid[#Data],$DD147,52),0)</f>
        <v/>
      </c>
      <c r="BC147">
        <f>IFERROR(INDEX(PP_Grid[#Data],$DD147,53),0)</f>
        <v/>
      </c>
      <c r="BD147">
        <f>IFERROR(INDEX(PP_Grid[#Data],$DD147,54),0)</f>
        <v/>
      </c>
      <c r="BE147">
        <f>IFERROR(INDEX(PP_Grid[#Data],$DD147,55),0)</f>
        <v/>
      </c>
      <c r="BF147">
        <f>IFERROR(INDEX(PP_Grid[#Data],$DD147,56),0)</f>
        <v/>
      </c>
      <c r="BG147">
        <f>IFERROR(INDEX(PP_Grid[#Data],$DD147,57),0)</f>
        <v/>
      </c>
      <c r="BH147">
        <f>IFERROR(INDEX(PP_Grid[#Data],$DD147,58),0)</f>
        <v/>
      </c>
      <c r="BI147">
        <f>IFERROR(INDEX(PP_Grid[#Data],$DD147,59),0)</f>
        <v/>
      </c>
      <c r="BJ147">
        <f>IFERROR(INDEX(PP_Grid[#Data],$DD147,60),0)</f>
        <v/>
      </c>
      <c r="BK147">
        <f>IFERROR(INDEX(PP_Grid[#Data],$DD147,61),0)</f>
        <v/>
      </c>
      <c r="BL147">
        <f>IFERROR(INDEX(PP_Grid[#Data],$DD147,62),0)</f>
        <v/>
      </c>
      <c r="BM147">
        <f>IFERROR(INDEX(PP_Grid[#Data],$DD147,63),0)</f>
        <v/>
      </c>
      <c r="BN147">
        <f>IFERROR(INDEX(PP_Grid[#Data],$DD147,64),0)</f>
        <v/>
      </c>
      <c r="BO147">
        <f>IFERROR(INDEX(PP_Grid[#Data],$DD147,65),0)</f>
        <v/>
      </c>
      <c r="BP147">
        <f>IFERROR(INDEX(PP_Grid[#Data],$DD147,66),0)</f>
        <v/>
      </c>
      <c r="BQ147">
        <f>IFERROR(INDEX(PP_Grid[#Data],$DD147,67),0)</f>
        <v/>
      </c>
      <c r="BR147">
        <f>IFERROR(INDEX(PP_Grid[#Data],$DD147,68),0)</f>
        <v/>
      </c>
      <c r="BS147">
        <f>IFERROR(INDEX(PP_Grid[#Data],$DD147,69),0)</f>
        <v/>
      </c>
      <c r="BT147">
        <f>IFERROR(INDEX(PP_Grid[#Data],$DD147,70),0)</f>
        <v/>
      </c>
      <c r="BU147">
        <f>IFERROR(INDEX(PP_Grid[#Data],$DD147,71),0)</f>
        <v/>
      </c>
      <c r="BV147">
        <f>IFERROR(INDEX(PP_Grid[#Data],$DD147,72),0)</f>
        <v/>
      </c>
      <c r="BW147">
        <f>IFERROR(INDEX(PP_Grid[#Data],$DD147,73),0)</f>
        <v/>
      </c>
      <c r="BX147">
        <f>IFERROR(INDEX(PP_Grid[#Data],$DD147,74),0)</f>
        <v/>
      </c>
      <c r="BY147">
        <f>IFERROR(INDEX(PP_Grid[#Data],$DD147,75),0)</f>
        <v/>
      </c>
      <c r="BZ147">
        <f>IFERROR(INDEX(PP_Grid[#Data],$DD147,76),0)</f>
        <v/>
      </c>
      <c r="CA147">
        <f>IFERROR(INDEX(PP_Grid[#Data],$DD147,77),0)</f>
        <v/>
      </c>
      <c r="CB147">
        <f>IFERROR(INDEX(PP_Grid[#Data],$DD147,78),0)</f>
        <v/>
      </c>
      <c r="CC147">
        <f>IFERROR(INDEX(PP_Grid[#Data],$DD147,79),0)</f>
        <v/>
      </c>
      <c r="CD147">
        <f>IFERROR(INDEX(PP_Grid[#Data],$DD147,80),0)</f>
        <v/>
      </c>
      <c r="CE147">
        <f>IFERROR(INDEX(PP_Grid[#Data],$DD147,81),0)</f>
        <v/>
      </c>
      <c r="CF147">
        <f>IFERROR(INDEX(PP_Grid[#Data],$DD147,82),0)</f>
        <v/>
      </c>
      <c r="CG147">
        <f>IFERROR(INDEX(PP_Grid[#Data],$DD147,83),0)</f>
        <v/>
      </c>
      <c r="CH147">
        <f>IFERROR(INDEX(PP_Grid[#Data],$DD147,84),0)</f>
        <v/>
      </c>
      <c r="CI147">
        <f>IFERROR(INDEX(PP_Grid[#Data],$DD147,85),0)</f>
        <v/>
      </c>
      <c r="CJ147">
        <f>IFERROR(INDEX(PP_Grid[#Data],$DD147,86),0)</f>
        <v/>
      </c>
      <c r="CK147">
        <f>IFERROR(INDEX(PP_Grid[#Data],$DD147,87),0)</f>
        <v/>
      </c>
      <c r="CL147">
        <f>IFERROR(INDEX(PP_Grid[#Data],$DD147,88),0)</f>
        <v/>
      </c>
      <c r="CM147">
        <f>IFERROR(INDEX(PP_Grid[#Data],$DD147,89),0)</f>
        <v/>
      </c>
      <c r="CN147">
        <f>IFERROR(INDEX(PP_Grid[#Data],$DD147,90),0)</f>
        <v/>
      </c>
      <c r="CO147">
        <f>IFERROR(INDEX(PP_Grid[#Data],$DD147,91),0)</f>
        <v/>
      </c>
      <c r="CP147">
        <f>IFERROR(INDEX(PP_Grid[#Data],$DD147,92),0)</f>
        <v/>
      </c>
      <c r="CQ147">
        <f>IFERROR(INDEX(PP_Grid[#Data],$DD147,93),0)</f>
        <v/>
      </c>
      <c r="CR147">
        <f>IFERROR(INDEX(PP_Grid[#Data],$DD147,94),0)</f>
        <v/>
      </c>
      <c r="CS147">
        <f>IFERROR(INDEX(PP_Grid[#Data],$DD147,95),0)</f>
        <v/>
      </c>
      <c r="CT147">
        <f>IFERROR(INDEX(PP_Grid[#Data],$DD147,96),0)</f>
        <v/>
      </c>
      <c r="CU147">
        <f>IFERROR(INDEX(PP_Grid[#Data],$DD147,97),0)</f>
        <v/>
      </c>
      <c r="CV147">
        <f>IFERROR(INDEX(PP_Grid[#Data],$DD147,98),0)</f>
        <v/>
      </c>
      <c r="CW147">
        <f>IFERROR(INDEX(PP_Grid[#Data],$DD147,99),0)</f>
        <v/>
      </c>
      <c r="CX147">
        <f>IFERROR(INDEX(PP_Grid[#Data],$DD147,100),0)</f>
        <v/>
      </c>
      <c r="CY147">
        <f>IFERROR(INDEX(PP_Grid[#Data],$DD147,101),0)</f>
        <v/>
      </c>
      <c r="CZ147">
        <f>IFERROR(INDEX(PP_Grid[#Data],$DD147,102),0)</f>
        <v/>
      </c>
      <c r="DA147">
        <f>IFERROR(INDEX(PP_Grid[#Data],$DD147,103),0)</f>
        <v/>
      </c>
      <c r="DB147">
        <f>IFERROR(INDEX(PP_Grid[#Data],$DD147,104),0)</f>
        <v/>
      </c>
      <c r="DC147">
        <f>IFERROR(INDEX(PP_Grid[#Data],$DD147,105),0)</f>
        <v/>
      </c>
      <c r="DD147" s="7">
        <f>IFERROR(MATCH($B147,PP_Grid[Intermediate],0),99999)</f>
        <v/>
      </c>
    </row>
    <row r="148">
      <c r="B148" t="inlineStr">
        <is>
          <t>使用量(kg)</t>
        </is>
      </c>
      <c r="C148">
        <f>SUMIFS(M_BOM[RM_Qty_Per_Batch],M_BOM[Intermediate],$B147,M_BOM[Part Name],$A44)</f>
        <v/>
      </c>
      <c r="D148">
        <f>$C148*D147</f>
        <v/>
      </c>
      <c r="E148">
        <f>$C148*E147</f>
        <v/>
      </c>
      <c r="F148">
        <f>$C148*F147</f>
        <v/>
      </c>
      <c r="G148">
        <f>$C148*G147</f>
        <v/>
      </c>
      <c r="H148">
        <f>$C148*H147</f>
        <v/>
      </c>
      <c r="I148">
        <f>$C148*I147</f>
        <v/>
      </c>
      <c r="J148">
        <f>$C148*J147</f>
        <v/>
      </c>
      <c r="K148">
        <f>$C148*K147</f>
        <v/>
      </c>
      <c r="L148">
        <f>$C148*L147</f>
        <v/>
      </c>
      <c r="M148">
        <f>$C148*M147</f>
        <v/>
      </c>
      <c r="N148">
        <f>$C148*N147</f>
        <v/>
      </c>
      <c r="O148">
        <f>$C148*O147</f>
        <v/>
      </c>
      <c r="P148">
        <f>$C148*P147</f>
        <v/>
      </c>
      <c r="Q148">
        <f>$C148*Q147</f>
        <v/>
      </c>
      <c r="R148">
        <f>$C148*R147</f>
        <v/>
      </c>
      <c r="S148">
        <f>$C148*S147</f>
        <v/>
      </c>
      <c r="T148">
        <f>$C148*T147</f>
        <v/>
      </c>
      <c r="U148">
        <f>$C148*U147</f>
        <v/>
      </c>
      <c r="V148">
        <f>$C148*V147</f>
        <v/>
      </c>
      <c r="W148">
        <f>$C148*W147</f>
        <v/>
      </c>
      <c r="X148">
        <f>$C148*X147</f>
        <v/>
      </c>
      <c r="Y148">
        <f>$C148*Y147</f>
        <v/>
      </c>
      <c r="Z148">
        <f>$C148*Z147</f>
        <v/>
      </c>
      <c r="AA148">
        <f>$C148*AA147</f>
        <v/>
      </c>
      <c r="AB148">
        <f>$C148*AB147</f>
        <v/>
      </c>
      <c r="AC148">
        <f>$C148*AC147</f>
        <v/>
      </c>
      <c r="AD148">
        <f>$C148*AD147</f>
        <v/>
      </c>
      <c r="AE148">
        <f>$C148*AE147</f>
        <v/>
      </c>
      <c r="AF148">
        <f>$C148*AF147</f>
        <v/>
      </c>
      <c r="AG148">
        <f>$C148*AG147</f>
        <v/>
      </c>
      <c r="AH148">
        <f>$C148*AH147</f>
        <v/>
      </c>
      <c r="AI148">
        <f>$C148*AI147</f>
        <v/>
      </c>
      <c r="AJ148">
        <f>$C148*AJ147</f>
        <v/>
      </c>
      <c r="AK148">
        <f>$C148*AK147</f>
        <v/>
      </c>
      <c r="AL148">
        <f>$C148*AL147</f>
        <v/>
      </c>
      <c r="AM148">
        <f>$C148*AM147</f>
        <v/>
      </c>
      <c r="AN148">
        <f>$C148*AN147</f>
        <v/>
      </c>
      <c r="AO148">
        <f>$C148*AO147</f>
        <v/>
      </c>
      <c r="AP148">
        <f>$C148*AP147</f>
        <v/>
      </c>
      <c r="AQ148">
        <f>$C148*AQ147</f>
        <v/>
      </c>
      <c r="AR148">
        <f>$C148*AR147</f>
        <v/>
      </c>
      <c r="AS148">
        <f>$C148*AS147</f>
        <v/>
      </c>
      <c r="AT148">
        <f>$C148*AT147</f>
        <v/>
      </c>
      <c r="AU148">
        <f>$C148*AU147</f>
        <v/>
      </c>
      <c r="AV148">
        <f>$C148*AV147</f>
        <v/>
      </c>
      <c r="AW148">
        <f>$C148*AW147</f>
        <v/>
      </c>
      <c r="AX148">
        <f>$C148*AX147</f>
        <v/>
      </c>
      <c r="AY148">
        <f>$C148*AY147</f>
        <v/>
      </c>
      <c r="AZ148">
        <f>$C148*AZ147</f>
        <v/>
      </c>
      <c r="BA148">
        <f>$C148*BA147</f>
        <v/>
      </c>
      <c r="BB148">
        <f>$C148*BB147</f>
        <v/>
      </c>
      <c r="BC148">
        <f>$C148*BC147</f>
        <v/>
      </c>
      <c r="BD148">
        <f>$C148*BD147</f>
        <v/>
      </c>
      <c r="BE148">
        <f>$C148*BE147</f>
        <v/>
      </c>
      <c r="BF148">
        <f>$C148*BF147</f>
        <v/>
      </c>
      <c r="BG148">
        <f>$C148*BG147</f>
        <v/>
      </c>
      <c r="BH148">
        <f>$C148*BH147</f>
        <v/>
      </c>
      <c r="BI148">
        <f>$C148*BI147</f>
        <v/>
      </c>
      <c r="BJ148">
        <f>$C148*BJ147</f>
        <v/>
      </c>
      <c r="BK148">
        <f>$C148*BK147</f>
        <v/>
      </c>
      <c r="BL148">
        <f>$C148*BL147</f>
        <v/>
      </c>
      <c r="BM148">
        <f>$C148*BM147</f>
        <v/>
      </c>
      <c r="BN148">
        <f>$C148*BN147</f>
        <v/>
      </c>
      <c r="BO148">
        <f>$C148*BO147</f>
        <v/>
      </c>
      <c r="BP148">
        <f>$C148*BP147</f>
        <v/>
      </c>
      <c r="BQ148">
        <f>$C148*BQ147</f>
        <v/>
      </c>
      <c r="BR148">
        <f>$C148*BR147</f>
        <v/>
      </c>
      <c r="BS148">
        <f>$C148*BS147</f>
        <v/>
      </c>
      <c r="BT148">
        <f>$C148*BT147</f>
        <v/>
      </c>
      <c r="BU148">
        <f>$C148*BU147</f>
        <v/>
      </c>
      <c r="BV148">
        <f>$C148*BV147</f>
        <v/>
      </c>
      <c r="BW148">
        <f>$C148*BW147</f>
        <v/>
      </c>
      <c r="BX148">
        <f>$C148*BX147</f>
        <v/>
      </c>
      <c r="BY148">
        <f>$C148*BY147</f>
        <v/>
      </c>
      <c r="BZ148">
        <f>$C148*BZ147</f>
        <v/>
      </c>
      <c r="CA148">
        <f>$C148*CA147</f>
        <v/>
      </c>
      <c r="CB148">
        <f>$C148*CB147</f>
        <v/>
      </c>
      <c r="CC148">
        <f>$C148*CC147</f>
        <v/>
      </c>
      <c r="CD148">
        <f>$C148*CD147</f>
        <v/>
      </c>
      <c r="CE148">
        <f>$C148*CE147</f>
        <v/>
      </c>
      <c r="CF148">
        <f>$C148*CF147</f>
        <v/>
      </c>
      <c r="CG148">
        <f>$C148*CG147</f>
        <v/>
      </c>
      <c r="CH148">
        <f>$C148*CH147</f>
        <v/>
      </c>
      <c r="CI148">
        <f>$C148*CI147</f>
        <v/>
      </c>
      <c r="CJ148">
        <f>$C148*CJ147</f>
        <v/>
      </c>
      <c r="CK148">
        <f>$C148*CK147</f>
        <v/>
      </c>
      <c r="CL148">
        <f>$C148*CL147</f>
        <v/>
      </c>
      <c r="CM148">
        <f>$C148*CM147</f>
        <v/>
      </c>
      <c r="CN148">
        <f>$C148*CN147</f>
        <v/>
      </c>
      <c r="CO148">
        <f>$C148*CO147</f>
        <v/>
      </c>
      <c r="CP148">
        <f>$C148*CP147</f>
        <v/>
      </c>
      <c r="CQ148">
        <f>$C148*CQ147</f>
        <v/>
      </c>
      <c r="CR148">
        <f>$C148*CR147</f>
        <v/>
      </c>
      <c r="CS148">
        <f>$C148*CS147</f>
        <v/>
      </c>
      <c r="CT148">
        <f>$C148*CT147</f>
        <v/>
      </c>
      <c r="CU148">
        <f>$C148*CU147</f>
        <v/>
      </c>
      <c r="CV148">
        <f>$C148*CV147</f>
        <v/>
      </c>
      <c r="CW148">
        <f>$C148*CW147</f>
        <v/>
      </c>
      <c r="CX148">
        <f>$C148*CX147</f>
        <v/>
      </c>
      <c r="CY148">
        <f>$C148*CY147</f>
        <v/>
      </c>
      <c r="CZ148">
        <f>$C148*CZ147</f>
        <v/>
      </c>
      <c r="DA148">
        <f>$C148*DA147</f>
        <v/>
      </c>
      <c r="DB148">
        <f>$C148*DB147</f>
        <v/>
      </c>
      <c r="DC148">
        <f>$C148*DC147</f>
        <v/>
      </c>
    </row>
    <row r="149">
      <c r="B149" t="inlineStr">
        <is>
          <t>TVS-833</t>
        </is>
      </c>
      <c r="C149" t="inlineStr">
        <is>
          <t>No. of batches</t>
        </is>
      </c>
      <c r="D149">
        <f>IFERROR(INDEX(PP_Grid[#Data],$DD149,2),0)</f>
        <v/>
      </c>
      <c r="E149">
        <f>IFERROR(INDEX(PP_Grid[#Data],$DD149,3),0)</f>
        <v/>
      </c>
      <c r="F149">
        <f>IFERROR(INDEX(PP_Grid[#Data],$DD149,4),0)</f>
        <v/>
      </c>
      <c r="G149">
        <f>IFERROR(INDEX(PP_Grid[#Data],$DD149,5),0)</f>
        <v/>
      </c>
      <c r="H149">
        <f>IFERROR(INDEX(PP_Grid[#Data],$DD149,6),0)</f>
        <v/>
      </c>
      <c r="I149">
        <f>IFERROR(INDEX(PP_Grid[#Data],$DD149,7),0)</f>
        <v/>
      </c>
      <c r="J149">
        <f>IFERROR(INDEX(PP_Grid[#Data],$DD149,8),0)</f>
        <v/>
      </c>
      <c r="K149">
        <f>IFERROR(INDEX(PP_Grid[#Data],$DD149,9),0)</f>
        <v/>
      </c>
      <c r="L149">
        <f>IFERROR(INDEX(PP_Grid[#Data],$DD149,10),0)</f>
        <v/>
      </c>
      <c r="M149">
        <f>IFERROR(INDEX(PP_Grid[#Data],$DD149,11),0)</f>
        <v/>
      </c>
      <c r="N149">
        <f>IFERROR(INDEX(PP_Grid[#Data],$DD149,12),0)</f>
        <v/>
      </c>
      <c r="O149">
        <f>IFERROR(INDEX(PP_Grid[#Data],$DD149,13),0)</f>
        <v/>
      </c>
      <c r="P149">
        <f>IFERROR(INDEX(PP_Grid[#Data],$DD149,14),0)</f>
        <v/>
      </c>
      <c r="Q149">
        <f>IFERROR(INDEX(PP_Grid[#Data],$DD149,15),0)</f>
        <v/>
      </c>
      <c r="R149">
        <f>IFERROR(INDEX(PP_Grid[#Data],$DD149,16),0)</f>
        <v/>
      </c>
      <c r="S149">
        <f>IFERROR(INDEX(PP_Grid[#Data],$DD149,17),0)</f>
        <v/>
      </c>
      <c r="T149">
        <f>IFERROR(INDEX(PP_Grid[#Data],$DD149,18),0)</f>
        <v/>
      </c>
      <c r="U149">
        <f>IFERROR(INDEX(PP_Grid[#Data],$DD149,19),0)</f>
        <v/>
      </c>
      <c r="V149">
        <f>IFERROR(INDEX(PP_Grid[#Data],$DD149,20),0)</f>
        <v/>
      </c>
      <c r="W149">
        <f>IFERROR(INDEX(PP_Grid[#Data],$DD149,21),0)</f>
        <v/>
      </c>
      <c r="X149">
        <f>IFERROR(INDEX(PP_Grid[#Data],$DD149,22),0)</f>
        <v/>
      </c>
      <c r="Y149">
        <f>IFERROR(INDEX(PP_Grid[#Data],$DD149,23),0)</f>
        <v/>
      </c>
      <c r="Z149">
        <f>IFERROR(INDEX(PP_Grid[#Data],$DD149,24),0)</f>
        <v/>
      </c>
      <c r="AA149">
        <f>IFERROR(INDEX(PP_Grid[#Data],$DD149,25),0)</f>
        <v/>
      </c>
      <c r="AB149">
        <f>IFERROR(INDEX(PP_Grid[#Data],$DD149,26),0)</f>
        <v/>
      </c>
      <c r="AC149">
        <f>IFERROR(INDEX(PP_Grid[#Data],$DD149,27),0)</f>
        <v/>
      </c>
      <c r="AD149">
        <f>IFERROR(INDEX(PP_Grid[#Data],$DD149,28),0)</f>
        <v/>
      </c>
      <c r="AE149">
        <f>IFERROR(INDEX(PP_Grid[#Data],$DD149,29),0)</f>
        <v/>
      </c>
      <c r="AF149">
        <f>IFERROR(INDEX(PP_Grid[#Data],$DD149,30),0)</f>
        <v/>
      </c>
      <c r="AG149">
        <f>IFERROR(INDEX(PP_Grid[#Data],$DD149,31),0)</f>
        <v/>
      </c>
      <c r="AH149">
        <f>IFERROR(INDEX(PP_Grid[#Data],$DD149,32),0)</f>
        <v/>
      </c>
      <c r="AI149">
        <f>IFERROR(INDEX(PP_Grid[#Data],$DD149,33),0)</f>
        <v/>
      </c>
      <c r="AJ149">
        <f>IFERROR(INDEX(PP_Grid[#Data],$DD149,34),0)</f>
        <v/>
      </c>
      <c r="AK149">
        <f>IFERROR(INDEX(PP_Grid[#Data],$DD149,35),0)</f>
        <v/>
      </c>
      <c r="AL149">
        <f>IFERROR(INDEX(PP_Grid[#Data],$DD149,36),0)</f>
        <v/>
      </c>
      <c r="AM149">
        <f>IFERROR(INDEX(PP_Grid[#Data],$DD149,37),0)</f>
        <v/>
      </c>
      <c r="AN149">
        <f>IFERROR(INDEX(PP_Grid[#Data],$DD149,38),0)</f>
        <v/>
      </c>
      <c r="AO149">
        <f>IFERROR(INDEX(PP_Grid[#Data],$DD149,39),0)</f>
        <v/>
      </c>
      <c r="AP149">
        <f>IFERROR(INDEX(PP_Grid[#Data],$DD149,40),0)</f>
        <v/>
      </c>
      <c r="AQ149">
        <f>IFERROR(INDEX(PP_Grid[#Data],$DD149,41),0)</f>
        <v/>
      </c>
      <c r="AR149">
        <f>IFERROR(INDEX(PP_Grid[#Data],$DD149,42),0)</f>
        <v/>
      </c>
      <c r="AS149">
        <f>IFERROR(INDEX(PP_Grid[#Data],$DD149,43),0)</f>
        <v/>
      </c>
      <c r="AT149">
        <f>IFERROR(INDEX(PP_Grid[#Data],$DD149,44),0)</f>
        <v/>
      </c>
      <c r="AU149">
        <f>IFERROR(INDEX(PP_Grid[#Data],$DD149,45),0)</f>
        <v/>
      </c>
      <c r="AV149">
        <f>IFERROR(INDEX(PP_Grid[#Data],$DD149,46),0)</f>
        <v/>
      </c>
      <c r="AW149">
        <f>IFERROR(INDEX(PP_Grid[#Data],$DD149,47),0)</f>
        <v/>
      </c>
      <c r="AX149">
        <f>IFERROR(INDEX(PP_Grid[#Data],$DD149,48),0)</f>
        <v/>
      </c>
      <c r="AY149">
        <f>IFERROR(INDEX(PP_Grid[#Data],$DD149,49),0)</f>
        <v/>
      </c>
      <c r="AZ149">
        <f>IFERROR(INDEX(PP_Grid[#Data],$DD149,50),0)</f>
        <v/>
      </c>
      <c r="BA149">
        <f>IFERROR(INDEX(PP_Grid[#Data],$DD149,51),0)</f>
        <v/>
      </c>
      <c r="BB149">
        <f>IFERROR(INDEX(PP_Grid[#Data],$DD149,52),0)</f>
        <v/>
      </c>
      <c r="BC149">
        <f>IFERROR(INDEX(PP_Grid[#Data],$DD149,53),0)</f>
        <v/>
      </c>
      <c r="BD149">
        <f>IFERROR(INDEX(PP_Grid[#Data],$DD149,54),0)</f>
        <v/>
      </c>
      <c r="BE149">
        <f>IFERROR(INDEX(PP_Grid[#Data],$DD149,55),0)</f>
        <v/>
      </c>
      <c r="BF149">
        <f>IFERROR(INDEX(PP_Grid[#Data],$DD149,56),0)</f>
        <v/>
      </c>
      <c r="BG149">
        <f>IFERROR(INDEX(PP_Grid[#Data],$DD149,57),0)</f>
        <v/>
      </c>
      <c r="BH149">
        <f>IFERROR(INDEX(PP_Grid[#Data],$DD149,58),0)</f>
        <v/>
      </c>
      <c r="BI149">
        <f>IFERROR(INDEX(PP_Grid[#Data],$DD149,59),0)</f>
        <v/>
      </c>
      <c r="BJ149">
        <f>IFERROR(INDEX(PP_Grid[#Data],$DD149,60),0)</f>
        <v/>
      </c>
      <c r="BK149">
        <f>IFERROR(INDEX(PP_Grid[#Data],$DD149,61),0)</f>
        <v/>
      </c>
      <c r="BL149">
        <f>IFERROR(INDEX(PP_Grid[#Data],$DD149,62),0)</f>
        <v/>
      </c>
      <c r="BM149">
        <f>IFERROR(INDEX(PP_Grid[#Data],$DD149,63),0)</f>
        <v/>
      </c>
      <c r="BN149">
        <f>IFERROR(INDEX(PP_Grid[#Data],$DD149,64),0)</f>
        <v/>
      </c>
      <c r="BO149">
        <f>IFERROR(INDEX(PP_Grid[#Data],$DD149,65),0)</f>
        <v/>
      </c>
      <c r="BP149">
        <f>IFERROR(INDEX(PP_Grid[#Data],$DD149,66),0)</f>
        <v/>
      </c>
      <c r="BQ149">
        <f>IFERROR(INDEX(PP_Grid[#Data],$DD149,67),0)</f>
        <v/>
      </c>
      <c r="BR149">
        <f>IFERROR(INDEX(PP_Grid[#Data],$DD149,68),0)</f>
        <v/>
      </c>
      <c r="BS149">
        <f>IFERROR(INDEX(PP_Grid[#Data],$DD149,69),0)</f>
        <v/>
      </c>
      <c r="BT149">
        <f>IFERROR(INDEX(PP_Grid[#Data],$DD149,70),0)</f>
        <v/>
      </c>
      <c r="BU149">
        <f>IFERROR(INDEX(PP_Grid[#Data],$DD149,71),0)</f>
        <v/>
      </c>
      <c r="BV149">
        <f>IFERROR(INDEX(PP_Grid[#Data],$DD149,72),0)</f>
        <v/>
      </c>
      <c r="BW149">
        <f>IFERROR(INDEX(PP_Grid[#Data],$DD149,73),0)</f>
        <v/>
      </c>
      <c r="BX149">
        <f>IFERROR(INDEX(PP_Grid[#Data],$DD149,74),0)</f>
        <v/>
      </c>
      <c r="BY149">
        <f>IFERROR(INDEX(PP_Grid[#Data],$DD149,75),0)</f>
        <v/>
      </c>
      <c r="BZ149">
        <f>IFERROR(INDEX(PP_Grid[#Data],$DD149,76),0)</f>
        <v/>
      </c>
      <c r="CA149">
        <f>IFERROR(INDEX(PP_Grid[#Data],$DD149,77),0)</f>
        <v/>
      </c>
      <c r="CB149">
        <f>IFERROR(INDEX(PP_Grid[#Data],$DD149,78),0)</f>
        <v/>
      </c>
      <c r="CC149">
        <f>IFERROR(INDEX(PP_Grid[#Data],$DD149,79),0)</f>
        <v/>
      </c>
      <c r="CD149">
        <f>IFERROR(INDEX(PP_Grid[#Data],$DD149,80),0)</f>
        <v/>
      </c>
      <c r="CE149">
        <f>IFERROR(INDEX(PP_Grid[#Data],$DD149,81),0)</f>
        <v/>
      </c>
      <c r="CF149">
        <f>IFERROR(INDEX(PP_Grid[#Data],$DD149,82),0)</f>
        <v/>
      </c>
      <c r="CG149">
        <f>IFERROR(INDEX(PP_Grid[#Data],$DD149,83),0)</f>
        <v/>
      </c>
      <c r="CH149">
        <f>IFERROR(INDEX(PP_Grid[#Data],$DD149,84),0)</f>
        <v/>
      </c>
      <c r="CI149">
        <f>IFERROR(INDEX(PP_Grid[#Data],$DD149,85),0)</f>
        <v/>
      </c>
      <c r="CJ149">
        <f>IFERROR(INDEX(PP_Grid[#Data],$DD149,86),0)</f>
        <v/>
      </c>
      <c r="CK149">
        <f>IFERROR(INDEX(PP_Grid[#Data],$DD149,87),0)</f>
        <v/>
      </c>
      <c r="CL149">
        <f>IFERROR(INDEX(PP_Grid[#Data],$DD149,88),0)</f>
        <v/>
      </c>
      <c r="CM149">
        <f>IFERROR(INDEX(PP_Grid[#Data],$DD149,89),0)</f>
        <v/>
      </c>
      <c r="CN149">
        <f>IFERROR(INDEX(PP_Grid[#Data],$DD149,90),0)</f>
        <v/>
      </c>
      <c r="CO149">
        <f>IFERROR(INDEX(PP_Grid[#Data],$DD149,91),0)</f>
        <v/>
      </c>
      <c r="CP149">
        <f>IFERROR(INDEX(PP_Grid[#Data],$DD149,92),0)</f>
        <v/>
      </c>
      <c r="CQ149">
        <f>IFERROR(INDEX(PP_Grid[#Data],$DD149,93),0)</f>
        <v/>
      </c>
      <c r="CR149">
        <f>IFERROR(INDEX(PP_Grid[#Data],$DD149,94),0)</f>
        <v/>
      </c>
      <c r="CS149">
        <f>IFERROR(INDEX(PP_Grid[#Data],$DD149,95),0)</f>
        <v/>
      </c>
      <c r="CT149">
        <f>IFERROR(INDEX(PP_Grid[#Data],$DD149,96),0)</f>
        <v/>
      </c>
      <c r="CU149">
        <f>IFERROR(INDEX(PP_Grid[#Data],$DD149,97),0)</f>
        <v/>
      </c>
      <c r="CV149">
        <f>IFERROR(INDEX(PP_Grid[#Data],$DD149,98),0)</f>
        <v/>
      </c>
      <c r="CW149">
        <f>IFERROR(INDEX(PP_Grid[#Data],$DD149,99),0)</f>
        <v/>
      </c>
      <c r="CX149">
        <f>IFERROR(INDEX(PP_Grid[#Data],$DD149,100),0)</f>
        <v/>
      </c>
      <c r="CY149">
        <f>IFERROR(INDEX(PP_Grid[#Data],$DD149,101),0)</f>
        <v/>
      </c>
      <c r="CZ149">
        <f>IFERROR(INDEX(PP_Grid[#Data],$DD149,102),0)</f>
        <v/>
      </c>
      <c r="DA149">
        <f>IFERROR(INDEX(PP_Grid[#Data],$DD149,103),0)</f>
        <v/>
      </c>
      <c r="DB149">
        <f>IFERROR(INDEX(PP_Grid[#Data],$DD149,104),0)</f>
        <v/>
      </c>
      <c r="DC149">
        <f>IFERROR(INDEX(PP_Grid[#Data],$DD149,105),0)</f>
        <v/>
      </c>
      <c r="DD149" s="7">
        <f>IFERROR(MATCH($B149,PP_Grid[Intermediate],0),99999)</f>
        <v/>
      </c>
    </row>
    <row r="150">
      <c r="B150" t="inlineStr">
        <is>
          <t>使用量(kg)</t>
        </is>
      </c>
      <c r="C150">
        <f>SUMIFS(M_BOM[RM_Qty_Per_Batch],M_BOM[Intermediate],$B149,M_BOM[Part Name],$A44)</f>
        <v/>
      </c>
      <c r="D150">
        <f>$C150*D149</f>
        <v/>
      </c>
      <c r="E150">
        <f>$C150*E149</f>
        <v/>
      </c>
      <c r="F150">
        <f>$C150*F149</f>
        <v/>
      </c>
      <c r="G150">
        <f>$C150*G149</f>
        <v/>
      </c>
      <c r="H150">
        <f>$C150*H149</f>
        <v/>
      </c>
      <c r="I150">
        <f>$C150*I149</f>
        <v/>
      </c>
      <c r="J150">
        <f>$C150*J149</f>
        <v/>
      </c>
      <c r="K150">
        <f>$C150*K149</f>
        <v/>
      </c>
      <c r="L150">
        <f>$C150*L149</f>
        <v/>
      </c>
      <c r="M150">
        <f>$C150*M149</f>
        <v/>
      </c>
      <c r="N150">
        <f>$C150*N149</f>
        <v/>
      </c>
      <c r="O150">
        <f>$C150*O149</f>
        <v/>
      </c>
      <c r="P150">
        <f>$C150*P149</f>
        <v/>
      </c>
      <c r="Q150">
        <f>$C150*Q149</f>
        <v/>
      </c>
      <c r="R150">
        <f>$C150*R149</f>
        <v/>
      </c>
      <c r="S150">
        <f>$C150*S149</f>
        <v/>
      </c>
      <c r="T150">
        <f>$C150*T149</f>
        <v/>
      </c>
      <c r="U150">
        <f>$C150*U149</f>
        <v/>
      </c>
      <c r="V150">
        <f>$C150*V149</f>
        <v/>
      </c>
      <c r="W150">
        <f>$C150*W149</f>
        <v/>
      </c>
      <c r="X150">
        <f>$C150*X149</f>
        <v/>
      </c>
      <c r="Y150">
        <f>$C150*Y149</f>
        <v/>
      </c>
      <c r="Z150">
        <f>$C150*Z149</f>
        <v/>
      </c>
      <c r="AA150">
        <f>$C150*AA149</f>
        <v/>
      </c>
      <c r="AB150">
        <f>$C150*AB149</f>
        <v/>
      </c>
      <c r="AC150">
        <f>$C150*AC149</f>
        <v/>
      </c>
      <c r="AD150">
        <f>$C150*AD149</f>
        <v/>
      </c>
      <c r="AE150">
        <f>$C150*AE149</f>
        <v/>
      </c>
      <c r="AF150">
        <f>$C150*AF149</f>
        <v/>
      </c>
      <c r="AG150">
        <f>$C150*AG149</f>
        <v/>
      </c>
      <c r="AH150">
        <f>$C150*AH149</f>
        <v/>
      </c>
      <c r="AI150">
        <f>$C150*AI149</f>
        <v/>
      </c>
      <c r="AJ150">
        <f>$C150*AJ149</f>
        <v/>
      </c>
      <c r="AK150">
        <f>$C150*AK149</f>
        <v/>
      </c>
      <c r="AL150">
        <f>$C150*AL149</f>
        <v/>
      </c>
      <c r="AM150">
        <f>$C150*AM149</f>
        <v/>
      </c>
      <c r="AN150">
        <f>$C150*AN149</f>
        <v/>
      </c>
      <c r="AO150">
        <f>$C150*AO149</f>
        <v/>
      </c>
      <c r="AP150">
        <f>$C150*AP149</f>
        <v/>
      </c>
      <c r="AQ150">
        <f>$C150*AQ149</f>
        <v/>
      </c>
      <c r="AR150">
        <f>$C150*AR149</f>
        <v/>
      </c>
      <c r="AS150">
        <f>$C150*AS149</f>
        <v/>
      </c>
      <c r="AT150">
        <f>$C150*AT149</f>
        <v/>
      </c>
      <c r="AU150">
        <f>$C150*AU149</f>
        <v/>
      </c>
      <c r="AV150">
        <f>$C150*AV149</f>
        <v/>
      </c>
      <c r="AW150">
        <f>$C150*AW149</f>
        <v/>
      </c>
      <c r="AX150">
        <f>$C150*AX149</f>
        <v/>
      </c>
      <c r="AY150">
        <f>$C150*AY149</f>
        <v/>
      </c>
      <c r="AZ150">
        <f>$C150*AZ149</f>
        <v/>
      </c>
      <c r="BA150">
        <f>$C150*BA149</f>
        <v/>
      </c>
      <c r="BB150">
        <f>$C150*BB149</f>
        <v/>
      </c>
      <c r="BC150">
        <f>$C150*BC149</f>
        <v/>
      </c>
      <c r="BD150">
        <f>$C150*BD149</f>
        <v/>
      </c>
      <c r="BE150">
        <f>$C150*BE149</f>
        <v/>
      </c>
      <c r="BF150">
        <f>$C150*BF149</f>
        <v/>
      </c>
      <c r="BG150">
        <f>$C150*BG149</f>
        <v/>
      </c>
      <c r="BH150">
        <f>$C150*BH149</f>
        <v/>
      </c>
      <c r="BI150">
        <f>$C150*BI149</f>
        <v/>
      </c>
      <c r="BJ150">
        <f>$C150*BJ149</f>
        <v/>
      </c>
      <c r="BK150">
        <f>$C150*BK149</f>
        <v/>
      </c>
      <c r="BL150">
        <f>$C150*BL149</f>
        <v/>
      </c>
      <c r="BM150">
        <f>$C150*BM149</f>
        <v/>
      </c>
      <c r="BN150">
        <f>$C150*BN149</f>
        <v/>
      </c>
      <c r="BO150">
        <f>$C150*BO149</f>
        <v/>
      </c>
      <c r="BP150">
        <f>$C150*BP149</f>
        <v/>
      </c>
      <c r="BQ150">
        <f>$C150*BQ149</f>
        <v/>
      </c>
      <c r="BR150">
        <f>$C150*BR149</f>
        <v/>
      </c>
      <c r="BS150">
        <f>$C150*BS149</f>
        <v/>
      </c>
      <c r="BT150">
        <f>$C150*BT149</f>
        <v/>
      </c>
      <c r="BU150">
        <f>$C150*BU149</f>
        <v/>
      </c>
      <c r="BV150">
        <f>$C150*BV149</f>
        <v/>
      </c>
      <c r="BW150">
        <f>$C150*BW149</f>
        <v/>
      </c>
      <c r="BX150">
        <f>$C150*BX149</f>
        <v/>
      </c>
      <c r="BY150">
        <f>$C150*BY149</f>
        <v/>
      </c>
      <c r="BZ150">
        <f>$C150*BZ149</f>
        <v/>
      </c>
      <c r="CA150">
        <f>$C150*CA149</f>
        <v/>
      </c>
      <c r="CB150">
        <f>$C150*CB149</f>
        <v/>
      </c>
      <c r="CC150">
        <f>$C150*CC149</f>
        <v/>
      </c>
      <c r="CD150">
        <f>$C150*CD149</f>
        <v/>
      </c>
      <c r="CE150">
        <f>$C150*CE149</f>
        <v/>
      </c>
      <c r="CF150">
        <f>$C150*CF149</f>
        <v/>
      </c>
      <c r="CG150">
        <f>$C150*CG149</f>
        <v/>
      </c>
      <c r="CH150">
        <f>$C150*CH149</f>
        <v/>
      </c>
      <c r="CI150">
        <f>$C150*CI149</f>
        <v/>
      </c>
      <c r="CJ150">
        <f>$C150*CJ149</f>
        <v/>
      </c>
      <c r="CK150">
        <f>$C150*CK149</f>
        <v/>
      </c>
      <c r="CL150">
        <f>$C150*CL149</f>
        <v/>
      </c>
      <c r="CM150">
        <f>$C150*CM149</f>
        <v/>
      </c>
      <c r="CN150">
        <f>$C150*CN149</f>
        <v/>
      </c>
      <c r="CO150">
        <f>$C150*CO149</f>
        <v/>
      </c>
      <c r="CP150">
        <f>$C150*CP149</f>
        <v/>
      </c>
      <c r="CQ150">
        <f>$C150*CQ149</f>
        <v/>
      </c>
      <c r="CR150">
        <f>$C150*CR149</f>
        <v/>
      </c>
      <c r="CS150">
        <f>$C150*CS149</f>
        <v/>
      </c>
      <c r="CT150">
        <f>$C150*CT149</f>
        <v/>
      </c>
      <c r="CU150">
        <f>$C150*CU149</f>
        <v/>
      </c>
      <c r="CV150">
        <f>$C150*CV149</f>
        <v/>
      </c>
      <c r="CW150">
        <f>$C150*CW149</f>
        <v/>
      </c>
      <c r="CX150">
        <f>$C150*CX149</f>
        <v/>
      </c>
      <c r="CY150">
        <f>$C150*CY149</f>
        <v/>
      </c>
      <c r="CZ150">
        <f>$C150*CZ149</f>
        <v/>
      </c>
      <c r="DA150">
        <f>$C150*DA149</f>
        <v/>
      </c>
      <c r="DB150">
        <f>$C150*DB149</f>
        <v/>
      </c>
      <c r="DC150">
        <f>$C150*DC149</f>
        <v/>
      </c>
    </row>
    <row r="151">
      <c r="B151" t="inlineStr">
        <is>
          <t>TSP-1388</t>
        </is>
      </c>
      <c r="C151" t="inlineStr">
        <is>
          <t>No. of batches</t>
        </is>
      </c>
      <c r="D151">
        <f>IFERROR(INDEX(PP_Grid[#Data],$DD151,2),0)</f>
        <v/>
      </c>
      <c r="E151">
        <f>IFERROR(INDEX(PP_Grid[#Data],$DD151,3),0)</f>
        <v/>
      </c>
      <c r="F151">
        <f>IFERROR(INDEX(PP_Grid[#Data],$DD151,4),0)</f>
        <v/>
      </c>
      <c r="G151">
        <f>IFERROR(INDEX(PP_Grid[#Data],$DD151,5),0)</f>
        <v/>
      </c>
      <c r="H151">
        <f>IFERROR(INDEX(PP_Grid[#Data],$DD151,6),0)</f>
        <v/>
      </c>
      <c r="I151">
        <f>IFERROR(INDEX(PP_Grid[#Data],$DD151,7),0)</f>
        <v/>
      </c>
      <c r="J151">
        <f>IFERROR(INDEX(PP_Grid[#Data],$DD151,8),0)</f>
        <v/>
      </c>
      <c r="K151">
        <f>IFERROR(INDEX(PP_Grid[#Data],$DD151,9),0)</f>
        <v/>
      </c>
      <c r="L151">
        <f>IFERROR(INDEX(PP_Grid[#Data],$DD151,10),0)</f>
        <v/>
      </c>
      <c r="M151">
        <f>IFERROR(INDEX(PP_Grid[#Data],$DD151,11),0)</f>
        <v/>
      </c>
      <c r="N151">
        <f>IFERROR(INDEX(PP_Grid[#Data],$DD151,12),0)</f>
        <v/>
      </c>
      <c r="O151">
        <f>IFERROR(INDEX(PP_Grid[#Data],$DD151,13),0)</f>
        <v/>
      </c>
      <c r="P151">
        <f>IFERROR(INDEX(PP_Grid[#Data],$DD151,14),0)</f>
        <v/>
      </c>
      <c r="Q151">
        <f>IFERROR(INDEX(PP_Grid[#Data],$DD151,15),0)</f>
        <v/>
      </c>
      <c r="R151">
        <f>IFERROR(INDEX(PP_Grid[#Data],$DD151,16),0)</f>
        <v/>
      </c>
      <c r="S151">
        <f>IFERROR(INDEX(PP_Grid[#Data],$DD151,17),0)</f>
        <v/>
      </c>
      <c r="T151">
        <f>IFERROR(INDEX(PP_Grid[#Data],$DD151,18),0)</f>
        <v/>
      </c>
      <c r="U151">
        <f>IFERROR(INDEX(PP_Grid[#Data],$DD151,19),0)</f>
        <v/>
      </c>
      <c r="V151">
        <f>IFERROR(INDEX(PP_Grid[#Data],$DD151,20),0)</f>
        <v/>
      </c>
      <c r="W151">
        <f>IFERROR(INDEX(PP_Grid[#Data],$DD151,21),0)</f>
        <v/>
      </c>
      <c r="X151">
        <f>IFERROR(INDEX(PP_Grid[#Data],$DD151,22),0)</f>
        <v/>
      </c>
      <c r="Y151">
        <f>IFERROR(INDEX(PP_Grid[#Data],$DD151,23),0)</f>
        <v/>
      </c>
      <c r="Z151">
        <f>IFERROR(INDEX(PP_Grid[#Data],$DD151,24),0)</f>
        <v/>
      </c>
      <c r="AA151">
        <f>IFERROR(INDEX(PP_Grid[#Data],$DD151,25),0)</f>
        <v/>
      </c>
      <c r="AB151">
        <f>IFERROR(INDEX(PP_Grid[#Data],$DD151,26),0)</f>
        <v/>
      </c>
      <c r="AC151">
        <f>IFERROR(INDEX(PP_Grid[#Data],$DD151,27),0)</f>
        <v/>
      </c>
      <c r="AD151">
        <f>IFERROR(INDEX(PP_Grid[#Data],$DD151,28),0)</f>
        <v/>
      </c>
      <c r="AE151">
        <f>IFERROR(INDEX(PP_Grid[#Data],$DD151,29),0)</f>
        <v/>
      </c>
      <c r="AF151">
        <f>IFERROR(INDEX(PP_Grid[#Data],$DD151,30),0)</f>
        <v/>
      </c>
      <c r="AG151">
        <f>IFERROR(INDEX(PP_Grid[#Data],$DD151,31),0)</f>
        <v/>
      </c>
      <c r="AH151">
        <f>IFERROR(INDEX(PP_Grid[#Data],$DD151,32),0)</f>
        <v/>
      </c>
      <c r="AI151">
        <f>IFERROR(INDEX(PP_Grid[#Data],$DD151,33),0)</f>
        <v/>
      </c>
      <c r="AJ151">
        <f>IFERROR(INDEX(PP_Grid[#Data],$DD151,34),0)</f>
        <v/>
      </c>
      <c r="AK151">
        <f>IFERROR(INDEX(PP_Grid[#Data],$DD151,35),0)</f>
        <v/>
      </c>
      <c r="AL151">
        <f>IFERROR(INDEX(PP_Grid[#Data],$DD151,36),0)</f>
        <v/>
      </c>
      <c r="AM151">
        <f>IFERROR(INDEX(PP_Grid[#Data],$DD151,37),0)</f>
        <v/>
      </c>
      <c r="AN151">
        <f>IFERROR(INDEX(PP_Grid[#Data],$DD151,38),0)</f>
        <v/>
      </c>
      <c r="AO151">
        <f>IFERROR(INDEX(PP_Grid[#Data],$DD151,39),0)</f>
        <v/>
      </c>
      <c r="AP151">
        <f>IFERROR(INDEX(PP_Grid[#Data],$DD151,40),0)</f>
        <v/>
      </c>
      <c r="AQ151">
        <f>IFERROR(INDEX(PP_Grid[#Data],$DD151,41),0)</f>
        <v/>
      </c>
      <c r="AR151">
        <f>IFERROR(INDEX(PP_Grid[#Data],$DD151,42),0)</f>
        <v/>
      </c>
      <c r="AS151">
        <f>IFERROR(INDEX(PP_Grid[#Data],$DD151,43),0)</f>
        <v/>
      </c>
      <c r="AT151">
        <f>IFERROR(INDEX(PP_Grid[#Data],$DD151,44),0)</f>
        <v/>
      </c>
      <c r="AU151">
        <f>IFERROR(INDEX(PP_Grid[#Data],$DD151,45),0)</f>
        <v/>
      </c>
      <c r="AV151">
        <f>IFERROR(INDEX(PP_Grid[#Data],$DD151,46),0)</f>
        <v/>
      </c>
      <c r="AW151">
        <f>IFERROR(INDEX(PP_Grid[#Data],$DD151,47),0)</f>
        <v/>
      </c>
      <c r="AX151">
        <f>IFERROR(INDEX(PP_Grid[#Data],$DD151,48),0)</f>
        <v/>
      </c>
      <c r="AY151">
        <f>IFERROR(INDEX(PP_Grid[#Data],$DD151,49),0)</f>
        <v/>
      </c>
      <c r="AZ151">
        <f>IFERROR(INDEX(PP_Grid[#Data],$DD151,50),0)</f>
        <v/>
      </c>
      <c r="BA151">
        <f>IFERROR(INDEX(PP_Grid[#Data],$DD151,51),0)</f>
        <v/>
      </c>
      <c r="BB151">
        <f>IFERROR(INDEX(PP_Grid[#Data],$DD151,52),0)</f>
        <v/>
      </c>
      <c r="BC151">
        <f>IFERROR(INDEX(PP_Grid[#Data],$DD151,53),0)</f>
        <v/>
      </c>
      <c r="BD151">
        <f>IFERROR(INDEX(PP_Grid[#Data],$DD151,54),0)</f>
        <v/>
      </c>
      <c r="BE151">
        <f>IFERROR(INDEX(PP_Grid[#Data],$DD151,55),0)</f>
        <v/>
      </c>
      <c r="BF151">
        <f>IFERROR(INDEX(PP_Grid[#Data],$DD151,56),0)</f>
        <v/>
      </c>
      <c r="BG151">
        <f>IFERROR(INDEX(PP_Grid[#Data],$DD151,57),0)</f>
        <v/>
      </c>
      <c r="BH151">
        <f>IFERROR(INDEX(PP_Grid[#Data],$DD151,58),0)</f>
        <v/>
      </c>
      <c r="BI151">
        <f>IFERROR(INDEX(PP_Grid[#Data],$DD151,59),0)</f>
        <v/>
      </c>
      <c r="BJ151">
        <f>IFERROR(INDEX(PP_Grid[#Data],$DD151,60),0)</f>
        <v/>
      </c>
      <c r="BK151">
        <f>IFERROR(INDEX(PP_Grid[#Data],$DD151,61),0)</f>
        <v/>
      </c>
      <c r="BL151">
        <f>IFERROR(INDEX(PP_Grid[#Data],$DD151,62),0)</f>
        <v/>
      </c>
      <c r="BM151">
        <f>IFERROR(INDEX(PP_Grid[#Data],$DD151,63),0)</f>
        <v/>
      </c>
      <c r="BN151">
        <f>IFERROR(INDEX(PP_Grid[#Data],$DD151,64),0)</f>
        <v/>
      </c>
      <c r="BO151">
        <f>IFERROR(INDEX(PP_Grid[#Data],$DD151,65),0)</f>
        <v/>
      </c>
      <c r="BP151">
        <f>IFERROR(INDEX(PP_Grid[#Data],$DD151,66),0)</f>
        <v/>
      </c>
      <c r="BQ151">
        <f>IFERROR(INDEX(PP_Grid[#Data],$DD151,67),0)</f>
        <v/>
      </c>
      <c r="BR151">
        <f>IFERROR(INDEX(PP_Grid[#Data],$DD151,68),0)</f>
        <v/>
      </c>
      <c r="BS151">
        <f>IFERROR(INDEX(PP_Grid[#Data],$DD151,69),0)</f>
        <v/>
      </c>
      <c r="BT151">
        <f>IFERROR(INDEX(PP_Grid[#Data],$DD151,70),0)</f>
        <v/>
      </c>
      <c r="BU151">
        <f>IFERROR(INDEX(PP_Grid[#Data],$DD151,71),0)</f>
        <v/>
      </c>
      <c r="BV151">
        <f>IFERROR(INDEX(PP_Grid[#Data],$DD151,72),0)</f>
        <v/>
      </c>
      <c r="BW151">
        <f>IFERROR(INDEX(PP_Grid[#Data],$DD151,73),0)</f>
        <v/>
      </c>
      <c r="BX151">
        <f>IFERROR(INDEX(PP_Grid[#Data],$DD151,74),0)</f>
        <v/>
      </c>
      <c r="BY151">
        <f>IFERROR(INDEX(PP_Grid[#Data],$DD151,75),0)</f>
        <v/>
      </c>
      <c r="BZ151">
        <f>IFERROR(INDEX(PP_Grid[#Data],$DD151,76),0)</f>
        <v/>
      </c>
      <c r="CA151">
        <f>IFERROR(INDEX(PP_Grid[#Data],$DD151,77),0)</f>
        <v/>
      </c>
      <c r="CB151">
        <f>IFERROR(INDEX(PP_Grid[#Data],$DD151,78),0)</f>
        <v/>
      </c>
      <c r="CC151">
        <f>IFERROR(INDEX(PP_Grid[#Data],$DD151,79),0)</f>
        <v/>
      </c>
      <c r="CD151">
        <f>IFERROR(INDEX(PP_Grid[#Data],$DD151,80),0)</f>
        <v/>
      </c>
      <c r="CE151">
        <f>IFERROR(INDEX(PP_Grid[#Data],$DD151,81),0)</f>
        <v/>
      </c>
      <c r="CF151">
        <f>IFERROR(INDEX(PP_Grid[#Data],$DD151,82),0)</f>
        <v/>
      </c>
      <c r="CG151">
        <f>IFERROR(INDEX(PP_Grid[#Data],$DD151,83),0)</f>
        <v/>
      </c>
      <c r="CH151">
        <f>IFERROR(INDEX(PP_Grid[#Data],$DD151,84),0)</f>
        <v/>
      </c>
      <c r="CI151">
        <f>IFERROR(INDEX(PP_Grid[#Data],$DD151,85),0)</f>
        <v/>
      </c>
      <c r="CJ151">
        <f>IFERROR(INDEX(PP_Grid[#Data],$DD151,86),0)</f>
        <v/>
      </c>
      <c r="CK151">
        <f>IFERROR(INDEX(PP_Grid[#Data],$DD151,87),0)</f>
        <v/>
      </c>
      <c r="CL151">
        <f>IFERROR(INDEX(PP_Grid[#Data],$DD151,88),0)</f>
        <v/>
      </c>
      <c r="CM151">
        <f>IFERROR(INDEX(PP_Grid[#Data],$DD151,89),0)</f>
        <v/>
      </c>
      <c r="CN151">
        <f>IFERROR(INDEX(PP_Grid[#Data],$DD151,90),0)</f>
        <v/>
      </c>
      <c r="CO151">
        <f>IFERROR(INDEX(PP_Grid[#Data],$DD151,91),0)</f>
        <v/>
      </c>
      <c r="CP151">
        <f>IFERROR(INDEX(PP_Grid[#Data],$DD151,92),0)</f>
        <v/>
      </c>
      <c r="CQ151">
        <f>IFERROR(INDEX(PP_Grid[#Data],$DD151,93),0)</f>
        <v/>
      </c>
      <c r="CR151">
        <f>IFERROR(INDEX(PP_Grid[#Data],$DD151,94),0)</f>
        <v/>
      </c>
      <c r="CS151">
        <f>IFERROR(INDEX(PP_Grid[#Data],$DD151,95),0)</f>
        <v/>
      </c>
      <c r="CT151">
        <f>IFERROR(INDEX(PP_Grid[#Data],$DD151,96),0)</f>
        <v/>
      </c>
      <c r="CU151">
        <f>IFERROR(INDEX(PP_Grid[#Data],$DD151,97),0)</f>
        <v/>
      </c>
      <c r="CV151">
        <f>IFERROR(INDEX(PP_Grid[#Data],$DD151,98),0)</f>
        <v/>
      </c>
      <c r="CW151">
        <f>IFERROR(INDEX(PP_Grid[#Data],$DD151,99),0)</f>
        <v/>
      </c>
      <c r="CX151">
        <f>IFERROR(INDEX(PP_Grid[#Data],$DD151,100),0)</f>
        <v/>
      </c>
      <c r="CY151">
        <f>IFERROR(INDEX(PP_Grid[#Data],$DD151,101),0)</f>
        <v/>
      </c>
      <c r="CZ151">
        <f>IFERROR(INDEX(PP_Grid[#Data],$DD151,102),0)</f>
        <v/>
      </c>
      <c r="DA151">
        <f>IFERROR(INDEX(PP_Grid[#Data],$DD151,103),0)</f>
        <v/>
      </c>
      <c r="DB151">
        <f>IFERROR(INDEX(PP_Grid[#Data],$DD151,104),0)</f>
        <v/>
      </c>
      <c r="DC151">
        <f>IFERROR(INDEX(PP_Grid[#Data],$DD151,105),0)</f>
        <v/>
      </c>
      <c r="DD151" s="7">
        <f>IFERROR(MATCH($B151,PP_Grid[Intermediate],0),99999)</f>
        <v/>
      </c>
    </row>
    <row r="152">
      <c r="B152" t="inlineStr">
        <is>
          <t>使用量(kg)</t>
        </is>
      </c>
      <c r="C152">
        <f>SUMIFS(M_BOM[RM_Qty_Per_Batch],M_BOM[Intermediate],$B151,M_BOM[Part Name],$A44)</f>
        <v/>
      </c>
      <c r="D152">
        <f>$C152*D151</f>
        <v/>
      </c>
      <c r="E152">
        <f>$C152*E151</f>
        <v/>
      </c>
      <c r="F152">
        <f>$C152*F151</f>
        <v/>
      </c>
      <c r="G152">
        <f>$C152*G151</f>
        <v/>
      </c>
      <c r="H152">
        <f>$C152*H151</f>
        <v/>
      </c>
      <c r="I152">
        <f>$C152*I151</f>
        <v/>
      </c>
      <c r="J152">
        <f>$C152*J151</f>
        <v/>
      </c>
      <c r="K152">
        <f>$C152*K151</f>
        <v/>
      </c>
      <c r="L152">
        <f>$C152*L151</f>
        <v/>
      </c>
      <c r="M152">
        <f>$C152*M151</f>
        <v/>
      </c>
      <c r="N152">
        <f>$C152*N151</f>
        <v/>
      </c>
      <c r="O152">
        <f>$C152*O151</f>
        <v/>
      </c>
      <c r="P152">
        <f>$C152*P151</f>
        <v/>
      </c>
      <c r="Q152">
        <f>$C152*Q151</f>
        <v/>
      </c>
      <c r="R152">
        <f>$C152*R151</f>
        <v/>
      </c>
      <c r="S152">
        <f>$C152*S151</f>
        <v/>
      </c>
      <c r="T152">
        <f>$C152*T151</f>
        <v/>
      </c>
      <c r="U152">
        <f>$C152*U151</f>
        <v/>
      </c>
      <c r="V152">
        <f>$C152*V151</f>
        <v/>
      </c>
      <c r="W152">
        <f>$C152*W151</f>
        <v/>
      </c>
      <c r="X152">
        <f>$C152*X151</f>
        <v/>
      </c>
      <c r="Y152">
        <f>$C152*Y151</f>
        <v/>
      </c>
      <c r="Z152">
        <f>$C152*Z151</f>
        <v/>
      </c>
      <c r="AA152">
        <f>$C152*AA151</f>
        <v/>
      </c>
      <c r="AB152">
        <f>$C152*AB151</f>
        <v/>
      </c>
      <c r="AC152">
        <f>$C152*AC151</f>
        <v/>
      </c>
      <c r="AD152">
        <f>$C152*AD151</f>
        <v/>
      </c>
      <c r="AE152">
        <f>$C152*AE151</f>
        <v/>
      </c>
      <c r="AF152">
        <f>$C152*AF151</f>
        <v/>
      </c>
      <c r="AG152">
        <f>$C152*AG151</f>
        <v/>
      </c>
      <c r="AH152">
        <f>$C152*AH151</f>
        <v/>
      </c>
      <c r="AI152">
        <f>$C152*AI151</f>
        <v/>
      </c>
      <c r="AJ152">
        <f>$C152*AJ151</f>
        <v/>
      </c>
      <c r="AK152">
        <f>$C152*AK151</f>
        <v/>
      </c>
      <c r="AL152">
        <f>$C152*AL151</f>
        <v/>
      </c>
      <c r="AM152">
        <f>$C152*AM151</f>
        <v/>
      </c>
      <c r="AN152">
        <f>$C152*AN151</f>
        <v/>
      </c>
      <c r="AO152">
        <f>$C152*AO151</f>
        <v/>
      </c>
      <c r="AP152">
        <f>$C152*AP151</f>
        <v/>
      </c>
      <c r="AQ152">
        <f>$C152*AQ151</f>
        <v/>
      </c>
      <c r="AR152">
        <f>$C152*AR151</f>
        <v/>
      </c>
      <c r="AS152">
        <f>$C152*AS151</f>
        <v/>
      </c>
      <c r="AT152">
        <f>$C152*AT151</f>
        <v/>
      </c>
      <c r="AU152">
        <f>$C152*AU151</f>
        <v/>
      </c>
      <c r="AV152">
        <f>$C152*AV151</f>
        <v/>
      </c>
      <c r="AW152">
        <f>$C152*AW151</f>
        <v/>
      </c>
      <c r="AX152">
        <f>$C152*AX151</f>
        <v/>
      </c>
      <c r="AY152">
        <f>$C152*AY151</f>
        <v/>
      </c>
      <c r="AZ152">
        <f>$C152*AZ151</f>
        <v/>
      </c>
      <c r="BA152">
        <f>$C152*BA151</f>
        <v/>
      </c>
      <c r="BB152">
        <f>$C152*BB151</f>
        <v/>
      </c>
      <c r="BC152">
        <f>$C152*BC151</f>
        <v/>
      </c>
      <c r="BD152">
        <f>$C152*BD151</f>
        <v/>
      </c>
      <c r="BE152">
        <f>$C152*BE151</f>
        <v/>
      </c>
      <c r="BF152">
        <f>$C152*BF151</f>
        <v/>
      </c>
      <c r="BG152">
        <f>$C152*BG151</f>
        <v/>
      </c>
      <c r="BH152">
        <f>$C152*BH151</f>
        <v/>
      </c>
      <c r="BI152">
        <f>$C152*BI151</f>
        <v/>
      </c>
      <c r="BJ152">
        <f>$C152*BJ151</f>
        <v/>
      </c>
      <c r="BK152">
        <f>$C152*BK151</f>
        <v/>
      </c>
      <c r="BL152">
        <f>$C152*BL151</f>
        <v/>
      </c>
      <c r="BM152">
        <f>$C152*BM151</f>
        <v/>
      </c>
      <c r="BN152">
        <f>$C152*BN151</f>
        <v/>
      </c>
      <c r="BO152">
        <f>$C152*BO151</f>
        <v/>
      </c>
      <c r="BP152">
        <f>$C152*BP151</f>
        <v/>
      </c>
      <c r="BQ152">
        <f>$C152*BQ151</f>
        <v/>
      </c>
      <c r="BR152">
        <f>$C152*BR151</f>
        <v/>
      </c>
      <c r="BS152">
        <f>$C152*BS151</f>
        <v/>
      </c>
      <c r="BT152">
        <f>$C152*BT151</f>
        <v/>
      </c>
      <c r="BU152">
        <f>$C152*BU151</f>
        <v/>
      </c>
      <c r="BV152">
        <f>$C152*BV151</f>
        <v/>
      </c>
      <c r="BW152">
        <f>$C152*BW151</f>
        <v/>
      </c>
      <c r="BX152">
        <f>$C152*BX151</f>
        <v/>
      </c>
      <c r="BY152">
        <f>$C152*BY151</f>
        <v/>
      </c>
      <c r="BZ152">
        <f>$C152*BZ151</f>
        <v/>
      </c>
      <c r="CA152">
        <f>$C152*CA151</f>
        <v/>
      </c>
      <c r="CB152">
        <f>$C152*CB151</f>
        <v/>
      </c>
      <c r="CC152">
        <f>$C152*CC151</f>
        <v/>
      </c>
      <c r="CD152">
        <f>$C152*CD151</f>
        <v/>
      </c>
      <c r="CE152">
        <f>$C152*CE151</f>
        <v/>
      </c>
      <c r="CF152">
        <f>$C152*CF151</f>
        <v/>
      </c>
      <c r="CG152">
        <f>$C152*CG151</f>
        <v/>
      </c>
      <c r="CH152">
        <f>$C152*CH151</f>
        <v/>
      </c>
      <c r="CI152">
        <f>$C152*CI151</f>
        <v/>
      </c>
      <c r="CJ152">
        <f>$C152*CJ151</f>
        <v/>
      </c>
      <c r="CK152">
        <f>$C152*CK151</f>
        <v/>
      </c>
      <c r="CL152">
        <f>$C152*CL151</f>
        <v/>
      </c>
      <c r="CM152">
        <f>$C152*CM151</f>
        <v/>
      </c>
      <c r="CN152">
        <f>$C152*CN151</f>
        <v/>
      </c>
      <c r="CO152">
        <f>$C152*CO151</f>
        <v/>
      </c>
      <c r="CP152">
        <f>$C152*CP151</f>
        <v/>
      </c>
      <c r="CQ152">
        <f>$C152*CQ151</f>
        <v/>
      </c>
      <c r="CR152">
        <f>$C152*CR151</f>
        <v/>
      </c>
      <c r="CS152">
        <f>$C152*CS151</f>
        <v/>
      </c>
      <c r="CT152">
        <f>$C152*CT151</f>
        <v/>
      </c>
      <c r="CU152">
        <f>$C152*CU151</f>
        <v/>
      </c>
      <c r="CV152">
        <f>$C152*CV151</f>
        <v/>
      </c>
      <c r="CW152">
        <f>$C152*CW151</f>
        <v/>
      </c>
      <c r="CX152">
        <f>$C152*CX151</f>
        <v/>
      </c>
      <c r="CY152">
        <f>$C152*CY151</f>
        <v/>
      </c>
      <c r="CZ152">
        <f>$C152*CZ151</f>
        <v/>
      </c>
      <c r="DA152">
        <f>$C152*DA151</f>
        <v/>
      </c>
      <c r="DB152">
        <f>$C152*DB151</f>
        <v/>
      </c>
      <c r="DC152">
        <f>$C152*DC151</f>
        <v/>
      </c>
    </row>
    <row r="153">
      <c r="B153" t="inlineStr">
        <is>
          <t>TSP-1444</t>
        </is>
      </c>
      <c r="C153" t="inlineStr">
        <is>
          <t>No. of batches</t>
        </is>
      </c>
      <c r="D153">
        <f>IFERROR(INDEX(PP_Grid[#Data],$DD153,2),0)</f>
        <v/>
      </c>
      <c r="E153">
        <f>IFERROR(INDEX(PP_Grid[#Data],$DD153,3),0)</f>
        <v/>
      </c>
      <c r="F153">
        <f>IFERROR(INDEX(PP_Grid[#Data],$DD153,4),0)</f>
        <v/>
      </c>
      <c r="G153">
        <f>IFERROR(INDEX(PP_Grid[#Data],$DD153,5),0)</f>
        <v/>
      </c>
      <c r="H153">
        <f>IFERROR(INDEX(PP_Grid[#Data],$DD153,6),0)</f>
        <v/>
      </c>
      <c r="I153">
        <f>IFERROR(INDEX(PP_Grid[#Data],$DD153,7),0)</f>
        <v/>
      </c>
      <c r="J153">
        <f>IFERROR(INDEX(PP_Grid[#Data],$DD153,8),0)</f>
        <v/>
      </c>
      <c r="K153">
        <f>IFERROR(INDEX(PP_Grid[#Data],$DD153,9),0)</f>
        <v/>
      </c>
      <c r="L153">
        <f>IFERROR(INDEX(PP_Grid[#Data],$DD153,10),0)</f>
        <v/>
      </c>
      <c r="M153">
        <f>IFERROR(INDEX(PP_Grid[#Data],$DD153,11),0)</f>
        <v/>
      </c>
      <c r="N153">
        <f>IFERROR(INDEX(PP_Grid[#Data],$DD153,12),0)</f>
        <v/>
      </c>
      <c r="O153">
        <f>IFERROR(INDEX(PP_Grid[#Data],$DD153,13),0)</f>
        <v/>
      </c>
      <c r="P153">
        <f>IFERROR(INDEX(PP_Grid[#Data],$DD153,14),0)</f>
        <v/>
      </c>
      <c r="Q153">
        <f>IFERROR(INDEX(PP_Grid[#Data],$DD153,15),0)</f>
        <v/>
      </c>
      <c r="R153">
        <f>IFERROR(INDEX(PP_Grid[#Data],$DD153,16),0)</f>
        <v/>
      </c>
      <c r="S153">
        <f>IFERROR(INDEX(PP_Grid[#Data],$DD153,17),0)</f>
        <v/>
      </c>
      <c r="T153">
        <f>IFERROR(INDEX(PP_Grid[#Data],$DD153,18),0)</f>
        <v/>
      </c>
      <c r="U153">
        <f>IFERROR(INDEX(PP_Grid[#Data],$DD153,19),0)</f>
        <v/>
      </c>
      <c r="V153">
        <f>IFERROR(INDEX(PP_Grid[#Data],$DD153,20),0)</f>
        <v/>
      </c>
      <c r="W153">
        <f>IFERROR(INDEX(PP_Grid[#Data],$DD153,21),0)</f>
        <v/>
      </c>
      <c r="X153">
        <f>IFERROR(INDEX(PP_Grid[#Data],$DD153,22),0)</f>
        <v/>
      </c>
      <c r="Y153">
        <f>IFERROR(INDEX(PP_Grid[#Data],$DD153,23),0)</f>
        <v/>
      </c>
      <c r="Z153">
        <f>IFERROR(INDEX(PP_Grid[#Data],$DD153,24),0)</f>
        <v/>
      </c>
      <c r="AA153">
        <f>IFERROR(INDEX(PP_Grid[#Data],$DD153,25),0)</f>
        <v/>
      </c>
      <c r="AB153">
        <f>IFERROR(INDEX(PP_Grid[#Data],$DD153,26),0)</f>
        <v/>
      </c>
      <c r="AC153">
        <f>IFERROR(INDEX(PP_Grid[#Data],$DD153,27),0)</f>
        <v/>
      </c>
      <c r="AD153">
        <f>IFERROR(INDEX(PP_Grid[#Data],$DD153,28),0)</f>
        <v/>
      </c>
      <c r="AE153">
        <f>IFERROR(INDEX(PP_Grid[#Data],$DD153,29),0)</f>
        <v/>
      </c>
      <c r="AF153">
        <f>IFERROR(INDEX(PP_Grid[#Data],$DD153,30),0)</f>
        <v/>
      </c>
      <c r="AG153">
        <f>IFERROR(INDEX(PP_Grid[#Data],$DD153,31),0)</f>
        <v/>
      </c>
      <c r="AH153">
        <f>IFERROR(INDEX(PP_Grid[#Data],$DD153,32),0)</f>
        <v/>
      </c>
      <c r="AI153">
        <f>IFERROR(INDEX(PP_Grid[#Data],$DD153,33),0)</f>
        <v/>
      </c>
      <c r="AJ153">
        <f>IFERROR(INDEX(PP_Grid[#Data],$DD153,34),0)</f>
        <v/>
      </c>
      <c r="AK153">
        <f>IFERROR(INDEX(PP_Grid[#Data],$DD153,35),0)</f>
        <v/>
      </c>
      <c r="AL153">
        <f>IFERROR(INDEX(PP_Grid[#Data],$DD153,36),0)</f>
        <v/>
      </c>
      <c r="AM153">
        <f>IFERROR(INDEX(PP_Grid[#Data],$DD153,37),0)</f>
        <v/>
      </c>
      <c r="AN153">
        <f>IFERROR(INDEX(PP_Grid[#Data],$DD153,38),0)</f>
        <v/>
      </c>
      <c r="AO153">
        <f>IFERROR(INDEX(PP_Grid[#Data],$DD153,39),0)</f>
        <v/>
      </c>
      <c r="AP153">
        <f>IFERROR(INDEX(PP_Grid[#Data],$DD153,40),0)</f>
        <v/>
      </c>
      <c r="AQ153">
        <f>IFERROR(INDEX(PP_Grid[#Data],$DD153,41),0)</f>
        <v/>
      </c>
      <c r="AR153">
        <f>IFERROR(INDEX(PP_Grid[#Data],$DD153,42),0)</f>
        <v/>
      </c>
      <c r="AS153">
        <f>IFERROR(INDEX(PP_Grid[#Data],$DD153,43),0)</f>
        <v/>
      </c>
      <c r="AT153">
        <f>IFERROR(INDEX(PP_Grid[#Data],$DD153,44),0)</f>
        <v/>
      </c>
      <c r="AU153">
        <f>IFERROR(INDEX(PP_Grid[#Data],$DD153,45),0)</f>
        <v/>
      </c>
      <c r="AV153">
        <f>IFERROR(INDEX(PP_Grid[#Data],$DD153,46),0)</f>
        <v/>
      </c>
      <c r="AW153">
        <f>IFERROR(INDEX(PP_Grid[#Data],$DD153,47),0)</f>
        <v/>
      </c>
      <c r="AX153">
        <f>IFERROR(INDEX(PP_Grid[#Data],$DD153,48),0)</f>
        <v/>
      </c>
      <c r="AY153">
        <f>IFERROR(INDEX(PP_Grid[#Data],$DD153,49),0)</f>
        <v/>
      </c>
      <c r="AZ153">
        <f>IFERROR(INDEX(PP_Grid[#Data],$DD153,50),0)</f>
        <v/>
      </c>
      <c r="BA153">
        <f>IFERROR(INDEX(PP_Grid[#Data],$DD153,51),0)</f>
        <v/>
      </c>
      <c r="BB153">
        <f>IFERROR(INDEX(PP_Grid[#Data],$DD153,52),0)</f>
        <v/>
      </c>
      <c r="BC153">
        <f>IFERROR(INDEX(PP_Grid[#Data],$DD153,53),0)</f>
        <v/>
      </c>
      <c r="BD153">
        <f>IFERROR(INDEX(PP_Grid[#Data],$DD153,54),0)</f>
        <v/>
      </c>
      <c r="BE153">
        <f>IFERROR(INDEX(PP_Grid[#Data],$DD153,55),0)</f>
        <v/>
      </c>
      <c r="BF153">
        <f>IFERROR(INDEX(PP_Grid[#Data],$DD153,56),0)</f>
        <v/>
      </c>
      <c r="BG153">
        <f>IFERROR(INDEX(PP_Grid[#Data],$DD153,57),0)</f>
        <v/>
      </c>
      <c r="BH153">
        <f>IFERROR(INDEX(PP_Grid[#Data],$DD153,58),0)</f>
        <v/>
      </c>
      <c r="BI153">
        <f>IFERROR(INDEX(PP_Grid[#Data],$DD153,59),0)</f>
        <v/>
      </c>
      <c r="BJ153">
        <f>IFERROR(INDEX(PP_Grid[#Data],$DD153,60),0)</f>
        <v/>
      </c>
      <c r="BK153">
        <f>IFERROR(INDEX(PP_Grid[#Data],$DD153,61),0)</f>
        <v/>
      </c>
      <c r="BL153">
        <f>IFERROR(INDEX(PP_Grid[#Data],$DD153,62),0)</f>
        <v/>
      </c>
      <c r="BM153">
        <f>IFERROR(INDEX(PP_Grid[#Data],$DD153,63),0)</f>
        <v/>
      </c>
      <c r="BN153">
        <f>IFERROR(INDEX(PP_Grid[#Data],$DD153,64),0)</f>
        <v/>
      </c>
      <c r="BO153">
        <f>IFERROR(INDEX(PP_Grid[#Data],$DD153,65),0)</f>
        <v/>
      </c>
      <c r="BP153">
        <f>IFERROR(INDEX(PP_Grid[#Data],$DD153,66),0)</f>
        <v/>
      </c>
      <c r="BQ153">
        <f>IFERROR(INDEX(PP_Grid[#Data],$DD153,67),0)</f>
        <v/>
      </c>
      <c r="BR153">
        <f>IFERROR(INDEX(PP_Grid[#Data],$DD153,68),0)</f>
        <v/>
      </c>
      <c r="BS153">
        <f>IFERROR(INDEX(PP_Grid[#Data],$DD153,69),0)</f>
        <v/>
      </c>
      <c r="BT153">
        <f>IFERROR(INDEX(PP_Grid[#Data],$DD153,70),0)</f>
        <v/>
      </c>
      <c r="BU153">
        <f>IFERROR(INDEX(PP_Grid[#Data],$DD153,71),0)</f>
        <v/>
      </c>
      <c r="BV153">
        <f>IFERROR(INDEX(PP_Grid[#Data],$DD153,72),0)</f>
        <v/>
      </c>
      <c r="BW153">
        <f>IFERROR(INDEX(PP_Grid[#Data],$DD153,73),0)</f>
        <v/>
      </c>
      <c r="BX153">
        <f>IFERROR(INDEX(PP_Grid[#Data],$DD153,74),0)</f>
        <v/>
      </c>
      <c r="BY153">
        <f>IFERROR(INDEX(PP_Grid[#Data],$DD153,75),0)</f>
        <v/>
      </c>
      <c r="BZ153">
        <f>IFERROR(INDEX(PP_Grid[#Data],$DD153,76),0)</f>
        <v/>
      </c>
      <c r="CA153">
        <f>IFERROR(INDEX(PP_Grid[#Data],$DD153,77),0)</f>
        <v/>
      </c>
      <c r="CB153">
        <f>IFERROR(INDEX(PP_Grid[#Data],$DD153,78),0)</f>
        <v/>
      </c>
      <c r="CC153">
        <f>IFERROR(INDEX(PP_Grid[#Data],$DD153,79),0)</f>
        <v/>
      </c>
      <c r="CD153">
        <f>IFERROR(INDEX(PP_Grid[#Data],$DD153,80),0)</f>
        <v/>
      </c>
      <c r="CE153">
        <f>IFERROR(INDEX(PP_Grid[#Data],$DD153,81),0)</f>
        <v/>
      </c>
      <c r="CF153">
        <f>IFERROR(INDEX(PP_Grid[#Data],$DD153,82),0)</f>
        <v/>
      </c>
      <c r="CG153">
        <f>IFERROR(INDEX(PP_Grid[#Data],$DD153,83),0)</f>
        <v/>
      </c>
      <c r="CH153">
        <f>IFERROR(INDEX(PP_Grid[#Data],$DD153,84),0)</f>
        <v/>
      </c>
      <c r="CI153">
        <f>IFERROR(INDEX(PP_Grid[#Data],$DD153,85),0)</f>
        <v/>
      </c>
      <c r="CJ153">
        <f>IFERROR(INDEX(PP_Grid[#Data],$DD153,86),0)</f>
        <v/>
      </c>
      <c r="CK153">
        <f>IFERROR(INDEX(PP_Grid[#Data],$DD153,87),0)</f>
        <v/>
      </c>
      <c r="CL153">
        <f>IFERROR(INDEX(PP_Grid[#Data],$DD153,88),0)</f>
        <v/>
      </c>
      <c r="CM153">
        <f>IFERROR(INDEX(PP_Grid[#Data],$DD153,89),0)</f>
        <v/>
      </c>
      <c r="CN153">
        <f>IFERROR(INDEX(PP_Grid[#Data],$DD153,90),0)</f>
        <v/>
      </c>
      <c r="CO153">
        <f>IFERROR(INDEX(PP_Grid[#Data],$DD153,91),0)</f>
        <v/>
      </c>
      <c r="CP153">
        <f>IFERROR(INDEX(PP_Grid[#Data],$DD153,92),0)</f>
        <v/>
      </c>
      <c r="CQ153">
        <f>IFERROR(INDEX(PP_Grid[#Data],$DD153,93),0)</f>
        <v/>
      </c>
      <c r="CR153">
        <f>IFERROR(INDEX(PP_Grid[#Data],$DD153,94),0)</f>
        <v/>
      </c>
      <c r="CS153">
        <f>IFERROR(INDEX(PP_Grid[#Data],$DD153,95),0)</f>
        <v/>
      </c>
      <c r="CT153">
        <f>IFERROR(INDEX(PP_Grid[#Data],$DD153,96),0)</f>
        <v/>
      </c>
      <c r="CU153">
        <f>IFERROR(INDEX(PP_Grid[#Data],$DD153,97),0)</f>
        <v/>
      </c>
      <c r="CV153">
        <f>IFERROR(INDEX(PP_Grid[#Data],$DD153,98),0)</f>
        <v/>
      </c>
      <c r="CW153">
        <f>IFERROR(INDEX(PP_Grid[#Data],$DD153,99),0)</f>
        <v/>
      </c>
      <c r="CX153">
        <f>IFERROR(INDEX(PP_Grid[#Data],$DD153,100),0)</f>
        <v/>
      </c>
      <c r="CY153">
        <f>IFERROR(INDEX(PP_Grid[#Data],$DD153,101),0)</f>
        <v/>
      </c>
      <c r="CZ153">
        <f>IFERROR(INDEX(PP_Grid[#Data],$DD153,102),0)</f>
        <v/>
      </c>
      <c r="DA153">
        <f>IFERROR(INDEX(PP_Grid[#Data],$DD153,103),0)</f>
        <v/>
      </c>
      <c r="DB153">
        <f>IFERROR(INDEX(PP_Grid[#Data],$DD153,104),0)</f>
        <v/>
      </c>
      <c r="DC153">
        <f>IFERROR(INDEX(PP_Grid[#Data],$DD153,105),0)</f>
        <v/>
      </c>
      <c r="DD153" s="7">
        <f>IFERROR(MATCH($B153,PP_Grid[Intermediate],0),99999)</f>
        <v/>
      </c>
    </row>
    <row r="154">
      <c r="B154" t="inlineStr">
        <is>
          <t>使用量(kg)</t>
        </is>
      </c>
      <c r="C154">
        <f>SUMIFS(M_BOM[RM_Qty_Per_Batch],M_BOM[Intermediate],$B153,M_BOM[Part Name],$A44)</f>
        <v/>
      </c>
      <c r="D154">
        <f>$C154*D153</f>
        <v/>
      </c>
      <c r="E154">
        <f>$C154*E153</f>
        <v/>
      </c>
      <c r="F154">
        <f>$C154*F153</f>
        <v/>
      </c>
      <c r="G154">
        <f>$C154*G153</f>
        <v/>
      </c>
      <c r="H154">
        <f>$C154*H153</f>
        <v/>
      </c>
      <c r="I154">
        <f>$C154*I153</f>
        <v/>
      </c>
      <c r="J154">
        <f>$C154*J153</f>
        <v/>
      </c>
      <c r="K154">
        <f>$C154*K153</f>
        <v/>
      </c>
      <c r="L154">
        <f>$C154*L153</f>
        <v/>
      </c>
      <c r="M154">
        <f>$C154*M153</f>
        <v/>
      </c>
      <c r="N154">
        <f>$C154*N153</f>
        <v/>
      </c>
      <c r="O154">
        <f>$C154*O153</f>
        <v/>
      </c>
      <c r="P154">
        <f>$C154*P153</f>
        <v/>
      </c>
      <c r="Q154">
        <f>$C154*Q153</f>
        <v/>
      </c>
      <c r="R154">
        <f>$C154*R153</f>
        <v/>
      </c>
      <c r="S154">
        <f>$C154*S153</f>
        <v/>
      </c>
      <c r="T154">
        <f>$C154*T153</f>
        <v/>
      </c>
      <c r="U154">
        <f>$C154*U153</f>
        <v/>
      </c>
      <c r="V154">
        <f>$C154*V153</f>
        <v/>
      </c>
      <c r="W154">
        <f>$C154*W153</f>
        <v/>
      </c>
      <c r="X154">
        <f>$C154*X153</f>
        <v/>
      </c>
      <c r="Y154">
        <f>$C154*Y153</f>
        <v/>
      </c>
      <c r="Z154">
        <f>$C154*Z153</f>
        <v/>
      </c>
      <c r="AA154">
        <f>$C154*AA153</f>
        <v/>
      </c>
      <c r="AB154">
        <f>$C154*AB153</f>
        <v/>
      </c>
      <c r="AC154">
        <f>$C154*AC153</f>
        <v/>
      </c>
      <c r="AD154">
        <f>$C154*AD153</f>
        <v/>
      </c>
      <c r="AE154">
        <f>$C154*AE153</f>
        <v/>
      </c>
      <c r="AF154">
        <f>$C154*AF153</f>
        <v/>
      </c>
      <c r="AG154">
        <f>$C154*AG153</f>
        <v/>
      </c>
      <c r="AH154">
        <f>$C154*AH153</f>
        <v/>
      </c>
      <c r="AI154">
        <f>$C154*AI153</f>
        <v/>
      </c>
      <c r="AJ154">
        <f>$C154*AJ153</f>
        <v/>
      </c>
      <c r="AK154">
        <f>$C154*AK153</f>
        <v/>
      </c>
      <c r="AL154">
        <f>$C154*AL153</f>
        <v/>
      </c>
      <c r="AM154">
        <f>$C154*AM153</f>
        <v/>
      </c>
      <c r="AN154">
        <f>$C154*AN153</f>
        <v/>
      </c>
      <c r="AO154">
        <f>$C154*AO153</f>
        <v/>
      </c>
      <c r="AP154">
        <f>$C154*AP153</f>
        <v/>
      </c>
      <c r="AQ154">
        <f>$C154*AQ153</f>
        <v/>
      </c>
      <c r="AR154">
        <f>$C154*AR153</f>
        <v/>
      </c>
      <c r="AS154">
        <f>$C154*AS153</f>
        <v/>
      </c>
      <c r="AT154">
        <f>$C154*AT153</f>
        <v/>
      </c>
      <c r="AU154">
        <f>$C154*AU153</f>
        <v/>
      </c>
      <c r="AV154">
        <f>$C154*AV153</f>
        <v/>
      </c>
      <c r="AW154">
        <f>$C154*AW153</f>
        <v/>
      </c>
      <c r="AX154">
        <f>$C154*AX153</f>
        <v/>
      </c>
      <c r="AY154">
        <f>$C154*AY153</f>
        <v/>
      </c>
      <c r="AZ154">
        <f>$C154*AZ153</f>
        <v/>
      </c>
      <c r="BA154">
        <f>$C154*BA153</f>
        <v/>
      </c>
      <c r="BB154">
        <f>$C154*BB153</f>
        <v/>
      </c>
      <c r="BC154">
        <f>$C154*BC153</f>
        <v/>
      </c>
      <c r="BD154">
        <f>$C154*BD153</f>
        <v/>
      </c>
      <c r="BE154">
        <f>$C154*BE153</f>
        <v/>
      </c>
      <c r="BF154">
        <f>$C154*BF153</f>
        <v/>
      </c>
      <c r="BG154">
        <f>$C154*BG153</f>
        <v/>
      </c>
      <c r="BH154">
        <f>$C154*BH153</f>
        <v/>
      </c>
      <c r="BI154">
        <f>$C154*BI153</f>
        <v/>
      </c>
      <c r="BJ154">
        <f>$C154*BJ153</f>
        <v/>
      </c>
      <c r="BK154">
        <f>$C154*BK153</f>
        <v/>
      </c>
      <c r="BL154">
        <f>$C154*BL153</f>
        <v/>
      </c>
      <c r="BM154">
        <f>$C154*BM153</f>
        <v/>
      </c>
      <c r="BN154">
        <f>$C154*BN153</f>
        <v/>
      </c>
      <c r="BO154">
        <f>$C154*BO153</f>
        <v/>
      </c>
      <c r="BP154">
        <f>$C154*BP153</f>
        <v/>
      </c>
      <c r="BQ154">
        <f>$C154*BQ153</f>
        <v/>
      </c>
      <c r="BR154">
        <f>$C154*BR153</f>
        <v/>
      </c>
      <c r="BS154">
        <f>$C154*BS153</f>
        <v/>
      </c>
      <c r="BT154">
        <f>$C154*BT153</f>
        <v/>
      </c>
      <c r="BU154">
        <f>$C154*BU153</f>
        <v/>
      </c>
      <c r="BV154">
        <f>$C154*BV153</f>
        <v/>
      </c>
      <c r="BW154">
        <f>$C154*BW153</f>
        <v/>
      </c>
      <c r="BX154">
        <f>$C154*BX153</f>
        <v/>
      </c>
      <c r="BY154">
        <f>$C154*BY153</f>
        <v/>
      </c>
      <c r="BZ154">
        <f>$C154*BZ153</f>
        <v/>
      </c>
      <c r="CA154">
        <f>$C154*CA153</f>
        <v/>
      </c>
      <c r="CB154">
        <f>$C154*CB153</f>
        <v/>
      </c>
      <c r="CC154">
        <f>$C154*CC153</f>
        <v/>
      </c>
      <c r="CD154">
        <f>$C154*CD153</f>
        <v/>
      </c>
      <c r="CE154">
        <f>$C154*CE153</f>
        <v/>
      </c>
      <c r="CF154">
        <f>$C154*CF153</f>
        <v/>
      </c>
      <c r="CG154">
        <f>$C154*CG153</f>
        <v/>
      </c>
      <c r="CH154">
        <f>$C154*CH153</f>
        <v/>
      </c>
      <c r="CI154">
        <f>$C154*CI153</f>
        <v/>
      </c>
      <c r="CJ154">
        <f>$C154*CJ153</f>
        <v/>
      </c>
      <c r="CK154">
        <f>$C154*CK153</f>
        <v/>
      </c>
      <c r="CL154">
        <f>$C154*CL153</f>
        <v/>
      </c>
      <c r="CM154">
        <f>$C154*CM153</f>
        <v/>
      </c>
      <c r="CN154">
        <f>$C154*CN153</f>
        <v/>
      </c>
      <c r="CO154">
        <f>$C154*CO153</f>
        <v/>
      </c>
      <c r="CP154">
        <f>$C154*CP153</f>
        <v/>
      </c>
      <c r="CQ154">
        <f>$C154*CQ153</f>
        <v/>
      </c>
      <c r="CR154">
        <f>$C154*CR153</f>
        <v/>
      </c>
      <c r="CS154">
        <f>$C154*CS153</f>
        <v/>
      </c>
      <c r="CT154">
        <f>$C154*CT153</f>
        <v/>
      </c>
      <c r="CU154">
        <f>$C154*CU153</f>
        <v/>
      </c>
      <c r="CV154">
        <f>$C154*CV153</f>
        <v/>
      </c>
      <c r="CW154">
        <f>$C154*CW153</f>
        <v/>
      </c>
      <c r="CX154">
        <f>$C154*CX153</f>
        <v/>
      </c>
      <c r="CY154">
        <f>$C154*CY153</f>
        <v/>
      </c>
      <c r="CZ154">
        <f>$C154*CZ153</f>
        <v/>
      </c>
      <c r="DA154">
        <f>$C154*DA153</f>
        <v/>
      </c>
      <c r="DB154">
        <f>$C154*DB153</f>
        <v/>
      </c>
      <c r="DC154">
        <f>$C154*DC153</f>
        <v/>
      </c>
    </row>
    <row r="155">
      <c r="B155" t="inlineStr">
        <is>
          <t>TSP-1448</t>
        </is>
      </c>
      <c r="C155" t="inlineStr">
        <is>
          <t>No. of batches</t>
        </is>
      </c>
      <c r="D155">
        <f>IFERROR(INDEX(PP_Grid[#Data],$DD155,2),0)</f>
        <v/>
      </c>
      <c r="E155">
        <f>IFERROR(INDEX(PP_Grid[#Data],$DD155,3),0)</f>
        <v/>
      </c>
      <c r="F155">
        <f>IFERROR(INDEX(PP_Grid[#Data],$DD155,4),0)</f>
        <v/>
      </c>
      <c r="G155">
        <f>IFERROR(INDEX(PP_Grid[#Data],$DD155,5),0)</f>
        <v/>
      </c>
      <c r="H155">
        <f>IFERROR(INDEX(PP_Grid[#Data],$DD155,6),0)</f>
        <v/>
      </c>
      <c r="I155">
        <f>IFERROR(INDEX(PP_Grid[#Data],$DD155,7),0)</f>
        <v/>
      </c>
      <c r="J155">
        <f>IFERROR(INDEX(PP_Grid[#Data],$DD155,8),0)</f>
        <v/>
      </c>
      <c r="K155">
        <f>IFERROR(INDEX(PP_Grid[#Data],$DD155,9),0)</f>
        <v/>
      </c>
      <c r="L155">
        <f>IFERROR(INDEX(PP_Grid[#Data],$DD155,10),0)</f>
        <v/>
      </c>
      <c r="M155">
        <f>IFERROR(INDEX(PP_Grid[#Data],$DD155,11),0)</f>
        <v/>
      </c>
      <c r="N155">
        <f>IFERROR(INDEX(PP_Grid[#Data],$DD155,12),0)</f>
        <v/>
      </c>
      <c r="O155">
        <f>IFERROR(INDEX(PP_Grid[#Data],$DD155,13),0)</f>
        <v/>
      </c>
      <c r="P155">
        <f>IFERROR(INDEX(PP_Grid[#Data],$DD155,14),0)</f>
        <v/>
      </c>
      <c r="Q155">
        <f>IFERROR(INDEX(PP_Grid[#Data],$DD155,15),0)</f>
        <v/>
      </c>
      <c r="R155">
        <f>IFERROR(INDEX(PP_Grid[#Data],$DD155,16),0)</f>
        <v/>
      </c>
      <c r="S155">
        <f>IFERROR(INDEX(PP_Grid[#Data],$DD155,17),0)</f>
        <v/>
      </c>
      <c r="T155">
        <f>IFERROR(INDEX(PP_Grid[#Data],$DD155,18),0)</f>
        <v/>
      </c>
      <c r="U155">
        <f>IFERROR(INDEX(PP_Grid[#Data],$DD155,19),0)</f>
        <v/>
      </c>
      <c r="V155">
        <f>IFERROR(INDEX(PP_Grid[#Data],$DD155,20),0)</f>
        <v/>
      </c>
      <c r="W155">
        <f>IFERROR(INDEX(PP_Grid[#Data],$DD155,21),0)</f>
        <v/>
      </c>
      <c r="X155">
        <f>IFERROR(INDEX(PP_Grid[#Data],$DD155,22),0)</f>
        <v/>
      </c>
      <c r="Y155">
        <f>IFERROR(INDEX(PP_Grid[#Data],$DD155,23),0)</f>
        <v/>
      </c>
      <c r="Z155">
        <f>IFERROR(INDEX(PP_Grid[#Data],$DD155,24),0)</f>
        <v/>
      </c>
      <c r="AA155">
        <f>IFERROR(INDEX(PP_Grid[#Data],$DD155,25),0)</f>
        <v/>
      </c>
      <c r="AB155">
        <f>IFERROR(INDEX(PP_Grid[#Data],$DD155,26),0)</f>
        <v/>
      </c>
      <c r="AC155">
        <f>IFERROR(INDEX(PP_Grid[#Data],$DD155,27),0)</f>
        <v/>
      </c>
      <c r="AD155">
        <f>IFERROR(INDEX(PP_Grid[#Data],$DD155,28),0)</f>
        <v/>
      </c>
      <c r="AE155">
        <f>IFERROR(INDEX(PP_Grid[#Data],$DD155,29),0)</f>
        <v/>
      </c>
      <c r="AF155">
        <f>IFERROR(INDEX(PP_Grid[#Data],$DD155,30),0)</f>
        <v/>
      </c>
      <c r="AG155">
        <f>IFERROR(INDEX(PP_Grid[#Data],$DD155,31),0)</f>
        <v/>
      </c>
      <c r="AH155">
        <f>IFERROR(INDEX(PP_Grid[#Data],$DD155,32),0)</f>
        <v/>
      </c>
      <c r="AI155">
        <f>IFERROR(INDEX(PP_Grid[#Data],$DD155,33),0)</f>
        <v/>
      </c>
      <c r="AJ155">
        <f>IFERROR(INDEX(PP_Grid[#Data],$DD155,34),0)</f>
        <v/>
      </c>
      <c r="AK155">
        <f>IFERROR(INDEX(PP_Grid[#Data],$DD155,35),0)</f>
        <v/>
      </c>
      <c r="AL155">
        <f>IFERROR(INDEX(PP_Grid[#Data],$DD155,36),0)</f>
        <v/>
      </c>
      <c r="AM155">
        <f>IFERROR(INDEX(PP_Grid[#Data],$DD155,37),0)</f>
        <v/>
      </c>
      <c r="AN155">
        <f>IFERROR(INDEX(PP_Grid[#Data],$DD155,38),0)</f>
        <v/>
      </c>
      <c r="AO155">
        <f>IFERROR(INDEX(PP_Grid[#Data],$DD155,39),0)</f>
        <v/>
      </c>
      <c r="AP155">
        <f>IFERROR(INDEX(PP_Grid[#Data],$DD155,40),0)</f>
        <v/>
      </c>
      <c r="AQ155">
        <f>IFERROR(INDEX(PP_Grid[#Data],$DD155,41),0)</f>
        <v/>
      </c>
      <c r="AR155">
        <f>IFERROR(INDEX(PP_Grid[#Data],$DD155,42),0)</f>
        <v/>
      </c>
      <c r="AS155">
        <f>IFERROR(INDEX(PP_Grid[#Data],$DD155,43),0)</f>
        <v/>
      </c>
      <c r="AT155">
        <f>IFERROR(INDEX(PP_Grid[#Data],$DD155,44),0)</f>
        <v/>
      </c>
      <c r="AU155">
        <f>IFERROR(INDEX(PP_Grid[#Data],$DD155,45),0)</f>
        <v/>
      </c>
      <c r="AV155">
        <f>IFERROR(INDEX(PP_Grid[#Data],$DD155,46),0)</f>
        <v/>
      </c>
      <c r="AW155">
        <f>IFERROR(INDEX(PP_Grid[#Data],$DD155,47),0)</f>
        <v/>
      </c>
      <c r="AX155">
        <f>IFERROR(INDEX(PP_Grid[#Data],$DD155,48),0)</f>
        <v/>
      </c>
      <c r="AY155">
        <f>IFERROR(INDEX(PP_Grid[#Data],$DD155,49),0)</f>
        <v/>
      </c>
      <c r="AZ155">
        <f>IFERROR(INDEX(PP_Grid[#Data],$DD155,50),0)</f>
        <v/>
      </c>
      <c r="BA155">
        <f>IFERROR(INDEX(PP_Grid[#Data],$DD155,51),0)</f>
        <v/>
      </c>
      <c r="BB155">
        <f>IFERROR(INDEX(PP_Grid[#Data],$DD155,52),0)</f>
        <v/>
      </c>
      <c r="BC155">
        <f>IFERROR(INDEX(PP_Grid[#Data],$DD155,53),0)</f>
        <v/>
      </c>
      <c r="BD155">
        <f>IFERROR(INDEX(PP_Grid[#Data],$DD155,54),0)</f>
        <v/>
      </c>
      <c r="BE155">
        <f>IFERROR(INDEX(PP_Grid[#Data],$DD155,55),0)</f>
        <v/>
      </c>
      <c r="BF155">
        <f>IFERROR(INDEX(PP_Grid[#Data],$DD155,56),0)</f>
        <v/>
      </c>
      <c r="BG155">
        <f>IFERROR(INDEX(PP_Grid[#Data],$DD155,57),0)</f>
        <v/>
      </c>
      <c r="BH155">
        <f>IFERROR(INDEX(PP_Grid[#Data],$DD155,58),0)</f>
        <v/>
      </c>
      <c r="BI155">
        <f>IFERROR(INDEX(PP_Grid[#Data],$DD155,59),0)</f>
        <v/>
      </c>
      <c r="BJ155">
        <f>IFERROR(INDEX(PP_Grid[#Data],$DD155,60),0)</f>
        <v/>
      </c>
      <c r="BK155">
        <f>IFERROR(INDEX(PP_Grid[#Data],$DD155,61),0)</f>
        <v/>
      </c>
      <c r="BL155">
        <f>IFERROR(INDEX(PP_Grid[#Data],$DD155,62),0)</f>
        <v/>
      </c>
      <c r="BM155">
        <f>IFERROR(INDEX(PP_Grid[#Data],$DD155,63),0)</f>
        <v/>
      </c>
      <c r="BN155">
        <f>IFERROR(INDEX(PP_Grid[#Data],$DD155,64),0)</f>
        <v/>
      </c>
      <c r="BO155">
        <f>IFERROR(INDEX(PP_Grid[#Data],$DD155,65),0)</f>
        <v/>
      </c>
      <c r="BP155">
        <f>IFERROR(INDEX(PP_Grid[#Data],$DD155,66),0)</f>
        <v/>
      </c>
      <c r="BQ155">
        <f>IFERROR(INDEX(PP_Grid[#Data],$DD155,67),0)</f>
        <v/>
      </c>
      <c r="BR155">
        <f>IFERROR(INDEX(PP_Grid[#Data],$DD155,68),0)</f>
        <v/>
      </c>
      <c r="BS155">
        <f>IFERROR(INDEX(PP_Grid[#Data],$DD155,69),0)</f>
        <v/>
      </c>
      <c r="BT155">
        <f>IFERROR(INDEX(PP_Grid[#Data],$DD155,70),0)</f>
        <v/>
      </c>
      <c r="BU155">
        <f>IFERROR(INDEX(PP_Grid[#Data],$DD155,71),0)</f>
        <v/>
      </c>
      <c r="BV155">
        <f>IFERROR(INDEX(PP_Grid[#Data],$DD155,72),0)</f>
        <v/>
      </c>
      <c r="BW155">
        <f>IFERROR(INDEX(PP_Grid[#Data],$DD155,73),0)</f>
        <v/>
      </c>
      <c r="BX155">
        <f>IFERROR(INDEX(PP_Grid[#Data],$DD155,74),0)</f>
        <v/>
      </c>
      <c r="BY155">
        <f>IFERROR(INDEX(PP_Grid[#Data],$DD155,75),0)</f>
        <v/>
      </c>
      <c r="BZ155">
        <f>IFERROR(INDEX(PP_Grid[#Data],$DD155,76),0)</f>
        <v/>
      </c>
      <c r="CA155">
        <f>IFERROR(INDEX(PP_Grid[#Data],$DD155,77),0)</f>
        <v/>
      </c>
      <c r="CB155">
        <f>IFERROR(INDEX(PP_Grid[#Data],$DD155,78),0)</f>
        <v/>
      </c>
      <c r="CC155">
        <f>IFERROR(INDEX(PP_Grid[#Data],$DD155,79),0)</f>
        <v/>
      </c>
      <c r="CD155">
        <f>IFERROR(INDEX(PP_Grid[#Data],$DD155,80),0)</f>
        <v/>
      </c>
      <c r="CE155">
        <f>IFERROR(INDEX(PP_Grid[#Data],$DD155,81),0)</f>
        <v/>
      </c>
      <c r="CF155">
        <f>IFERROR(INDEX(PP_Grid[#Data],$DD155,82),0)</f>
        <v/>
      </c>
      <c r="CG155">
        <f>IFERROR(INDEX(PP_Grid[#Data],$DD155,83),0)</f>
        <v/>
      </c>
      <c r="CH155">
        <f>IFERROR(INDEX(PP_Grid[#Data],$DD155,84),0)</f>
        <v/>
      </c>
      <c r="CI155">
        <f>IFERROR(INDEX(PP_Grid[#Data],$DD155,85),0)</f>
        <v/>
      </c>
      <c r="CJ155">
        <f>IFERROR(INDEX(PP_Grid[#Data],$DD155,86),0)</f>
        <v/>
      </c>
      <c r="CK155">
        <f>IFERROR(INDEX(PP_Grid[#Data],$DD155,87),0)</f>
        <v/>
      </c>
      <c r="CL155">
        <f>IFERROR(INDEX(PP_Grid[#Data],$DD155,88),0)</f>
        <v/>
      </c>
      <c r="CM155">
        <f>IFERROR(INDEX(PP_Grid[#Data],$DD155,89),0)</f>
        <v/>
      </c>
      <c r="CN155">
        <f>IFERROR(INDEX(PP_Grid[#Data],$DD155,90),0)</f>
        <v/>
      </c>
      <c r="CO155">
        <f>IFERROR(INDEX(PP_Grid[#Data],$DD155,91),0)</f>
        <v/>
      </c>
      <c r="CP155">
        <f>IFERROR(INDEX(PP_Grid[#Data],$DD155,92),0)</f>
        <v/>
      </c>
      <c r="CQ155">
        <f>IFERROR(INDEX(PP_Grid[#Data],$DD155,93),0)</f>
        <v/>
      </c>
      <c r="CR155">
        <f>IFERROR(INDEX(PP_Grid[#Data],$DD155,94),0)</f>
        <v/>
      </c>
      <c r="CS155">
        <f>IFERROR(INDEX(PP_Grid[#Data],$DD155,95),0)</f>
        <v/>
      </c>
      <c r="CT155">
        <f>IFERROR(INDEX(PP_Grid[#Data],$DD155,96),0)</f>
        <v/>
      </c>
      <c r="CU155">
        <f>IFERROR(INDEX(PP_Grid[#Data],$DD155,97),0)</f>
        <v/>
      </c>
      <c r="CV155">
        <f>IFERROR(INDEX(PP_Grid[#Data],$DD155,98),0)</f>
        <v/>
      </c>
      <c r="CW155">
        <f>IFERROR(INDEX(PP_Grid[#Data],$DD155,99),0)</f>
        <v/>
      </c>
      <c r="CX155">
        <f>IFERROR(INDEX(PP_Grid[#Data],$DD155,100),0)</f>
        <v/>
      </c>
      <c r="CY155">
        <f>IFERROR(INDEX(PP_Grid[#Data],$DD155,101),0)</f>
        <v/>
      </c>
      <c r="CZ155">
        <f>IFERROR(INDEX(PP_Grid[#Data],$DD155,102),0)</f>
        <v/>
      </c>
      <c r="DA155">
        <f>IFERROR(INDEX(PP_Grid[#Data],$DD155,103),0)</f>
        <v/>
      </c>
      <c r="DB155">
        <f>IFERROR(INDEX(PP_Grid[#Data],$DD155,104),0)</f>
        <v/>
      </c>
      <c r="DC155">
        <f>IFERROR(INDEX(PP_Grid[#Data],$DD155,105),0)</f>
        <v/>
      </c>
      <c r="DD155" s="7">
        <f>IFERROR(MATCH($B155,PP_Grid[Intermediate],0),99999)</f>
        <v/>
      </c>
    </row>
    <row r="156">
      <c r="B156" t="inlineStr">
        <is>
          <t>使用量(kg)</t>
        </is>
      </c>
      <c r="C156">
        <f>SUMIFS(M_BOM[RM_Qty_Per_Batch],M_BOM[Intermediate],$B155,M_BOM[Part Name],$A44)</f>
        <v/>
      </c>
      <c r="D156">
        <f>$C156*D155</f>
        <v/>
      </c>
      <c r="E156">
        <f>$C156*E155</f>
        <v/>
      </c>
      <c r="F156">
        <f>$C156*F155</f>
        <v/>
      </c>
      <c r="G156">
        <f>$C156*G155</f>
        <v/>
      </c>
      <c r="H156">
        <f>$C156*H155</f>
        <v/>
      </c>
      <c r="I156">
        <f>$C156*I155</f>
        <v/>
      </c>
      <c r="J156">
        <f>$C156*J155</f>
        <v/>
      </c>
      <c r="K156">
        <f>$C156*K155</f>
        <v/>
      </c>
      <c r="L156">
        <f>$C156*L155</f>
        <v/>
      </c>
      <c r="M156">
        <f>$C156*M155</f>
        <v/>
      </c>
      <c r="N156">
        <f>$C156*N155</f>
        <v/>
      </c>
      <c r="O156">
        <f>$C156*O155</f>
        <v/>
      </c>
      <c r="P156">
        <f>$C156*P155</f>
        <v/>
      </c>
      <c r="Q156">
        <f>$C156*Q155</f>
        <v/>
      </c>
      <c r="R156">
        <f>$C156*R155</f>
        <v/>
      </c>
      <c r="S156">
        <f>$C156*S155</f>
        <v/>
      </c>
      <c r="T156">
        <f>$C156*T155</f>
        <v/>
      </c>
      <c r="U156">
        <f>$C156*U155</f>
        <v/>
      </c>
      <c r="V156">
        <f>$C156*V155</f>
        <v/>
      </c>
      <c r="W156">
        <f>$C156*W155</f>
        <v/>
      </c>
      <c r="X156">
        <f>$C156*X155</f>
        <v/>
      </c>
      <c r="Y156">
        <f>$C156*Y155</f>
        <v/>
      </c>
      <c r="Z156">
        <f>$C156*Z155</f>
        <v/>
      </c>
      <c r="AA156">
        <f>$C156*AA155</f>
        <v/>
      </c>
      <c r="AB156">
        <f>$C156*AB155</f>
        <v/>
      </c>
      <c r="AC156">
        <f>$C156*AC155</f>
        <v/>
      </c>
      <c r="AD156">
        <f>$C156*AD155</f>
        <v/>
      </c>
      <c r="AE156">
        <f>$C156*AE155</f>
        <v/>
      </c>
      <c r="AF156">
        <f>$C156*AF155</f>
        <v/>
      </c>
      <c r="AG156">
        <f>$C156*AG155</f>
        <v/>
      </c>
      <c r="AH156">
        <f>$C156*AH155</f>
        <v/>
      </c>
      <c r="AI156">
        <f>$C156*AI155</f>
        <v/>
      </c>
      <c r="AJ156">
        <f>$C156*AJ155</f>
        <v/>
      </c>
      <c r="AK156">
        <f>$C156*AK155</f>
        <v/>
      </c>
      <c r="AL156">
        <f>$C156*AL155</f>
        <v/>
      </c>
      <c r="AM156">
        <f>$C156*AM155</f>
        <v/>
      </c>
      <c r="AN156">
        <f>$C156*AN155</f>
        <v/>
      </c>
      <c r="AO156">
        <f>$C156*AO155</f>
        <v/>
      </c>
      <c r="AP156">
        <f>$C156*AP155</f>
        <v/>
      </c>
      <c r="AQ156">
        <f>$C156*AQ155</f>
        <v/>
      </c>
      <c r="AR156">
        <f>$C156*AR155</f>
        <v/>
      </c>
      <c r="AS156">
        <f>$C156*AS155</f>
        <v/>
      </c>
      <c r="AT156">
        <f>$C156*AT155</f>
        <v/>
      </c>
      <c r="AU156">
        <f>$C156*AU155</f>
        <v/>
      </c>
      <c r="AV156">
        <f>$C156*AV155</f>
        <v/>
      </c>
      <c r="AW156">
        <f>$C156*AW155</f>
        <v/>
      </c>
      <c r="AX156">
        <f>$C156*AX155</f>
        <v/>
      </c>
      <c r="AY156">
        <f>$C156*AY155</f>
        <v/>
      </c>
      <c r="AZ156">
        <f>$C156*AZ155</f>
        <v/>
      </c>
      <c r="BA156">
        <f>$C156*BA155</f>
        <v/>
      </c>
      <c r="BB156">
        <f>$C156*BB155</f>
        <v/>
      </c>
      <c r="BC156">
        <f>$C156*BC155</f>
        <v/>
      </c>
      <c r="BD156">
        <f>$C156*BD155</f>
        <v/>
      </c>
      <c r="BE156">
        <f>$C156*BE155</f>
        <v/>
      </c>
      <c r="BF156">
        <f>$C156*BF155</f>
        <v/>
      </c>
      <c r="BG156">
        <f>$C156*BG155</f>
        <v/>
      </c>
      <c r="BH156">
        <f>$C156*BH155</f>
        <v/>
      </c>
      <c r="BI156">
        <f>$C156*BI155</f>
        <v/>
      </c>
      <c r="BJ156">
        <f>$C156*BJ155</f>
        <v/>
      </c>
      <c r="BK156">
        <f>$C156*BK155</f>
        <v/>
      </c>
      <c r="BL156">
        <f>$C156*BL155</f>
        <v/>
      </c>
      <c r="BM156">
        <f>$C156*BM155</f>
        <v/>
      </c>
      <c r="BN156">
        <f>$C156*BN155</f>
        <v/>
      </c>
      <c r="BO156">
        <f>$C156*BO155</f>
        <v/>
      </c>
      <c r="BP156">
        <f>$C156*BP155</f>
        <v/>
      </c>
      <c r="BQ156">
        <f>$C156*BQ155</f>
        <v/>
      </c>
      <c r="BR156">
        <f>$C156*BR155</f>
        <v/>
      </c>
      <c r="BS156">
        <f>$C156*BS155</f>
        <v/>
      </c>
      <c r="BT156">
        <f>$C156*BT155</f>
        <v/>
      </c>
      <c r="BU156">
        <f>$C156*BU155</f>
        <v/>
      </c>
      <c r="BV156">
        <f>$C156*BV155</f>
        <v/>
      </c>
      <c r="BW156">
        <f>$C156*BW155</f>
        <v/>
      </c>
      <c r="BX156">
        <f>$C156*BX155</f>
        <v/>
      </c>
      <c r="BY156">
        <f>$C156*BY155</f>
        <v/>
      </c>
      <c r="BZ156">
        <f>$C156*BZ155</f>
        <v/>
      </c>
      <c r="CA156">
        <f>$C156*CA155</f>
        <v/>
      </c>
      <c r="CB156">
        <f>$C156*CB155</f>
        <v/>
      </c>
      <c r="CC156">
        <f>$C156*CC155</f>
        <v/>
      </c>
      <c r="CD156">
        <f>$C156*CD155</f>
        <v/>
      </c>
      <c r="CE156">
        <f>$C156*CE155</f>
        <v/>
      </c>
      <c r="CF156">
        <f>$C156*CF155</f>
        <v/>
      </c>
      <c r="CG156">
        <f>$C156*CG155</f>
        <v/>
      </c>
      <c r="CH156">
        <f>$C156*CH155</f>
        <v/>
      </c>
      <c r="CI156">
        <f>$C156*CI155</f>
        <v/>
      </c>
      <c r="CJ156">
        <f>$C156*CJ155</f>
        <v/>
      </c>
      <c r="CK156">
        <f>$C156*CK155</f>
        <v/>
      </c>
      <c r="CL156">
        <f>$C156*CL155</f>
        <v/>
      </c>
      <c r="CM156">
        <f>$C156*CM155</f>
        <v/>
      </c>
      <c r="CN156">
        <f>$C156*CN155</f>
        <v/>
      </c>
      <c r="CO156">
        <f>$C156*CO155</f>
        <v/>
      </c>
      <c r="CP156">
        <f>$C156*CP155</f>
        <v/>
      </c>
      <c r="CQ156">
        <f>$C156*CQ155</f>
        <v/>
      </c>
      <c r="CR156">
        <f>$C156*CR155</f>
        <v/>
      </c>
      <c r="CS156">
        <f>$C156*CS155</f>
        <v/>
      </c>
      <c r="CT156">
        <f>$C156*CT155</f>
        <v/>
      </c>
      <c r="CU156">
        <f>$C156*CU155</f>
        <v/>
      </c>
      <c r="CV156">
        <f>$C156*CV155</f>
        <v/>
      </c>
      <c r="CW156">
        <f>$C156*CW155</f>
        <v/>
      </c>
      <c r="CX156">
        <f>$C156*CX155</f>
        <v/>
      </c>
      <c r="CY156">
        <f>$C156*CY155</f>
        <v/>
      </c>
      <c r="CZ156">
        <f>$C156*CZ155</f>
        <v/>
      </c>
      <c r="DA156">
        <f>$C156*DA155</f>
        <v/>
      </c>
      <c r="DB156">
        <f>$C156*DB155</f>
        <v/>
      </c>
      <c r="DC156">
        <f>$C156*DC155</f>
        <v/>
      </c>
    </row>
    <row r="157">
      <c r="B157" t="inlineStr">
        <is>
          <t>TSP-1445</t>
        </is>
      </c>
      <c r="C157" t="inlineStr">
        <is>
          <t>No. of batches</t>
        </is>
      </c>
      <c r="D157">
        <f>IFERROR(INDEX(PP_Grid[#Data],$DD157,2),0)</f>
        <v/>
      </c>
      <c r="E157">
        <f>IFERROR(INDEX(PP_Grid[#Data],$DD157,3),0)</f>
        <v/>
      </c>
      <c r="F157">
        <f>IFERROR(INDEX(PP_Grid[#Data],$DD157,4),0)</f>
        <v/>
      </c>
      <c r="G157">
        <f>IFERROR(INDEX(PP_Grid[#Data],$DD157,5),0)</f>
        <v/>
      </c>
      <c r="H157">
        <f>IFERROR(INDEX(PP_Grid[#Data],$DD157,6),0)</f>
        <v/>
      </c>
      <c r="I157">
        <f>IFERROR(INDEX(PP_Grid[#Data],$DD157,7),0)</f>
        <v/>
      </c>
      <c r="J157">
        <f>IFERROR(INDEX(PP_Grid[#Data],$DD157,8),0)</f>
        <v/>
      </c>
      <c r="K157">
        <f>IFERROR(INDEX(PP_Grid[#Data],$DD157,9),0)</f>
        <v/>
      </c>
      <c r="L157">
        <f>IFERROR(INDEX(PP_Grid[#Data],$DD157,10),0)</f>
        <v/>
      </c>
      <c r="M157">
        <f>IFERROR(INDEX(PP_Grid[#Data],$DD157,11),0)</f>
        <v/>
      </c>
      <c r="N157">
        <f>IFERROR(INDEX(PP_Grid[#Data],$DD157,12),0)</f>
        <v/>
      </c>
      <c r="O157">
        <f>IFERROR(INDEX(PP_Grid[#Data],$DD157,13),0)</f>
        <v/>
      </c>
      <c r="P157">
        <f>IFERROR(INDEX(PP_Grid[#Data],$DD157,14),0)</f>
        <v/>
      </c>
      <c r="Q157">
        <f>IFERROR(INDEX(PP_Grid[#Data],$DD157,15),0)</f>
        <v/>
      </c>
      <c r="R157">
        <f>IFERROR(INDEX(PP_Grid[#Data],$DD157,16),0)</f>
        <v/>
      </c>
      <c r="S157">
        <f>IFERROR(INDEX(PP_Grid[#Data],$DD157,17),0)</f>
        <v/>
      </c>
      <c r="T157">
        <f>IFERROR(INDEX(PP_Grid[#Data],$DD157,18),0)</f>
        <v/>
      </c>
      <c r="U157">
        <f>IFERROR(INDEX(PP_Grid[#Data],$DD157,19),0)</f>
        <v/>
      </c>
      <c r="V157">
        <f>IFERROR(INDEX(PP_Grid[#Data],$DD157,20),0)</f>
        <v/>
      </c>
      <c r="W157">
        <f>IFERROR(INDEX(PP_Grid[#Data],$DD157,21),0)</f>
        <v/>
      </c>
      <c r="X157">
        <f>IFERROR(INDEX(PP_Grid[#Data],$DD157,22),0)</f>
        <v/>
      </c>
      <c r="Y157">
        <f>IFERROR(INDEX(PP_Grid[#Data],$DD157,23),0)</f>
        <v/>
      </c>
      <c r="Z157">
        <f>IFERROR(INDEX(PP_Grid[#Data],$DD157,24),0)</f>
        <v/>
      </c>
      <c r="AA157">
        <f>IFERROR(INDEX(PP_Grid[#Data],$DD157,25),0)</f>
        <v/>
      </c>
      <c r="AB157">
        <f>IFERROR(INDEX(PP_Grid[#Data],$DD157,26),0)</f>
        <v/>
      </c>
      <c r="AC157">
        <f>IFERROR(INDEX(PP_Grid[#Data],$DD157,27),0)</f>
        <v/>
      </c>
      <c r="AD157">
        <f>IFERROR(INDEX(PP_Grid[#Data],$DD157,28),0)</f>
        <v/>
      </c>
      <c r="AE157">
        <f>IFERROR(INDEX(PP_Grid[#Data],$DD157,29),0)</f>
        <v/>
      </c>
      <c r="AF157">
        <f>IFERROR(INDEX(PP_Grid[#Data],$DD157,30),0)</f>
        <v/>
      </c>
      <c r="AG157">
        <f>IFERROR(INDEX(PP_Grid[#Data],$DD157,31),0)</f>
        <v/>
      </c>
      <c r="AH157">
        <f>IFERROR(INDEX(PP_Grid[#Data],$DD157,32),0)</f>
        <v/>
      </c>
      <c r="AI157">
        <f>IFERROR(INDEX(PP_Grid[#Data],$DD157,33),0)</f>
        <v/>
      </c>
      <c r="AJ157">
        <f>IFERROR(INDEX(PP_Grid[#Data],$DD157,34),0)</f>
        <v/>
      </c>
      <c r="AK157">
        <f>IFERROR(INDEX(PP_Grid[#Data],$DD157,35),0)</f>
        <v/>
      </c>
      <c r="AL157">
        <f>IFERROR(INDEX(PP_Grid[#Data],$DD157,36),0)</f>
        <v/>
      </c>
      <c r="AM157">
        <f>IFERROR(INDEX(PP_Grid[#Data],$DD157,37),0)</f>
        <v/>
      </c>
      <c r="AN157">
        <f>IFERROR(INDEX(PP_Grid[#Data],$DD157,38),0)</f>
        <v/>
      </c>
      <c r="AO157">
        <f>IFERROR(INDEX(PP_Grid[#Data],$DD157,39),0)</f>
        <v/>
      </c>
      <c r="AP157">
        <f>IFERROR(INDEX(PP_Grid[#Data],$DD157,40),0)</f>
        <v/>
      </c>
      <c r="AQ157">
        <f>IFERROR(INDEX(PP_Grid[#Data],$DD157,41),0)</f>
        <v/>
      </c>
      <c r="AR157">
        <f>IFERROR(INDEX(PP_Grid[#Data],$DD157,42),0)</f>
        <v/>
      </c>
      <c r="AS157">
        <f>IFERROR(INDEX(PP_Grid[#Data],$DD157,43),0)</f>
        <v/>
      </c>
      <c r="AT157">
        <f>IFERROR(INDEX(PP_Grid[#Data],$DD157,44),0)</f>
        <v/>
      </c>
      <c r="AU157">
        <f>IFERROR(INDEX(PP_Grid[#Data],$DD157,45),0)</f>
        <v/>
      </c>
      <c r="AV157">
        <f>IFERROR(INDEX(PP_Grid[#Data],$DD157,46),0)</f>
        <v/>
      </c>
      <c r="AW157">
        <f>IFERROR(INDEX(PP_Grid[#Data],$DD157,47),0)</f>
        <v/>
      </c>
      <c r="AX157">
        <f>IFERROR(INDEX(PP_Grid[#Data],$DD157,48),0)</f>
        <v/>
      </c>
      <c r="AY157">
        <f>IFERROR(INDEX(PP_Grid[#Data],$DD157,49),0)</f>
        <v/>
      </c>
      <c r="AZ157">
        <f>IFERROR(INDEX(PP_Grid[#Data],$DD157,50),0)</f>
        <v/>
      </c>
      <c r="BA157">
        <f>IFERROR(INDEX(PP_Grid[#Data],$DD157,51),0)</f>
        <v/>
      </c>
      <c r="BB157">
        <f>IFERROR(INDEX(PP_Grid[#Data],$DD157,52),0)</f>
        <v/>
      </c>
      <c r="BC157">
        <f>IFERROR(INDEX(PP_Grid[#Data],$DD157,53),0)</f>
        <v/>
      </c>
      <c r="BD157">
        <f>IFERROR(INDEX(PP_Grid[#Data],$DD157,54),0)</f>
        <v/>
      </c>
      <c r="BE157">
        <f>IFERROR(INDEX(PP_Grid[#Data],$DD157,55),0)</f>
        <v/>
      </c>
      <c r="BF157">
        <f>IFERROR(INDEX(PP_Grid[#Data],$DD157,56),0)</f>
        <v/>
      </c>
      <c r="BG157">
        <f>IFERROR(INDEX(PP_Grid[#Data],$DD157,57),0)</f>
        <v/>
      </c>
      <c r="BH157">
        <f>IFERROR(INDEX(PP_Grid[#Data],$DD157,58),0)</f>
        <v/>
      </c>
      <c r="BI157">
        <f>IFERROR(INDEX(PP_Grid[#Data],$DD157,59),0)</f>
        <v/>
      </c>
      <c r="BJ157">
        <f>IFERROR(INDEX(PP_Grid[#Data],$DD157,60),0)</f>
        <v/>
      </c>
      <c r="BK157">
        <f>IFERROR(INDEX(PP_Grid[#Data],$DD157,61),0)</f>
        <v/>
      </c>
      <c r="BL157">
        <f>IFERROR(INDEX(PP_Grid[#Data],$DD157,62),0)</f>
        <v/>
      </c>
      <c r="BM157">
        <f>IFERROR(INDEX(PP_Grid[#Data],$DD157,63),0)</f>
        <v/>
      </c>
      <c r="BN157">
        <f>IFERROR(INDEX(PP_Grid[#Data],$DD157,64),0)</f>
        <v/>
      </c>
      <c r="BO157">
        <f>IFERROR(INDEX(PP_Grid[#Data],$DD157,65),0)</f>
        <v/>
      </c>
      <c r="BP157">
        <f>IFERROR(INDEX(PP_Grid[#Data],$DD157,66),0)</f>
        <v/>
      </c>
      <c r="BQ157">
        <f>IFERROR(INDEX(PP_Grid[#Data],$DD157,67),0)</f>
        <v/>
      </c>
      <c r="BR157">
        <f>IFERROR(INDEX(PP_Grid[#Data],$DD157,68),0)</f>
        <v/>
      </c>
      <c r="BS157">
        <f>IFERROR(INDEX(PP_Grid[#Data],$DD157,69),0)</f>
        <v/>
      </c>
      <c r="BT157">
        <f>IFERROR(INDEX(PP_Grid[#Data],$DD157,70),0)</f>
        <v/>
      </c>
      <c r="BU157">
        <f>IFERROR(INDEX(PP_Grid[#Data],$DD157,71),0)</f>
        <v/>
      </c>
      <c r="BV157">
        <f>IFERROR(INDEX(PP_Grid[#Data],$DD157,72),0)</f>
        <v/>
      </c>
      <c r="BW157">
        <f>IFERROR(INDEX(PP_Grid[#Data],$DD157,73),0)</f>
        <v/>
      </c>
      <c r="BX157">
        <f>IFERROR(INDEX(PP_Grid[#Data],$DD157,74),0)</f>
        <v/>
      </c>
      <c r="BY157">
        <f>IFERROR(INDEX(PP_Grid[#Data],$DD157,75),0)</f>
        <v/>
      </c>
      <c r="BZ157">
        <f>IFERROR(INDEX(PP_Grid[#Data],$DD157,76),0)</f>
        <v/>
      </c>
      <c r="CA157">
        <f>IFERROR(INDEX(PP_Grid[#Data],$DD157,77),0)</f>
        <v/>
      </c>
      <c r="CB157">
        <f>IFERROR(INDEX(PP_Grid[#Data],$DD157,78),0)</f>
        <v/>
      </c>
      <c r="CC157">
        <f>IFERROR(INDEX(PP_Grid[#Data],$DD157,79),0)</f>
        <v/>
      </c>
      <c r="CD157">
        <f>IFERROR(INDEX(PP_Grid[#Data],$DD157,80),0)</f>
        <v/>
      </c>
      <c r="CE157">
        <f>IFERROR(INDEX(PP_Grid[#Data],$DD157,81),0)</f>
        <v/>
      </c>
      <c r="CF157">
        <f>IFERROR(INDEX(PP_Grid[#Data],$DD157,82),0)</f>
        <v/>
      </c>
      <c r="CG157">
        <f>IFERROR(INDEX(PP_Grid[#Data],$DD157,83),0)</f>
        <v/>
      </c>
      <c r="CH157">
        <f>IFERROR(INDEX(PP_Grid[#Data],$DD157,84),0)</f>
        <v/>
      </c>
      <c r="CI157">
        <f>IFERROR(INDEX(PP_Grid[#Data],$DD157,85),0)</f>
        <v/>
      </c>
      <c r="CJ157">
        <f>IFERROR(INDEX(PP_Grid[#Data],$DD157,86),0)</f>
        <v/>
      </c>
      <c r="CK157">
        <f>IFERROR(INDEX(PP_Grid[#Data],$DD157,87),0)</f>
        <v/>
      </c>
      <c r="CL157">
        <f>IFERROR(INDEX(PP_Grid[#Data],$DD157,88),0)</f>
        <v/>
      </c>
      <c r="CM157">
        <f>IFERROR(INDEX(PP_Grid[#Data],$DD157,89),0)</f>
        <v/>
      </c>
      <c r="CN157">
        <f>IFERROR(INDEX(PP_Grid[#Data],$DD157,90),0)</f>
        <v/>
      </c>
      <c r="CO157">
        <f>IFERROR(INDEX(PP_Grid[#Data],$DD157,91),0)</f>
        <v/>
      </c>
      <c r="CP157">
        <f>IFERROR(INDEX(PP_Grid[#Data],$DD157,92),0)</f>
        <v/>
      </c>
      <c r="CQ157">
        <f>IFERROR(INDEX(PP_Grid[#Data],$DD157,93),0)</f>
        <v/>
      </c>
      <c r="CR157">
        <f>IFERROR(INDEX(PP_Grid[#Data],$DD157,94),0)</f>
        <v/>
      </c>
      <c r="CS157">
        <f>IFERROR(INDEX(PP_Grid[#Data],$DD157,95),0)</f>
        <v/>
      </c>
      <c r="CT157">
        <f>IFERROR(INDEX(PP_Grid[#Data],$DD157,96),0)</f>
        <v/>
      </c>
      <c r="CU157">
        <f>IFERROR(INDEX(PP_Grid[#Data],$DD157,97),0)</f>
        <v/>
      </c>
      <c r="CV157">
        <f>IFERROR(INDEX(PP_Grid[#Data],$DD157,98),0)</f>
        <v/>
      </c>
      <c r="CW157">
        <f>IFERROR(INDEX(PP_Grid[#Data],$DD157,99),0)</f>
        <v/>
      </c>
      <c r="CX157">
        <f>IFERROR(INDEX(PP_Grid[#Data],$DD157,100),0)</f>
        <v/>
      </c>
      <c r="CY157">
        <f>IFERROR(INDEX(PP_Grid[#Data],$DD157,101),0)</f>
        <v/>
      </c>
      <c r="CZ157">
        <f>IFERROR(INDEX(PP_Grid[#Data],$DD157,102),0)</f>
        <v/>
      </c>
      <c r="DA157">
        <f>IFERROR(INDEX(PP_Grid[#Data],$DD157,103),0)</f>
        <v/>
      </c>
      <c r="DB157">
        <f>IFERROR(INDEX(PP_Grid[#Data],$DD157,104),0)</f>
        <v/>
      </c>
      <c r="DC157">
        <f>IFERROR(INDEX(PP_Grid[#Data],$DD157,105),0)</f>
        <v/>
      </c>
      <c r="DD157" s="7">
        <f>IFERROR(MATCH($B157,PP_Grid[Intermediate],0),99999)</f>
        <v/>
      </c>
    </row>
    <row r="158">
      <c r="B158" t="inlineStr">
        <is>
          <t>使用量(kg)</t>
        </is>
      </c>
      <c r="C158">
        <f>SUMIFS(M_BOM[RM_Qty_Per_Batch],M_BOM[Intermediate],$B157,M_BOM[Part Name],$A44)</f>
        <v/>
      </c>
      <c r="D158">
        <f>$C158*D157</f>
        <v/>
      </c>
      <c r="E158">
        <f>$C158*E157</f>
        <v/>
      </c>
      <c r="F158">
        <f>$C158*F157</f>
        <v/>
      </c>
      <c r="G158">
        <f>$C158*G157</f>
        <v/>
      </c>
      <c r="H158">
        <f>$C158*H157</f>
        <v/>
      </c>
      <c r="I158">
        <f>$C158*I157</f>
        <v/>
      </c>
      <c r="J158">
        <f>$C158*J157</f>
        <v/>
      </c>
      <c r="K158">
        <f>$C158*K157</f>
        <v/>
      </c>
      <c r="L158">
        <f>$C158*L157</f>
        <v/>
      </c>
      <c r="M158">
        <f>$C158*M157</f>
        <v/>
      </c>
      <c r="N158">
        <f>$C158*N157</f>
        <v/>
      </c>
      <c r="O158">
        <f>$C158*O157</f>
        <v/>
      </c>
      <c r="P158">
        <f>$C158*P157</f>
        <v/>
      </c>
      <c r="Q158">
        <f>$C158*Q157</f>
        <v/>
      </c>
      <c r="R158">
        <f>$C158*R157</f>
        <v/>
      </c>
      <c r="S158">
        <f>$C158*S157</f>
        <v/>
      </c>
      <c r="T158">
        <f>$C158*T157</f>
        <v/>
      </c>
      <c r="U158">
        <f>$C158*U157</f>
        <v/>
      </c>
      <c r="V158">
        <f>$C158*V157</f>
        <v/>
      </c>
      <c r="W158">
        <f>$C158*W157</f>
        <v/>
      </c>
      <c r="X158">
        <f>$C158*X157</f>
        <v/>
      </c>
      <c r="Y158">
        <f>$C158*Y157</f>
        <v/>
      </c>
      <c r="Z158">
        <f>$C158*Z157</f>
        <v/>
      </c>
      <c r="AA158">
        <f>$C158*AA157</f>
        <v/>
      </c>
      <c r="AB158">
        <f>$C158*AB157</f>
        <v/>
      </c>
      <c r="AC158">
        <f>$C158*AC157</f>
        <v/>
      </c>
      <c r="AD158">
        <f>$C158*AD157</f>
        <v/>
      </c>
      <c r="AE158">
        <f>$C158*AE157</f>
        <v/>
      </c>
      <c r="AF158">
        <f>$C158*AF157</f>
        <v/>
      </c>
      <c r="AG158">
        <f>$C158*AG157</f>
        <v/>
      </c>
      <c r="AH158">
        <f>$C158*AH157</f>
        <v/>
      </c>
      <c r="AI158">
        <f>$C158*AI157</f>
        <v/>
      </c>
      <c r="AJ158">
        <f>$C158*AJ157</f>
        <v/>
      </c>
      <c r="AK158">
        <f>$C158*AK157</f>
        <v/>
      </c>
      <c r="AL158">
        <f>$C158*AL157</f>
        <v/>
      </c>
      <c r="AM158">
        <f>$C158*AM157</f>
        <v/>
      </c>
      <c r="AN158">
        <f>$C158*AN157</f>
        <v/>
      </c>
      <c r="AO158">
        <f>$C158*AO157</f>
        <v/>
      </c>
      <c r="AP158">
        <f>$C158*AP157</f>
        <v/>
      </c>
      <c r="AQ158">
        <f>$C158*AQ157</f>
        <v/>
      </c>
      <c r="AR158">
        <f>$C158*AR157</f>
        <v/>
      </c>
      <c r="AS158">
        <f>$C158*AS157</f>
        <v/>
      </c>
      <c r="AT158">
        <f>$C158*AT157</f>
        <v/>
      </c>
      <c r="AU158">
        <f>$C158*AU157</f>
        <v/>
      </c>
      <c r="AV158">
        <f>$C158*AV157</f>
        <v/>
      </c>
      <c r="AW158">
        <f>$C158*AW157</f>
        <v/>
      </c>
      <c r="AX158">
        <f>$C158*AX157</f>
        <v/>
      </c>
      <c r="AY158">
        <f>$C158*AY157</f>
        <v/>
      </c>
      <c r="AZ158">
        <f>$C158*AZ157</f>
        <v/>
      </c>
      <c r="BA158">
        <f>$C158*BA157</f>
        <v/>
      </c>
      <c r="BB158">
        <f>$C158*BB157</f>
        <v/>
      </c>
      <c r="BC158">
        <f>$C158*BC157</f>
        <v/>
      </c>
      <c r="BD158">
        <f>$C158*BD157</f>
        <v/>
      </c>
      <c r="BE158">
        <f>$C158*BE157</f>
        <v/>
      </c>
      <c r="BF158">
        <f>$C158*BF157</f>
        <v/>
      </c>
      <c r="BG158">
        <f>$C158*BG157</f>
        <v/>
      </c>
      <c r="BH158">
        <f>$C158*BH157</f>
        <v/>
      </c>
      <c r="BI158">
        <f>$C158*BI157</f>
        <v/>
      </c>
      <c r="BJ158">
        <f>$C158*BJ157</f>
        <v/>
      </c>
      <c r="BK158">
        <f>$C158*BK157</f>
        <v/>
      </c>
      <c r="BL158">
        <f>$C158*BL157</f>
        <v/>
      </c>
      <c r="BM158">
        <f>$C158*BM157</f>
        <v/>
      </c>
      <c r="BN158">
        <f>$C158*BN157</f>
        <v/>
      </c>
      <c r="BO158">
        <f>$C158*BO157</f>
        <v/>
      </c>
      <c r="BP158">
        <f>$C158*BP157</f>
        <v/>
      </c>
      <c r="BQ158">
        <f>$C158*BQ157</f>
        <v/>
      </c>
      <c r="BR158">
        <f>$C158*BR157</f>
        <v/>
      </c>
      <c r="BS158">
        <f>$C158*BS157</f>
        <v/>
      </c>
      <c r="BT158">
        <f>$C158*BT157</f>
        <v/>
      </c>
      <c r="BU158">
        <f>$C158*BU157</f>
        <v/>
      </c>
      <c r="BV158">
        <f>$C158*BV157</f>
        <v/>
      </c>
      <c r="BW158">
        <f>$C158*BW157</f>
        <v/>
      </c>
      <c r="BX158">
        <f>$C158*BX157</f>
        <v/>
      </c>
      <c r="BY158">
        <f>$C158*BY157</f>
        <v/>
      </c>
      <c r="BZ158">
        <f>$C158*BZ157</f>
        <v/>
      </c>
      <c r="CA158">
        <f>$C158*CA157</f>
        <v/>
      </c>
      <c r="CB158">
        <f>$C158*CB157</f>
        <v/>
      </c>
      <c r="CC158">
        <f>$C158*CC157</f>
        <v/>
      </c>
      <c r="CD158">
        <f>$C158*CD157</f>
        <v/>
      </c>
      <c r="CE158">
        <f>$C158*CE157</f>
        <v/>
      </c>
      <c r="CF158">
        <f>$C158*CF157</f>
        <v/>
      </c>
      <c r="CG158">
        <f>$C158*CG157</f>
        <v/>
      </c>
      <c r="CH158">
        <f>$C158*CH157</f>
        <v/>
      </c>
      <c r="CI158">
        <f>$C158*CI157</f>
        <v/>
      </c>
      <c r="CJ158">
        <f>$C158*CJ157</f>
        <v/>
      </c>
      <c r="CK158">
        <f>$C158*CK157</f>
        <v/>
      </c>
      <c r="CL158">
        <f>$C158*CL157</f>
        <v/>
      </c>
      <c r="CM158">
        <f>$C158*CM157</f>
        <v/>
      </c>
      <c r="CN158">
        <f>$C158*CN157</f>
        <v/>
      </c>
      <c r="CO158">
        <f>$C158*CO157</f>
        <v/>
      </c>
      <c r="CP158">
        <f>$C158*CP157</f>
        <v/>
      </c>
      <c r="CQ158">
        <f>$C158*CQ157</f>
        <v/>
      </c>
      <c r="CR158">
        <f>$C158*CR157</f>
        <v/>
      </c>
      <c r="CS158">
        <f>$C158*CS157</f>
        <v/>
      </c>
      <c r="CT158">
        <f>$C158*CT157</f>
        <v/>
      </c>
      <c r="CU158">
        <f>$C158*CU157</f>
        <v/>
      </c>
      <c r="CV158">
        <f>$C158*CV157</f>
        <v/>
      </c>
      <c r="CW158">
        <f>$C158*CW157</f>
        <v/>
      </c>
      <c r="CX158">
        <f>$C158*CX157</f>
        <v/>
      </c>
      <c r="CY158">
        <f>$C158*CY157</f>
        <v/>
      </c>
      <c r="CZ158">
        <f>$C158*CZ157</f>
        <v/>
      </c>
      <c r="DA158">
        <f>$C158*DA157</f>
        <v/>
      </c>
      <c r="DB158">
        <f>$C158*DB157</f>
        <v/>
      </c>
      <c r="DC158">
        <f>$C158*DC157</f>
        <v/>
      </c>
    </row>
    <row r="159">
      <c r="B159" t="inlineStr">
        <is>
          <t>TSP-1446</t>
        </is>
      </c>
      <c r="C159" t="inlineStr">
        <is>
          <t>No. of batches</t>
        </is>
      </c>
      <c r="D159">
        <f>IFERROR(INDEX(PP_Grid[#Data],$DD159,2),0)</f>
        <v/>
      </c>
      <c r="E159">
        <f>IFERROR(INDEX(PP_Grid[#Data],$DD159,3),0)</f>
        <v/>
      </c>
      <c r="F159">
        <f>IFERROR(INDEX(PP_Grid[#Data],$DD159,4),0)</f>
        <v/>
      </c>
      <c r="G159">
        <f>IFERROR(INDEX(PP_Grid[#Data],$DD159,5),0)</f>
        <v/>
      </c>
      <c r="H159">
        <f>IFERROR(INDEX(PP_Grid[#Data],$DD159,6),0)</f>
        <v/>
      </c>
      <c r="I159">
        <f>IFERROR(INDEX(PP_Grid[#Data],$DD159,7),0)</f>
        <v/>
      </c>
      <c r="J159">
        <f>IFERROR(INDEX(PP_Grid[#Data],$DD159,8),0)</f>
        <v/>
      </c>
      <c r="K159">
        <f>IFERROR(INDEX(PP_Grid[#Data],$DD159,9),0)</f>
        <v/>
      </c>
      <c r="L159">
        <f>IFERROR(INDEX(PP_Grid[#Data],$DD159,10),0)</f>
        <v/>
      </c>
      <c r="M159">
        <f>IFERROR(INDEX(PP_Grid[#Data],$DD159,11),0)</f>
        <v/>
      </c>
      <c r="N159">
        <f>IFERROR(INDEX(PP_Grid[#Data],$DD159,12),0)</f>
        <v/>
      </c>
      <c r="O159">
        <f>IFERROR(INDEX(PP_Grid[#Data],$DD159,13),0)</f>
        <v/>
      </c>
      <c r="P159">
        <f>IFERROR(INDEX(PP_Grid[#Data],$DD159,14),0)</f>
        <v/>
      </c>
      <c r="Q159">
        <f>IFERROR(INDEX(PP_Grid[#Data],$DD159,15),0)</f>
        <v/>
      </c>
      <c r="R159">
        <f>IFERROR(INDEX(PP_Grid[#Data],$DD159,16),0)</f>
        <v/>
      </c>
      <c r="S159">
        <f>IFERROR(INDEX(PP_Grid[#Data],$DD159,17),0)</f>
        <v/>
      </c>
      <c r="T159">
        <f>IFERROR(INDEX(PP_Grid[#Data],$DD159,18),0)</f>
        <v/>
      </c>
      <c r="U159">
        <f>IFERROR(INDEX(PP_Grid[#Data],$DD159,19),0)</f>
        <v/>
      </c>
      <c r="V159">
        <f>IFERROR(INDEX(PP_Grid[#Data],$DD159,20),0)</f>
        <v/>
      </c>
      <c r="W159">
        <f>IFERROR(INDEX(PP_Grid[#Data],$DD159,21),0)</f>
        <v/>
      </c>
      <c r="X159">
        <f>IFERROR(INDEX(PP_Grid[#Data],$DD159,22),0)</f>
        <v/>
      </c>
      <c r="Y159">
        <f>IFERROR(INDEX(PP_Grid[#Data],$DD159,23),0)</f>
        <v/>
      </c>
      <c r="Z159">
        <f>IFERROR(INDEX(PP_Grid[#Data],$DD159,24),0)</f>
        <v/>
      </c>
      <c r="AA159">
        <f>IFERROR(INDEX(PP_Grid[#Data],$DD159,25),0)</f>
        <v/>
      </c>
      <c r="AB159">
        <f>IFERROR(INDEX(PP_Grid[#Data],$DD159,26),0)</f>
        <v/>
      </c>
      <c r="AC159">
        <f>IFERROR(INDEX(PP_Grid[#Data],$DD159,27),0)</f>
        <v/>
      </c>
      <c r="AD159">
        <f>IFERROR(INDEX(PP_Grid[#Data],$DD159,28),0)</f>
        <v/>
      </c>
      <c r="AE159">
        <f>IFERROR(INDEX(PP_Grid[#Data],$DD159,29),0)</f>
        <v/>
      </c>
      <c r="AF159">
        <f>IFERROR(INDEX(PP_Grid[#Data],$DD159,30),0)</f>
        <v/>
      </c>
      <c r="AG159">
        <f>IFERROR(INDEX(PP_Grid[#Data],$DD159,31),0)</f>
        <v/>
      </c>
      <c r="AH159">
        <f>IFERROR(INDEX(PP_Grid[#Data],$DD159,32),0)</f>
        <v/>
      </c>
      <c r="AI159">
        <f>IFERROR(INDEX(PP_Grid[#Data],$DD159,33),0)</f>
        <v/>
      </c>
      <c r="AJ159">
        <f>IFERROR(INDEX(PP_Grid[#Data],$DD159,34),0)</f>
        <v/>
      </c>
      <c r="AK159">
        <f>IFERROR(INDEX(PP_Grid[#Data],$DD159,35),0)</f>
        <v/>
      </c>
      <c r="AL159">
        <f>IFERROR(INDEX(PP_Grid[#Data],$DD159,36),0)</f>
        <v/>
      </c>
      <c r="AM159">
        <f>IFERROR(INDEX(PP_Grid[#Data],$DD159,37),0)</f>
        <v/>
      </c>
      <c r="AN159">
        <f>IFERROR(INDEX(PP_Grid[#Data],$DD159,38),0)</f>
        <v/>
      </c>
      <c r="AO159">
        <f>IFERROR(INDEX(PP_Grid[#Data],$DD159,39),0)</f>
        <v/>
      </c>
      <c r="AP159">
        <f>IFERROR(INDEX(PP_Grid[#Data],$DD159,40),0)</f>
        <v/>
      </c>
      <c r="AQ159">
        <f>IFERROR(INDEX(PP_Grid[#Data],$DD159,41),0)</f>
        <v/>
      </c>
      <c r="AR159">
        <f>IFERROR(INDEX(PP_Grid[#Data],$DD159,42),0)</f>
        <v/>
      </c>
      <c r="AS159">
        <f>IFERROR(INDEX(PP_Grid[#Data],$DD159,43),0)</f>
        <v/>
      </c>
      <c r="AT159">
        <f>IFERROR(INDEX(PP_Grid[#Data],$DD159,44),0)</f>
        <v/>
      </c>
      <c r="AU159">
        <f>IFERROR(INDEX(PP_Grid[#Data],$DD159,45),0)</f>
        <v/>
      </c>
      <c r="AV159">
        <f>IFERROR(INDEX(PP_Grid[#Data],$DD159,46),0)</f>
        <v/>
      </c>
      <c r="AW159">
        <f>IFERROR(INDEX(PP_Grid[#Data],$DD159,47),0)</f>
        <v/>
      </c>
      <c r="AX159">
        <f>IFERROR(INDEX(PP_Grid[#Data],$DD159,48),0)</f>
        <v/>
      </c>
      <c r="AY159">
        <f>IFERROR(INDEX(PP_Grid[#Data],$DD159,49),0)</f>
        <v/>
      </c>
      <c r="AZ159">
        <f>IFERROR(INDEX(PP_Grid[#Data],$DD159,50),0)</f>
        <v/>
      </c>
      <c r="BA159">
        <f>IFERROR(INDEX(PP_Grid[#Data],$DD159,51),0)</f>
        <v/>
      </c>
      <c r="BB159">
        <f>IFERROR(INDEX(PP_Grid[#Data],$DD159,52),0)</f>
        <v/>
      </c>
      <c r="BC159">
        <f>IFERROR(INDEX(PP_Grid[#Data],$DD159,53),0)</f>
        <v/>
      </c>
      <c r="BD159">
        <f>IFERROR(INDEX(PP_Grid[#Data],$DD159,54),0)</f>
        <v/>
      </c>
      <c r="BE159">
        <f>IFERROR(INDEX(PP_Grid[#Data],$DD159,55),0)</f>
        <v/>
      </c>
      <c r="BF159">
        <f>IFERROR(INDEX(PP_Grid[#Data],$DD159,56),0)</f>
        <v/>
      </c>
      <c r="BG159">
        <f>IFERROR(INDEX(PP_Grid[#Data],$DD159,57),0)</f>
        <v/>
      </c>
      <c r="BH159">
        <f>IFERROR(INDEX(PP_Grid[#Data],$DD159,58),0)</f>
        <v/>
      </c>
      <c r="BI159">
        <f>IFERROR(INDEX(PP_Grid[#Data],$DD159,59),0)</f>
        <v/>
      </c>
      <c r="BJ159">
        <f>IFERROR(INDEX(PP_Grid[#Data],$DD159,60),0)</f>
        <v/>
      </c>
      <c r="BK159">
        <f>IFERROR(INDEX(PP_Grid[#Data],$DD159,61),0)</f>
        <v/>
      </c>
      <c r="BL159">
        <f>IFERROR(INDEX(PP_Grid[#Data],$DD159,62),0)</f>
        <v/>
      </c>
      <c r="BM159">
        <f>IFERROR(INDEX(PP_Grid[#Data],$DD159,63),0)</f>
        <v/>
      </c>
      <c r="BN159">
        <f>IFERROR(INDEX(PP_Grid[#Data],$DD159,64),0)</f>
        <v/>
      </c>
      <c r="BO159">
        <f>IFERROR(INDEX(PP_Grid[#Data],$DD159,65),0)</f>
        <v/>
      </c>
      <c r="BP159">
        <f>IFERROR(INDEX(PP_Grid[#Data],$DD159,66),0)</f>
        <v/>
      </c>
      <c r="BQ159">
        <f>IFERROR(INDEX(PP_Grid[#Data],$DD159,67),0)</f>
        <v/>
      </c>
      <c r="BR159">
        <f>IFERROR(INDEX(PP_Grid[#Data],$DD159,68),0)</f>
        <v/>
      </c>
      <c r="BS159">
        <f>IFERROR(INDEX(PP_Grid[#Data],$DD159,69),0)</f>
        <v/>
      </c>
      <c r="BT159">
        <f>IFERROR(INDEX(PP_Grid[#Data],$DD159,70),0)</f>
        <v/>
      </c>
      <c r="BU159">
        <f>IFERROR(INDEX(PP_Grid[#Data],$DD159,71),0)</f>
        <v/>
      </c>
      <c r="BV159">
        <f>IFERROR(INDEX(PP_Grid[#Data],$DD159,72),0)</f>
        <v/>
      </c>
      <c r="BW159">
        <f>IFERROR(INDEX(PP_Grid[#Data],$DD159,73),0)</f>
        <v/>
      </c>
      <c r="BX159">
        <f>IFERROR(INDEX(PP_Grid[#Data],$DD159,74),0)</f>
        <v/>
      </c>
      <c r="BY159">
        <f>IFERROR(INDEX(PP_Grid[#Data],$DD159,75),0)</f>
        <v/>
      </c>
      <c r="BZ159">
        <f>IFERROR(INDEX(PP_Grid[#Data],$DD159,76),0)</f>
        <v/>
      </c>
      <c r="CA159">
        <f>IFERROR(INDEX(PP_Grid[#Data],$DD159,77),0)</f>
        <v/>
      </c>
      <c r="CB159">
        <f>IFERROR(INDEX(PP_Grid[#Data],$DD159,78),0)</f>
        <v/>
      </c>
      <c r="CC159">
        <f>IFERROR(INDEX(PP_Grid[#Data],$DD159,79),0)</f>
        <v/>
      </c>
      <c r="CD159">
        <f>IFERROR(INDEX(PP_Grid[#Data],$DD159,80),0)</f>
        <v/>
      </c>
      <c r="CE159">
        <f>IFERROR(INDEX(PP_Grid[#Data],$DD159,81),0)</f>
        <v/>
      </c>
      <c r="CF159">
        <f>IFERROR(INDEX(PP_Grid[#Data],$DD159,82),0)</f>
        <v/>
      </c>
      <c r="CG159">
        <f>IFERROR(INDEX(PP_Grid[#Data],$DD159,83),0)</f>
        <v/>
      </c>
      <c r="CH159">
        <f>IFERROR(INDEX(PP_Grid[#Data],$DD159,84),0)</f>
        <v/>
      </c>
      <c r="CI159">
        <f>IFERROR(INDEX(PP_Grid[#Data],$DD159,85),0)</f>
        <v/>
      </c>
      <c r="CJ159">
        <f>IFERROR(INDEX(PP_Grid[#Data],$DD159,86),0)</f>
        <v/>
      </c>
      <c r="CK159">
        <f>IFERROR(INDEX(PP_Grid[#Data],$DD159,87),0)</f>
        <v/>
      </c>
      <c r="CL159">
        <f>IFERROR(INDEX(PP_Grid[#Data],$DD159,88),0)</f>
        <v/>
      </c>
      <c r="CM159">
        <f>IFERROR(INDEX(PP_Grid[#Data],$DD159,89),0)</f>
        <v/>
      </c>
      <c r="CN159">
        <f>IFERROR(INDEX(PP_Grid[#Data],$DD159,90),0)</f>
        <v/>
      </c>
      <c r="CO159">
        <f>IFERROR(INDEX(PP_Grid[#Data],$DD159,91),0)</f>
        <v/>
      </c>
      <c r="CP159">
        <f>IFERROR(INDEX(PP_Grid[#Data],$DD159,92),0)</f>
        <v/>
      </c>
      <c r="CQ159">
        <f>IFERROR(INDEX(PP_Grid[#Data],$DD159,93),0)</f>
        <v/>
      </c>
      <c r="CR159">
        <f>IFERROR(INDEX(PP_Grid[#Data],$DD159,94),0)</f>
        <v/>
      </c>
      <c r="CS159">
        <f>IFERROR(INDEX(PP_Grid[#Data],$DD159,95),0)</f>
        <v/>
      </c>
      <c r="CT159">
        <f>IFERROR(INDEX(PP_Grid[#Data],$DD159,96),0)</f>
        <v/>
      </c>
      <c r="CU159">
        <f>IFERROR(INDEX(PP_Grid[#Data],$DD159,97),0)</f>
        <v/>
      </c>
      <c r="CV159">
        <f>IFERROR(INDEX(PP_Grid[#Data],$DD159,98),0)</f>
        <v/>
      </c>
      <c r="CW159">
        <f>IFERROR(INDEX(PP_Grid[#Data],$DD159,99),0)</f>
        <v/>
      </c>
      <c r="CX159">
        <f>IFERROR(INDEX(PP_Grid[#Data],$DD159,100),0)</f>
        <v/>
      </c>
      <c r="CY159">
        <f>IFERROR(INDEX(PP_Grid[#Data],$DD159,101),0)</f>
        <v/>
      </c>
      <c r="CZ159">
        <f>IFERROR(INDEX(PP_Grid[#Data],$DD159,102),0)</f>
        <v/>
      </c>
      <c r="DA159">
        <f>IFERROR(INDEX(PP_Grid[#Data],$DD159,103),0)</f>
        <v/>
      </c>
      <c r="DB159">
        <f>IFERROR(INDEX(PP_Grid[#Data],$DD159,104),0)</f>
        <v/>
      </c>
      <c r="DC159">
        <f>IFERROR(INDEX(PP_Grid[#Data],$DD159,105),0)</f>
        <v/>
      </c>
      <c r="DD159" s="7">
        <f>IFERROR(MATCH($B159,PP_Grid[Intermediate],0),99999)</f>
        <v/>
      </c>
    </row>
    <row r="160">
      <c r="B160" t="inlineStr">
        <is>
          <t>使用量(kg)</t>
        </is>
      </c>
      <c r="C160">
        <f>SUMIFS(M_BOM[RM_Qty_Per_Batch],M_BOM[Intermediate],$B159,M_BOM[Part Name],$A44)</f>
        <v/>
      </c>
      <c r="D160">
        <f>$C160*D159</f>
        <v/>
      </c>
      <c r="E160">
        <f>$C160*E159</f>
        <v/>
      </c>
      <c r="F160">
        <f>$C160*F159</f>
        <v/>
      </c>
      <c r="G160">
        <f>$C160*G159</f>
        <v/>
      </c>
      <c r="H160">
        <f>$C160*H159</f>
        <v/>
      </c>
      <c r="I160">
        <f>$C160*I159</f>
        <v/>
      </c>
      <c r="J160">
        <f>$C160*J159</f>
        <v/>
      </c>
      <c r="K160">
        <f>$C160*K159</f>
        <v/>
      </c>
      <c r="L160">
        <f>$C160*L159</f>
        <v/>
      </c>
      <c r="M160">
        <f>$C160*M159</f>
        <v/>
      </c>
      <c r="N160">
        <f>$C160*N159</f>
        <v/>
      </c>
      <c r="O160">
        <f>$C160*O159</f>
        <v/>
      </c>
      <c r="P160">
        <f>$C160*P159</f>
        <v/>
      </c>
      <c r="Q160">
        <f>$C160*Q159</f>
        <v/>
      </c>
      <c r="R160">
        <f>$C160*R159</f>
        <v/>
      </c>
      <c r="S160">
        <f>$C160*S159</f>
        <v/>
      </c>
      <c r="T160">
        <f>$C160*T159</f>
        <v/>
      </c>
      <c r="U160">
        <f>$C160*U159</f>
        <v/>
      </c>
      <c r="V160">
        <f>$C160*V159</f>
        <v/>
      </c>
      <c r="W160">
        <f>$C160*W159</f>
        <v/>
      </c>
      <c r="X160">
        <f>$C160*X159</f>
        <v/>
      </c>
      <c r="Y160">
        <f>$C160*Y159</f>
        <v/>
      </c>
      <c r="Z160">
        <f>$C160*Z159</f>
        <v/>
      </c>
      <c r="AA160">
        <f>$C160*AA159</f>
        <v/>
      </c>
      <c r="AB160">
        <f>$C160*AB159</f>
        <v/>
      </c>
      <c r="AC160">
        <f>$C160*AC159</f>
        <v/>
      </c>
      <c r="AD160">
        <f>$C160*AD159</f>
        <v/>
      </c>
      <c r="AE160">
        <f>$C160*AE159</f>
        <v/>
      </c>
      <c r="AF160">
        <f>$C160*AF159</f>
        <v/>
      </c>
      <c r="AG160">
        <f>$C160*AG159</f>
        <v/>
      </c>
      <c r="AH160">
        <f>$C160*AH159</f>
        <v/>
      </c>
      <c r="AI160">
        <f>$C160*AI159</f>
        <v/>
      </c>
      <c r="AJ160">
        <f>$C160*AJ159</f>
        <v/>
      </c>
      <c r="AK160">
        <f>$C160*AK159</f>
        <v/>
      </c>
      <c r="AL160">
        <f>$C160*AL159</f>
        <v/>
      </c>
      <c r="AM160">
        <f>$C160*AM159</f>
        <v/>
      </c>
      <c r="AN160">
        <f>$C160*AN159</f>
        <v/>
      </c>
      <c r="AO160">
        <f>$C160*AO159</f>
        <v/>
      </c>
      <c r="AP160">
        <f>$C160*AP159</f>
        <v/>
      </c>
      <c r="AQ160">
        <f>$C160*AQ159</f>
        <v/>
      </c>
      <c r="AR160">
        <f>$C160*AR159</f>
        <v/>
      </c>
      <c r="AS160">
        <f>$C160*AS159</f>
        <v/>
      </c>
      <c r="AT160">
        <f>$C160*AT159</f>
        <v/>
      </c>
      <c r="AU160">
        <f>$C160*AU159</f>
        <v/>
      </c>
      <c r="AV160">
        <f>$C160*AV159</f>
        <v/>
      </c>
      <c r="AW160">
        <f>$C160*AW159</f>
        <v/>
      </c>
      <c r="AX160">
        <f>$C160*AX159</f>
        <v/>
      </c>
      <c r="AY160">
        <f>$C160*AY159</f>
        <v/>
      </c>
      <c r="AZ160">
        <f>$C160*AZ159</f>
        <v/>
      </c>
      <c r="BA160">
        <f>$C160*BA159</f>
        <v/>
      </c>
      <c r="BB160">
        <f>$C160*BB159</f>
        <v/>
      </c>
      <c r="BC160">
        <f>$C160*BC159</f>
        <v/>
      </c>
      <c r="BD160">
        <f>$C160*BD159</f>
        <v/>
      </c>
      <c r="BE160">
        <f>$C160*BE159</f>
        <v/>
      </c>
      <c r="BF160">
        <f>$C160*BF159</f>
        <v/>
      </c>
      <c r="BG160">
        <f>$C160*BG159</f>
        <v/>
      </c>
      <c r="BH160">
        <f>$C160*BH159</f>
        <v/>
      </c>
      <c r="BI160">
        <f>$C160*BI159</f>
        <v/>
      </c>
      <c r="BJ160">
        <f>$C160*BJ159</f>
        <v/>
      </c>
      <c r="BK160">
        <f>$C160*BK159</f>
        <v/>
      </c>
      <c r="BL160">
        <f>$C160*BL159</f>
        <v/>
      </c>
      <c r="BM160">
        <f>$C160*BM159</f>
        <v/>
      </c>
      <c r="BN160">
        <f>$C160*BN159</f>
        <v/>
      </c>
      <c r="BO160">
        <f>$C160*BO159</f>
        <v/>
      </c>
      <c r="BP160">
        <f>$C160*BP159</f>
        <v/>
      </c>
      <c r="BQ160">
        <f>$C160*BQ159</f>
        <v/>
      </c>
      <c r="BR160">
        <f>$C160*BR159</f>
        <v/>
      </c>
      <c r="BS160">
        <f>$C160*BS159</f>
        <v/>
      </c>
      <c r="BT160">
        <f>$C160*BT159</f>
        <v/>
      </c>
      <c r="BU160">
        <f>$C160*BU159</f>
        <v/>
      </c>
      <c r="BV160">
        <f>$C160*BV159</f>
        <v/>
      </c>
      <c r="BW160">
        <f>$C160*BW159</f>
        <v/>
      </c>
      <c r="BX160">
        <f>$C160*BX159</f>
        <v/>
      </c>
      <c r="BY160">
        <f>$C160*BY159</f>
        <v/>
      </c>
      <c r="BZ160">
        <f>$C160*BZ159</f>
        <v/>
      </c>
      <c r="CA160">
        <f>$C160*CA159</f>
        <v/>
      </c>
      <c r="CB160">
        <f>$C160*CB159</f>
        <v/>
      </c>
      <c r="CC160">
        <f>$C160*CC159</f>
        <v/>
      </c>
      <c r="CD160">
        <f>$C160*CD159</f>
        <v/>
      </c>
      <c r="CE160">
        <f>$C160*CE159</f>
        <v/>
      </c>
      <c r="CF160">
        <f>$C160*CF159</f>
        <v/>
      </c>
      <c r="CG160">
        <f>$C160*CG159</f>
        <v/>
      </c>
      <c r="CH160">
        <f>$C160*CH159</f>
        <v/>
      </c>
      <c r="CI160">
        <f>$C160*CI159</f>
        <v/>
      </c>
      <c r="CJ160">
        <f>$C160*CJ159</f>
        <v/>
      </c>
      <c r="CK160">
        <f>$C160*CK159</f>
        <v/>
      </c>
      <c r="CL160">
        <f>$C160*CL159</f>
        <v/>
      </c>
      <c r="CM160">
        <f>$C160*CM159</f>
        <v/>
      </c>
      <c r="CN160">
        <f>$C160*CN159</f>
        <v/>
      </c>
      <c r="CO160">
        <f>$C160*CO159</f>
        <v/>
      </c>
      <c r="CP160">
        <f>$C160*CP159</f>
        <v/>
      </c>
      <c r="CQ160">
        <f>$C160*CQ159</f>
        <v/>
      </c>
      <c r="CR160">
        <f>$C160*CR159</f>
        <v/>
      </c>
      <c r="CS160">
        <f>$C160*CS159</f>
        <v/>
      </c>
      <c r="CT160">
        <f>$C160*CT159</f>
        <v/>
      </c>
      <c r="CU160">
        <f>$C160*CU159</f>
        <v/>
      </c>
      <c r="CV160">
        <f>$C160*CV159</f>
        <v/>
      </c>
      <c r="CW160">
        <f>$C160*CW159</f>
        <v/>
      </c>
      <c r="CX160">
        <f>$C160*CX159</f>
        <v/>
      </c>
      <c r="CY160">
        <f>$C160*CY159</f>
        <v/>
      </c>
      <c r="CZ160">
        <f>$C160*CZ159</f>
        <v/>
      </c>
      <c r="DA160">
        <f>$C160*DA159</f>
        <v/>
      </c>
      <c r="DB160">
        <f>$C160*DB159</f>
        <v/>
      </c>
      <c r="DC160">
        <f>$C160*DC159</f>
        <v/>
      </c>
    </row>
    <row r="161">
      <c r="B161" t="inlineStr">
        <is>
          <t>TSP-1449</t>
        </is>
      </c>
      <c r="C161" t="inlineStr">
        <is>
          <t>No. of batches</t>
        </is>
      </c>
      <c r="D161">
        <f>IFERROR(INDEX(PP_Grid[#Data],$DD161,2),0)</f>
        <v/>
      </c>
      <c r="E161">
        <f>IFERROR(INDEX(PP_Grid[#Data],$DD161,3),0)</f>
        <v/>
      </c>
      <c r="F161">
        <f>IFERROR(INDEX(PP_Grid[#Data],$DD161,4),0)</f>
        <v/>
      </c>
      <c r="G161">
        <f>IFERROR(INDEX(PP_Grid[#Data],$DD161,5),0)</f>
        <v/>
      </c>
      <c r="H161">
        <f>IFERROR(INDEX(PP_Grid[#Data],$DD161,6),0)</f>
        <v/>
      </c>
      <c r="I161">
        <f>IFERROR(INDEX(PP_Grid[#Data],$DD161,7),0)</f>
        <v/>
      </c>
      <c r="J161">
        <f>IFERROR(INDEX(PP_Grid[#Data],$DD161,8),0)</f>
        <v/>
      </c>
      <c r="K161">
        <f>IFERROR(INDEX(PP_Grid[#Data],$DD161,9),0)</f>
        <v/>
      </c>
      <c r="L161">
        <f>IFERROR(INDEX(PP_Grid[#Data],$DD161,10),0)</f>
        <v/>
      </c>
      <c r="M161">
        <f>IFERROR(INDEX(PP_Grid[#Data],$DD161,11),0)</f>
        <v/>
      </c>
      <c r="N161">
        <f>IFERROR(INDEX(PP_Grid[#Data],$DD161,12),0)</f>
        <v/>
      </c>
      <c r="O161">
        <f>IFERROR(INDEX(PP_Grid[#Data],$DD161,13),0)</f>
        <v/>
      </c>
      <c r="P161">
        <f>IFERROR(INDEX(PP_Grid[#Data],$DD161,14),0)</f>
        <v/>
      </c>
      <c r="Q161">
        <f>IFERROR(INDEX(PP_Grid[#Data],$DD161,15),0)</f>
        <v/>
      </c>
      <c r="R161">
        <f>IFERROR(INDEX(PP_Grid[#Data],$DD161,16),0)</f>
        <v/>
      </c>
      <c r="S161">
        <f>IFERROR(INDEX(PP_Grid[#Data],$DD161,17),0)</f>
        <v/>
      </c>
      <c r="T161">
        <f>IFERROR(INDEX(PP_Grid[#Data],$DD161,18),0)</f>
        <v/>
      </c>
      <c r="U161">
        <f>IFERROR(INDEX(PP_Grid[#Data],$DD161,19),0)</f>
        <v/>
      </c>
      <c r="V161">
        <f>IFERROR(INDEX(PP_Grid[#Data],$DD161,20),0)</f>
        <v/>
      </c>
      <c r="W161">
        <f>IFERROR(INDEX(PP_Grid[#Data],$DD161,21),0)</f>
        <v/>
      </c>
      <c r="X161">
        <f>IFERROR(INDEX(PP_Grid[#Data],$DD161,22),0)</f>
        <v/>
      </c>
      <c r="Y161">
        <f>IFERROR(INDEX(PP_Grid[#Data],$DD161,23),0)</f>
        <v/>
      </c>
      <c r="Z161">
        <f>IFERROR(INDEX(PP_Grid[#Data],$DD161,24),0)</f>
        <v/>
      </c>
      <c r="AA161">
        <f>IFERROR(INDEX(PP_Grid[#Data],$DD161,25),0)</f>
        <v/>
      </c>
      <c r="AB161">
        <f>IFERROR(INDEX(PP_Grid[#Data],$DD161,26),0)</f>
        <v/>
      </c>
      <c r="AC161">
        <f>IFERROR(INDEX(PP_Grid[#Data],$DD161,27),0)</f>
        <v/>
      </c>
      <c r="AD161">
        <f>IFERROR(INDEX(PP_Grid[#Data],$DD161,28),0)</f>
        <v/>
      </c>
      <c r="AE161">
        <f>IFERROR(INDEX(PP_Grid[#Data],$DD161,29),0)</f>
        <v/>
      </c>
      <c r="AF161">
        <f>IFERROR(INDEX(PP_Grid[#Data],$DD161,30),0)</f>
        <v/>
      </c>
      <c r="AG161">
        <f>IFERROR(INDEX(PP_Grid[#Data],$DD161,31),0)</f>
        <v/>
      </c>
      <c r="AH161">
        <f>IFERROR(INDEX(PP_Grid[#Data],$DD161,32),0)</f>
        <v/>
      </c>
      <c r="AI161">
        <f>IFERROR(INDEX(PP_Grid[#Data],$DD161,33),0)</f>
        <v/>
      </c>
      <c r="AJ161">
        <f>IFERROR(INDEX(PP_Grid[#Data],$DD161,34),0)</f>
        <v/>
      </c>
      <c r="AK161">
        <f>IFERROR(INDEX(PP_Grid[#Data],$DD161,35),0)</f>
        <v/>
      </c>
      <c r="AL161">
        <f>IFERROR(INDEX(PP_Grid[#Data],$DD161,36),0)</f>
        <v/>
      </c>
      <c r="AM161">
        <f>IFERROR(INDEX(PP_Grid[#Data],$DD161,37),0)</f>
        <v/>
      </c>
      <c r="AN161">
        <f>IFERROR(INDEX(PP_Grid[#Data],$DD161,38),0)</f>
        <v/>
      </c>
      <c r="AO161">
        <f>IFERROR(INDEX(PP_Grid[#Data],$DD161,39),0)</f>
        <v/>
      </c>
      <c r="AP161">
        <f>IFERROR(INDEX(PP_Grid[#Data],$DD161,40),0)</f>
        <v/>
      </c>
      <c r="AQ161">
        <f>IFERROR(INDEX(PP_Grid[#Data],$DD161,41),0)</f>
        <v/>
      </c>
      <c r="AR161">
        <f>IFERROR(INDEX(PP_Grid[#Data],$DD161,42),0)</f>
        <v/>
      </c>
      <c r="AS161">
        <f>IFERROR(INDEX(PP_Grid[#Data],$DD161,43),0)</f>
        <v/>
      </c>
      <c r="AT161">
        <f>IFERROR(INDEX(PP_Grid[#Data],$DD161,44),0)</f>
        <v/>
      </c>
      <c r="AU161">
        <f>IFERROR(INDEX(PP_Grid[#Data],$DD161,45),0)</f>
        <v/>
      </c>
      <c r="AV161">
        <f>IFERROR(INDEX(PP_Grid[#Data],$DD161,46),0)</f>
        <v/>
      </c>
      <c r="AW161">
        <f>IFERROR(INDEX(PP_Grid[#Data],$DD161,47),0)</f>
        <v/>
      </c>
      <c r="AX161">
        <f>IFERROR(INDEX(PP_Grid[#Data],$DD161,48),0)</f>
        <v/>
      </c>
      <c r="AY161">
        <f>IFERROR(INDEX(PP_Grid[#Data],$DD161,49),0)</f>
        <v/>
      </c>
      <c r="AZ161">
        <f>IFERROR(INDEX(PP_Grid[#Data],$DD161,50),0)</f>
        <v/>
      </c>
      <c r="BA161">
        <f>IFERROR(INDEX(PP_Grid[#Data],$DD161,51),0)</f>
        <v/>
      </c>
      <c r="BB161">
        <f>IFERROR(INDEX(PP_Grid[#Data],$DD161,52),0)</f>
        <v/>
      </c>
      <c r="BC161">
        <f>IFERROR(INDEX(PP_Grid[#Data],$DD161,53),0)</f>
        <v/>
      </c>
      <c r="BD161">
        <f>IFERROR(INDEX(PP_Grid[#Data],$DD161,54),0)</f>
        <v/>
      </c>
      <c r="BE161">
        <f>IFERROR(INDEX(PP_Grid[#Data],$DD161,55),0)</f>
        <v/>
      </c>
      <c r="BF161">
        <f>IFERROR(INDEX(PP_Grid[#Data],$DD161,56),0)</f>
        <v/>
      </c>
      <c r="BG161">
        <f>IFERROR(INDEX(PP_Grid[#Data],$DD161,57),0)</f>
        <v/>
      </c>
      <c r="BH161">
        <f>IFERROR(INDEX(PP_Grid[#Data],$DD161,58),0)</f>
        <v/>
      </c>
      <c r="BI161">
        <f>IFERROR(INDEX(PP_Grid[#Data],$DD161,59),0)</f>
        <v/>
      </c>
      <c r="BJ161">
        <f>IFERROR(INDEX(PP_Grid[#Data],$DD161,60),0)</f>
        <v/>
      </c>
      <c r="BK161">
        <f>IFERROR(INDEX(PP_Grid[#Data],$DD161,61),0)</f>
        <v/>
      </c>
      <c r="BL161">
        <f>IFERROR(INDEX(PP_Grid[#Data],$DD161,62),0)</f>
        <v/>
      </c>
      <c r="BM161">
        <f>IFERROR(INDEX(PP_Grid[#Data],$DD161,63),0)</f>
        <v/>
      </c>
      <c r="BN161">
        <f>IFERROR(INDEX(PP_Grid[#Data],$DD161,64),0)</f>
        <v/>
      </c>
      <c r="BO161">
        <f>IFERROR(INDEX(PP_Grid[#Data],$DD161,65),0)</f>
        <v/>
      </c>
      <c r="BP161">
        <f>IFERROR(INDEX(PP_Grid[#Data],$DD161,66),0)</f>
        <v/>
      </c>
      <c r="BQ161">
        <f>IFERROR(INDEX(PP_Grid[#Data],$DD161,67),0)</f>
        <v/>
      </c>
      <c r="BR161">
        <f>IFERROR(INDEX(PP_Grid[#Data],$DD161,68),0)</f>
        <v/>
      </c>
      <c r="BS161">
        <f>IFERROR(INDEX(PP_Grid[#Data],$DD161,69),0)</f>
        <v/>
      </c>
      <c r="BT161">
        <f>IFERROR(INDEX(PP_Grid[#Data],$DD161,70),0)</f>
        <v/>
      </c>
      <c r="BU161">
        <f>IFERROR(INDEX(PP_Grid[#Data],$DD161,71),0)</f>
        <v/>
      </c>
      <c r="BV161">
        <f>IFERROR(INDEX(PP_Grid[#Data],$DD161,72),0)</f>
        <v/>
      </c>
      <c r="BW161">
        <f>IFERROR(INDEX(PP_Grid[#Data],$DD161,73),0)</f>
        <v/>
      </c>
      <c r="BX161">
        <f>IFERROR(INDEX(PP_Grid[#Data],$DD161,74),0)</f>
        <v/>
      </c>
      <c r="BY161">
        <f>IFERROR(INDEX(PP_Grid[#Data],$DD161,75),0)</f>
        <v/>
      </c>
      <c r="BZ161">
        <f>IFERROR(INDEX(PP_Grid[#Data],$DD161,76),0)</f>
        <v/>
      </c>
      <c r="CA161">
        <f>IFERROR(INDEX(PP_Grid[#Data],$DD161,77),0)</f>
        <v/>
      </c>
      <c r="CB161">
        <f>IFERROR(INDEX(PP_Grid[#Data],$DD161,78),0)</f>
        <v/>
      </c>
      <c r="CC161">
        <f>IFERROR(INDEX(PP_Grid[#Data],$DD161,79),0)</f>
        <v/>
      </c>
      <c r="CD161">
        <f>IFERROR(INDEX(PP_Grid[#Data],$DD161,80),0)</f>
        <v/>
      </c>
      <c r="CE161">
        <f>IFERROR(INDEX(PP_Grid[#Data],$DD161,81),0)</f>
        <v/>
      </c>
      <c r="CF161">
        <f>IFERROR(INDEX(PP_Grid[#Data],$DD161,82),0)</f>
        <v/>
      </c>
      <c r="CG161">
        <f>IFERROR(INDEX(PP_Grid[#Data],$DD161,83),0)</f>
        <v/>
      </c>
      <c r="CH161">
        <f>IFERROR(INDEX(PP_Grid[#Data],$DD161,84),0)</f>
        <v/>
      </c>
      <c r="CI161">
        <f>IFERROR(INDEX(PP_Grid[#Data],$DD161,85),0)</f>
        <v/>
      </c>
      <c r="CJ161">
        <f>IFERROR(INDEX(PP_Grid[#Data],$DD161,86),0)</f>
        <v/>
      </c>
      <c r="CK161">
        <f>IFERROR(INDEX(PP_Grid[#Data],$DD161,87),0)</f>
        <v/>
      </c>
      <c r="CL161">
        <f>IFERROR(INDEX(PP_Grid[#Data],$DD161,88),0)</f>
        <v/>
      </c>
      <c r="CM161">
        <f>IFERROR(INDEX(PP_Grid[#Data],$DD161,89),0)</f>
        <v/>
      </c>
      <c r="CN161">
        <f>IFERROR(INDEX(PP_Grid[#Data],$DD161,90),0)</f>
        <v/>
      </c>
      <c r="CO161">
        <f>IFERROR(INDEX(PP_Grid[#Data],$DD161,91),0)</f>
        <v/>
      </c>
      <c r="CP161">
        <f>IFERROR(INDEX(PP_Grid[#Data],$DD161,92),0)</f>
        <v/>
      </c>
      <c r="CQ161">
        <f>IFERROR(INDEX(PP_Grid[#Data],$DD161,93),0)</f>
        <v/>
      </c>
      <c r="CR161">
        <f>IFERROR(INDEX(PP_Grid[#Data],$DD161,94),0)</f>
        <v/>
      </c>
      <c r="CS161">
        <f>IFERROR(INDEX(PP_Grid[#Data],$DD161,95),0)</f>
        <v/>
      </c>
      <c r="CT161">
        <f>IFERROR(INDEX(PP_Grid[#Data],$DD161,96),0)</f>
        <v/>
      </c>
      <c r="CU161">
        <f>IFERROR(INDEX(PP_Grid[#Data],$DD161,97),0)</f>
        <v/>
      </c>
      <c r="CV161">
        <f>IFERROR(INDEX(PP_Grid[#Data],$DD161,98),0)</f>
        <v/>
      </c>
      <c r="CW161">
        <f>IFERROR(INDEX(PP_Grid[#Data],$DD161,99),0)</f>
        <v/>
      </c>
      <c r="CX161">
        <f>IFERROR(INDEX(PP_Grid[#Data],$DD161,100),0)</f>
        <v/>
      </c>
      <c r="CY161">
        <f>IFERROR(INDEX(PP_Grid[#Data],$DD161,101),0)</f>
        <v/>
      </c>
      <c r="CZ161">
        <f>IFERROR(INDEX(PP_Grid[#Data],$DD161,102),0)</f>
        <v/>
      </c>
      <c r="DA161">
        <f>IFERROR(INDEX(PP_Grid[#Data],$DD161,103),0)</f>
        <v/>
      </c>
      <c r="DB161">
        <f>IFERROR(INDEX(PP_Grid[#Data],$DD161,104),0)</f>
        <v/>
      </c>
      <c r="DC161">
        <f>IFERROR(INDEX(PP_Grid[#Data],$DD161,105),0)</f>
        <v/>
      </c>
      <c r="DD161" s="7">
        <f>IFERROR(MATCH($B161,PP_Grid[Intermediate],0),99999)</f>
        <v/>
      </c>
    </row>
    <row r="162">
      <c r="B162" t="inlineStr">
        <is>
          <t>使用量(kg)</t>
        </is>
      </c>
      <c r="C162">
        <f>SUMIFS(M_BOM[RM_Qty_Per_Batch],M_BOM[Intermediate],$B161,M_BOM[Part Name],$A44)</f>
        <v/>
      </c>
      <c r="D162">
        <f>$C162*D161</f>
        <v/>
      </c>
      <c r="E162">
        <f>$C162*E161</f>
        <v/>
      </c>
      <c r="F162">
        <f>$C162*F161</f>
        <v/>
      </c>
      <c r="G162">
        <f>$C162*G161</f>
        <v/>
      </c>
      <c r="H162">
        <f>$C162*H161</f>
        <v/>
      </c>
      <c r="I162">
        <f>$C162*I161</f>
        <v/>
      </c>
      <c r="J162">
        <f>$C162*J161</f>
        <v/>
      </c>
      <c r="K162">
        <f>$C162*K161</f>
        <v/>
      </c>
      <c r="L162">
        <f>$C162*L161</f>
        <v/>
      </c>
      <c r="M162">
        <f>$C162*M161</f>
        <v/>
      </c>
      <c r="N162">
        <f>$C162*N161</f>
        <v/>
      </c>
      <c r="O162">
        <f>$C162*O161</f>
        <v/>
      </c>
      <c r="P162">
        <f>$C162*P161</f>
        <v/>
      </c>
      <c r="Q162">
        <f>$C162*Q161</f>
        <v/>
      </c>
      <c r="R162">
        <f>$C162*R161</f>
        <v/>
      </c>
      <c r="S162">
        <f>$C162*S161</f>
        <v/>
      </c>
      <c r="T162">
        <f>$C162*T161</f>
        <v/>
      </c>
      <c r="U162">
        <f>$C162*U161</f>
        <v/>
      </c>
      <c r="V162">
        <f>$C162*V161</f>
        <v/>
      </c>
      <c r="W162">
        <f>$C162*W161</f>
        <v/>
      </c>
      <c r="X162">
        <f>$C162*X161</f>
        <v/>
      </c>
      <c r="Y162">
        <f>$C162*Y161</f>
        <v/>
      </c>
      <c r="Z162">
        <f>$C162*Z161</f>
        <v/>
      </c>
      <c r="AA162">
        <f>$C162*AA161</f>
        <v/>
      </c>
      <c r="AB162">
        <f>$C162*AB161</f>
        <v/>
      </c>
      <c r="AC162">
        <f>$C162*AC161</f>
        <v/>
      </c>
      <c r="AD162">
        <f>$C162*AD161</f>
        <v/>
      </c>
      <c r="AE162">
        <f>$C162*AE161</f>
        <v/>
      </c>
      <c r="AF162">
        <f>$C162*AF161</f>
        <v/>
      </c>
      <c r="AG162">
        <f>$C162*AG161</f>
        <v/>
      </c>
      <c r="AH162">
        <f>$C162*AH161</f>
        <v/>
      </c>
      <c r="AI162">
        <f>$C162*AI161</f>
        <v/>
      </c>
      <c r="AJ162">
        <f>$C162*AJ161</f>
        <v/>
      </c>
      <c r="AK162">
        <f>$C162*AK161</f>
        <v/>
      </c>
      <c r="AL162">
        <f>$C162*AL161</f>
        <v/>
      </c>
      <c r="AM162">
        <f>$C162*AM161</f>
        <v/>
      </c>
      <c r="AN162">
        <f>$C162*AN161</f>
        <v/>
      </c>
      <c r="AO162">
        <f>$C162*AO161</f>
        <v/>
      </c>
      <c r="AP162">
        <f>$C162*AP161</f>
        <v/>
      </c>
      <c r="AQ162">
        <f>$C162*AQ161</f>
        <v/>
      </c>
      <c r="AR162">
        <f>$C162*AR161</f>
        <v/>
      </c>
      <c r="AS162">
        <f>$C162*AS161</f>
        <v/>
      </c>
      <c r="AT162">
        <f>$C162*AT161</f>
        <v/>
      </c>
      <c r="AU162">
        <f>$C162*AU161</f>
        <v/>
      </c>
      <c r="AV162">
        <f>$C162*AV161</f>
        <v/>
      </c>
      <c r="AW162">
        <f>$C162*AW161</f>
        <v/>
      </c>
      <c r="AX162">
        <f>$C162*AX161</f>
        <v/>
      </c>
      <c r="AY162">
        <f>$C162*AY161</f>
        <v/>
      </c>
      <c r="AZ162">
        <f>$C162*AZ161</f>
        <v/>
      </c>
      <c r="BA162">
        <f>$C162*BA161</f>
        <v/>
      </c>
      <c r="BB162">
        <f>$C162*BB161</f>
        <v/>
      </c>
      <c r="BC162">
        <f>$C162*BC161</f>
        <v/>
      </c>
      <c r="BD162">
        <f>$C162*BD161</f>
        <v/>
      </c>
      <c r="BE162">
        <f>$C162*BE161</f>
        <v/>
      </c>
      <c r="BF162">
        <f>$C162*BF161</f>
        <v/>
      </c>
      <c r="BG162">
        <f>$C162*BG161</f>
        <v/>
      </c>
      <c r="BH162">
        <f>$C162*BH161</f>
        <v/>
      </c>
      <c r="BI162">
        <f>$C162*BI161</f>
        <v/>
      </c>
      <c r="BJ162">
        <f>$C162*BJ161</f>
        <v/>
      </c>
      <c r="BK162">
        <f>$C162*BK161</f>
        <v/>
      </c>
      <c r="BL162">
        <f>$C162*BL161</f>
        <v/>
      </c>
      <c r="BM162">
        <f>$C162*BM161</f>
        <v/>
      </c>
      <c r="BN162">
        <f>$C162*BN161</f>
        <v/>
      </c>
      <c r="BO162">
        <f>$C162*BO161</f>
        <v/>
      </c>
      <c r="BP162">
        <f>$C162*BP161</f>
        <v/>
      </c>
      <c r="BQ162">
        <f>$C162*BQ161</f>
        <v/>
      </c>
      <c r="BR162">
        <f>$C162*BR161</f>
        <v/>
      </c>
      <c r="BS162">
        <f>$C162*BS161</f>
        <v/>
      </c>
      <c r="BT162">
        <f>$C162*BT161</f>
        <v/>
      </c>
      <c r="BU162">
        <f>$C162*BU161</f>
        <v/>
      </c>
      <c r="BV162">
        <f>$C162*BV161</f>
        <v/>
      </c>
      <c r="BW162">
        <f>$C162*BW161</f>
        <v/>
      </c>
      <c r="BX162">
        <f>$C162*BX161</f>
        <v/>
      </c>
      <c r="BY162">
        <f>$C162*BY161</f>
        <v/>
      </c>
      <c r="BZ162">
        <f>$C162*BZ161</f>
        <v/>
      </c>
      <c r="CA162">
        <f>$C162*CA161</f>
        <v/>
      </c>
      <c r="CB162">
        <f>$C162*CB161</f>
        <v/>
      </c>
      <c r="CC162">
        <f>$C162*CC161</f>
        <v/>
      </c>
      <c r="CD162">
        <f>$C162*CD161</f>
        <v/>
      </c>
      <c r="CE162">
        <f>$C162*CE161</f>
        <v/>
      </c>
      <c r="CF162">
        <f>$C162*CF161</f>
        <v/>
      </c>
      <c r="CG162">
        <f>$C162*CG161</f>
        <v/>
      </c>
      <c r="CH162">
        <f>$C162*CH161</f>
        <v/>
      </c>
      <c r="CI162">
        <f>$C162*CI161</f>
        <v/>
      </c>
      <c r="CJ162">
        <f>$C162*CJ161</f>
        <v/>
      </c>
      <c r="CK162">
        <f>$C162*CK161</f>
        <v/>
      </c>
      <c r="CL162">
        <f>$C162*CL161</f>
        <v/>
      </c>
      <c r="CM162">
        <f>$C162*CM161</f>
        <v/>
      </c>
      <c r="CN162">
        <f>$C162*CN161</f>
        <v/>
      </c>
      <c r="CO162">
        <f>$C162*CO161</f>
        <v/>
      </c>
      <c r="CP162">
        <f>$C162*CP161</f>
        <v/>
      </c>
      <c r="CQ162">
        <f>$C162*CQ161</f>
        <v/>
      </c>
      <c r="CR162">
        <f>$C162*CR161</f>
        <v/>
      </c>
      <c r="CS162">
        <f>$C162*CS161</f>
        <v/>
      </c>
      <c r="CT162">
        <f>$C162*CT161</f>
        <v/>
      </c>
      <c r="CU162">
        <f>$C162*CU161</f>
        <v/>
      </c>
      <c r="CV162">
        <f>$C162*CV161</f>
        <v/>
      </c>
      <c r="CW162">
        <f>$C162*CW161</f>
        <v/>
      </c>
      <c r="CX162">
        <f>$C162*CX161</f>
        <v/>
      </c>
      <c r="CY162">
        <f>$C162*CY161</f>
        <v/>
      </c>
      <c r="CZ162">
        <f>$C162*CZ161</f>
        <v/>
      </c>
      <c r="DA162">
        <f>$C162*DA161</f>
        <v/>
      </c>
      <c r="DB162">
        <f>$C162*DB161</f>
        <v/>
      </c>
      <c r="DC162">
        <f>$C162*DC161</f>
        <v/>
      </c>
    </row>
    <row r="163">
      <c r="B163" t="inlineStr">
        <is>
          <t>VSP-567</t>
        </is>
      </c>
      <c r="C163" t="inlineStr">
        <is>
          <t>No. of batches</t>
        </is>
      </c>
      <c r="D163">
        <f>IFERROR(INDEX(PP_Grid[#Data],$DD163,2),0)</f>
        <v/>
      </c>
      <c r="E163">
        <f>IFERROR(INDEX(PP_Grid[#Data],$DD163,3),0)</f>
        <v/>
      </c>
      <c r="F163">
        <f>IFERROR(INDEX(PP_Grid[#Data],$DD163,4),0)</f>
        <v/>
      </c>
      <c r="G163">
        <f>IFERROR(INDEX(PP_Grid[#Data],$DD163,5),0)</f>
        <v/>
      </c>
      <c r="H163">
        <f>IFERROR(INDEX(PP_Grid[#Data],$DD163,6),0)</f>
        <v/>
      </c>
      <c r="I163">
        <f>IFERROR(INDEX(PP_Grid[#Data],$DD163,7),0)</f>
        <v/>
      </c>
      <c r="J163">
        <f>IFERROR(INDEX(PP_Grid[#Data],$DD163,8),0)</f>
        <v/>
      </c>
      <c r="K163">
        <f>IFERROR(INDEX(PP_Grid[#Data],$DD163,9),0)</f>
        <v/>
      </c>
      <c r="L163">
        <f>IFERROR(INDEX(PP_Grid[#Data],$DD163,10),0)</f>
        <v/>
      </c>
      <c r="M163">
        <f>IFERROR(INDEX(PP_Grid[#Data],$DD163,11),0)</f>
        <v/>
      </c>
      <c r="N163">
        <f>IFERROR(INDEX(PP_Grid[#Data],$DD163,12),0)</f>
        <v/>
      </c>
      <c r="O163">
        <f>IFERROR(INDEX(PP_Grid[#Data],$DD163,13),0)</f>
        <v/>
      </c>
      <c r="P163">
        <f>IFERROR(INDEX(PP_Grid[#Data],$DD163,14),0)</f>
        <v/>
      </c>
      <c r="Q163">
        <f>IFERROR(INDEX(PP_Grid[#Data],$DD163,15),0)</f>
        <v/>
      </c>
      <c r="R163">
        <f>IFERROR(INDEX(PP_Grid[#Data],$DD163,16),0)</f>
        <v/>
      </c>
      <c r="S163">
        <f>IFERROR(INDEX(PP_Grid[#Data],$DD163,17),0)</f>
        <v/>
      </c>
      <c r="T163">
        <f>IFERROR(INDEX(PP_Grid[#Data],$DD163,18),0)</f>
        <v/>
      </c>
      <c r="U163">
        <f>IFERROR(INDEX(PP_Grid[#Data],$DD163,19),0)</f>
        <v/>
      </c>
      <c r="V163">
        <f>IFERROR(INDEX(PP_Grid[#Data],$DD163,20),0)</f>
        <v/>
      </c>
      <c r="W163">
        <f>IFERROR(INDEX(PP_Grid[#Data],$DD163,21),0)</f>
        <v/>
      </c>
      <c r="X163">
        <f>IFERROR(INDEX(PP_Grid[#Data],$DD163,22),0)</f>
        <v/>
      </c>
      <c r="Y163">
        <f>IFERROR(INDEX(PP_Grid[#Data],$DD163,23),0)</f>
        <v/>
      </c>
      <c r="Z163">
        <f>IFERROR(INDEX(PP_Grid[#Data],$DD163,24),0)</f>
        <v/>
      </c>
      <c r="AA163">
        <f>IFERROR(INDEX(PP_Grid[#Data],$DD163,25),0)</f>
        <v/>
      </c>
      <c r="AB163">
        <f>IFERROR(INDEX(PP_Grid[#Data],$DD163,26),0)</f>
        <v/>
      </c>
      <c r="AC163">
        <f>IFERROR(INDEX(PP_Grid[#Data],$DD163,27),0)</f>
        <v/>
      </c>
      <c r="AD163">
        <f>IFERROR(INDEX(PP_Grid[#Data],$DD163,28),0)</f>
        <v/>
      </c>
      <c r="AE163">
        <f>IFERROR(INDEX(PP_Grid[#Data],$DD163,29),0)</f>
        <v/>
      </c>
      <c r="AF163">
        <f>IFERROR(INDEX(PP_Grid[#Data],$DD163,30),0)</f>
        <v/>
      </c>
      <c r="AG163">
        <f>IFERROR(INDEX(PP_Grid[#Data],$DD163,31),0)</f>
        <v/>
      </c>
      <c r="AH163">
        <f>IFERROR(INDEX(PP_Grid[#Data],$DD163,32),0)</f>
        <v/>
      </c>
      <c r="AI163">
        <f>IFERROR(INDEX(PP_Grid[#Data],$DD163,33),0)</f>
        <v/>
      </c>
      <c r="AJ163">
        <f>IFERROR(INDEX(PP_Grid[#Data],$DD163,34),0)</f>
        <v/>
      </c>
      <c r="AK163">
        <f>IFERROR(INDEX(PP_Grid[#Data],$DD163,35),0)</f>
        <v/>
      </c>
      <c r="AL163">
        <f>IFERROR(INDEX(PP_Grid[#Data],$DD163,36),0)</f>
        <v/>
      </c>
      <c r="AM163">
        <f>IFERROR(INDEX(PP_Grid[#Data],$DD163,37),0)</f>
        <v/>
      </c>
      <c r="AN163">
        <f>IFERROR(INDEX(PP_Grid[#Data],$DD163,38),0)</f>
        <v/>
      </c>
      <c r="AO163">
        <f>IFERROR(INDEX(PP_Grid[#Data],$DD163,39),0)</f>
        <v/>
      </c>
      <c r="AP163">
        <f>IFERROR(INDEX(PP_Grid[#Data],$DD163,40),0)</f>
        <v/>
      </c>
      <c r="AQ163">
        <f>IFERROR(INDEX(PP_Grid[#Data],$DD163,41),0)</f>
        <v/>
      </c>
      <c r="AR163">
        <f>IFERROR(INDEX(PP_Grid[#Data],$DD163,42),0)</f>
        <v/>
      </c>
      <c r="AS163">
        <f>IFERROR(INDEX(PP_Grid[#Data],$DD163,43),0)</f>
        <v/>
      </c>
      <c r="AT163">
        <f>IFERROR(INDEX(PP_Grid[#Data],$DD163,44),0)</f>
        <v/>
      </c>
      <c r="AU163">
        <f>IFERROR(INDEX(PP_Grid[#Data],$DD163,45),0)</f>
        <v/>
      </c>
      <c r="AV163">
        <f>IFERROR(INDEX(PP_Grid[#Data],$DD163,46),0)</f>
        <v/>
      </c>
      <c r="AW163">
        <f>IFERROR(INDEX(PP_Grid[#Data],$DD163,47),0)</f>
        <v/>
      </c>
      <c r="AX163">
        <f>IFERROR(INDEX(PP_Grid[#Data],$DD163,48),0)</f>
        <v/>
      </c>
      <c r="AY163">
        <f>IFERROR(INDEX(PP_Grid[#Data],$DD163,49),0)</f>
        <v/>
      </c>
      <c r="AZ163">
        <f>IFERROR(INDEX(PP_Grid[#Data],$DD163,50),0)</f>
        <v/>
      </c>
      <c r="BA163">
        <f>IFERROR(INDEX(PP_Grid[#Data],$DD163,51),0)</f>
        <v/>
      </c>
      <c r="BB163">
        <f>IFERROR(INDEX(PP_Grid[#Data],$DD163,52),0)</f>
        <v/>
      </c>
      <c r="BC163">
        <f>IFERROR(INDEX(PP_Grid[#Data],$DD163,53),0)</f>
        <v/>
      </c>
      <c r="BD163">
        <f>IFERROR(INDEX(PP_Grid[#Data],$DD163,54),0)</f>
        <v/>
      </c>
      <c r="BE163">
        <f>IFERROR(INDEX(PP_Grid[#Data],$DD163,55),0)</f>
        <v/>
      </c>
      <c r="BF163">
        <f>IFERROR(INDEX(PP_Grid[#Data],$DD163,56),0)</f>
        <v/>
      </c>
      <c r="BG163">
        <f>IFERROR(INDEX(PP_Grid[#Data],$DD163,57),0)</f>
        <v/>
      </c>
      <c r="BH163">
        <f>IFERROR(INDEX(PP_Grid[#Data],$DD163,58),0)</f>
        <v/>
      </c>
      <c r="BI163">
        <f>IFERROR(INDEX(PP_Grid[#Data],$DD163,59),0)</f>
        <v/>
      </c>
      <c r="BJ163">
        <f>IFERROR(INDEX(PP_Grid[#Data],$DD163,60),0)</f>
        <v/>
      </c>
      <c r="BK163">
        <f>IFERROR(INDEX(PP_Grid[#Data],$DD163,61),0)</f>
        <v/>
      </c>
      <c r="BL163">
        <f>IFERROR(INDEX(PP_Grid[#Data],$DD163,62),0)</f>
        <v/>
      </c>
      <c r="BM163">
        <f>IFERROR(INDEX(PP_Grid[#Data],$DD163,63),0)</f>
        <v/>
      </c>
      <c r="BN163">
        <f>IFERROR(INDEX(PP_Grid[#Data],$DD163,64),0)</f>
        <v/>
      </c>
      <c r="BO163">
        <f>IFERROR(INDEX(PP_Grid[#Data],$DD163,65),0)</f>
        <v/>
      </c>
      <c r="BP163">
        <f>IFERROR(INDEX(PP_Grid[#Data],$DD163,66),0)</f>
        <v/>
      </c>
      <c r="BQ163">
        <f>IFERROR(INDEX(PP_Grid[#Data],$DD163,67),0)</f>
        <v/>
      </c>
      <c r="BR163">
        <f>IFERROR(INDEX(PP_Grid[#Data],$DD163,68),0)</f>
        <v/>
      </c>
      <c r="BS163">
        <f>IFERROR(INDEX(PP_Grid[#Data],$DD163,69),0)</f>
        <v/>
      </c>
      <c r="BT163">
        <f>IFERROR(INDEX(PP_Grid[#Data],$DD163,70),0)</f>
        <v/>
      </c>
      <c r="BU163">
        <f>IFERROR(INDEX(PP_Grid[#Data],$DD163,71),0)</f>
        <v/>
      </c>
      <c r="BV163">
        <f>IFERROR(INDEX(PP_Grid[#Data],$DD163,72),0)</f>
        <v/>
      </c>
      <c r="BW163">
        <f>IFERROR(INDEX(PP_Grid[#Data],$DD163,73),0)</f>
        <v/>
      </c>
      <c r="BX163">
        <f>IFERROR(INDEX(PP_Grid[#Data],$DD163,74),0)</f>
        <v/>
      </c>
      <c r="BY163">
        <f>IFERROR(INDEX(PP_Grid[#Data],$DD163,75),0)</f>
        <v/>
      </c>
      <c r="BZ163">
        <f>IFERROR(INDEX(PP_Grid[#Data],$DD163,76),0)</f>
        <v/>
      </c>
      <c r="CA163">
        <f>IFERROR(INDEX(PP_Grid[#Data],$DD163,77),0)</f>
        <v/>
      </c>
      <c r="CB163">
        <f>IFERROR(INDEX(PP_Grid[#Data],$DD163,78),0)</f>
        <v/>
      </c>
      <c r="CC163">
        <f>IFERROR(INDEX(PP_Grid[#Data],$DD163,79),0)</f>
        <v/>
      </c>
      <c r="CD163">
        <f>IFERROR(INDEX(PP_Grid[#Data],$DD163,80),0)</f>
        <v/>
      </c>
      <c r="CE163">
        <f>IFERROR(INDEX(PP_Grid[#Data],$DD163,81),0)</f>
        <v/>
      </c>
      <c r="CF163">
        <f>IFERROR(INDEX(PP_Grid[#Data],$DD163,82),0)</f>
        <v/>
      </c>
      <c r="CG163">
        <f>IFERROR(INDEX(PP_Grid[#Data],$DD163,83),0)</f>
        <v/>
      </c>
      <c r="CH163">
        <f>IFERROR(INDEX(PP_Grid[#Data],$DD163,84),0)</f>
        <v/>
      </c>
      <c r="CI163">
        <f>IFERROR(INDEX(PP_Grid[#Data],$DD163,85),0)</f>
        <v/>
      </c>
      <c r="CJ163">
        <f>IFERROR(INDEX(PP_Grid[#Data],$DD163,86),0)</f>
        <v/>
      </c>
      <c r="CK163">
        <f>IFERROR(INDEX(PP_Grid[#Data],$DD163,87),0)</f>
        <v/>
      </c>
      <c r="CL163">
        <f>IFERROR(INDEX(PP_Grid[#Data],$DD163,88),0)</f>
        <v/>
      </c>
      <c r="CM163">
        <f>IFERROR(INDEX(PP_Grid[#Data],$DD163,89),0)</f>
        <v/>
      </c>
      <c r="CN163">
        <f>IFERROR(INDEX(PP_Grid[#Data],$DD163,90),0)</f>
        <v/>
      </c>
      <c r="CO163">
        <f>IFERROR(INDEX(PP_Grid[#Data],$DD163,91),0)</f>
        <v/>
      </c>
      <c r="CP163">
        <f>IFERROR(INDEX(PP_Grid[#Data],$DD163,92),0)</f>
        <v/>
      </c>
      <c r="CQ163">
        <f>IFERROR(INDEX(PP_Grid[#Data],$DD163,93),0)</f>
        <v/>
      </c>
      <c r="CR163">
        <f>IFERROR(INDEX(PP_Grid[#Data],$DD163,94),0)</f>
        <v/>
      </c>
      <c r="CS163">
        <f>IFERROR(INDEX(PP_Grid[#Data],$DD163,95),0)</f>
        <v/>
      </c>
      <c r="CT163">
        <f>IFERROR(INDEX(PP_Grid[#Data],$DD163,96),0)</f>
        <v/>
      </c>
      <c r="CU163">
        <f>IFERROR(INDEX(PP_Grid[#Data],$DD163,97),0)</f>
        <v/>
      </c>
      <c r="CV163">
        <f>IFERROR(INDEX(PP_Grid[#Data],$DD163,98),0)</f>
        <v/>
      </c>
      <c r="CW163">
        <f>IFERROR(INDEX(PP_Grid[#Data],$DD163,99),0)</f>
        <v/>
      </c>
      <c r="CX163">
        <f>IFERROR(INDEX(PP_Grid[#Data],$DD163,100),0)</f>
        <v/>
      </c>
      <c r="CY163">
        <f>IFERROR(INDEX(PP_Grid[#Data],$DD163,101),0)</f>
        <v/>
      </c>
      <c r="CZ163">
        <f>IFERROR(INDEX(PP_Grid[#Data],$DD163,102),0)</f>
        <v/>
      </c>
      <c r="DA163">
        <f>IFERROR(INDEX(PP_Grid[#Data],$DD163,103),0)</f>
        <v/>
      </c>
      <c r="DB163">
        <f>IFERROR(INDEX(PP_Grid[#Data],$DD163,104),0)</f>
        <v/>
      </c>
      <c r="DC163">
        <f>IFERROR(INDEX(PP_Grid[#Data],$DD163,105),0)</f>
        <v/>
      </c>
      <c r="DD163" s="7">
        <f>IFERROR(MATCH($B163,PP_Grid[Intermediate],0),99999)</f>
        <v/>
      </c>
    </row>
    <row r="164">
      <c r="B164" t="inlineStr">
        <is>
          <t>使用量(kg)</t>
        </is>
      </c>
      <c r="C164">
        <f>SUMIFS(M_BOM[RM_Qty_Per_Batch],M_BOM[Intermediate],$B163,M_BOM[Part Name],$A44)</f>
        <v/>
      </c>
      <c r="D164">
        <f>$C164*D163</f>
        <v/>
      </c>
      <c r="E164">
        <f>$C164*E163</f>
        <v/>
      </c>
      <c r="F164">
        <f>$C164*F163</f>
        <v/>
      </c>
      <c r="G164">
        <f>$C164*G163</f>
        <v/>
      </c>
      <c r="H164">
        <f>$C164*H163</f>
        <v/>
      </c>
      <c r="I164">
        <f>$C164*I163</f>
        <v/>
      </c>
      <c r="J164">
        <f>$C164*J163</f>
        <v/>
      </c>
      <c r="K164">
        <f>$C164*K163</f>
        <v/>
      </c>
      <c r="L164">
        <f>$C164*L163</f>
        <v/>
      </c>
      <c r="M164">
        <f>$C164*M163</f>
        <v/>
      </c>
      <c r="N164">
        <f>$C164*N163</f>
        <v/>
      </c>
      <c r="O164">
        <f>$C164*O163</f>
        <v/>
      </c>
      <c r="P164">
        <f>$C164*P163</f>
        <v/>
      </c>
      <c r="Q164">
        <f>$C164*Q163</f>
        <v/>
      </c>
      <c r="R164">
        <f>$C164*R163</f>
        <v/>
      </c>
      <c r="S164">
        <f>$C164*S163</f>
        <v/>
      </c>
      <c r="T164">
        <f>$C164*T163</f>
        <v/>
      </c>
      <c r="U164">
        <f>$C164*U163</f>
        <v/>
      </c>
      <c r="V164">
        <f>$C164*V163</f>
        <v/>
      </c>
      <c r="W164">
        <f>$C164*W163</f>
        <v/>
      </c>
      <c r="X164">
        <f>$C164*X163</f>
        <v/>
      </c>
      <c r="Y164">
        <f>$C164*Y163</f>
        <v/>
      </c>
      <c r="Z164">
        <f>$C164*Z163</f>
        <v/>
      </c>
      <c r="AA164">
        <f>$C164*AA163</f>
        <v/>
      </c>
      <c r="AB164">
        <f>$C164*AB163</f>
        <v/>
      </c>
      <c r="AC164">
        <f>$C164*AC163</f>
        <v/>
      </c>
      <c r="AD164">
        <f>$C164*AD163</f>
        <v/>
      </c>
      <c r="AE164">
        <f>$C164*AE163</f>
        <v/>
      </c>
      <c r="AF164">
        <f>$C164*AF163</f>
        <v/>
      </c>
      <c r="AG164">
        <f>$C164*AG163</f>
        <v/>
      </c>
      <c r="AH164">
        <f>$C164*AH163</f>
        <v/>
      </c>
      <c r="AI164">
        <f>$C164*AI163</f>
        <v/>
      </c>
      <c r="AJ164">
        <f>$C164*AJ163</f>
        <v/>
      </c>
      <c r="AK164">
        <f>$C164*AK163</f>
        <v/>
      </c>
      <c r="AL164">
        <f>$C164*AL163</f>
        <v/>
      </c>
      <c r="AM164">
        <f>$C164*AM163</f>
        <v/>
      </c>
      <c r="AN164">
        <f>$C164*AN163</f>
        <v/>
      </c>
      <c r="AO164">
        <f>$C164*AO163</f>
        <v/>
      </c>
      <c r="AP164">
        <f>$C164*AP163</f>
        <v/>
      </c>
      <c r="AQ164">
        <f>$C164*AQ163</f>
        <v/>
      </c>
      <c r="AR164">
        <f>$C164*AR163</f>
        <v/>
      </c>
      <c r="AS164">
        <f>$C164*AS163</f>
        <v/>
      </c>
      <c r="AT164">
        <f>$C164*AT163</f>
        <v/>
      </c>
      <c r="AU164">
        <f>$C164*AU163</f>
        <v/>
      </c>
      <c r="AV164">
        <f>$C164*AV163</f>
        <v/>
      </c>
      <c r="AW164">
        <f>$C164*AW163</f>
        <v/>
      </c>
      <c r="AX164">
        <f>$C164*AX163</f>
        <v/>
      </c>
      <c r="AY164">
        <f>$C164*AY163</f>
        <v/>
      </c>
      <c r="AZ164">
        <f>$C164*AZ163</f>
        <v/>
      </c>
      <c r="BA164">
        <f>$C164*BA163</f>
        <v/>
      </c>
      <c r="BB164">
        <f>$C164*BB163</f>
        <v/>
      </c>
      <c r="BC164">
        <f>$C164*BC163</f>
        <v/>
      </c>
      <c r="BD164">
        <f>$C164*BD163</f>
        <v/>
      </c>
      <c r="BE164">
        <f>$C164*BE163</f>
        <v/>
      </c>
      <c r="BF164">
        <f>$C164*BF163</f>
        <v/>
      </c>
      <c r="BG164">
        <f>$C164*BG163</f>
        <v/>
      </c>
      <c r="BH164">
        <f>$C164*BH163</f>
        <v/>
      </c>
      <c r="BI164">
        <f>$C164*BI163</f>
        <v/>
      </c>
      <c r="BJ164">
        <f>$C164*BJ163</f>
        <v/>
      </c>
      <c r="BK164">
        <f>$C164*BK163</f>
        <v/>
      </c>
      <c r="BL164">
        <f>$C164*BL163</f>
        <v/>
      </c>
      <c r="BM164">
        <f>$C164*BM163</f>
        <v/>
      </c>
      <c r="BN164">
        <f>$C164*BN163</f>
        <v/>
      </c>
      <c r="BO164">
        <f>$C164*BO163</f>
        <v/>
      </c>
      <c r="BP164">
        <f>$C164*BP163</f>
        <v/>
      </c>
      <c r="BQ164">
        <f>$C164*BQ163</f>
        <v/>
      </c>
      <c r="BR164">
        <f>$C164*BR163</f>
        <v/>
      </c>
      <c r="BS164">
        <f>$C164*BS163</f>
        <v/>
      </c>
      <c r="BT164">
        <f>$C164*BT163</f>
        <v/>
      </c>
      <c r="BU164">
        <f>$C164*BU163</f>
        <v/>
      </c>
      <c r="BV164">
        <f>$C164*BV163</f>
        <v/>
      </c>
      <c r="BW164">
        <f>$C164*BW163</f>
        <v/>
      </c>
      <c r="BX164">
        <f>$C164*BX163</f>
        <v/>
      </c>
      <c r="BY164">
        <f>$C164*BY163</f>
        <v/>
      </c>
      <c r="BZ164">
        <f>$C164*BZ163</f>
        <v/>
      </c>
      <c r="CA164">
        <f>$C164*CA163</f>
        <v/>
      </c>
      <c r="CB164">
        <f>$C164*CB163</f>
        <v/>
      </c>
      <c r="CC164">
        <f>$C164*CC163</f>
        <v/>
      </c>
      <c r="CD164">
        <f>$C164*CD163</f>
        <v/>
      </c>
      <c r="CE164">
        <f>$C164*CE163</f>
        <v/>
      </c>
      <c r="CF164">
        <f>$C164*CF163</f>
        <v/>
      </c>
      <c r="CG164">
        <f>$C164*CG163</f>
        <v/>
      </c>
      <c r="CH164">
        <f>$C164*CH163</f>
        <v/>
      </c>
      <c r="CI164">
        <f>$C164*CI163</f>
        <v/>
      </c>
      <c r="CJ164">
        <f>$C164*CJ163</f>
        <v/>
      </c>
      <c r="CK164">
        <f>$C164*CK163</f>
        <v/>
      </c>
      <c r="CL164">
        <f>$C164*CL163</f>
        <v/>
      </c>
      <c r="CM164">
        <f>$C164*CM163</f>
        <v/>
      </c>
      <c r="CN164">
        <f>$C164*CN163</f>
        <v/>
      </c>
      <c r="CO164">
        <f>$C164*CO163</f>
        <v/>
      </c>
      <c r="CP164">
        <f>$C164*CP163</f>
        <v/>
      </c>
      <c r="CQ164">
        <f>$C164*CQ163</f>
        <v/>
      </c>
      <c r="CR164">
        <f>$C164*CR163</f>
        <v/>
      </c>
      <c r="CS164">
        <f>$C164*CS163</f>
        <v/>
      </c>
      <c r="CT164">
        <f>$C164*CT163</f>
        <v/>
      </c>
      <c r="CU164">
        <f>$C164*CU163</f>
        <v/>
      </c>
      <c r="CV164">
        <f>$C164*CV163</f>
        <v/>
      </c>
      <c r="CW164">
        <f>$C164*CW163</f>
        <v/>
      </c>
      <c r="CX164">
        <f>$C164*CX163</f>
        <v/>
      </c>
      <c r="CY164">
        <f>$C164*CY163</f>
        <v/>
      </c>
      <c r="CZ164">
        <f>$C164*CZ163</f>
        <v/>
      </c>
      <c r="DA164">
        <f>$C164*DA163</f>
        <v/>
      </c>
      <c r="DB164">
        <f>$C164*DB163</f>
        <v/>
      </c>
      <c r="DC164">
        <f>$C164*DC163</f>
        <v/>
      </c>
    </row>
    <row r="165">
      <c r="B165" t="inlineStr">
        <is>
          <t>VSP-600</t>
        </is>
      </c>
      <c r="C165" t="inlineStr">
        <is>
          <t>No. of batches</t>
        </is>
      </c>
      <c r="D165">
        <f>IFERROR(INDEX(PP_Grid[#Data],$DD165,2),0)</f>
        <v/>
      </c>
      <c r="E165">
        <f>IFERROR(INDEX(PP_Grid[#Data],$DD165,3),0)</f>
        <v/>
      </c>
      <c r="F165">
        <f>IFERROR(INDEX(PP_Grid[#Data],$DD165,4),0)</f>
        <v/>
      </c>
      <c r="G165">
        <f>IFERROR(INDEX(PP_Grid[#Data],$DD165,5),0)</f>
        <v/>
      </c>
      <c r="H165">
        <f>IFERROR(INDEX(PP_Grid[#Data],$DD165,6),0)</f>
        <v/>
      </c>
      <c r="I165">
        <f>IFERROR(INDEX(PP_Grid[#Data],$DD165,7),0)</f>
        <v/>
      </c>
      <c r="J165">
        <f>IFERROR(INDEX(PP_Grid[#Data],$DD165,8),0)</f>
        <v/>
      </c>
      <c r="K165">
        <f>IFERROR(INDEX(PP_Grid[#Data],$DD165,9),0)</f>
        <v/>
      </c>
      <c r="L165">
        <f>IFERROR(INDEX(PP_Grid[#Data],$DD165,10),0)</f>
        <v/>
      </c>
      <c r="M165">
        <f>IFERROR(INDEX(PP_Grid[#Data],$DD165,11),0)</f>
        <v/>
      </c>
      <c r="N165">
        <f>IFERROR(INDEX(PP_Grid[#Data],$DD165,12),0)</f>
        <v/>
      </c>
      <c r="O165">
        <f>IFERROR(INDEX(PP_Grid[#Data],$DD165,13),0)</f>
        <v/>
      </c>
      <c r="P165">
        <f>IFERROR(INDEX(PP_Grid[#Data],$DD165,14),0)</f>
        <v/>
      </c>
      <c r="Q165">
        <f>IFERROR(INDEX(PP_Grid[#Data],$DD165,15),0)</f>
        <v/>
      </c>
      <c r="R165">
        <f>IFERROR(INDEX(PP_Grid[#Data],$DD165,16),0)</f>
        <v/>
      </c>
      <c r="S165">
        <f>IFERROR(INDEX(PP_Grid[#Data],$DD165,17),0)</f>
        <v/>
      </c>
      <c r="T165">
        <f>IFERROR(INDEX(PP_Grid[#Data],$DD165,18),0)</f>
        <v/>
      </c>
      <c r="U165">
        <f>IFERROR(INDEX(PP_Grid[#Data],$DD165,19),0)</f>
        <v/>
      </c>
      <c r="V165">
        <f>IFERROR(INDEX(PP_Grid[#Data],$DD165,20),0)</f>
        <v/>
      </c>
      <c r="W165">
        <f>IFERROR(INDEX(PP_Grid[#Data],$DD165,21),0)</f>
        <v/>
      </c>
      <c r="X165">
        <f>IFERROR(INDEX(PP_Grid[#Data],$DD165,22),0)</f>
        <v/>
      </c>
      <c r="Y165">
        <f>IFERROR(INDEX(PP_Grid[#Data],$DD165,23),0)</f>
        <v/>
      </c>
      <c r="Z165">
        <f>IFERROR(INDEX(PP_Grid[#Data],$DD165,24),0)</f>
        <v/>
      </c>
      <c r="AA165">
        <f>IFERROR(INDEX(PP_Grid[#Data],$DD165,25),0)</f>
        <v/>
      </c>
      <c r="AB165">
        <f>IFERROR(INDEX(PP_Grid[#Data],$DD165,26),0)</f>
        <v/>
      </c>
      <c r="AC165">
        <f>IFERROR(INDEX(PP_Grid[#Data],$DD165,27),0)</f>
        <v/>
      </c>
      <c r="AD165">
        <f>IFERROR(INDEX(PP_Grid[#Data],$DD165,28),0)</f>
        <v/>
      </c>
      <c r="AE165">
        <f>IFERROR(INDEX(PP_Grid[#Data],$DD165,29),0)</f>
        <v/>
      </c>
      <c r="AF165">
        <f>IFERROR(INDEX(PP_Grid[#Data],$DD165,30),0)</f>
        <v/>
      </c>
      <c r="AG165">
        <f>IFERROR(INDEX(PP_Grid[#Data],$DD165,31),0)</f>
        <v/>
      </c>
      <c r="AH165">
        <f>IFERROR(INDEX(PP_Grid[#Data],$DD165,32),0)</f>
        <v/>
      </c>
      <c r="AI165">
        <f>IFERROR(INDEX(PP_Grid[#Data],$DD165,33),0)</f>
        <v/>
      </c>
      <c r="AJ165">
        <f>IFERROR(INDEX(PP_Grid[#Data],$DD165,34),0)</f>
        <v/>
      </c>
      <c r="AK165">
        <f>IFERROR(INDEX(PP_Grid[#Data],$DD165,35),0)</f>
        <v/>
      </c>
      <c r="AL165">
        <f>IFERROR(INDEX(PP_Grid[#Data],$DD165,36),0)</f>
        <v/>
      </c>
      <c r="AM165">
        <f>IFERROR(INDEX(PP_Grid[#Data],$DD165,37),0)</f>
        <v/>
      </c>
      <c r="AN165">
        <f>IFERROR(INDEX(PP_Grid[#Data],$DD165,38),0)</f>
        <v/>
      </c>
      <c r="AO165">
        <f>IFERROR(INDEX(PP_Grid[#Data],$DD165,39),0)</f>
        <v/>
      </c>
      <c r="AP165">
        <f>IFERROR(INDEX(PP_Grid[#Data],$DD165,40),0)</f>
        <v/>
      </c>
      <c r="AQ165">
        <f>IFERROR(INDEX(PP_Grid[#Data],$DD165,41),0)</f>
        <v/>
      </c>
      <c r="AR165">
        <f>IFERROR(INDEX(PP_Grid[#Data],$DD165,42),0)</f>
        <v/>
      </c>
      <c r="AS165">
        <f>IFERROR(INDEX(PP_Grid[#Data],$DD165,43),0)</f>
        <v/>
      </c>
      <c r="AT165">
        <f>IFERROR(INDEX(PP_Grid[#Data],$DD165,44),0)</f>
        <v/>
      </c>
      <c r="AU165">
        <f>IFERROR(INDEX(PP_Grid[#Data],$DD165,45),0)</f>
        <v/>
      </c>
      <c r="AV165">
        <f>IFERROR(INDEX(PP_Grid[#Data],$DD165,46),0)</f>
        <v/>
      </c>
      <c r="AW165">
        <f>IFERROR(INDEX(PP_Grid[#Data],$DD165,47),0)</f>
        <v/>
      </c>
      <c r="AX165">
        <f>IFERROR(INDEX(PP_Grid[#Data],$DD165,48),0)</f>
        <v/>
      </c>
      <c r="AY165">
        <f>IFERROR(INDEX(PP_Grid[#Data],$DD165,49),0)</f>
        <v/>
      </c>
      <c r="AZ165">
        <f>IFERROR(INDEX(PP_Grid[#Data],$DD165,50),0)</f>
        <v/>
      </c>
      <c r="BA165">
        <f>IFERROR(INDEX(PP_Grid[#Data],$DD165,51),0)</f>
        <v/>
      </c>
      <c r="BB165">
        <f>IFERROR(INDEX(PP_Grid[#Data],$DD165,52),0)</f>
        <v/>
      </c>
      <c r="BC165">
        <f>IFERROR(INDEX(PP_Grid[#Data],$DD165,53),0)</f>
        <v/>
      </c>
      <c r="BD165">
        <f>IFERROR(INDEX(PP_Grid[#Data],$DD165,54),0)</f>
        <v/>
      </c>
      <c r="BE165">
        <f>IFERROR(INDEX(PP_Grid[#Data],$DD165,55),0)</f>
        <v/>
      </c>
      <c r="BF165">
        <f>IFERROR(INDEX(PP_Grid[#Data],$DD165,56),0)</f>
        <v/>
      </c>
      <c r="BG165">
        <f>IFERROR(INDEX(PP_Grid[#Data],$DD165,57),0)</f>
        <v/>
      </c>
      <c r="BH165">
        <f>IFERROR(INDEX(PP_Grid[#Data],$DD165,58),0)</f>
        <v/>
      </c>
      <c r="BI165">
        <f>IFERROR(INDEX(PP_Grid[#Data],$DD165,59),0)</f>
        <v/>
      </c>
      <c r="BJ165">
        <f>IFERROR(INDEX(PP_Grid[#Data],$DD165,60),0)</f>
        <v/>
      </c>
      <c r="BK165">
        <f>IFERROR(INDEX(PP_Grid[#Data],$DD165,61),0)</f>
        <v/>
      </c>
      <c r="BL165">
        <f>IFERROR(INDEX(PP_Grid[#Data],$DD165,62),0)</f>
        <v/>
      </c>
      <c r="BM165">
        <f>IFERROR(INDEX(PP_Grid[#Data],$DD165,63),0)</f>
        <v/>
      </c>
      <c r="BN165">
        <f>IFERROR(INDEX(PP_Grid[#Data],$DD165,64),0)</f>
        <v/>
      </c>
      <c r="BO165">
        <f>IFERROR(INDEX(PP_Grid[#Data],$DD165,65),0)</f>
        <v/>
      </c>
      <c r="BP165">
        <f>IFERROR(INDEX(PP_Grid[#Data],$DD165,66),0)</f>
        <v/>
      </c>
      <c r="BQ165">
        <f>IFERROR(INDEX(PP_Grid[#Data],$DD165,67),0)</f>
        <v/>
      </c>
      <c r="BR165">
        <f>IFERROR(INDEX(PP_Grid[#Data],$DD165,68),0)</f>
        <v/>
      </c>
      <c r="BS165">
        <f>IFERROR(INDEX(PP_Grid[#Data],$DD165,69),0)</f>
        <v/>
      </c>
      <c r="BT165">
        <f>IFERROR(INDEX(PP_Grid[#Data],$DD165,70),0)</f>
        <v/>
      </c>
      <c r="BU165">
        <f>IFERROR(INDEX(PP_Grid[#Data],$DD165,71),0)</f>
        <v/>
      </c>
      <c r="BV165">
        <f>IFERROR(INDEX(PP_Grid[#Data],$DD165,72),0)</f>
        <v/>
      </c>
      <c r="BW165">
        <f>IFERROR(INDEX(PP_Grid[#Data],$DD165,73),0)</f>
        <v/>
      </c>
      <c r="BX165">
        <f>IFERROR(INDEX(PP_Grid[#Data],$DD165,74),0)</f>
        <v/>
      </c>
      <c r="BY165">
        <f>IFERROR(INDEX(PP_Grid[#Data],$DD165,75),0)</f>
        <v/>
      </c>
      <c r="BZ165">
        <f>IFERROR(INDEX(PP_Grid[#Data],$DD165,76),0)</f>
        <v/>
      </c>
      <c r="CA165">
        <f>IFERROR(INDEX(PP_Grid[#Data],$DD165,77),0)</f>
        <v/>
      </c>
      <c r="CB165">
        <f>IFERROR(INDEX(PP_Grid[#Data],$DD165,78),0)</f>
        <v/>
      </c>
      <c r="CC165">
        <f>IFERROR(INDEX(PP_Grid[#Data],$DD165,79),0)</f>
        <v/>
      </c>
      <c r="CD165">
        <f>IFERROR(INDEX(PP_Grid[#Data],$DD165,80),0)</f>
        <v/>
      </c>
      <c r="CE165">
        <f>IFERROR(INDEX(PP_Grid[#Data],$DD165,81),0)</f>
        <v/>
      </c>
      <c r="CF165">
        <f>IFERROR(INDEX(PP_Grid[#Data],$DD165,82),0)</f>
        <v/>
      </c>
      <c r="CG165">
        <f>IFERROR(INDEX(PP_Grid[#Data],$DD165,83),0)</f>
        <v/>
      </c>
      <c r="CH165">
        <f>IFERROR(INDEX(PP_Grid[#Data],$DD165,84),0)</f>
        <v/>
      </c>
      <c r="CI165">
        <f>IFERROR(INDEX(PP_Grid[#Data],$DD165,85),0)</f>
        <v/>
      </c>
      <c r="CJ165">
        <f>IFERROR(INDEX(PP_Grid[#Data],$DD165,86),0)</f>
        <v/>
      </c>
      <c r="CK165">
        <f>IFERROR(INDEX(PP_Grid[#Data],$DD165,87),0)</f>
        <v/>
      </c>
      <c r="CL165">
        <f>IFERROR(INDEX(PP_Grid[#Data],$DD165,88),0)</f>
        <v/>
      </c>
      <c r="CM165">
        <f>IFERROR(INDEX(PP_Grid[#Data],$DD165,89),0)</f>
        <v/>
      </c>
      <c r="CN165">
        <f>IFERROR(INDEX(PP_Grid[#Data],$DD165,90),0)</f>
        <v/>
      </c>
      <c r="CO165">
        <f>IFERROR(INDEX(PP_Grid[#Data],$DD165,91),0)</f>
        <v/>
      </c>
      <c r="CP165">
        <f>IFERROR(INDEX(PP_Grid[#Data],$DD165,92),0)</f>
        <v/>
      </c>
      <c r="CQ165">
        <f>IFERROR(INDEX(PP_Grid[#Data],$DD165,93),0)</f>
        <v/>
      </c>
      <c r="CR165">
        <f>IFERROR(INDEX(PP_Grid[#Data],$DD165,94),0)</f>
        <v/>
      </c>
      <c r="CS165">
        <f>IFERROR(INDEX(PP_Grid[#Data],$DD165,95),0)</f>
        <v/>
      </c>
      <c r="CT165">
        <f>IFERROR(INDEX(PP_Grid[#Data],$DD165,96),0)</f>
        <v/>
      </c>
      <c r="CU165">
        <f>IFERROR(INDEX(PP_Grid[#Data],$DD165,97),0)</f>
        <v/>
      </c>
      <c r="CV165">
        <f>IFERROR(INDEX(PP_Grid[#Data],$DD165,98),0)</f>
        <v/>
      </c>
      <c r="CW165">
        <f>IFERROR(INDEX(PP_Grid[#Data],$DD165,99),0)</f>
        <v/>
      </c>
      <c r="CX165">
        <f>IFERROR(INDEX(PP_Grid[#Data],$DD165,100),0)</f>
        <v/>
      </c>
      <c r="CY165">
        <f>IFERROR(INDEX(PP_Grid[#Data],$DD165,101),0)</f>
        <v/>
      </c>
      <c r="CZ165">
        <f>IFERROR(INDEX(PP_Grid[#Data],$DD165,102),0)</f>
        <v/>
      </c>
      <c r="DA165">
        <f>IFERROR(INDEX(PP_Grid[#Data],$DD165,103),0)</f>
        <v/>
      </c>
      <c r="DB165">
        <f>IFERROR(INDEX(PP_Grid[#Data],$DD165,104),0)</f>
        <v/>
      </c>
      <c r="DC165">
        <f>IFERROR(INDEX(PP_Grid[#Data],$DD165,105),0)</f>
        <v/>
      </c>
      <c r="DD165" s="7">
        <f>IFERROR(MATCH($B165,PP_Grid[Intermediate],0),99999)</f>
        <v/>
      </c>
    </row>
    <row r="166">
      <c r="B166" t="inlineStr">
        <is>
          <t>使用量(kg)</t>
        </is>
      </c>
      <c r="C166">
        <f>SUMIFS(M_BOM[RM_Qty_Per_Batch],M_BOM[Intermediate],$B165,M_BOM[Part Name],$A44)</f>
        <v/>
      </c>
      <c r="D166">
        <f>$C166*D165</f>
        <v/>
      </c>
      <c r="E166">
        <f>$C166*E165</f>
        <v/>
      </c>
      <c r="F166">
        <f>$C166*F165</f>
        <v/>
      </c>
      <c r="G166">
        <f>$C166*G165</f>
        <v/>
      </c>
      <c r="H166">
        <f>$C166*H165</f>
        <v/>
      </c>
      <c r="I166">
        <f>$C166*I165</f>
        <v/>
      </c>
      <c r="J166">
        <f>$C166*J165</f>
        <v/>
      </c>
      <c r="K166">
        <f>$C166*K165</f>
        <v/>
      </c>
      <c r="L166">
        <f>$C166*L165</f>
        <v/>
      </c>
      <c r="M166">
        <f>$C166*M165</f>
        <v/>
      </c>
      <c r="N166">
        <f>$C166*N165</f>
        <v/>
      </c>
      <c r="O166">
        <f>$C166*O165</f>
        <v/>
      </c>
      <c r="P166">
        <f>$C166*P165</f>
        <v/>
      </c>
      <c r="Q166">
        <f>$C166*Q165</f>
        <v/>
      </c>
      <c r="R166">
        <f>$C166*R165</f>
        <v/>
      </c>
      <c r="S166">
        <f>$C166*S165</f>
        <v/>
      </c>
      <c r="T166">
        <f>$C166*T165</f>
        <v/>
      </c>
      <c r="U166">
        <f>$C166*U165</f>
        <v/>
      </c>
      <c r="V166">
        <f>$C166*V165</f>
        <v/>
      </c>
      <c r="W166">
        <f>$C166*W165</f>
        <v/>
      </c>
      <c r="X166">
        <f>$C166*X165</f>
        <v/>
      </c>
      <c r="Y166">
        <f>$C166*Y165</f>
        <v/>
      </c>
      <c r="Z166">
        <f>$C166*Z165</f>
        <v/>
      </c>
      <c r="AA166">
        <f>$C166*AA165</f>
        <v/>
      </c>
      <c r="AB166">
        <f>$C166*AB165</f>
        <v/>
      </c>
      <c r="AC166">
        <f>$C166*AC165</f>
        <v/>
      </c>
      <c r="AD166">
        <f>$C166*AD165</f>
        <v/>
      </c>
      <c r="AE166">
        <f>$C166*AE165</f>
        <v/>
      </c>
      <c r="AF166">
        <f>$C166*AF165</f>
        <v/>
      </c>
      <c r="AG166">
        <f>$C166*AG165</f>
        <v/>
      </c>
      <c r="AH166">
        <f>$C166*AH165</f>
        <v/>
      </c>
      <c r="AI166">
        <f>$C166*AI165</f>
        <v/>
      </c>
      <c r="AJ166">
        <f>$C166*AJ165</f>
        <v/>
      </c>
      <c r="AK166">
        <f>$C166*AK165</f>
        <v/>
      </c>
      <c r="AL166">
        <f>$C166*AL165</f>
        <v/>
      </c>
      <c r="AM166">
        <f>$C166*AM165</f>
        <v/>
      </c>
      <c r="AN166">
        <f>$C166*AN165</f>
        <v/>
      </c>
      <c r="AO166">
        <f>$C166*AO165</f>
        <v/>
      </c>
      <c r="AP166">
        <f>$C166*AP165</f>
        <v/>
      </c>
      <c r="AQ166">
        <f>$C166*AQ165</f>
        <v/>
      </c>
      <c r="AR166">
        <f>$C166*AR165</f>
        <v/>
      </c>
      <c r="AS166">
        <f>$C166*AS165</f>
        <v/>
      </c>
      <c r="AT166">
        <f>$C166*AT165</f>
        <v/>
      </c>
      <c r="AU166">
        <f>$C166*AU165</f>
        <v/>
      </c>
      <c r="AV166">
        <f>$C166*AV165</f>
        <v/>
      </c>
      <c r="AW166">
        <f>$C166*AW165</f>
        <v/>
      </c>
      <c r="AX166">
        <f>$C166*AX165</f>
        <v/>
      </c>
      <c r="AY166">
        <f>$C166*AY165</f>
        <v/>
      </c>
      <c r="AZ166">
        <f>$C166*AZ165</f>
        <v/>
      </c>
      <c r="BA166">
        <f>$C166*BA165</f>
        <v/>
      </c>
      <c r="BB166">
        <f>$C166*BB165</f>
        <v/>
      </c>
      <c r="BC166">
        <f>$C166*BC165</f>
        <v/>
      </c>
      <c r="BD166">
        <f>$C166*BD165</f>
        <v/>
      </c>
      <c r="BE166">
        <f>$C166*BE165</f>
        <v/>
      </c>
      <c r="BF166">
        <f>$C166*BF165</f>
        <v/>
      </c>
      <c r="BG166">
        <f>$C166*BG165</f>
        <v/>
      </c>
      <c r="BH166">
        <f>$C166*BH165</f>
        <v/>
      </c>
      <c r="BI166">
        <f>$C166*BI165</f>
        <v/>
      </c>
      <c r="BJ166">
        <f>$C166*BJ165</f>
        <v/>
      </c>
      <c r="BK166">
        <f>$C166*BK165</f>
        <v/>
      </c>
      <c r="BL166">
        <f>$C166*BL165</f>
        <v/>
      </c>
      <c r="BM166">
        <f>$C166*BM165</f>
        <v/>
      </c>
      <c r="BN166">
        <f>$C166*BN165</f>
        <v/>
      </c>
      <c r="BO166">
        <f>$C166*BO165</f>
        <v/>
      </c>
      <c r="BP166">
        <f>$C166*BP165</f>
        <v/>
      </c>
      <c r="BQ166">
        <f>$C166*BQ165</f>
        <v/>
      </c>
      <c r="BR166">
        <f>$C166*BR165</f>
        <v/>
      </c>
      <c r="BS166">
        <f>$C166*BS165</f>
        <v/>
      </c>
      <c r="BT166">
        <f>$C166*BT165</f>
        <v/>
      </c>
      <c r="BU166">
        <f>$C166*BU165</f>
        <v/>
      </c>
      <c r="BV166">
        <f>$C166*BV165</f>
        <v/>
      </c>
      <c r="BW166">
        <f>$C166*BW165</f>
        <v/>
      </c>
      <c r="BX166">
        <f>$C166*BX165</f>
        <v/>
      </c>
      <c r="BY166">
        <f>$C166*BY165</f>
        <v/>
      </c>
      <c r="BZ166">
        <f>$C166*BZ165</f>
        <v/>
      </c>
      <c r="CA166">
        <f>$C166*CA165</f>
        <v/>
      </c>
      <c r="CB166">
        <f>$C166*CB165</f>
        <v/>
      </c>
      <c r="CC166">
        <f>$C166*CC165</f>
        <v/>
      </c>
      <c r="CD166">
        <f>$C166*CD165</f>
        <v/>
      </c>
      <c r="CE166">
        <f>$C166*CE165</f>
        <v/>
      </c>
      <c r="CF166">
        <f>$C166*CF165</f>
        <v/>
      </c>
      <c r="CG166">
        <f>$C166*CG165</f>
        <v/>
      </c>
      <c r="CH166">
        <f>$C166*CH165</f>
        <v/>
      </c>
      <c r="CI166">
        <f>$C166*CI165</f>
        <v/>
      </c>
      <c r="CJ166">
        <f>$C166*CJ165</f>
        <v/>
      </c>
      <c r="CK166">
        <f>$C166*CK165</f>
        <v/>
      </c>
      <c r="CL166">
        <f>$C166*CL165</f>
        <v/>
      </c>
      <c r="CM166">
        <f>$C166*CM165</f>
        <v/>
      </c>
      <c r="CN166">
        <f>$C166*CN165</f>
        <v/>
      </c>
      <c r="CO166">
        <f>$C166*CO165</f>
        <v/>
      </c>
      <c r="CP166">
        <f>$C166*CP165</f>
        <v/>
      </c>
      <c r="CQ166">
        <f>$C166*CQ165</f>
        <v/>
      </c>
      <c r="CR166">
        <f>$C166*CR165</f>
        <v/>
      </c>
      <c r="CS166">
        <f>$C166*CS165</f>
        <v/>
      </c>
      <c r="CT166">
        <f>$C166*CT165</f>
        <v/>
      </c>
      <c r="CU166">
        <f>$C166*CU165</f>
        <v/>
      </c>
      <c r="CV166">
        <f>$C166*CV165</f>
        <v/>
      </c>
      <c r="CW166">
        <f>$C166*CW165</f>
        <v/>
      </c>
      <c r="CX166">
        <f>$C166*CX165</f>
        <v/>
      </c>
      <c r="CY166">
        <f>$C166*CY165</f>
        <v/>
      </c>
      <c r="CZ166">
        <f>$C166*CZ165</f>
        <v/>
      </c>
      <c r="DA166">
        <f>$C166*DA165</f>
        <v/>
      </c>
      <c r="DB166">
        <f>$C166*DB165</f>
        <v/>
      </c>
      <c r="DC166">
        <f>$C166*DC165</f>
        <v/>
      </c>
    </row>
    <row r="167">
      <c r="B167" t="inlineStr">
        <is>
          <t>VSP-601</t>
        </is>
      </c>
      <c r="C167" t="inlineStr">
        <is>
          <t>No. of batches</t>
        </is>
      </c>
      <c r="D167">
        <f>IFERROR(INDEX(PP_Grid[#Data],$DD167,2),0)</f>
        <v/>
      </c>
      <c r="E167">
        <f>IFERROR(INDEX(PP_Grid[#Data],$DD167,3),0)</f>
        <v/>
      </c>
      <c r="F167">
        <f>IFERROR(INDEX(PP_Grid[#Data],$DD167,4),0)</f>
        <v/>
      </c>
      <c r="G167">
        <f>IFERROR(INDEX(PP_Grid[#Data],$DD167,5),0)</f>
        <v/>
      </c>
      <c r="H167">
        <f>IFERROR(INDEX(PP_Grid[#Data],$DD167,6),0)</f>
        <v/>
      </c>
      <c r="I167">
        <f>IFERROR(INDEX(PP_Grid[#Data],$DD167,7),0)</f>
        <v/>
      </c>
      <c r="J167">
        <f>IFERROR(INDEX(PP_Grid[#Data],$DD167,8),0)</f>
        <v/>
      </c>
      <c r="K167">
        <f>IFERROR(INDEX(PP_Grid[#Data],$DD167,9),0)</f>
        <v/>
      </c>
      <c r="L167">
        <f>IFERROR(INDEX(PP_Grid[#Data],$DD167,10),0)</f>
        <v/>
      </c>
      <c r="M167">
        <f>IFERROR(INDEX(PP_Grid[#Data],$DD167,11),0)</f>
        <v/>
      </c>
      <c r="N167">
        <f>IFERROR(INDEX(PP_Grid[#Data],$DD167,12),0)</f>
        <v/>
      </c>
      <c r="O167">
        <f>IFERROR(INDEX(PP_Grid[#Data],$DD167,13),0)</f>
        <v/>
      </c>
      <c r="P167">
        <f>IFERROR(INDEX(PP_Grid[#Data],$DD167,14),0)</f>
        <v/>
      </c>
      <c r="Q167">
        <f>IFERROR(INDEX(PP_Grid[#Data],$DD167,15),0)</f>
        <v/>
      </c>
      <c r="R167">
        <f>IFERROR(INDEX(PP_Grid[#Data],$DD167,16),0)</f>
        <v/>
      </c>
      <c r="S167">
        <f>IFERROR(INDEX(PP_Grid[#Data],$DD167,17),0)</f>
        <v/>
      </c>
      <c r="T167">
        <f>IFERROR(INDEX(PP_Grid[#Data],$DD167,18),0)</f>
        <v/>
      </c>
      <c r="U167">
        <f>IFERROR(INDEX(PP_Grid[#Data],$DD167,19),0)</f>
        <v/>
      </c>
      <c r="V167">
        <f>IFERROR(INDEX(PP_Grid[#Data],$DD167,20),0)</f>
        <v/>
      </c>
      <c r="W167">
        <f>IFERROR(INDEX(PP_Grid[#Data],$DD167,21),0)</f>
        <v/>
      </c>
      <c r="X167">
        <f>IFERROR(INDEX(PP_Grid[#Data],$DD167,22),0)</f>
        <v/>
      </c>
      <c r="Y167">
        <f>IFERROR(INDEX(PP_Grid[#Data],$DD167,23),0)</f>
        <v/>
      </c>
      <c r="Z167">
        <f>IFERROR(INDEX(PP_Grid[#Data],$DD167,24),0)</f>
        <v/>
      </c>
      <c r="AA167">
        <f>IFERROR(INDEX(PP_Grid[#Data],$DD167,25),0)</f>
        <v/>
      </c>
      <c r="AB167">
        <f>IFERROR(INDEX(PP_Grid[#Data],$DD167,26),0)</f>
        <v/>
      </c>
      <c r="AC167">
        <f>IFERROR(INDEX(PP_Grid[#Data],$DD167,27),0)</f>
        <v/>
      </c>
      <c r="AD167">
        <f>IFERROR(INDEX(PP_Grid[#Data],$DD167,28),0)</f>
        <v/>
      </c>
      <c r="AE167">
        <f>IFERROR(INDEX(PP_Grid[#Data],$DD167,29),0)</f>
        <v/>
      </c>
      <c r="AF167">
        <f>IFERROR(INDEX(PP_Grid[#Data],$DD167,30),0)</f>
        <v/>
      </c>
      <c r="AG167">
        <f>IFERROR(INDEX(PP_Grid[#Data],$DD167,31),0)</f>
        <v/>
      </c>
      <c r="AH167">
        <f>IFERROR(INDEX(PP_Grid[#Data],$DD167,32),0)</f>
        <v/>
      </c>
      <c r="AI167">
        <f>IFERROR(INDEX(PP_Grid[#Data],$DD167,33),0)</f>
        <v/>
      </c>
      <c r="AJ167">
        <f>IFERROR(INDEX(PP_Grid[#Data],$DD167,34),0)</f>
        <v/>
      </c>
      <c r="AK167">
        <f>IFERROR(INDEX(PP_Grid[#Data],$DD167,35),0)</f>
        <v/>
      </c>
      <c r="AL167">
        <f>IFERROR(INDEX(PP_Grid[#Data],$DD167,36),0)</f>
        <v/>
      </c>
      <c r="AM167">
        <f>IFERROR(INDEX(PP_Grid[#Data],$DD167,37),0)</f>
        <v/>
      </c>
      <c r="AN167">
        <f>IFERROR(INDEX(PP_Grid[#Data],$DD167,38),0)</f>
        <v/>
      </c>
      <c r="AO167">
        <f>IFERROR(INDEX(PP_Grid[#Data],$DD167,39),0)</f>
        <v/>
      </c>
      <c r="AP167">
        <f>IFERROR(INDEX(PP_Grid[#Data],$DD167,40),0)</f>
        <v/>
      </c>
      <c r="AQ167">
        <f>IFERROR(INDEX(PP_Grid[#Data],$DD167,41),0)</f>
        <v/>
      </c>
      <c r="AR167">
        <f>IFERROR(INDEX(PP_Grid[#Data],$DD167,42),0)</f>
        <v/>
      </c>
      <c r="AS167">
        <f>IFERROR(INDEX(PP_Grid[#Data],$DD167,43),0)</f>
        <v/>
      </c>
      <c r="AT167">
        <f>IFERROR(INDEX(PP_Grid[#Data],$DD167,44),0)</f>
        <v/>
      </c>
      <c r="AU167">
        <f>IFERROR(INDEX(PP_Grid[#Data],$DD167,45),0)</f>
        <v/>
      </c>
      <c r="AV167">
        <f>IFERROR(INDEX(PP_Grid[#Data],$DD167,46),0)</f>
        <v/>
      </c>
      <c r="AW167">
        <f>IFERROR(INDEX(PP_Grid[#Data],$DD167,47),0)</f>
        <v/>
      </c>
      <c r="AX167">
        <f>IFERROR(INDEX(PP_Grid[#Data],$DD167,48),0)</f>
        <v/>
      </c>
      <c r="AY167">
        <f>IFERROR(INDEX(PP_Grid[#Data],$DD167,49),0)</f>
        <v/>
      </c>
      <c r="AZ167">
        <f>IFERROR(INDEX(PP_Grid[#Data],$DD167,50),0)</f>
        <v/>
      </c>
      <c r="BA167">
        <f>IFERROR(INDEX(PP_Grid[#Data],$DD167,51),0)</f>
        <v/>
      </c>
      <c r="BB167">
        <f>IFERROR(INDEX(PP_Grid[#Data],$DD167,52),0)</f>
        <v/>
      </c>
      <c r="BC167">
        <f>IFERROR(INDEX(PP_Grid[#Data],$DD167,53),0)</f>
        <v/>
      </c>
      <c r="BD167">
        <f>IFERROR(INDEX(PP_Grid[#Data],$DD167,54),0)</f>
        <v/>
      </c>
      <c r="BE167">
        <f>IFERROR(INDEX(PP_Grid[#Data],$DD167,55),0)</f>
        <v/>
      </c>
      <c r="BF167">
        <f>IFERROR(INDEX(PP_Grid[#Data],$DD167,56),0)</f>
        <v/>
      </c>
      <c r="BG167">
        <f>IFERROR(INDEX(PP_Grid[#Data],$DD167,57),0)</f>
        <v/>
      </c>
      <c r="BH167">
        <f>IFERROR(INDEX(PP_Grid[#Data],$DD167,58),0)</f>
        <v/>
      </c>
      <c r="BI167">
        <f>IFERROR(INDEX(PP_Grid[#Data],$DD167,59),0)</f>
        <v/>
      </c>
      <c r="BJ167">
        <f>IFERROR(INDEX(PP_Grid[#Data],$DD167,60),0)</f>
        <v/>
      </c>
      <c r="BK167">
        <f>IFERROR(INDEX(PP_Grid[#Data],$DD167,61),0)</f>
        <v/>
      </c>
      <c r="BL167">
        <f>IFERROR(INDEX(PP_Grid[#Data],$DD167,62),0)</f>
        <v/>
      </c>
      <c r="BM167">
        <f>IFERROR(INDEX(PP_Grid[#Data],$DD167,63),0)</f>
        <v/>
      </c>
      <c r="BN167">
        <f>IFERROR(INDEX(PP_Grid[#Data],$DD167,64),0)</f>
        <v/>
      </c>
      <c r="BO167">
        <f>IFERROR(INDEX(PP_Grid[#Data],$DD167,65),0)</f>
        <v/>
      </c>
      <c r="BP167">
        <f>IFERROR(INDEX(PP_Grid[#Data],$DD167,66),0)</f>
        <v/>
      </c>
      <c r="BQ167">
        <f>IFERROR(INDEX(PP_Grid[#Data],$DD167,67),0)</f>
        <v/>
      </c>
      <c r="BR167">
        <f>IFERROR(INDEX(PP_Grid[#Data],$DD167,68),0)</f>
        <v/>
      </c>
      <c r="BS167">
        <f>IFERROR(INDEX(PP_Grid[#Data],$DD167,69),0)</f>
        <v/>
      </c>
      <c r="BT167">
        <f>IFERROR(INDEX(PP_Grid[#Data],$DD167,70),0)</f>
        <v/>
      </c>
      <c r="BU167">
        <f>IFERROR(INDEX(PP_Grid[#Data],$DD167,71),0)</f>
        <v/>
      </c>
      <c r="BV167">
        <f>IFERROR(INDEX(PP_Grid[#Data],$DD167,72),0)</f>
        <v/>
      </c>
      <c r="BW167">
        <f>IFERROR(INDEX(PP_Grid[#Data],$DD167,73),0)</f>
        <v/>
      </c>
      <c r="BX167">
        <f>IFERROR(INDEX(PP_Grid[#Data],$DD167,74),0)</f>
        <v/>
      </c>
      <c r="BY167">
        <f>IFERROR(INDEX(PP_Grid[#Data],$DD167,75),0)</f>
        <v/>
      </c>
      <c r="BZ167">
        <f>IFERROR(INDEX(PP_Grid[#Data],$DD167,76),0)</f>
        <v/>
      </c>
      <c r="CA167">
        <f>IFERROR(INDEX(PP_Grid[#Data],$DD167,77),0)</f>
        <v/>
      </c>
      <c r="CB167">
        <f>IFERROR(INDEX(PP_Grid[#Data],$DD167,78),0)</f>
        <v/>
      </c>
      <c r="CC167">
        <f>IFERROR(INDEX(PP_Grid[#Data],$DD167,79),0)</f>
        <v/>
      </c>
      <c r="CD167">
        <f>IFERROR(INDEX(PP_Grid[#Data],$DD167,80),0)</f>
        <v/>
      </c>
      <c r="CE167">
        <f>IFERROR(INDEX(PP_Grid[#Data],$DD167,81),0)</f>
        <v/>
      </c>
      <c r="CF167">
        <f>IFERROR(INDEX(PP_Grid[#Data],$DD167,82),0)</f>
        <v/>
      </c>
      <c r="CG167">
        <f>IFERROR(INDEX(PP_Grid[#Data],$DD167,83),0)</f>
        <v/>
      </c>
      <c r="CH167">
        <f>IFERROR(INDEX(PP_Grid[#Data],$DD167,84),0)</f>
        <v/>
      </c>
      <c r="CI167">
        <f>IFERROR(INDEX(PP_Grid[#Data],$DD167,85),0)</f>
        <v/>
      </c>
      <c r="CJ167">
        <f>IFERROR(INDEX(PP_Grid[#Data],$DD167,86),0)</f>
        <v/>
      </c>
      <c r="CK167">
        <f>IFERROR(INDEX(PP_Grid[#Data],$DD167,87),0)</f>
        <v/>
      </c>
      <c r="CL167">
        <f>IFERROR(INDEX(PP_Grid[#Data],$DD167,88),0)</f>
        <v/>
      </c>
      <c r="CM167">
        <f>IFERROR(INDEX(PP_Grid[#Data],$DD167,89),0)</f>
        <v/>
      </c>
      <c r="CN167">
        <f>IFERROR(INDEX(PP_Grid[#Data],$DD167,90),0)</f>
        <v/>
      </c>
      <c r="CO167">
        <f>IFERROR(INDEX(PP_Grid[#Data],$DD167,91),0)</f>
        <v/>
      </c>
      <c r="CP167">
        <f>IFERROR(INDEX(PP_Grid[#Data],$DD167,92),0)</f>
        <v/>
      </c>
      <c r="CQ167">
        <f>IFERROR(INDEX(PP_Grid[#Data],$DD167,93),0)</f>
        <v/>
      </c>
      <c r="CR167">
        <f>IFERROR(INDEX(PP_Grid[#Data],$DD167,94),0)</f>
        <v/>
      </c>
      <c r="CS167">
        <f>IFERROR(INDEX(PP_Grid[#Data],$DD167,95),0)</f>
        <v/>
      </c>
      <c r="CT167">
        <f>IFERROR(INDEX(PP_Grid[#Data],$DD167,96),0)</f>
        <v/>
      </c>
      <c r="CU167">
        <f>IFERROR(INDEX(PP_Grid[#Data],$DD167,97),0)</f>
        <v/>
      </c>
      <c r="CV167">
        <f>IFERROR(INDEX(PP_Grid[#Data],$DD167,98),0)</f>
        <v/>
      </c>
      <c r="CW167">
        <f>IFERROR(INDEX(PP_Grid[#Data],$DD167,99),0)</f>
        <v/>
      </c>
      <c r="CX167">
        <f>IFERROR(INDEX(PP_Grid[#Data],$DD167,100),0)</f>
        <v/>
      </c>
      <c r="CY167">
        <f>IFERROR(INDEX(PP_Grid[#Data],$DD167,101),0)</f>
        <v/>
      </c>
      <c r="CZ167">
        <f>IFERROR(INDEX(PP_Grid[#Data],$DD167,102),0)</f>
        <v/>
      </c>
      <c r="DA167">
        <f>IFERROR(INDEX(PP_Grid[#Data],$DD167,103),0)</f>
        <v/>
      </c>
      <c r="DB167">
        <f>IFERROR(INDEX(PP_Grid[#Data],$DD167,104),0)</f>
        <v/>
      </c>
      <c r="DC167">
        <f>IFERROR(INDEX(PP_Grid[#Data],$DD167,105),0)</f>
        <v/>
      </c>
      <c r="DD167" s="7">
        <f>IFERROR(MATCH($B167,PP_Grid[Intermediate],0),99999)</f>
        <v/>
      </c>
    </row>
    <row r="168">
      <c r="B168" t="inlineStr">
        <is>
          <t>使用量(kg)</t>
        </is>
      </c>
      <c r="C168">
        <f>SUMIFS(M_BOM[RM_Qty_Per_Batch],M_BOM[Intermediate],$B167,M_BOM[Part Name],$A44)</f>
        <v/>
      </c>
      <c r="D168">
        <f>$C168*D167</f>
        <v/>
      </c>
      <c r="E168">
        <f>$C168*E167</f>
        <v/>
      </c>
      <c r="F168">
        <f>$C168*F167</f>
        <v/>
      </c>
      <c r="G168">
        <f>$C168*G167</f>
        <v/>
      </c>
      <c r="H168">
        <f>$C168*H167</f>
        <v/>
      </c>
      <c r="I168">
        <f>$C168*I167</f>
        <v/>
      </c>
      <c r="J168">
        <f>$C168*J167</f>
        <v/>
      </c>
      <c r="K168">
        <f>$C168*K167</f>
        <v/>
      </c>
      <c r="L168">
        <f>$C168*L167</f>
        <v/>
      </c>
      <c r="M168">
        <f>$C168*M167</f>
        <v/>
      </c>
      <c r="N168">
        <f>$C168*N167</f>
        <v/>
      </c>
      <c r="O168">
        <f>$C168*O167</f>
        <v/>
      </c>
      <c r="P168">
        <f>$C168*P167</f>
        <v/>
      </c>
      <c r="Q168">
        <f>$C168*Q167</f>
        <v/>
      </c>
      <c r="R168">
        <f>$C168*R167</f>
        <v/>
      </c>
      <c r="S168">
        <f>$C168*S167</f>
        <v/>
      </c>
      <c r="T168">
        <f>$C168*T167</f>
        <v/>
      </c>
      <c r="U168">
        <f>$C168*U167</f>
        <v/>
      </c>
      <c r="V168">
        <f>$C168*V167</f>
        <v/>
      </c>
      <c r="W168">
        <f>$C168*W167</f>
        <v/>
      </c>
      <c r="X168">
        <f>$C168*X167</f>
        <v/>
      </c>
      <c r="Y168">
        <f>$C168*Y167</f>
        <v/>
      </c>
      <c r="Z168">
        <f>$C168*Z167</f>
        <v/>
      </c>
      <c r="AA168">
        <f>$C168*AA167</f>
        <v/>
      </c>
      <c r="AB168">
        <f>$C168*AB167</f>
        <v/>
      </c>
      <c r="AC168">
        <f>$C168*AC167</f>
        <v/>
      </c>
      <c r="AD168">
        <f>$C168*AD167</f>
        <v/>
      </c>
      <c r="AE168">
        <f>$C168*AE167</f>
        <v/>
      </c>
      <c r="AF168">
        <f>$C168*AF167</f>
        <v/>
      </c>
      <c r="AG168">
        <f>$C168*AG167</f>
        <v/>
      </c>
      <c r="AH168">
        <f>$C168*AH167</f>
        <v/>
      </c>
      <c r="AI168">
        <f>$C168*AI167</f>
        <v/>
      </c>
      <c r="AJ168">
        <f>$C168*AJ167</f>
        <v/>
      </c>
      <c r="AK168">
        <f>$C168*AK167</f>
        <v/>
      </c>
      <c r="AL168">
        <f>$C168*AL167</f>
        <v/>
      </c>
      <c r="AM168">
        <f>$C168*AM167</f>
        <v/>
      </c>
      <c r="AN168">
        <f>$C168*AN167</f>
        <v/>
      </c>
      <c r="AO168">
        <f>$C168*AO167</f>
        <v/>
      </c>
      <c r="AP168">
        <f>$C168*AP167</f>
        <v/>
      </c>
      <c r="AQ168">
        <f>$C168*AQ167</f>
        <v/>
      </c>
      <c r="AR168">
        <f>$C168*AR167</f>
        <v/>
      </c>
      <c r="AS168">
        <f>$C168*AS167</f>
        <v/>
      </c>
      <c r="AT168">
        <f>$C168*AT167</f>
        <v/>
      </c>
      <c r="AU168">
        <f>$C168*AU167</f>
        <v/>
      </c>
      <c r="AV168">
        <f>$C168*AV167</f>
        <v/>
      </c>
      <c r="AW168">
        <f>$C168*AW167</f>
        <v/>
      </c>
      <c r="AX168">
        <f>$C168*AX167</f>
        <v/>
      </c>
      <c r="AY168">
        <f>$C168*AY167</f>
        <v/>
      </c>
      <c r="AZ168">
        <f>$C168*AZ167</f>
        <v/>
      </c>
      <c r="BA168">
        <f>$C168*BA167</f>
        <v/>
      </c>
      <c r="BB168">
        <f>$C168*BB167</f>
        <v/>
      </c>
      <c r="BC168">
        <f>$C168*BC167</f>
        <v/>
      </c>
      <c r="BD168">
        <f>$C168*BD167</f>
        <v/>
      </c>
      <c r="BE168">
        <f>$C168*BE167</f>
        <v/>
      </c>
      <c r="BF168">
        <f>$C168*BF167</f>
        <v/>
      </c>
      <c r="BG168">
        <f>$C168*BG167</f>
        <v/>
      </c>
      <c r="BH168">
        <f>$C168*BH167</f>
        <v/>
      </c>
      <c r="BI168">
        <f>$C168*BI167</f>
        <v/>
      </c>
      <c r="BJ168">
        <f>$C168*BJ167</f>
        <v/>
      </c>
      <c r="BK168">
        <f>$C168*BK167</f>
        <v/>
      </c>
      <c r="BL168">
        <f>$C168*BL167</f>
        <v/>
      </c>
      <c r="BM168">
        <f>$C168*BM167</f>
        <v/>
      </c>
      <c r="BN168">
        <f>$C168*BN167</f>
        <v/>
      </c>
      <c r="BO168">
        <f>$C168*BO167</f>
        <v/>
      </c>
      <c r="BP168">
        <f>$C168*BP167</f>
        <v/>
      </c>
      <c r="BQ168">
        <f>$C168*BQ167</f>
        <v/>
      </c>
      <c r="BR168">
        <f>$C168*BR167</f>
        <v/>
      </c>
      <c r="BS168">
        <f>$C168*BS167</f>
        <v/>
      </c>
      <c r="BT168">
        <f>$C168*BT167</f>
        <v/>
      </c>
      <c r="BU168">
        <f>$C168*BU167</f>
        <v/>
      </c>
      <c r="BV168">
        <f>$C168*BV167</f>
        <v/>
      </c>
      <c r="BW168">
        <f>$C168*BW167</f>
        <v/>
      </c>
      <c r="BX168">
        <f>$C168*BX167</f>
        <v/>
      </c>
      <c r="BY168">
        <f>$C168*BY167</f>
        <v/>
      </c>
      <c r="BZ168">
        <f>$C168*BZ167</f>
        <v/>
      </c>
      <c r="CA168">
        <f>$C168*CA167</f>
        <v/>
      </c>
      <c r="CB168">
        <f>$C168*CB167</f>
        <v/>
      </c>
      <c r="CC168">
        <f>$C168*CC167</f>
        <v/>
      </c>
      <c r="CD168">
        <f>$C168*CD167</f>
        <v/>
      </c>
      <c r="CE168">
        <f>$C168*CE167</f>
        <v/>
      </c>
      <c r="CF168">
        <f>$C168*CF167</f>
        <v/>
      </c>
      <c r="CG168">
        <f>$C168*CG167</f>
        <v/>
      </c>
      <c r="CH168">
        <f>$C168*CH167</f>
        <v/>
      </c>
      <c r="CI168">
        <f>$C168*CI167</f>
        <v/>
      </c>
      <c r="CJ168">
        <f>$C168*CJ167</f>
        <v/>
      </c>
      <c r="CK168">
        <f>$C168*CK167</f>
        <v/>
      </c>
      <c r="CL168">
        <f>$C168*CL167</f>
        <v/>
      </c>
      <c r="CM168">
        <f>$C168*CM167</f>
        <v/>
      </c>
      <c r="CN168">
        <f>$C168*CN167</f>
        <v/>
      </c>
      <c r="CO168">
        <f>$C168*CO167</f>
        <v/>
      </c>
      <c r="CP168">
        <f>$C168*CP167</f>
        <v/>
      </c>
      <c r="CQ168">
        <f>$C168*CQ167</f>
        <v/>
      </c>
      <c r="CR168">
        <f>$C168*CR167</f>
        <v/>
      </c>
      <c r="CS168">
        <f>$C168*CS167</f>
        <v/>
      </c>
      <c r="CT168">
        <f>$C168*CT167</f>
        <v/>
      </c>
      <c r="CU168">
        <f>$C168*CU167</f>
        <v/>
      </c>
      <c r="CV168">
        <f>$C168*CV167</f>
        <v/>
      </c>
      <c r="CW168">
        <f>$C168*CW167</f>
        <v/>
      </c>
      <c r="CX168">
        <f>$C168*CX167</f>
        <v/>
      </c>
      <c r="CY168">
        <f>$C168*CY167</f>
        <v/>
      </c>
      <c r="CZ168">
        <f>$C168*CZ167</f>
        <v/>
      </c>
      <c r="DA168">
        <f>$C168*DA167</f>
        <v/>
      </c>
      <c r="DB168">
        <f>$C168*DB167</f>
        <v/>
      </c>
      <c r="DC168">
        <f>$C168*DC167</f>
        <v/>
      </c>
    </row>
    <row r="169">
      <c r="B169" t="inlineStr">
        <is>
          <t>VSP-602</t>
        </is>
      </c>
      <c r="C169" t="inlineStr">
        <is>
          <t>No. of batches</t>
        </is>
      </c>
      <c r="D169">
        <f>IFERROR(INDEX(PP_Grid[#Data],$DD169,2),0)</f>
        <v/>
      </c>
      <c r="E169">
        <f>IFERROR(INDEX(PP_Grid[#Data],$DD169,3),0)</f>
        <v/>
      </c>
      <c r="F169">
        <f>IFERROR(INDEX(PP_Grid[#Data],$DD169,4),0)</f>
        <v/>
      </c>
      <c r="G169">
        <f>IFERROR(INDEX(PP_Grid[#Data],$DD169,5),0)</f>
        <v/>
      </c>
      <c r="H169">
        <f>IFERROR(INDEX(PP_Grid[#Data],$DD169,6),0)</f>
        <v/>
      </c>
      <c r="I169">
        <f>IFERROR(INDEX(PP_Grid[#Data],$DD169,7),0)</f>
        <v/>
      </c>
      <c r="J169">
        <f>IFERROR(INDEX(PP_Grid[#Data],$DD169,8),0)</f>
        <v/>
      </c>
      <c r="K169">
        <f>IFERROR(INDEX(PP_Grid[#Data],$DD169,9),0)</f>
        <v/>
      </c>
      <c r="L169">
        <f>IFERROR(INDEX(PP_Grid[#Data],$DD169,10),0)</f>
        <v/>
      </c>
      <c r="M169">
        <f>IFERROR(INDEX(PP_Grid[#Data],$DD169,11),0)</f>
        <v/>
      </c>
      <c r="N169">
        <f>IFERROR(INDEX(PP_Grid[#Data],$DD169,12),0)</f>
        <v/>
      </c>
      <c r="O169">
        <f>IFERROR(INDEX(PP_Grid[#Data],$DD169,13),0)</f>
        <v/>
      </c>
      <c r="P169">
        <f>IFERROR(INDEX(PP_Grid[#Data],$DD169,14),0)</f>
        <v/>
      </c>
      <c r="Q169">
        <f>IFERROR(INDEX(PP_Grid[#Data],$DD169,15),0)</f>
        <v/>
      </c>
      <c r="R169">
        <f>IFERROR(INDEX(PP_Grid[#Data],$DD169,16),0)</f>
        <v/>
      </c>
      <c r="S169">
        <f>IFERROR(INDEX(PP_Grid[#Data],$DD169,17),0)</f>
        <v/>
      </c>
      <c r="T169">
        <f>IFERROR(INDEX(PP_Grid[#Data],$DD169,18),0)</f>
        <v/>
      </c>
      <c r="U169">
        <f>IFERROR(INDEX(PP_Grid[#Data],$DD169,19),0)</f>
        <v/>
      </c>
      <c r="V169">
        <f>IFERROR(INDEX(PP_Grid[#Data],$DD169,20),0)</f>
        <v/>
      </c>
      <c r="W169">
        <f>IFERROR(INDEX(PP_Grid[#Data],$DD169,21),0)</f>
        <v/>
      </c>
      <c r="X169">
        <f>IFERROR(INDEX(PP_Grid[#Data],$DD169,22),0)</f>
        <v/>
      </c>
      <c r="Y169">
        <f>IFERROR(INDEX(PP_Grid[#Data],$DD169,23),0)</f>
        <v/>
      </c>
      <c r="Z169">
        <f>IFERROR(INDEX(PP_Grid[#Data],$DD169,24),0)</f>
        <v/>
      </c>
      <c r="AA169">
        <f>IFERROR(INDEX(PP_Grid[#Data],$DD169,25),0)</f>
        <v/>
      </c>
      <c r="AB169">
        <f>IFERROR(INDEX(PP_Grid[#Data],$DD169,26),0)</f>
        <v/>
      </c>
      <c r="AC169">
        <f>IFERROR(INDEX(PP_Grid[#Data],$DD169,27),0)</f>
        <v/>
      </c>
      <c r="AD169">
        <f>IFERROR(INDEX(PP_Grid[#Data],$DD169,28),0)</f>
        <v/>
      </c>
      <c r="AE169">
        <f>IFERROR(INDEX(PP_Grid[#Data],$DD169,29),0)</f>
        <v/>
      </c>
      <c r="AF169">
        <f>IFERROR(INDEX(PP_Grid[#Data],$DD169,30),0)</f>
        <v/>
      </c>
      <c r="AG169">
        <f>IFERROR(INDEX(PP_Grid[#Data],$DD169,31),0)</f>
        <v/>
      </c>
      <c r="AH169">
        <f>IFERROR(INDEX(PP_Grid[#Data],$DD169,32),0)</f>
        <v/>
      </c>
      <c r="AI169">
        <f>IFERROR(INDEX(PP_Grid[#Data],$DD169,33),0)</f>
        <v/>
      </c>
      <c r="AJ169">
        <f>IFERROR(INDEX(PP_Grid[#Data],$DD169,34),0)</f>
        <v/>
      </c>
      <c r="AK169">
        <f>IFERROR(INDEX(PP_Grid[#Data],$DD169,35),0)</f>
        <v/>
      </c>
      <c r="AL169">
        <f>IFERROR(INDEX(PP_Grid[#Data],$DD169,36),0)</f>
        <v/>
      </c>
      <c r="AM169">
        <f>IFERROR(INDEX(PP_Grid[#Data],$DD169,37),0)</f>
        <v/>
      </c>
      <c r="AN169">
        <f>IFERROR(INDEX(PP_Grid[#Data],$DD169,38),0)</f>
        <v/>
      </c>
      <c r="AO169">
        <f>IFERROR(INDEX(PP_Grid[#Data],$DD169,39),0)</f>
        <v/>
      </c>
      <c r="AP169">
        <f>IFERROR(INDEX(PP_Grid[#Data],$DD169,40),0)</f>
        <v/>
      </c>
      <c r="AQ169">
        <f>IFERROR(INDEX(PP_Grid[#Data],$DD169,41),0)</f>
        <v/>
      </c>
      <c r="AR169">
        <f>IFERROR(INDEX(PP_Grid[#Data],$DD169,42),0)</f>
        <v/>
      </c>
      <c r="AS169">
        <f>IFERROR(INDEX(PP_Grid[#Data],$DD169,43),0)</f>
        <v/>
      </c>
      <c r="AT169">
        <f>IFERROR(INDEX(PP_Grid[#Data],$DD169,44),0)</f>
        <v/>
      </c>
      <c r="AU169">
        <f>IFERROR(INDEX(PP_Grid[#Data],$DD169,45),0)</f>
        <v/>
      </c>
      <c r="AV169">
        <f>IFERROR(INDEX(PP_Grid[#Data],$DD169,46),0)</f>
        <v/>
      </c>
      <c r="AW169">
        <f>IFERROR(INDEX(PP_Grid[#Data],$DD169,47),0)</f>
        <v/>
      </c>
      <c r="AX169">
        <f>IFERROR(INDEX(PP_Grid[#Data],$DD169,48),0)</f>
        <v/>
      </c>
      <c r="AY169">
        <f>IFERROR(INDEX(PP_Grid[#Data],$DD169,49),0)</f>
        <v/>
      </c>
      <c r="AZ169">
        <f>IFERROR(INDEX(PP_Grid[#Data],$DD169,50),0)</f>
        <v/>
      </c>
      <c r="BA169">
        <f>IFERROR(INDEX(PP_Grid[#Data],$DD169,51),0)</f>
        <v/>
      </c>
      <c r="BB169">
        <f>IFERROR(INDEX(PP_Grid[#Data],$DD169,52),0)</f>
        <v/>
      </c>
      <c r="BC169">
        <f>IFERROR(INDEX(PP_Grid[#Data],$DD169,53),0)</f>
        <v/>
      </c>
      <c r="BD169">
        <f>IFERROR(INDEX(PP_Grid[#Data],$DD169,54),0)</f>
        <v/>
      </c>
      <c r="BE169">
        <f>IFERROR(INDEX(PP_Grid[#Data],$DD169,55),0)</f>
        <v/>
      </c>
      <c r="BF169">
        <f>IFERROR(INDEX(PP_Grid[#Data],$DD169,56),0)</f>
        <v/>
      </c>
      <c r="BG169">
        <f>IFERROR(INDEX(PP_Grid[#Data],$DD169,57),0)</f>
        <v/>
      </c>
      <c r="BH169">
        <f>IFERROR(INDEX(PP_Grid[#Data],$DD169,58),0)</f>
        <v/>
      </c>
      <c r="BI169">
        <f>IFERROR(INDEX(PP_Grid[#Data],$DD169,59),0)</f>
        <v/>
      </c>
      <c r="BJ169">
        <f>IFERROR(INDEX(PP_Grid[#Data],$DD169,60),0)</f>
        <v/>
      </c>
      <c r="BK169">
        <f>IFERROR(INDEX(PP_Grid[#Data],$DD169,61),0)</f>
        <v/>
      </c>
      <c r="BL169">
        <f>IFERROR(INDEX(PP_Grid[#Data],$DD169,62),0)</f>
        <v/>
      </c>
      <c r="BM169">
        <f>IFERROR(INDEX(PP_Grid[#Data],$DD169,63),0)</f>
        <v/>
      </c>
      <c r="BN169">
        <f>IFERROR(INDEX(PP_Grid[#Data],$DD169,64),0)</f>
        <v/>
      </c>
      <c r="BO169">
        <f>IFERROR(INDEX(PP_Grid[#Data],$DD169,65),0)</f>
        <v/>
      </c>
      <c r="BP169">
        <f>IFERROR(INDEX(PP_Grid[#Data],$DD169,66),0)</f>
        <v/>
      </c>
      <c r="BQ169">
        <f>IFERROR(INDEX(PP_Grid[#Data],$DD169,67),0)</f>
        <v/>
      </c>
      <c r="BR169">
        <f>IFERROR(INDEX(PP_Grid[#Data],$DD169,68),0)</f>
        <v/>
      </c>
      <c r="BS169">
        <f>IFERROR(INDEX(PP_Grid[#Data],$DD169,69),0)</f>
        <v/>
      </c>
      <c r="BT169">
        <f>IFERROR(INDEX(PP_Grid[#Data],$DD169,70),0)</f>
        <v/>
      </c>
      <c r="BU169">
        <f>IFERROR(INDEX(PP_Grid[#Data],$DD169,71),0)</f>
        <v/>
      </c>
      <c r="BV169">
        <f>IFERROR(INDEX(PP_Grid[#Data],$DD169,72),0)</f>
        <v/>
      </c>
      <c r="BW169">
        <f>IFERROR(INDEX(PP_Grid[#Data],$DD169,73),0)</f>
        <v/>
      </c>
      <c r="BX169">
        <f>IFERROR(INDEX(PP_Grid[#Data],$DD169,74),0)</f>
        <v/>
      </c>
      <c r="BY169">
        <f>IFERROR(INDEX(PP_Grid[#Data],$DD169,75),0)</f>
        <v/>
      </c>
      <c r="BZ169">
        <f>IFERROR(INDEX(PP_Grid[#Data],$DD169,76),0)</f>
        <v/>
      </c>
      <c r="CA169">
        <f>IFERROR(INDEX(PP_Grid[#Data],$DD169,77),0)</f>
        <v/>
      </c>
      <c r="CB169">
        <f>IFERROR(INDEX(PP_Grid[#Data],$DD169,78),0)</f>
        <v/>
      </c>
      <c r="CC169">
        <f>IFERROR(INDEX(PP_Grid[#Data],$DD169,79),0)</f>
        <v/>
      </c>
      <c r="CD169">
        <f>IFERROR(INDEX(PP_Grid[#Data],$DD169,80),0)</f>
        <v/>
      </c>
      <c r="CE169">
        <f>IFERROR(INDEX(PP_Grid[#Data],$DD169,81),0)</f>
        <v/>
      </c>
      <c r="CF169">
        <f>IFERROR(INDEX(PP_Grid[#Data],$DD169,82),0)</f>
        <v/>
      </c>
      <c r="CG169">
        <f>IFERROR(INDEX(PP_Grid[#Data],$DD169,83),0)</f>
        <v/>
      </c>
      <c r="CH169">
        <f>IFERROR(INDEX(PP_Grid[#Data],$DD169,84),0)</f>
        <v/>
      </c>
      <c r="CI169">
        <f>IFERROR(INDEX(PP_Grid[#Data],$DD169,85),0)</f>
        <v/>
      </c>
      <c r="CJ169">
        <f>IFERROR(INDEX(PP_Grid[#Data],$DD169,86),0)</f>
        <v/>
      </c>
      <c r="CK169">
        <f>IFERROR(INDEX(PP_Grid[#Data],$DD169,87),0)</f>
        <v/>
      </c>
      <c r="CL169">
        <f>IFERROR(INDEX(PP_Grid[#Data],$DD169,88),0)</f>
        <v/>
      </c>
      <c r="CM169">
        <f>IFERROR(INDEX(PP_Grid[#Data],$DD169,89),0)</f>
        <v/>
      </c>
      <c r="CN169">
        <f>IFERROR(INDEX(PP_Grid[#Data],$DD169,90),0)</f>
        <v/>
      </c>
      <c r="CO169">
        <f>IFERROR(INDEX(PP_Grid[#Data],$DD169,91),0)</f>
        <v/>
      </c>
      <c r="CP169">
        <f>IFERROR(INDEX(PP_Grid[#Data],$DD169,92),0)</f>
        <v/>
      </c>
      <c r="CQ169">
        <f>IFERROR(INDEX(PP_Grid[#Data],$DD169,93),0)</f>
        <v/>
      </c>
      <c r="CR169">
        <f>IFERROR(INDEX(PP_Grid[#Data],$DD169,94),0)</f>
        <v/>
      </c>
      <c r="CS169">
        <f>IFERROR(INDEX(PP_Grid[#Data],$DD169,95),0)</f>
        <v/>
      </c>
      <c r="CT169">
        <f>IFERROR(INDEX(PP_Grid[#Data],$DD169,96),0)</f>
        <v/>
      </c>
      <c r="CU169">
        <f>IFERROR(INDEX(PP_Grid[#Data],$DD169,97),0)</f>
        <v/>
      </c>
      <c r="CV169">
        <f>IFERROR(INDEX(PP_Grid[#Data],$DD169,98),0)</f>
        <v/>
      </c>
      <c r="CW169">
        <f>IFERROR(INDEX(PP_Grid[#Data],$DD169,99),0)</f>
        <v/>
      </c>
      <c r="CX169">
        <f>IFERROR(INDEX(PP_Grid[#Data],$DD169,100),0)</f>
        <v/>
      </c>
      <c r="CY169">
        <f>IFERROR(INDEX(PP_Grid[#Data],$DD169,101),0)</f>
        <v/>
      </c>
      <c r="CZ169">
        <f>IFERROR(INDEX(PP_Grid[#Data],$DD169,102),0)</f>
        <v/>
      </c>
      <c r="DA169">
        <f>IFERROR(INDEX(PP_Grid[#Data],$DD169,103),0)</f>
        <v/>
      </c>
      <c r="DB169">
        <f>IFERROR(INDEX(PP_Grid[#Data],$DD169,104),0)</f>
        <v/>
      </c>
      <c r="DC169">
        <f>IFERROR(INDEX(PP_Grid[#Data],$DD169,105),0)</f>
        <v/>
      </c>
      <c r="DD169" s="7">
        <f>IFERROR(MATCH($B169,PP_Grid[Intermediate],0),99999)</f>
        <v/>
      </c>
    </row>
    <row r="170">
      <c r="B170" t="inlineStr">
        <is>
          <t>使用量(kg)</t>
        </is>
      </c>
      <c r="C170">
        <f>SUMIFS(M_BOM[RM_Qty_Per_Batch],M_BOM[Intermediate],$B169,M_BOM[Part Name],$A44)</f>
        <v/>
      </c>
      <c r="D170">
        <f>$C170*D169</f>
        <v/>
      </c>
      <c r="E170">
        <f>$C170*E169</f>
        <v/>
      </c>
      <c r="F170">
        <f>$C170*F169</f>
        <v/>
      </c>
      <c r="G170">
        <f>$C170*G169</f>
        <v/>
      </c>
      <c r="H170">
        <f>$C170*H169</f>
        <v/>
      </c>
      <c r="I170">
        <f>$C170*I169</f>
        <v/>
      </c>
      <c r="J170">
        <f>$C170*J169</f>
        <v/>
      </c>
      <c r="K170">
        <f>$C170*K169</f>
        <v/>
      </c>
      <c r="L170">
        <f>$C170*L169</f>
        <v/>
      </c>
      <c r="M170">
        <f>$C170*M169</f>
        <v/>
      </c>
      <c r="N170">
        <f>$C170*N169</f>
        <v/>
      </c>
      <c r="O170">
        <f>$C170*O169</f>
        <v/>
      </c>
      <c r="P170">
        <f>$C170*P169</f>
        <v/>
      </c>
      <c r="Q170">
        <f>$C170*Q169</f>
        <v/>
      </c>
      <c r="R170">
        <f>$C170*R169</f>
        <v/>
      </c>
      <c r="S170">
        <f>$C170*S169</f>
        <v/>
      </c>
      <c r="T170">
        <f>$C170*T169</f>
        <v/>
      </c>
      <c r="U170">
        <f>$C170*U169</f>
        <v/>
      </c>
      <c r="V170">
        <f>$C170*V169</f>
        <v/>
      </c>
      <c r="W170">
        <f>$C170*W169</f>
        <v/>
      </c>
      <c r="X170">
        <f>$C170*X169</f>
        <v/>
      </c>
      <c r="Y170">
        <f>$C170*Y169</f>
        <v/>
      </c>
      <c r="Z170">
        <f>$C170*Z169</f>
        <v/>
      </c>
      <c r="AA170">
        <f>$C170*AA169</f>
        <v/>
      </c>
      <c r="AB170">
        <f>$C170*AB169</f>
        <v/>
      </c>
      <c r="AC170">
        <f>$C170*AC169</f>
        <v/>
      </c>
      <c r="AD170">
        <f>$C170*AD169</f>
        <v/>
      </c>
      <c r="AE170">
        <f>$C170*AE169</f>
        <v/>
      </c>
      <c r="AF170">
        <f>$C170*AF169</f>
        <v/>
      </c>
      <c r="AG170">
        <f>$C170*AG169</f>
        <v/>
      </c>
      <c r="AH170">
        <f>$C170*AH169</f>
        <v/>
      </c>
      <c r="AI170">
        <f>$C170*AI169</f>
        <v/>
      </c>
      <c r="AJ170">
        <f>$C170*AJ169</f>
        <v/>
      </c>
      <c r="AK170">
        <f>$C170*AK169</f>
        <v/>
      </c>
      <c r="AL170">
        <f>$C170*AL169</f>
        <v/>
      </c>
      <c r="AM170">
        <f>$C170*AM169</f>
        <v/>
      </c>
      <c r="AN170">
        <f>$C170*AN169</f>
        <v/>
      </c>
      <c r="AO170">
        <f>$C170*AO169</f>
        <v/>
      </c>
      <c r="AP170">
        <f>$C170*AP169</f>
        <v/>
      </c>
      <c r="AQ170">
        <f>$C170*AQ169</f>
        <v/>
      </c>
      <c r="AR170">
        <f>$C170*AR169</f>
        <v/>
      </c>
      <c r="AS170">
        <f>$C170*AS169</f>
        <v/>
      </c>
      <c r="AT170">
        <f>$C170*AT169</f>
        <v/>
      </c>
      <c r="AU170">
        <f>$C170*AU169</f>
        <v/>
      </c>
      <c r="AV170">
        <f>$C170*AV169</f>
        <v/>
      </c>
      <c r="AW170">
        <f>$C170*AW169</f>
        <v/>
      </c>
      <c r="AX170">
        <f>$C170*AX169</f>
        <v/>
      </c>
      <c r="AY170">
        <f>$C170*AY169</f>
        <v/>
      </c>
      <c r="AZ170">
        <f>$C170*AZ169</f>
        <v/>
      </c>
      <c r="BA170">
        <f>$C170*BA169</f>
        <v/>
      </c>
      <c r="BB170">
        <f>$C170*BB169</f>
        <v/>
      </c>
      <c r="BC170">
        <f>$C170*BC169</f>
        <v/>
      </c>
      <c r="BD170">
        <f>$C170*BD169</f>
        <v/>
      </c>
      <c r="BE170">
        <f>$C170*BE169</f>
        <v/>
      </c>
      <c r="BF170">
        <f>$C170*BF169</f>
        <v/>
      </c>
      <c r="BG170">
        <f>$C170*BG169</f>
        <v/>
      </c>
      <c r="BH170">
        <f>$C170*BH169</f>
        <v/>
      </c>
      <c r="BI170">
        <f>$C170*BI169</f>
        <v/>
      </c>
      <c r="BJ170">
        <f>$C170*BJ169</f>
        <v/>
      </c>
      <c r="BK170">
        <f>$C170*BK169</f>
        <v/>
      </c>
      <c r="BL170">
        <f>$C170*BL169</f>
        <v/>
      </c>
      <c r="BM170">
        <f>$C170*BM169</f>
        <v/>
      </c>
      <c r="BN170">
        <f>$C170*BN169</f>
        <v/>
      </c>
      <c r="BO170">
        <f>$C170*BO169</f>
        <v/>
      </c>
      <c r="BP170">
        <f>$C170*BP169</f>
        <v/>
      </c>
      <c r="BQ170">
        <f>$C170*BQ169</f>
        <v/>
      </c>
      <c r="BR170">
        <f>$C170*BR169</f>
        <v/>
      </c>
      <c r="BS170">
        <f>$C170*BS169</f>
        <v/>
      </c>
      <c r="BT170">
        <f>$C170*BT169</f>
        <v/>
      </c>
      <c r="BU170">
        <f>$C170*BU169</f>
        <v/>
      </c>
      <c r="BV170">
        <f>$C170*BV169</f>
        <v/>
      </c>
      <c r="BW170">
        <f>$C170*BW169</f>
        <v/>
      </c>
      <c r="BX170">
        <f>$C170*BX169</f>
        <v/>
      </c>
      <c r="BY170">
        <f>$C170*BY169</f>
        <v/>
      </c>
      <c r="BZ170">
        <f>$C170*BZ169</f>
        <v/>
      </c>
      <c r="CA170">
        <f>$C170*CA169</f>
        <v/>
      </c>
      <c r="CB170">
        <f>$C170*CB169</f>
        <v/>
      </c>
      <c r="CC170">
        <f>$C170*CC169</f>
        <v/>
      </c>
      <c r="CD170">
        <f>$C170*CD169</f>
        <v/>
      </c>
      <c r="CE170">
        <f>$C170*CE169</f>
        <v/>
      </c>
      <c r="CF170">
        <f>$C170*CF169</f>
        <v/>
      </c>
      <c r="CG170">
        <f>$C170*CG169</f>
        <v/>
      </c>
      <c r="CH170">
        <f>$C170*CH169</f>
        <v/>
      </c>
      <c r="CI170">
        <f>$C170*CI169</f>
        <v/>
      </c>
      <c r="CJ170">
        <f>$C170*CJ169</f>
        <v/>
      </c>
      <c r="CK170">
        <f>$C170*CK169</f>
        <v/>
      </c>
      <c r="CL170">
        <f>$C170*CL169</f>
        <v/>
      </c>
      <c r="CM170">
        <f>$C170*CM169</f>
        <v/>
      </c>
      <c r="CN170">
        <f>$C170*CN169</f>
        <v/>
      </c>
      <c r="CO170">
        <f>$C170*CO169</f>
        <v/>
      </c>
      <c r="CP170">
        <f>$C170*CP169</f>
        <v/>
      </c>
      <c r="CQ170">
        <f>$C170*CQ169</f>
        <v/>
      </c>
      <c r="CR170">
        <f>$C170*CR169</f>
        <v/>
      </c>
      <c r="CS170">
        <f>$C170*CS169</f>
        <v/>
      </c>
      <c r="CT170">
        <f>$C170*CT169</f>
        <v/>
      </c>
      <c r="CU170">
        <f>$C170*CU169</f>
        <v/>
      </c>
      <c r="CV170">
        <f>$C170*CV169</f>
        <v/>
      </c>
      <c r="CW170">
        <f>$C170*CW169</f>
        <v/>
      </c>
      <c r="CX170">
        <f>$C170*CX169</f>
        <v/>
      </c>
      <c r="CY170">
        <f>$C170*CY169</f>
        <v/>
      </c>
      <c r="CZ170">
        <f>$C170*CZ169</f>
        <v/>
      </c>
      <c r="DA170">
        <f>$C170*DA169</f>
        <v/>
      </c>
      <c r="DB170">
        <f>$C170*DB169</f>
        <v/>
      </c>
      <c r="DC170">
        <f>$C170*DC169</f>
        <v/>
      </c>
    </row>
    <row r="171">
      <c r="B171" t="inlineStr">
        <is>
          <t>VSP-603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7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Name],$A44)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t="inlineStr">
        <is>
          <t>VSP-604</t>
        </is>
      </c>
      <c r="C173" t="inlineStr">
        <is>
          <t>No. of batches</t>
        </is>
      </c>
      <c r="D173">
        <f>IFERROR(INDEX(PP_Grid[#Data],$DD173,2),0)</f>
        <v/>
      </c>
      <c r="E173">
        <f>IFERROR(INDEX(PP_Grid[#Data],$DD173,3),0)</f>
        <v/>
      </c>
      <c r="F173">
        <f>IFERROR(INDEX(PP_Grid[#Data],$DD173,4),0)</f>
        <v/>
      </c>
      <c r="G173">
        <f>IFERROR(INDEX(PP_Grid[#Data],$DD173,5),0)</f>
        <v/>
      </c>
      <c r="H173">
        <f>IFERROR(INDEX(PP_Grid[#Data],$DD173,6),0)</f>
        <v/>
      </c>
      <c r="I173">
        <f>IFERROR(INDEX(PP_Grid[#Data],$DD173,7),0)</f>
        <v/>
      </c>
      <c r="J173">
        <f>IFERROR(INDEX(PP_Grid[#Data],$DD173,8),0)</f>
        <v/>
      </c>
      <c r="K173">
        <f>IFERROR(INDEX(PP_Grid[#Data],$DD173,9),0)</f>
        <v/>
      </c>
      <c r="L173">
        <f>IFERROR(INDEX(PP_Grid[#Data],$DD173,10),0)</f>
        <v/>
      </c>
      <c r="M173">
        <f>IFERROR(INDEX(PP_Grid[#Data],$DD173,11),0)</f>
        <v/>
      </c>
      <c r="N173">
        <f>IFERROR(INDEX(PP_Grid[#Data],$DD173,12),0)</f>
        <v/>
      </c>
      <c r="O173">
        <f>IFERROR(INDEX(PP_Grid[#Data],$DD173,13),0)</f>
        <v/>
      </c>
      <c r="P173">
        <f>IFERROR(INDEX(PP_Grid[#Data],$DD173,14),0)</f>
        <v/>
      </c>
      <c r="Q173">
        <f>IFERROR(INDEX(PP_Grid[#Data],$DD173,15),0)</f>
        <v/>
      </c>
      <c r="R173">
        <f>IFERROR(INDEX(PP_Grid[#Data],$DD173,16),0)</f>
        <v/>
      </c>
      <c r="S173">
        <f>IFERROR(INDEX(PP_Grid[#Data],$DD173,17),0)</f>
        <v/>
      </c>
      <c r="T173">
        <f>IFERROR(INDEX(PP_Grid[#Data],$DD173,18),0)</f>
        <v/>
      </c>
      <c r="U173">
        <f>IFERROR(INDEX(PP_Grid[#Data],$DD173,19),0)</f>
        <v/>
      </c>
      <c r="V173">
        <f>IFERROR(INDEX(PP_Grid[#Data],$DD173,20),0)</f>
        <v/>
      </c>
      <c r="W173">
        <f>IFERROR(INDEX(PP_Grid[#Data],$DD173,21),0)</f>
        <v/>
      </c>
      <c r="X173">
        <f>IFERROR(INDEX(PP_Grid[#Data],$DD173,22),0)</f>
        <v/>
      </c>
      <c r="Y173">
        <f>IFERROR(INDEX(PP_Grid[#Data],$DD173,23),0)</f>
        <v/>
      </c>
      <c r="Z173">
        <f>IFERROR(INDEX(PP_Grid[#Data],$DD173,24),0)</f>
        <v/>
      </c>
      <c r="AA173">
        <f>IFERROR(INDEX(PP_Grid[#Data],$DD173,25),0)</f>
        <v/>
      </c>
      <c r="AB173">
        <f>IFERROR(INDEX(PP_Grid[#Data],$DD173,26),0)</f>
        <v/>
      </c>
      <c r="AC173">
        <f>IFERROR(INDEX(PP_Grid[#Data],$DD173,27),0)</f>
        <v/>
      </c>
      <c r="AD173">
        <f>IFERROR(INDEX(PP_Grid[#Data],$DD173,28),0)</f>
        <v/>
      </c>
      <c r="AE173">
        <f>IFERROR(INDEX(PP_Grid[#Data],$DD173,29),0)</f>
        <v/>
      </c>
      <c r="AF173">
        <f>IFERROR(INDEX(PP_Grid[#Data],$DD173,30),0)</f>
        <v/>
      </c>
      <c r="AG173">
        <f>IFERROR(INDEX(PP_Grid[#Data],$DD173,31),0)</f>
        <v/>
      </c>
      <c r="AH173">
        <f>IFERROR(INDEX(PP_Grid[#Data],$DD173,32),0)</f>
        <v/>
      </c>
      <c r="AI173">
        <f>IFERROR(INDEX(PP_Grid[#Data],$DD173,33),0)</f>
        <v/>
      </c>
      <c r="AJ173">
        <f>IFERROR(INDEX(PP_Grid[#Data],$DD173,34),0)</f>
        <v/>
      </c>
      <c r="AK173">
        <f>IFERROR(INDEX(PP_Grid[#Data],$DD173,35),0)</f>
        <v/>
      </c>
      <c r="AL173">
        <f>IFERROR(INDEX(PP_Grid[#Data],$DD173,36),0)</f>
        <v/>
      </c>
      <c r="AM173">
        <f>IFERROR(INDEX(PP_Grid[#Data],$DD173,37),0)</f>
        <v/>
      </c>
      <c r="AN173">
        <f>IFERROR(INDEX(PP_Grid[#Data],$DD173,38),0)</f>
        <v/>
      </c>
      <c r="AO173">
        <f>IFERROR(INDEX(PP_Grid[#Data],$DD173,39),0)</f>
        <v/>
      </c>
      <c r="AP173">
        <f>IFERROR(INDEX(PP_Grid[#Data],$DD173,40),0)</f>
        <v/>
      </c>
      <c r="AQ173">
        <f>IFERROR(INDEX(PP_Grid[#Data],$DD173,41),0)</f>
        <v/>
      </c>
      <c r="AR173">
        <f>IFERROR(INDEX(PP_Grid[#Data],$DD173,42),0)</f>
        <v/>
      </c>
      <c r="AS173">
        <f>IFERROR(INDEX(PP_Grid[#Data],$DD173,43),0)</f>
        <v/>
      </c>
      <c r="AT173">
        <f>IFERROR(INDEX(PP_Grid[#Data],$DD173,44),0)</f>
        <v/>
      </c>
      <c r="AU173">
        <f>IFERROR(INDEX(PP_Grid[#Data],$DD173,45),0)</f>
        <v/>
      </c>
      <c r="AV173">
        <f>IFERROR(INDEX(PP_Grid[#Data],$DD173,46),0)</f>
        <v/>
      </c>
      <c r="AW173">
        <f>IFERROR(INDEX(PP_Grid[#Data],$DD173,47),0)</f>
        <v/>
      </c>
      <c r="AX173">
        <f>IFERROR(INDEX(PP_Grid[#Data],$DD173,48),0)</f>
        <v/>
      </c>
      <c r="AY173">
        <f>IFERROR(INDEX(PP_Grid[#Data],$DD173,49),0)</f>
        <v/>
      </c>
      <c r="AZ173">
        <f>IFERROR(INDEX(PP_Grid[#Data],$DD173,50),0)</f>
        <v/>
      </c>
      <c r="BA173">
        <f>IFERROR(INDEX(PP_Grid[#Data],$DD173,51),0)</f>
        <v/>
      </c>
      <c r="BB173">
        <f>IFERROR(INDEX(PP_Grid[#Data],$DD173,52),0)</f>
        <v/>
      </c>
      <c r="BC173">
        <f>IFERROR(INDEX(PP_Grid[#Data],$DD173,53),0)</f>
        <v/>
      </c>
      <c r="BD173">
        <f>IFERROR(INDEX(PP_Grid[#Data],$DD173,54),0)</f>
        <v/>
      </c>
      <c r="BE173">
        <f>IFERROR(INDEX(PP_Grid[#Data],$DD173,55),0)</f>
        <v/>
      </c>
      <c r="BF173">
        <f>IFERROR(INDEX(PP_Grid[#Data],$DD173,56),0)</f>
        <v/>
      </c>
      <c r="BG173">
        <f>IFERROR(INDEX(PP_Grid[#Data],$DD173,57),0)</f>
        <v/>
      </c>
      <c r="BH173">
        <f>IFERROR(INDEX(PP_Grid[#Data],$DD173,58),0)</f>
        <v/>
      </c>
      <c r="BI173">
        <f>IFERROR(INDEX(PP_Grid[#Data],$DD173,59),0)</f>
        <v/>
      </c>
      <c r="BJ173">
        <f>IFERROR(INDEX(PP_Grid[#Data],$DD173,60),0)</f>
        <v/>
      </c>
      <c r="BK173">
        <f>IFERROR(INDEX(PP_Grid[#Data],$DD173,61),0)</f>
        <v/>
      </c>
      <c r="BL173">
        <f>IFERROR(INDEX(PP_Grid[#Data],$DD173,62),0)</f>
        <v/>
      </c>
      <c r="BM173">
        <f>IFERROR(INDEX(PP_Grid[#Data],$DD173,63),0)</f>
        <v/>
      </c>
      <c r="BN173">
        <f>IFERROR(INDEX(PP_Grid[#Data],$DD173,64),0)</f>
        <v/>
      </c>
      <c r="BO173">
        <f>IFERROR(INDEX(PP_Grid[#Data],$DD173,65),0)</f>
        <v/>
      </c>
      <c r="BP173">
        <f>IFERROR(INDEX(PP_Grid[#Data],$DD173,66),0)</f>
        <v/>
      </c>
      <c r="BQ173">
        <f>IFERROR(INDEX(PP_Grid[#Data],$DD173,67),0)</f>
        <v/>
      </c>
      <c r="BR173">
        <f>IFERROR(INDEX(PP_Grid[#Data],$DD173,68),0)</f>
        <v/>
      </c>
      <c r="BS173">
        <f>IFERROR(INDEX(PP_Grid[#Data],$DD173,69),0)</f>
        <v/>
      </c>
      <c r="BT173">
        <f>IFERROR(INDEX(PP_Grid[#Data],$DD173,70),0)</f>
        <v/>
      </c>
      <c r="BU173">
        <f>IFERROR(INDEX(PP_Grid[#Data],$DD173,71),0)</f>
        <v/>
      </c>
      <c r="BV173">
        <f>IFERROR(INDEX(PP_Grid[#Data],$DD173,72),0)</f>
        <v/>
      </c>
      <c r="BW173">
        <f>IFERROR(INDEX(PP_Grid[#Data],$DD173,73),0)</f>
        <v/>
      </c>
      <c r="BX173">
        <f>IFERROR(INDEX(PP_Grid[#Data],$DD173,74),0)</f>
        <v/>
      </c>
      <c r="BY173">
        <f>IFERROR(INDEX(PP_Grid[#Data],$DD173,75),0)</f>
        <v/>
      </c>
      <c r="BZ173">
        <f>IFERROR(INDEX(PP_Grid[#Data],$DD173,76),0)</f>
        <v/>
      </c>
      <c r="CA173">
        <f>IFERROR(INDEX(PP_Grid[#Data],$DD173,77),0)</f>
        <v/>
      </c>
      <c r="CB173">
        <f>IFERROR(INDEX(PP_Grid[#Data],$DD173,78),0)</f>
        <v/>
      </c>
      <c r="CC173">
        <f>IFERROR(INDEX(PP_Grid[#Data],$DD173,79),0)</f>
        <v/>
      </c>
      <c r="CD173">
        <f>IFERROR(INDEX(PP_Grid[#Data],$DD173,80),0)</f>
        <v/>
      </c>
      <c r="CE173">
        <f>IFERROR(INDEX(PP_Grid[#Data],$DD173,81),0)</f>
        <v/>
      </c>
      <c r="CF173">
        <f>IFERROR(INDEX(PP_Grid[#Data],$DD173,82),0)</f>
        <v/>
      </c>
      <c r="CG173">
        <f>IFERROR(INDEX(PP_Grid[#Data],$DD173,83),0)</f>
        <v/>
      </c>
      <c r="CH173">
        <f>IFERROR(INDEX(PP_Grid[#Data],$DD173,84),0)</f>
        <v/>
      </c>
      <c r="CI173">
        <f>IFERROR(INDEX(PP_Grid[#Data],$DD173,85),0)</f>
        <v/>
      </c>
      <c r="CJ173">
        <f>IFERROR(INDEX(PP_Grid[#Data],$DD173,86),0)</f>
        <v/>
      </c>
      <c r="CK173">
        <f>IFERROR(INDEX(PP_Grid[#Data],$DD173,87),0)</f>
        <v/>
      </c>
      <c r="CL173">
        <f>IFERROR(INDEX(PP_Grid[#Data],$DD173,88),0)</f>
        <v/>
      </c>
      <c r="CM173">
        <f>IFERROR(INDEX(PP_Grid[#Data],$DD173,89),0)</f>
        <v/>
      </c>
      <c r="CN173">
        <f>IFERROR(INDEX(PP_Grid[#Data],$DD173,90),0)</f>
        <v/>
      </c>
      <c r="CO173">
        <f>IFERROR(INDEX(PP_Grid[#Data],$DD173,91),0)</f>
        <v/>
      </c>
      <c r="CP173">
        <f>IFERROR(INDEX(PP_Grid[#Data],$DD173,92),0)</f>
        <v/>
      </c>
      <c r="CQ173">
        <f>IFERROR(INDEX(PP_Grid[#Data],$DD173,93),0)</f>
        <v/>
      </c>
      <c r="CR173">
        <f>IFERROR(INDEX(PP_Grid[#Data],$DD173,94),0)</f>
        <v/>
      </c>
      <c r="CS173">
        <f>IFERROR(INDEX(PP_Grid[#Data],$DD173,95),0)</f>
        <v/>
      </c>
      <c r="CT173">
        <f>IFERROR(INDEX(PP_Grid[#Data],$DD173,96),0)</f>
        <v/>
      </c>
      <c r="CU173">
        <f>IFERROR(INDEX(PP_Grid[#Data],$DD173,97),0)</f>
        <v/>
      </c>
      <c r="CV173">
        <f>IFERROR(INDEX(PP_Grid[#Data],$DD173,98),0)</f>
        <v/>
      </c>
      <c r="CW173">
        <f>IFERROR(INDEX(PP_Grid[#Data],$DD173,99),0)</f>
        <v/>
      </c>
      <c r="CX173">
        <f>IFERROR(INDEX(PP_Grid[#Data],$DD173,100),0)</f>
        <v/>
      </c>
      <c r="CY173">
        <f>IFERROR(INDEX(PP_Grid[#Data],$DD173,101),0)</f>
        <v/>
      </c>
      <c r="CZ173">
        <f>IFERROR(INDEX(PP_Grid[#Data],$DD173,102),0)</f>
        <v/>
      </c>
      <c r="DA173">
        <f>IFERROR(INDEX(PP_Grid[#Data],$DD173,103),0)</f>
        <v/>
      </c>
      <c r="DB173">
        <f>IFERROR(INDEX(PP_Grid[#Data],$DD173,104),0)</f>
        <v/>
      </c>
      <c r="DC173">
        <f>IFERROR(INDEX(PP_Grid[#Data],$DD173,105),0)</f>
        <v/>
      </c>
      <c r="DD173" s="7">
        <f>IFERROR(MATCH($B173,PP_Grid[Intermediate],0),99999)</f>
        <v/>
      </c>
    </row>
    <row r="174">
      <c r="B174" t="inlineStr">
        <is>
          <t>使用量(kg)</t>
        </is>
      </c>
      <c r="C174">
        <f>SUMIFS(M_BOM[RM_Qty_Per_Batch],M_BOM[Intermediate],$B173,M_BOM[Part Name],$A44)</f>
        <v/>
      </c>
      <c r="D174">
        <f>$C174*D173</f>
        <v/>
      </c>
      <c r="E174">
        <f>$C174*E173</f>
        <v/>
      </c>
      <c r="F174">
        <f>$C174*F173</f>
        <v/>
      </c>
      <c r="G174">
        <f>$C174*G173</f>
        <v/>
      </c>
      <c r="H174">
        <f>$C174*H173</f>
        <v/>
      </c>
      <c r="I174">
        <f>$C174*I173</f>
        <v/>
      </c>
      <c r="J174">
        <f>$C174*J173</f>
        <v/>
      </c>
      <c r="K174">
        <f>$C174*K173</f>
        <v/>
      </c>
      <c r="L174">
        <f>$C174*L173</f>
        <v/>
      </c>
      <c r="M174">
        <f>$C174*M173</f>
        <v/>
      </c>
      <c r="N174">
        <f>$C174*N173</f>
        <v/>
      </c>
      <c r="O174">
        <f>$C174*O173</f>
        <v/>
      </c>
      <c r="P174">
        <f>$C174*P173</f>
        <v/>
      </c>
      <c r="Q174">
        <f>$C174*Q173</f>
        <v/>
      </c>
      <c r="R174">
        <f>$C174*R173</f>
        <v/>
      </c>
      <c r="S174">
        <f>$C174*S173</f>
        <v/>
      </c>
      <c r="T174">
        <f>$C174*T173</f>
        <v/>
      </c>
      <c r="U174">
        <f>$C174*U173</f>
        <v/>
      </c>
      <c r="V174">
        <f>$C174*V173</f>
        <v/>
      </c>
      <c r="W174">
        <f>$C174*W173</f>
        <v/>
      </c>
      <c r="X174">
        <f>$C174*X173</f>
        <v/>
      </c>
      <c r="Y174">
        <f>$C174*Y173</f>
        <v/>
      </c>
      <c r="Z174">
        <f>$C174*Z173</f>
        <v/>
      </c>
      <c r="AA174">
        <f>$C174*AA173</f>
        <v/>
      </c>
      <c r="AB174">
        <f>$C174*AB173</f>
        <v/>
      </c>
      <c r="AC174">
        <f>$C174*AC173</f>
        <v/>
      </c>
      <c r="AD174">
        <f>$C174*AD173</f>
        <v/>
      </c>
      <c r="AE174">
        <f>$C174*AE173</f>
        <v/>
      </c>
      <c r="AF174">
        <f>$C174*AF173</f>
        <v/>
      </c>
      <c r="AG174">
        <f>$C174*AG173</f>
        <v/>
      </c>
      <c r="AH174">
        <f>$C174*AH173</f>
        <v/>
      </c>
      <c r="AI174">
        <f>$C174*AI173</f>
        <v/>
      </c>
      <c r="AJ174">
        <f>$C174*AJ173</f>
        <v/>
      </c>
      <c r="AK174">
        <f>$C174*AK173</f>
        <v/>
      </c>
      <c r="AL174">
        <f>$C174*AL173</f>
        <v/>
      </c>
      <c r="AM174">
        <f>$C174*AM173</f>
        <v/>
      </c>
      <c r="AN174">
        <f>$C174*AN173</f>
        <v/>
      </c>
      <c r="AO174">
        <f>$C174*AO173</f>
        <v/>
      </c>
      <c r="AP174">
        <f>$C174*AP173</f>
        <v/>
      </c>
      <c r="AQ174">
        <f>$C174*AQ173</f>
        <v/>
      </c>
      <c r="AR174">
        <f>$C174*AR173</f>
        <v/>
      </c>
      <c r="AS174">
        <f>$C174*AS173</f>
        <v/>
      </c>
      <c r="AT174">
        <f>$C174*AT173</f>
        <v/>
      </c>
      <c r="AU174">
        <f>$C174*AU173</f>
        <v/>
      </c>
      <c r="AV174">
        <f>$C174*AV173</f>
        <v/>
      </c>
      <c r="AW174">
        <f>$C174*AW173</f>
        <v/>
      </c>
      <c r="AX174">
        <f>$C174*AX173</f>
        <v/>
      </c>
      <c r="AY174">
        <f>$C174*AY173</f>
        <v/>
      </c>
      <c r="AZ174">
        <f>$C174*AZ173</f>
        <v/>
      </c>
      <c r="BA174">
        <f>$C174*BA173</f>
        <v/>
      </c>
      <c r="BB174">
        <f>$C174*BB173</f>
        <v/>
      </c>
      <c r="BC174">
        <f>$C174*BC173</f>
        <v/>
      </c>
      <c r="BD174">
        <f>$C174*BD173</f>
        <v/>
      </c>
      <c r="BE174">
        <f>$C174*BE173</f>
        <v/>
      </c>
      <c r="BF174">
        <f>$C174*BF173</f>
        <v/>
      </c>
      <c r="BG174">
        <f>$C174*BG173</f>
        <v/>
      </c>
      <c r="BH174">
        <f>$C174*BH173</f>
        <v/>
      </c>
      <c r="BI174">
        <f>$C174*BI173</f>
        <v/>
      </c>
      <c r="BJ174">
        <f>$C174*BJ173</f>
        <v/>
      </c>
      <c r="BK174">
        <f>$C174*BK173</f>
        <v/>
      </c>
      <c r="BL174">
        <f>$C174*BL173</f>
        <v/>
      </c>
      <c r="BM174">
        <f>$C174*BM173</f>
        <v/>
      </c>
      <c r="BN174">
        <f>$C174*BN173</f>
        <v/>
      </c>
      <c r="BO174">
        <f>$C174*BO173</f>
        <v/>
      </c>
      <c r="BP174">
        <f>$C174*BP173</f>
        <v/>
      </c>
      <c r="BQ174">
        <f>$C174*BQ173</f>
        <v/>
      </c>
      <c r="BR174">
        <f>$C174*BR173</f>
        <v/>
      </c>
      <c r="BS174">
        <f>$C174*BS173</f>
        <v/>
      </c>
      <c r="BT174">
        <f>$C174*BT173</f>
        <v/>
      </c>
      <c r="BU174">
        <f>$C174*BU173</f>
        <v/>
      </c>
      <c r="BV174">
        <f>$C174*BV173</f>
        <v/>
      </c>
      <c r="BW174">
        <f>$C174*BW173</f>
        <v/>
      </c>
      <c r="BX174">
        <f>$C174*BX173</f>
        <v/>
      </c>
      <c r="BY174">
        <f>$C174*BY173</f>
        <v/>
      </c>
      <c r="BZ174">
        <f>$C174*BZ173</f>
        <v/>
      </c>
      <c r="CA174">
        <f>$C174*CA173</f>
        <v/>
      </c>
      <c r="CB174">
        <f>$C174*CB173</f>
        <v/>
      </c>
      <c r="CC174">
        <f>$C174*CC173</f>
        <v/>
      </c>
      <c r="CD174">
        <f>$C174*CD173</f>
        <v/>
      </c>
      <c r="CE174">
        <f>$C174*CE173</f>
        <v/>
      </c>
      <c r="CF174">
        <f>$C174*CF173</f>
        <v/>
      </c>
      <c r="CG174">
        <f>$C174*CG173</f>
        <v/>
      </c>
      <c r="CH174">
        <f>$C174*CH173</f>
        <v/>
      </c>
      <c r="CI174">
        <f>$C174*CI173</f>
        <v/>
      </c>
      <c r="CJ174">
        <f>$C174*CJ173</f>
        <v/>
      </c>
      <c r="CK174">
        <f>$C174*CK173</f>
        <v/>
      </c>
      <c r="CL174">
        <f>$C174*CL173</f>
        <v/>
      </c>
      <c r="CM174">
        <f>$C174*CM173</f>
        <v/>
      </c>
      <c r="CN174">
        <f>$C174*CN173</f>
        <v/>
      </c>
      <c r="CO174">
        <f>$C174*CO173</f>
        <v/>
      </c>
      <c r="CP174">
        <f>$C174*CP173</f>
        <v/>
      </c>
      <c r="CQ174">
        <f>$C174*CQ173</f>
        <v/>
      </c>
      <c r="CR174">
        <f>$C174*CR173</f>
        <v/>
      </c>
      <c r="CS174">
        <f>$C174*CS173</f>
        <v/>
      </c>
      <c r="CT174">
        <f>$C174*CT173</f>
        <v/>
      </c>
      <c r="CU174">
        <f>$C174*CU173</f>
        <v/>
      </c>
      <c r="CV174">
        <f>$C174*CV173</f>
        <v/>
      </c>
      <c r="CW174">
        <f>$C174*CW173</f>
        <v/>
      </c>
      <c r="CX174">
        <f>$C174*CX173</f>
        <v/>
      </c>
      <c r="CY174">
        <f>$C174*CY173</f>
        <v/>
      </c>
      <c r="CZ174">
        <f>$C174*CZ173</f>
        <v/>
      </c>
      <c r="DA174">
        <f>$C174*DA173</f>
        <v/>
      </c>
      <c r="DB174">
        <f>$C174*DB173</f>
        <v/>
      </c>
      <c r="DC174">
        <f>$C174*DC173</f>
        <v/>
      </c>
    </row>
    <row r="175">
      <c r="B175" t="inlineStr">
        <is>
          <t>VSP-605</t>
        </is>
      </c>
      <c r="C175" t="inlineStr">
        <is>
          <t>No. of batches</t>
        </is>
      </c>
      <c r="D175">
        <f>IFERROR(INDEX(PP_Grid[#Data],$DD175,2),0)</f>
        <v/>
      </c>
      <c r="E175">
        <f>IFERROR(INDEX(PP_Grid[#Data],$DD175,3),0)</f>
        <v/>
      </c>
      <c r="F175">
        <f>IFERROR(INDEX(PP_Grid[#Data],$DD175,4),0)</f>
        <v/>
      </c>
      <c r="G175">
        <f>IFERROR(INDEX(PP_Grid[#Data],$DD175,5),0)</f>
        <v/>
      </c>
      <c r="H175">
        <f>IFERROR(INDEX(PP_Grid[#Data],$DD175,6),0)</f>
        <v/>
      </c>
      <c r="I175">
        <f>IFERROR(INDEX(PP_Grid[#Data],$DD175,7),0)</f>
        <v/>
      </c>
      <c r="J175">
        <f>IFERROR(INDEX(PP_Grid[#Data],$DD175,8),0)</f>
        <v/>
      </c>
      <c r="K175">
        <f>IFERROR(INDEX(PP_Grid[#Data],$DD175,9),0)</f>
        <v/>
      </c>
      <c r="L175">
        <f>IFERROR(INDEX(PP_Grid[#Data],$DD175,10),0)</f>
        <v/>
      </c>
      <c r="M175">
        <f>IFERROR(INDEX(PP_Grid[#Data],$DD175,11),0)</f>
        <v/>
      </c>
      <c r="N175">
        <f>IFERROR(INDEX(PP_Grid[#Data],$DD175,12),0)</f>
        <v/>
      </c>
      <c r="O175">
        <f>IFERROR(INDEX(PP_Grid[#Data],$DD175,13),0)</f>
        <v/>
      </c>
      <c r="P175">
        <f>IFERROR(INDEX(PP_Grid[#Data],$DD175,14),0)</f>
        <v/>
      </c>
      <c r="Q175">
        <f>IFERROR(INDEX(PP_Grid[#Data],$DD175,15),0)</f>
        <v/>
      </c>
      <c r="R175">
        <f>IFERROR(INDEX(PP_Grid[#Data],$DD175,16),0)</f>
        <v/>
      </c>
      <c r="S175">
        <f>IFERROR(INDEX(PP_Grid[#Data],$DD175,17),0)</f>
        <v/>
      </c>
      <c r="T175">
        <f>IFERROR(INDEX(PP_Grid[#Data],$DD175,18),0)</f>
        <v/>
      </c>
      <c r="U175">
        <f>IFERROR(INDEX(PP_Grid[#Data],$DD175,19),0)</f>
        <v/>
      </c>
      <c r="V175">
        <f>IFERROR(INDEX(PP_Grid[#Data],$DD175,20),0)</f>
        <v/>
      </c>
      <c r="W175">
        <f>IFERROR(INDEX(PP_Grid[#Data],$DD175,21),0)</f>
        <v/>
      </c>
      <c r="X175">
        <f>IFERROR(INDEX(PP_Grid[#Data],$DD175,22),0)</f>
        <v/>
      </c>
      <c r="Y175">
        <f>IFERROR(INDEX(PP_Grid[#Data],$DD175,23),0)</f>
        <v/>
      </c>
      <c r="Z175">
        <f>IFERROR(INDEX(PP_Grid[#Data],$DD175,24),0)</f>
        <v/>
      </c>
      <c r="AA175">
        <f>IFERROR(INDEX(PP_Grid[#Data],$DD175,25),0)</f>
        <v/>
      </c>
      <c r="AB175">
        <f>IFERROR(INDEX(PP_Grid[#Data],$DD175,26),0)</f>
        <v/>
      </c>
      <c r="AC175">
        <f>IFERROR(INDEX(PP_Grid[#Data],$DD175,27),0)</f>
        <v/>
      </c>
      <c r="AD175">
        <f>IFERROR(INDEX(PP_Grid[#Data],$DD175,28),0)</f>
        <v/>
      </c>
      <c r="AE175">
        <f>IFERROR(INDEX(PP_Grid[#Data],$DD175,29),0)</f>
        <v/>
      </c>
      <c r="AF175">
        <f>IFERROR(INDEX(PP_Grid[#Data],$DD175,30),0)</f>
        <v/>
      </c>
      <c r="AG175">
        <f>IFERROR(INDEX(PP_Grid[#Data],$DD175,31),0)</f>
        <v/>
      </c>
      <c r="AH175">
        <f>IFERROR(INDEX(PP_Grid[#Data],$DD175,32),0)</f>
        <v/>
      </c>
      <c r="AI175">
        <f>IFERROR(INDEX(PP_Grid[#Data],$DD175,33),0)</f>
        <v/>
      </c>
      <c r="AJ175">
        <f>IFERROR(INDEX(PP_Grid[#Data],$DD175,34),0)</f>
        <v/>
      </c>
      <c r="AK175">
        <f>IFERROR(INDEX(PP_Grid[#Data],$DD175,35),0)</f>
        <v/>
      </c>
      <c r="AL175">
        <f>IFERROR(INDEX(PP_Grid[#Data],$DD175,36),0)</f>
        <v/>
      </c>
      <c r="AM175">
        <f>IFERROR(INDEX(PP_Grid[#Data],$DD175,37),0)</f>
        <v/>
      </c>
      <c r="AN175">
        <f>IFERROR(INDEX(PP_Grid[#Data],$DD175,38),0)</f>
        <v/>
      </c>
      <c r="AO175">
        <f>IFERROR(INDEX(PP_Grid[#Data],$DD175,39),0)</f>
        <v/>
      </c>
      <c r="AP175">
        <f>IFERROR(INDEX(PP_Grid[#Data],$DD175,40),0)</f>
        <v/>
      </c>
      <c r="AQ175">
        <f>IFERROR(INDEX(PP_Grid[#Data],$DD175,41),0)</f>
        <v/>
      </c>
      <c r="AR175">
        <f>IFERROR(INDEX(PP_Grid[#Data],$DD175,42),0)</f>
        <v/>
      </c>
      <c r="AS175">
        <f>IFERROR(INDEX(PP_Grid[#Data],$DD175,43),0)</f>
        <v/>
      </c>
      <c r="AT175">
        <f>IFERROR(INDEX(PP_Grid[#Data],$DD175,44),0)</f>
        <v/>
      </c>
      <c r="AU175">
        <f>IFERROR(INDEX(PP_Grid[#Data],$DD175,45),0)</f>
        <v/>
      </c>
      <c r="AV175">
        <f>IFERROR(INDEX(PP_Grid[#Data],$DD175,46),0)</f>
        <v/>
      </c>
      <c r="AW175">
        <f>IFERROR(INDEX(PP_Grid[#Data],$DD175,47),0)</f>
        <v/>
      </c>
      <c r="AX175">
        <f>IFERROR(INDEX(PP_Grid[#Data],$DD175,48),0)</f>
        <v/>
      </c>
      <c r="AY175">
        <f>IFERROR(INDEX(PP_Grid[#Data],$DD175,49),0)</f>
        <v/>
      </c>
      <c r="AZ175">
        <f>IFERROR(INDEX(PP_Grid[#Data],$DD175,50),0)</f>
        <v/>
      </c>
      <c r="BA175">
        <f>IFERROR(INDEX(PP_Grid[#Data],$DD175,51),0)</f>
        <v/>
      </c>
      <c r="BB175">
        <f>IFERROR(INDEX(PP_Grid[#Data],$DD175,52),0)</f>
        <v/>
      </c>
      <c r="BC175">
        <f>IFERROR(INDEX(PP_Grid[#Data],$DD175,53),0)</f>
        <v/>
      </c>
      <c r="BD175">
        <f>IFERROR(INDEX(PP_Grid[#Data],$DD175,54),0)</f>
        <v/>
      </c>
      <c r="BE175">
        <f>IFERROR(INDEX(PP_Grid[#Data],$DD175,55),0)</f>
        <v/>
      </c>
      <c r="BF175">
        <f>IFERROR(INDEX(PP_Grid[#Data],$DD175,56),0)</f>
        <v/>
      </c>
      <c r="BG175">
        <f>IFERROR(INDEX(PP_Grid[#Data],$DD175,57),0)</f>
        <v/>
      </c>
      <c r="BH175">
        <f>IFERROR(INDEX(PP_Grid[#Data],$DD175,58),0)</f>
        <v/>
      </c>
      <c r="BI175">
        <f>IFERROR(INDEX(PP_Grid[#Data],$DD175,59),0)</f>
        <v/>
      </c>
      <c r="BJ175">
        <f>IFERROR(INDEX(PP_Grid[#Data],$DD175,60),0)</f>
        <v/>
      </c>
      <c r="BK175">
        <f>IFERROR(INDEX(PP_Grid[#Data],$DD175,61),0)</f>
        <v/>
      </c>
      <c r="BL175">
        <f>IFERROR(INDEX(PP_Grid[#Data],$DD175,62),0)</f>
        <v/>
      </c>
      <c r="BM175">
        <f>IFERROR(INDEX(PP_Grid[#Data],$DD175,63),0)</f>
        <v/>
      </c>
      <c r="BN175">
        <f>IFERROR(INDEX(PP_Grid[#Data],$DD175,64),0)</f>
        <v/>
      </c>
      <c r="BO175">
        <f>IFERROR(INDEX(PP_Grid[#Data],$DD175,65),0)</f>
        <v/>
      </c>
      <c r="BP175">
        <f>IFERROR(INDEX(PP_Grid[#Data],$DD175,66),0)</f>
        <v/>
      </c>
      <c r="BQ175">
        <f>IFERROR(INDEX(PP_Grid[#Data],$DD175,67),0)</f>
        <v/>
      </c>
      <c r="BR175">
        <f>IFERROR(INDEX(PP_Grid[#Data],$DD175,68),0)</f>
        <v/>
      </c>
      <c r="BS175">
        <f>IFERROR(INDEX(PP_Grid[#Data],$DD175,69),0)</f>
        <v/>
      </c>
      <c r="BT175">
        <f>IFERROR(INDEX(PP_Grid[#Data],$DD175,70),0)</f>
        <v/>
      </c>
      <c r="BU175">
        <f>IFERROR(INDEX(PP_Grid[#Data],$DD175,71),0)</f>
        <v/>
      </c>
      <c r="BV175">
        <f>IFERROR(INDEX(PP_Grid[#Data],$DD175,72),0)</f>
        <v/>
      </c>
      <c r="BW175">
        <f>IFERROR(INDEX(PP_Grid[#Data],$DD175,73),0)</f>
        <v/>
      </c>
      <c r="BX175">
        <f>IFERROR(INDEX(PP_Grid[#Data],$DD175,74),0)</f>
        <v/>
      </c>
      <c r="BY175">
        <f>IFERROR(INDEX(PP_Grid[#Data],$DD175,75),0)</f>
        <v/>
      </c>
      <c r="BZ175">
        <f>IFERROR(INDEX(PP_Grid[#Data],$DD175,76),0)</f>
        <v/>
      </c>
      <c r="CA175">
        <f>IFERROR(INDEX(PP_Grid[#Data],$DD175,77),0)</f>
        <v/>
      </c>
      <c r="CB175">
        <f>IFERROR(INDEX(PP_Grid[#Data],$DD175,78),0)</f>
        <v/>
      </c>
      <c r="CC175">
        <f>IFERROR(INDEX(PP_Grid[#Data],$DD175,79),0)</f>
        <v/>
      </c>
      <c r="CD175">
        <f>IFERROR(INDEX(PP_Grid[#Data],$DD175,80),0)</f>
        <v/>
      </c>
      <c r="CE175">
        <f>IFERROR(INDEX(PP_Grid[#Data],$DD175,81),0)</f>
        <v/>
      </c>
      <c r="CF175">
        <f>IFERROR(INDEX(PP_Grid[#Data],$DD175,82),0)</f>
        <v/>
      </c>
      <c r="CG175">
        <f>IFERROR(INDEX(PP_Grid[#Data],$DD175,83),0)</f>
        <v/>
      </c>
      <c r="CH175">
        <f>IFERROR(INDEX(PP_Grid[#Data],$DD175,84),0)</f>
        <v/>
      </c>
      <c r="CI175">
        <f>IFERROR(INDEX(PP_Grid[#Data],$DD175,85),0)</f>
        <v/>
      </c>
      <c r="CJ175">
        <f>IFERROR(INDEX(PP_Grid[#Data],$DD175,86),0)</f>
        <v/>
      </c>
      <c r="CK175">
        <f>IFERROR(INDEX(PP_Grid[#Data],$DD175,87),0)</f>
        <v/>
      </c>
      <c r="CL175">
        <f>IFERROR(INDEX(PP_Grid[#Data],$DD175,88),0)</f>
        <v/>
      </c>
      <c r="CM175">
        <f>IFERROR(INDEX(PP_Grid[#Data],$DD175,89),0)</f>
        <v/>
      </c>
      <c r="CN175">
        <f>IFERROR(INDEX(PP_Grid[#Data],$DD175,90),0)</f>
        <v/>
      </c>
      <c r="CO175">
        <f>IFERROR(INDEX(PP_Grid[#Data],$DD175,91),0)</f>
        <v/>
      </c>
      <c r="CP175">
        <f>IFERROR(INDEX(PP_Grid[#Data],$DD175,92),0)</f>
        <v/>
      </c>
      <c r="CQ175">
        <f>IFERROR(INDEX(PP_Grid[#Data],$DD175,93),0)</f>
        <v/>
      </c>
      <c r="CR175">
        <f>IFERROR(INDEX(PP_Grid[#Data],$DD175,94),0)</f>
        <v/>
      </c>
      <c r="CS175">
        <f>IFERROR(INDEX(PP_Grid[#Data],$DD175,95),0)</f>
        <v/>
      </c>
      <c r="CT175">
        <f>IFERROR(INDEX(PP_Grid[#Data],$DD175,96),0)</f>
        <v/>
      </c>
      <c r="CU175">
        <f>IFERROR(INDEX(PP_Grid[#Data],$DD175,97),0)</f>
        <v/>
      </c>
      <c r="CV175">
        <f>IFERROR(INDEX(PP_Grid[#Data],$DD175,98),0)</f>
        <v/>
      </c>
      <c r="CW175">
        <f>IFERROR(INDEX(PP_Grid[#Data],$DD175,99),0)</f>
        <v/>
      </c>
      <c r="CX175">
        <f>IFERROR(INDEX(PP_Grid[#Data],$DD175,100),0)</f>
        <v/>
      </c>
      <c r="CY175">
        <f>IFERROR(INDEX(PP_Grid[#Data],$DD175,101),0)</f>
        <v/>
      </c>
      <c r="CZ175">
        <f>IFERROR(INDEX(PP_Grid[#Data],$DD175,102),0)</f>
        <v/>
      </c>
      <c r="DA175">
        <f>IFERROR(INDEX(PP_Grid[#Data],$DD175,103),0)</f>
        <v/>
      </c>
      <c r="DB175">
        <f>IFERROR(INDEX(PP_Grid[#Data],$DD175,104),0)</f>
        <v/>
      </c>
      <c r="DC175">
        <f>IFERROR(INDEX(PP_Grid[#Data],$DD175,105),0)</f>
        <v/>
      </c>
      <c r="DD175" s="7">
        <f>IFERROR(MATCH($B175,PP_Grid[Intermediate],0),99999)</f>
        <v/>
      </c>
    </row>
    <row r="176">
      <c r="B176" t="inlineStr">
        <is>
          <t>使用量(kg)</t>
        </is>
      </c>
      <c r="C176">
        <f>SUMIFS(M_BOM[RM_Qty_Per_Batch],M_BOM[Intermediate],$B175,M_BOM[Part Name],$A44)</f>
        <v/>
      </c>
      <c r="D176">
        <f>$C176*D175</f>
        <v/>
      </c>
      <c r="E176">
        <f>$C176*E175</f>
        <v/>
      </c>
      <c r="F176">
        <f>$C176*F175</f>
        <v/>
      </c>
      <c r="G176">
        <f>$C176*G175</f>
        <v/>
      </c>
      <c r="H176">
        <f>$C176*H175</f>
        <v/>
      </c>
      <c r="I176">
        <f>$C176*I175</f>
        <v/>
      </c>
      <c r="J176">
        <f>$C176*J175</f>
        <v/>
      </c>
      <c r="K176">
        <f>$C176*K175</f>
        <v/>
      </c>
      <c r="L176">
        <f>$C176*L175</f>
        <v/>
      </c>
      <c r="M176">
        <f>$C176*M175</f>
        <v/>
      </c>
      <c r="N176">
        <f>$C176*N175</f>
        <v/>
      </c>
      <c r="O176">
        <f>$C176*O175</f>
        <v/>
      </c>
      <c r="P176">
        <f>$C176*P175</f>
        <v/>
      </c>
      <c r="Q176">
        <f>$C176*Q175</f>
        <v/>
      </c>
      <c r="R176">
        <f>$C176*R175</f>
        <v/>
      </c>
      <c r="S176">
        <f>$C176*S175</f>
        <v/>
      </c>
      <c r="T176">
        <f>$C176*T175</f>
        <v/>
      </c>
      <c r="U176">
        <f>$C176*U175</f>
        <v/>
      </c>
      <c r="V176">
        <f>$C176*V175</f>
        <v/>
      </c>
      <c r="W176">
        <f>$C176*W175</f>
        <v/>
      </c>
      <c r="X176">
        <f>$C176*X175</f>
        <v/>
      </c>
      <c r="Y176">
        <f>$C176*Y175</f>
        <v/>
      </c>
      <c r="Z176">
        <f>$C176*Z175</f>
        <v/>
      </c>
      <c r="AA176">
        <f>$C176*AA175</f>
        <v/>
      </c>
      <c r="AB176">
        <f>$C176*AB175</f>
        <v/>
      </c>
      <c r="AC176">
        <f>$C176*AC175</f>
        <v/>
      </c>
      <c r="AD176">
        <f>$C176*AD175</f>
        <v/>
      </c>
      <c r="AE176">
        <f>$C176*AE175</f>
        <v/>
      </c>
      <c r="AF176">
        <f>$C176*AF175</f>
        <v/>
      </c>
      <c r="AG176">
        <f>$C176*AG175</f>
        <v/>
      </c>
      <c r="AH176">
        <f>$C176*AH175</f>
        <v/>
      </c>
      <c r="AI176">
        <f>$C176*AI175</f>
        <v/>
      </c>
      <c r="AJ176">
        <f>$C176*AJ175</f>
        <v/>
      </c>
      <c r="AK176">
        <f>$C176*AK175</f>
        <v/>
      </c>
      <c r="AL176">
        <f>$C176*AL175</f>
        <v/>
      </c>
      <c r="AM176">
        <f>$C176*AM175</f>
        <v/>
      </c>
      <c r="AN176">
        <f>$C176*AN175</f>
        <v/>
      </c>
      <c r="AO176">
        <f>$C176*AO175</f>
        <v/>
      </c>
      <c r="AP176">
        <f>$C176*AP175</f>
        <v/>
      </c>
      <c r="AQ176">
        <f>$C176*AQ175</f>
        <v/>
      </c>
      <c r="AR176">
        <f>$C176*AR175</f>
        <v/>
      </c>
      <c r="AS176">
        <f>$C176*AS175</f>
        <v/>
      </c>
      <c r="AT176">
        <f>$C176*AT175</f>
        <v/>
      </c>
      <c r="AU176">
        <f>$C176*AU175</f>
        <v/>
      </c>
      <c r="AV176">
        <f>$C176*AV175</f>
        <v/>
      </c>
      <c r="AW176">
        <f>$C176*AW175</f>
        <v/>
      </c>
      <c r="AX176">
        <f>$C176*AX175</f>
        <v/>
      </c>
      <c r="AY176">
        <f>$C176*AY175</f>
        <v/>
      </c>
      <c r="AZ176">
        <f>$C176*AZ175</f>
        <v/>
      </c>
      <c r="BA176">
        <f>$C176*BA175</f>
        <v/>
      </c>
      <c r="BB176">
        <f>$C176*BB175</f>
        <v/>
      </c>
      <c r="BC176">
        <f>$C176*BC175</f>
        <v/>
      </c>
      <c r="BD176">
        <f>$C176*BD175</f>
        <v/>
      </c>
      <c r="BE176">
        <f>$C176*BE175</f>
        <v/>
      </c>
      <c r="BF176">
        <f>$C176*BF175</f>
        <v/>
      </c>
      <c r="BG176">
        <f>$C176*BG175</f>
        <v/>
      </c>
      <c r="BH176">
        <f>$C176*BH175</f>
        <v/>
      </c>
      <c r="BI176">
        <f>$C176*BI175</f>
        <v/>
      </c>
      <c r="BJ176">
        <f>$C176*BJ175</f>
        <v/>
      </c>
      <c r="BK176">
        <f>$C176*BK175</f>
        <v/>
      </c>
      <c r="BL176">
        <f>$C176*BL175</f>
        <v/>
      </c>
      <c r="BM176">
        <f>$C176*BM175</f>
        <v/>
      </c>
      <c r="BN176">
        <f>$C176*BN175</f>
        <v/>
      </c>
      <c r="BO176">
        <f>$C176*BO175</f>
        <v/>
      </c>
      <c r="BP176">
        <f>$C176*BP175</f>
        <v/>
      </c>
      <c r="BQ176">
        <f>$C176*BQ175</f>
        <v/>
      </c>
      <c r="BR176">
        <f>$C176*BR175</f>
        <v/>
      </c>
      <c r="BS176">
        <f>$C176*BS175</f>
        <v/>
      </c>
      <c r="BT176">
        <f>$C176*BT175</f>
        <v/>
      </c>
      <c r="BU176">
        <f>$C176*BU175</f>
        <v/>
      </c>
      <c r="BV176">
        <f>$C176*BV175</f>
        <v/>
      </c>
      <c r="BW176">
        <f>$C176*BW175</f>
        <v/>
      </c>
      <c r="BX176">
        <f>$C176*BX175</f>
        <v/>
      </c>
      <c r="BY176">
        <f>$C176*BY175</f>
        <v/>
      </c>
      <c r="BZ176">
        <f>$C176*BZ175</f>
        <v/>
      </c>
      <c r="CA176">
        <f>$C176*CA175</f>
        <v/>
      </c>
      <c r="CB176">
        <f>$C176*CB175</f>
        <v/>
      </c>
      <c r="CC176">
        <f>$C176*CC175</f>
        <v/>
      </c>
      <c r="CD176">
        <f>$C176*CD175</f>
        <v/>
      </c>
      <c r="CE176">
        <f>$C176*CE175</f>
        <v/>
      </c>
      <c r="CF176">
        <f>$C176*CF175</f>
        <v/>
      </c>
      <c r="CG176">
        <f>$C176*CG175</f>
        <v/>
      </c>
      <c r="CH176">
        <f>$C176*CH175</f>
        <v/>
      </c>
      <c r="CI176">
        <f>$C176*CI175</f>
        <v/>
      </c>
      <c r="CJ176">
        <f>$C176*CJ175</f>
        <v/>
      </c>
      <c r="CK176">
        <f>$C176*CK175</f>
        <v/>
      </c>
      <c r="CL176">
        <f>$C176*CL175</f>
        <v/>
      </c>
      <c r="CM176">
        <f>$C176*CM175</f>
        <v/>
      </c>
      <c r="CN176">
        <f>$C176*CN175</f>
        <v/>
      </c>
      <c r="CO176">
        <f>$C176*CO175</f>
        <v/>
      </c>
      <c r="CP176">
        <f>$C176*CP175</f>
        <v/>
      </c>
      <c r="CQ176">
        <f>$C176*CQ175</f>
        <v/>
      </c>
      <c r="CR176">
        <f>$C176*CR175</f>
        <v/>
      </c>
      <c r="CS176">
        <f>$C176*CS175</f>
        <v/>
      </c>
      <c r="CT176">
        <f>$C176*CT175</f>
        <v/>
      </c>
      <c r="CU176">
        <f>$C176*CU175</f>
        <v/>
      </c>
      <c r="CV176">
        <f>$C176*CV175</f>
        <v/>
      </c>
      <c r="CW176">
        <f>$C176*CW175</f>
        <v/>
      </c>
      <c r="CX176">
        <f>$C176*CX175</f>
        <v/>
      </c>
      <c r="CY176">
        <f>$C176*CY175</f>
        <v/>
      </c>
      <c r="CZ176">
        <f>$C176*CZ175</f>
        <v/>
      </c>
      <c r="DA176">
        <f>$C176*DA175</f>
        <v/>
      </c>
      <c r="DB176">
        <f>$C176*DB175</f>
        <v/>
      </c>
      <c r="DC176">
        <f>$C176*DC175</f>
        <v/>
      </c>
    </row>
    <row r="177">
      <c r="B177" t="inlineStr">
        <is>
          <t>VSP-606</t>
        </is>
      </c>
      <c r="C177" t="inlineStr">
        <is>
          <t>No. of batches</t>
        </is>
      </c>
      <c r="D177">
        <f>IFERROR(INDEX(PP_Grid[#Data],$DD177,2),0)</f>
        <v/>
      </c>
      <c r="E177">
        <f>IFERROR(INDEX(PP_Grid[#Data],$DD177,3),0)</f>
        <v/>
      </c>
      <c r="F177">
        <f>IFERROR(INDEX(PP_Grid[#Data],$DD177,4),0)</f>
        <v/>
      </c>
      <c r="G177">
        <f>IFERROR(INDEX(PP_Grid[#Data],$DD177,5),0)</f>
        <v/>
      </c>
      <c r="H177">
        <f>IFERROR(INDEX(PP_Grid[#Data],$DD177,6),0)</f>
        <v/>
      </c>
      <c r="I177">
        <f>IFERROR(INDEX(PP_Grid[#Data],$DD177,7),0)</f>
        <v/>
      </c>
      <c r="J177">
        <f>IFERROR(INDEX(PP_Grid[#Data],$DD177,8),0)</f>
        <v/>
      </c>
      <c r="K177">
        <f>IFERROR(INDEX(PP_Grid[#Data],$DD177,9),0)</f>
        <v/>
      </c>
      <c r="L177">
        <f>IFERROR(INDEX(PP_Grid[#Data],$DD177,10),0)</f>
        <v/>
      </c>
      <c r="M177">
        <f>IFERROR(INDEX(PP_Grid[#Data],$DD177,11),0)</f>
        <v/>
      </c>
      <c r="N177">
        <f>IFERROR(INDEX(PP_Grid[#Data],$DD177,12),0)</f>
        <v/>
      </c>
      <c r="O177">
        <f>IFERROR(INDEX(PP_Grid[#Data],$DD177,13),0)</f>
        <v/>
      </c>
      <c r="P177">
        <f>IFERROR(INDEX(PP_Grid[#Data],$DD177,14),0)</f>
        <v/>
      </c>
      <c r="Q177">
        <f>IFERROR(INDEX(PP_Grid[#Data],$DD177,15),0)</f>
        <v/>
      </c>
      <c r="R177">
        <f>IFERROR(INDEX(PP_Grid[#Data],$DD177,16),0)</f>
        <v/>
      </c>
      <c r="S177">
        <f>IFERROR(INDEX(PP_Grid[#Data],$DD177,17),0)</f>
        <v/>
      </c>
      <c r="T177">
        <f>IFERROR(INDEX(PP_Grid[#Data],$DD177,18),0)</f>
        <v/>
      </c>
      <c r="U177">
        <f>IFERROR(INDEX(PP_Grid[#Data],$DD177,19),0)</f>
        <v/>
      </c>
      <c r="V177">
        <f>IFERROR(INDEX(PP_Grid[#Data],$DD177,20),0)</f>
        <v/>
      </c>
      <c r="W177">
        <f>IFERROR(INDEX(PP_Grid[#Data],$DD177,21),0)</f>
        <v/>
      </c>
      <c r="X177">
        <f>IFERROR(INDEX(PP_Grid[#Data],$DD177,22),0)</f>
        <v/>
      </c>
      <c r="Y177">
        <f>IFERROR(INDEX(PP_Grid[#Data],$DD177,23),0)</f>
        <v/>
      </c>
      <c r="Z177">
        <f>IFERROR(INDEX(PP_Grid[#Data],$DD177,24),0)</f>
        <v/>
      </c>
      <c r="AA177">
        <f>IFERROR(INDEX(PP_Grid[#Data],$DD177,25),0)</f>
        <v/>
      </c>
      <c r="AB177">
        <f>IFERROR(INDEX(PP_Grid[#Data],$DD177,26),0)</f>
        <v/>
      </c>
      <c r="AC177">
        <f>IFERROR(INDEX(PP_Grid[#Data],$DD177,27),0)</f>
        <v/>
      </c>
      <c r="AD177">
        <f>IFERROR(INDEX(PP_Grid[#Data],$DD177,28),0)</f>
        <v/>
      </c>
      <c r="AE177">
        <f>IFERROR(INDEX(PP_Grid[#Data],$DD177,29),0)</f>
        <v/>
      </c>
      <c r="AF177">
        <f>IFERROR(INDEX(PP_Grid[#Data],$DD177,30),0)</f>
        <v/>
      </c>
      <c r="AG177">
        <f>IFERROR(INDEX(PP_Grid[#Data],$DD177,31),0)</f>
        <v/>
      </c>
      <c r="AH177">
        <f>IFERROR(INDEX(PP_Grid[#Data],$DD177,32),0)</f>
        <v/>
      </c>
      <c r="AI177">
        <f>IFERROR(INDEX(PP_Grid[#Data],$DD177,33),0)</f>
        <v/>
      </c>
      <c r="AJ177">
        <f>IFERROR(INDEX(PP_Grid[#Data],$DD177,34),0)</f>
        <v/>
      </c>
      <c r="AK177">
        <f>IFERROR(INDEX(PP_Grid[#Data],$DD177,35),0)</f>
        <v/>
      </c>
      <c r="AL177">
        <f>IFERROR(INDEX(PP_Grid[#Data],$DD177,36),0)</f>
        <v/>
      </c>
      <c r="AM177">
        <f>IFERROR(INDEX(PP_Grid[#Data],$DD177,37),0)</f>
        <v/>
      </c>
      <c r="AN177">
        <f>IFERROR(INDEX(PP_Grid[#Data],$DD177,38),0)</f>
        <v/>
      </c>
      <c r="AO177">
        <f>IFERROR(INDEX(PP_Grid[#Data],$DD177,39),0)</f>
        <v/>
      </c>
      <c r="AP177">
        <f>IFERROR(INDEX(PP_Grid[#Data],$DD177,40),0)</f>
        <v/>
      </c>
      <c r="AQ177">
        <f>IFERROR(INDEX(PP_Grid[#Data],$DD177,41),0)</f>
        <v/>
      </c>
      <c r="AR177">
        <f>IFERROR(INDEX(PP_Grid[#Data],$DD177,42),0)</f>
        <v/>
      </c>
      <c r="AS177">
        <f>IFERROR(INDEX(PP_Grid[#Data],$DD177,43),0)</f>
        <v/>
      </c>
      <c r="AT177">
        <f>IFERROR(INDEX(PP_Grid[#Data],$DD177,44),0)</f>
        <v/>
      </c>
      <c r="AU177">
        <f>IFERROR(INDEX(PP_Grid[#Data],$DD177,45),0)</f>
        <v/>
      </c>
      <c r="AV177">
        <f>IFERROR(INDEX(PP_Grid[#Data],$DD177,46),0)</f>
        <v/>
      </c>
      <c r="AW177">
        <f>IFERROR(INDEX(PP_Grid[#Data],$DD177,47),0)</f>
        <v/>
      </c>
      <c r="AX177">
        <f>IFERROR(INDEX(PP_Grid[#Data],$DD177,48),0)</f>
        <v/>
      </c>
      <c r="AY177">
        <f>IFERROR(INDEX(PP_Grid[#Data],$DD177,49),0)</f>
        <v/>
      </c>
      <c r="AZ177">
        <f>IFERROR(INDEX(PP_Grid[#Data],$DD177,50),0)</f>
        <v/>
      </c>
      <c r="BA177">
        <f>IFERROR(INDEX(PP_Grid[#Data],$DD177,51),0)</f>
        <v/>
      </c>
      <c r="BB177">
        <f>IFERROR(INDEX(PP_Grid[#Data],$DD177,52),0)</f>
        <v/>
      </c>
      <c r="BC177">
        <f>IFERROR(INDEX(PP_Grid[#Data],$DD177,53),0)</f>
        <v/>
      </c>
      <c r="BD177">
        <f>IFERROR(INDEX(PP_Grid[#Data],$DD177,54),0)</f>
        <v/>
      </c>
      <c r="BE177">
        <f>IFERROR(INDEX(PP_Grid[#Data],$DD177,55),0)</f>
        <v/>
      </c>
      <c r="BF177">
        <f>IFERROR(INDEX(PP_Grid[#Data],$DD177,56),0)</f>
        <v/>
      </c>
      <c r="BG177">
        <f>IFERROR(INDEX(PP_Grid[#Data],$DD177,57),0)</f>
        <v/>
      </c>
      <c r="BH177">
        <f>IFERROR(INDEX(PP_Grid[#Data],$DD177,58),0)</f>
        <v/>
      </c>
      <c r="BI177">
        <f>IFERROR(INDEX(PP_Grid[#Data],$DD177,59),0)</f>
        <v/>
      </c>
      <c r="BJ177">
        <f>IFERROR(INDEX(PP_Grid[#Data],$DD177,60),0)</f>
        <v/>
      </c>
      <c r="BK177">
        <f>IFERROR(INDEX(PP_Grid[#Data],$DD177,61),0)</f>
        <v/>
      </c>
      <c r="BL177">
        <f>IFERROR(INDEX(PP_Grid[#Data],$DD177,62),0)</f>
        <v/>
      </c>
      <c r="BM177">
        <f>IFERROR(INDEX(PP_Grid[#Data],$DD177,63),0)</f>
        <v/>
      </c>
      <c r="BN177">
        <f>IFERROR(INDEX(PP_Grid[#Data],$DD177,64),0)</f>
        <v/>
      </c>
      <c r="BO177">
        <f>IFERROR(INDEX(PP_Grid[#Data],$DD177,65),0)</f>
        <v/>
      </c>
      <c r="BP177">
        <f>IFERROR(INDEX(PP_Grid[#Data],$DD177,66),0)</f>
        <v/>
      </c>
      <c r="BQ177">
        <f>IFERROR(INDEX(PP_Grid[#Data],$DD177,67),0)</f>
        <v/>
      </c>
      <c r="BR177">
        <f>IFERROR(INDEX(PP_Grid[#Data],$DD177,68),0)</f>
        <v/>
      </c>
      <c r="BS177">
        <f>IFERROR(INDEX(PP_Grid[#Data],$DD177,69),0)</f>
        <v/>
      </c>
      <c r="BT177">
        <f>IFERROR(INDEX(PP_Grid[#Data],$DD177,70),0)</f>
        <v/>
      </c>
      <c r="BU177">
        <f>IFERROR(INDEX(PP_Grid[#Data],$DD177,71),0)</f>
        <v/>
      </c>
      <c r="BV177">
        <f>IFERROR(INDEX(PP_Grid[#Data],$DD177,72),0)</f>
        <v/>
      </c>
      <c r="BW177">
        <f>IFERROR(INDEX(PP_Grid[#Data],$DD177,73),0)</f>
        <v/>
      </c>
      <c r="BX177">
        <f>IFERROR(INDEX(PP_Grid[#Data],$DD177,74),0)</f>
        <v/>
      </c>
      <c r="BY177">
        <f>IFERROR(INDEX(PP_Grid[#Data],$DD177,75),0)</f>
        <v/>
      </c>
      <c r="BZ177">
        <f>IFERROR(INDEX(PP_Grid[#Data],$DD177,76),0)</f>
        <v/>
      </c>
      <c r="CA177">
        <f>IFERROR(INDEX(PP_Grid[#Data],$DD177,77),0)</f>
        <v/>
      </c>
      <c r="CB177">
        <f>IFERROR(INDEX(PP_Grid[#Data],$DD177,78),0)</f>
        <v/>
      </c>
      <c r="CC177">
        <f>IFERROR(INDEX(PP_Grid[#Data],$DD177,79),0)</f>
        <v/>
      </c>
      <c r="CD177">
        <f>IFERROR(INDEX(PP_Grid[#Data],$DD177,80),0)</f>
        <v/>
      </c>
      <c r="CE177">
        <f>IFERROR(INDEX(PP_Grid[#Data],$DD177,81),0)</f>
        <v/>
      </c>
      <c r="CF177">
        <f>IFERROR(INDEX(PP_Grid[#Data],$DD177,82),0)</f>
        <v/>
      </c>
      <c r="CG177">
        <f>IFERROR(INDEX(PP_Grid[#Data],$DD177,83),0)</f>
        <v/>
      </c>
      <c r="CH177">
        <f>IFERROR(INDEX(PP_Grid[#Data],$DD177,84),0)</f>
        <v/>
      </c>
      <c r="CI177">
        <f>IFERROR(INDEX(PP_Grid[#Data],$DD177,85),0)</f>
        <v/>
      </c>
      <c r="CJ177">
        <f>IFERROR(INDEX(PP_Grid[#Data],$DD177,86),0)</f>
        <v/>
      </c>
      <c r="CK177">
        <f>IFERROR(INDEX(PP_Grid[#Data],$DD177,87),0)</f>
        <v/>
      </c>
      <c r="CL177">
        <f>IFERROR(INDEX(PP_Grid[#Data],$DD177,88),0)</f>
        <v/>
      </c>
      <c r="CM177">
        <f>IFERROR(INDEX(PP_Grid[#Data],$DD177,89),0)</f>
        <v/>
      </c>
      <c r="CN177">
        <f>IFERROR(INDEX(PP_Grid[#Data],$DD177,90),0)</f>
        <v/>
      </c>
      <c r="CO177">
        <f>IFERROR(INDEX(PP_Grid[#Data],$DD177,91),0)</f>
        <v/>
      </c>
      <c r="CP177">
        <f>IFERROR(INDEX(PP_Grid[#Data],$DD177,92),0)</f>
        <v/>
      </c>
      <c r="CQ177">
        <f>IFERROR(INDEX(PP_Grid[#Data],$DD177,93),0)</f>
        <v/>
      </c>
      <c r="CR177">
        <f>IFERROR(INDEX(PP_Grid[#Data],$DD177,94),0)</f>
        <v/>
      </c>
      <c r="CS177">
        <f>IFERROR(INDEX(PP_Grid[#Data],$DD177,95),0)</f>
        <v/>
      </c>
      <c r="CT177">
        <f>IFERROR(INDEX(PP_Grid[#Data],$DD177,96),0)</f>
        <v/>
      </c>
      <c r="CU177">
        <f>IFERROR(INDEX(PP_Grid[#Data],$DD177,97),0)</f>
        <v/>
      </c>
      <c r="CV177">
        <f>IFERROR(INDEX(PP_Grid[#Data],$DD177,98),0)</f>
        <v/>
      </c>
      <c r="CW177">
        <f>IFERROR(INDEX(PP_Grid[#Data],$DD177,99),0)</f>
        <v/>
      </c>
      <c r="CX177">
        <f>IFERROR(INDEX(PP_Grid[#Data],$DD177,100),0)</f>
        <v/>
      </c>
      <c r="CY177">
        <f>IFERROR(INDEX(PP_Grid[#Data],$DD177,101),0)</f>
        <v/>
      </c>
      <c r="CZ177">
        <f>IFERROR(INDEX(PP_Grid[#Data],$DD177,102),0)</f>
        <v/>
      </c>
      <c r="DA177">
        <f>IFERROR(INDEX(PP_Grid[#Data],$DD177,103),0)</f>
        <v/>
      </c>
      <c r="DB177">
        <f>IFERROR(INDEX(PP_Grid[#Data],$DD177,104),0)</f>
        <v/>
      </c>
      <c r="DC177">
        <f>IFERROR(INDEX(PP_Grid[#Data],$DD177,105),0)</f>
        <v/>
      </c>
      <c r="DD177" s="7">
        <f>IFERROR(MATCH($B177,PP_Grid[Intermediate],0),99999)</f>
        <v/>
      </c>
    </row>
    <row r="178">
      <c r="B178" t="inlineStr">
        <is>
          <t>使用量(kg)</t>
        </is>
      </c>
      <c r="C178">
        <f>SUMIFS(M_BOM[RM_Qty_Per_Batch],M_BOM[Intermediate],$B177,M_BOM[Part Name],$A44)</f>
        <v/>
      </c>
      <c r="D178">
        <f>$C178*D177</f>
        <v/>
      </c>
      <c r="E178">
        <f>$C178*E177</f>
        <v/>
      </c>
      <c r="F178">
        <f>$C178*F177</f>
        <v/>
      </c>
      <c r="G178">
        <f>$C178*G177</f>
        <v/>
      </c>
      <c r="H178">
        <f>$C178*H177</f>
        <v/>
      </c>
      <c r="I178">
        <f>$C178*I177</f>
        <v/>
      </c>
      <c r="J178">
        <f>$C178*J177</f>
        <v/>
      </c>
      <c r="K178">
        <f>$C178*K177</f>
        <v/>
      </c>
      <c r="L178">
        <f>$C178*L177</f>
        <v/>
      </c>
      <c r="M178">
        <f>$C178*M177</f>
        <v/>
      </c>
      <c r="N178">
        <f>$C178*N177</f>
        <v/>
      </c>
      <c r="O178">
        <f>$C178*O177</f>
        <v/>
      </c>
      <c r="P178">
        <f>$C178*P177</f>
        <v/>
      </c>
      <c r="Q178">
        <f>$C178*Q177</f>
        <v/>
      </c>
      <c r="R178">
        <f>$C178*R177</f>
        <v/>
      </c>
      <c r="S178">
        <f>$C178*S177</f>
        <v/>
      </c>
      <c r="T178">
        <f>$C178*T177</f>
        <v/>
      </c>
      <c r="U178">
        <f>$C178*U177</f>
        <v/>
      </c>
      <c r="V178">
        <f>$C178*V177</f>
        <v/>
      </c>
      <c r="W178">
        <f>$C178*W177</f>
        <v/>
      </c>
      <c r="X178">
        <f>$C178*X177</f>
        <v/>
      </c>
      <c r="Y178">
        <f>$C178*Y177</f>
        <v/>
      </c>
      <c r="Z178">
        <f>$C178*Z177</f>
        <v/>
      </c>
      <c r="AA178">
        <f>$C178*AA177</f>
        <v/>
      </c>
      <c r="AB178">
        <f>$C178*AB177</f>
        <v/>
      </c>
      <c r="AC178">
        <f>$C178*AC177</f>
        <v/>
      </c>
      <c r="AD178">
        <f>$C178*AD177</f>
        <v/>
      </c>
      <c r="AE178">
        <f>$C178*AE177</f>
        <v/>
      </c>
      <c r="AF178">
        <f>$C178*AF177</f>
        <v/>
      </c>
      <c r="AG178">
        <f>$C178*AG177</f>
        <v/>
      </c>
      <c r="AH178">
        <f>$C178*AH177</f>
        <v/>
      </c>
      <c r="AI178">
        <f>$C178*AI177</f>
        <v/>
      </c>
      <c r="AJ178">
        <f>$C178*AJ177</f>
        <v/>
      </c>
      <c r="AK178">
        <f>$C178*AK177</f>
        <v/>
      </c>
      <c r="AL178">
        <f>$C178*AL177</f>
        <v/>
      </c>
      <c r="AM178">
        <f>$C178*AM177</f>
        <v/>
      </c>
      <c r="AN178">
        <f>$C178*AN177</f>
        <v/>
      </c>
      <c r="AO178">
        <f>$C178*AO177</f>
        <v/>
      </c>
      <c r="AP178">
        <f>$C178*AP177</f>
        <v/>
      </c>
      <c r="AQ178">
        <f>$C178*AQ177</f>
        <v/>
      </c>
      <c r="AR178">
        <f>$C178*AR177</f>
        <v/>
      </c>
      <c r="AS178">
        <f>$C178*AS177</f>
        <v/>
      </c>
      <c r="AT178">
        <f>$C178*AT177</f>
        <v/>
      </c>
      <c r="AU178">
        <f>$C178*AU177</f>
        <v/>
      </c>
      <c r="AV178">
        <f>$C178*AV177</f>
        <v/>
      </c>
      <c r="AW178">
        <f>$C178*AW177</f>
        <v/>
      </c>
      <c r="AX178">
        <f>$C178*AX177</f>
        <v/>
      </c>
      <c r="AY178">
        <f>$C178*AY177</f>
        <v/>
      </c>
      <c r="AZ178">
        <f>$C178*AZ177</f>
        <v/>
      </c>
      <c r="BA178">
        <f>$C178*BA177</f>
        <v/>
      </c>
      <c r="BB178">
        <f>$C178*BB177</f>
        <v/>
      </c>
      <c r="BC178">
        <f>$C178*BC177</f>
        <v/>
      </c>
      <c r="BD178">
        <f>$C178*BD177</f>
        <v/>
      </c>
      <c r="BE178">
        <f>$C178*BE177</f>
        <v/>
      </c>
      <c r="BF178">
        <f>$C178*BF177</f>
        <v/>
      </c>
      <c r="BG178">
        <f>$C178*BG177</f>
        <v/>
      </c>
      <c r="BH178">
        <f>$C178*BH177</f>
        <v/>
      </c>
      <c r="BI178">
        <f>$C178*BI177</f>
        <v/>
      </c>
      <c r="BJ178">
        <f>$C178*BJ177</f>
        <v/>
      </c>
      <c r="BK178">
        <f>$C178*BK177</f>
        <v/>
      </c>
      <c r="BL178">
        <f>$C178*BL177</f>
        <v/>
      </c>
      <c r="BM178">
        <f>$C178*BM177</f>
        <v/>
      </c>
      <c r="BN178">
        <f>$C178*BN177</f>
        <v/>
      </c>
      <c r="BO178">
        <f>$C178*BO177</f>
        <v/>
      </c>
      <c r="BP178">
        <f>$C178*BP177</f>
        <v/>
      </c>
      <c r="BQ178">
        <f>$C178*BQ177</f>
        <v/>
      </c>
      <c r="BR178">
        <f>$C178*BR177</f>
        <v/>
      </c>
      <c r="BS178">
        <f>$C178*BS177</f>
        <v/>
      </c>
      <c r="BT178">
        <f>$C178*BT177</f>
        <v/>
      </c>
      <c r="BU178">
        <f>$C178*BU177</f>
        <v/>
      </c>
      <c r="BV178">
        <f>$C178*BV177</f>
        <v/>
      </c>
      <c r="BW178">
        <f>$C178*BW177</f>
        <v/>
      </c>
      <c r="BX178">
        <f>$C178*BX177</f>
        <v/>
      </c>
      <c r="BY178">
        <f>$C178*BY177</f>
        <v/>
      </c>
      <c r="BZ178">
        <f>$C178*BZ177</f>
        <v/>
      </c>
      <c r="CA178">
        <f>$C178*CA177</f>
        <v/>
      </c>
      <c r="CB178">
        <f>$C178*CB177</f>
        <v/>
      </c>
      <c r="CC178">
        <f>$C178*CC177</f>
        <v/>
      </c>
      <c r="CD178">
        <f>$C178*CD177</f>
        <v/>
      </c>
      <c r="CE178">
        <f>$C178*CE177</f>
        <v/>
      </c>
      <c r="CF178">
        <f>$C178*CF177</f>
        <v/>
      </c>
      <c r="CG178">
        <f>$C178*CG177</f>
        <v/>
      </c>
      <c r="CH178">
        <f>$C178*CH177</f>
        <v/>
      </c>
      <c r="CI178">
        <f>$C178*CI177</f>
        <v/>
      </c>
      <c r="CJ178">
        <f>$C178*CJ177</f>
        <v/>
      </c>
      <c r="CK178">
        <f>$C178*CK177</f>
        <v/>
      </c>
      <c r="CL178">
        <f>$C178*CL177</f>
        <v/>
      </c>
      <c r="CM178">
        <f>$C178*CM177</f>
        <v/>
      </c>
      <c r="CN178">
        <f>$C178*CN177</f>
        <v/>
      </c>
      <c r="CO178">
        <f>$C178*CO177</f>
        <v/>
      </c>
      <c r="CP178">
        <f>$C178*CP177</f>
        <v/>
      </c>
      <c r="CQ178">
        <f>$C178*CQ177</f>
        <v/>
      </c>
      <c r="CR178">
        <f>$C178*CR177</f>
        <v/>
      </c>
      <c r="CS178">
        <f>$C178*CS177</f>
        <v/>
      </c>
      <c r="CT178">
        <f>$C178*CT177</f>
        <v/>
      </c>
      <c r="CU178">
        <f>$C178*CU177</f>
        <v/>
      </c>
      <c r="CV178">
        <f>$C178*CV177</f>
        <v/>
      </c>
      <c r="CW178">
        <f>$C178*CW177</f>
        <v/>
      </c>
      <c r="CX178">
        <f>$C178*CX177</f>
        <v/>
      </c>
      <c r="CY178">
        <f>$C178*CY177</f>
        <v/>
      </c>
      <c r="CZ178">
        <f>$C178*CZ177</f>
        <v/>
      </c>
      <c r="DA178">
        <f>$C178*DA177</f>
        <v/>
      </c>
      <c r="DB178">
        <f>$C178*DB177</f>
        <v/>
      </c>
      <c r="DC178">
        <f>$C178*DC177</f>
        <v/>
      </c>
    </row>
    <row r="179">
      <c r="B179" t="inlineStr">
        <is>
          <t>VSP-607</t>
        </is>
      </c>
      <c r="C179" t="inlineStr">
        <is>
          <t>No. of batches</t>
        </is>
      </c>
      <c r="D179">
        <f>IFERROR(INDEX(PP_Grid[#Data],$DD179,2),0)</f>
        <v/>
      </c>
      <c r="E179">
        <f>IFERROR(INDEX(PP_Grid[#Data],$DD179,3),0)</f>
        <v/>
      </c>
      <c r="F179">
        <f>IFERROR(INDEX(PP_Grid[#Data],$DD179,4),0)</f>
        <v/>
      </c>
      <c r="G179">
        <f>IFERROR(INDEX(PP_Grid[#Data],$DD179,5),0)</f>
        <v/>
      </c>
      <c r="H179">
        <f>IFERROR(INDEX(PP_Grid[#Data],$DD179,6),0)</f>
        <v/>
      </c>
      <c r="I179">
        <f>IFERROR(INDEX(PP_Grid[#Data],$DD179,7),0)</f>
        <v/>
      </c>
      <c r="J179">
        <f>IFERROR(INDEX(PP_Grid[#Data],$DD179,8),0)</f>
        <v/>
      </c>
      <c r="K179">
        <f>IFERROR(INDEX(PP_Grid[#Data],$DD179,9),0)</f>
        <v/>
      </c>
      <c r="L179">
        <f>IFERROR(INDEX(PP_Grid[#Data],$DD179,10),0)</f>
        <v/>
      </c>
      <c r="M179">
        <f>IFERROR(INDEX(PP_Grid[#Data],$DD179,11),0)</f>
        <v/>
      </c>
      <c r="N179">
        <f>IFERROR(INDEX(PP_Grid[#Data],$DD179,12),0)</f>
        <v/>
      </c>
      <c r="O179">
        <f>IFERROR(INDEX(PP_Grid[#Data],$DD179,13),0)</f>
        <v/>
      </c>
      <c r="P179">
        <f>IFERROR(INDEX(PP_Grid[#Data],$DD179,14),0)</f>
        <v/>
      </c>
      <c r="Q179">
        <f>IFERROR(INDEX(PP_Grid[#Data],$DD179,15),0)</f>
        <v/>
      </c>
      <c r="R179">
        <f>IFERROR(INDEX(PP_Grid[#Data],$DD179,16),0)</f>
        <v/>
      </c>
      <c r="S179">
        <f>IFERROR(INDEX(PP_Grid[#Data],$DD179,17),0)</f>
        <v/>
      </c>
      <c r="T179">
        <f>IFERROR(INDEX(PP_Grid[#Data],$DD179,18),0)</f>
        <v/>
      </c>
      <c r="U179">
        <f>IFERROR(INDEX(PP_Grid[#Data],$DD179,19),0)</f>
        <v/>
      </c>
      <c r="V179">
        <f>IFERROR(INDEX(PP_Grid[#Data],$DD179,20),0)</f>
        <v/>
      </c>
      <c r="W179">
        <f>IFERROR(INDEX(PP_Grid[#Data],$DD179,21),0)</f>
        <v/>
      </c>
      <c r="X179">
        <f>IFERROR(INDEX(PP_Grid[#Data],$DD179,22),0)</f>
        <v/>
      </c>
      <c r="Y179">
        <f>IFERROR(INDEX(PP_Grid[#Data],$DD179,23),0)</f>
        <v/>
      </c>
      <c r="Z179">
        <f>IFERROR(INDEX(PP_Grid[#Data],$DD179,24),0)</f>
        <v/>
      </c>
      <c r="AA179">
        <f>IFERROR(INDEX(PP_Grid[#Data],$DD179,25),0)</f>
        <v/>
      </c>
      <c r="AB179">
        <f>IFERROR(INDEX(PP_Grid[#Data],$DD179,26),0)</f>
        <v/>
      </c>
      <c r="AC179">
        <f>IFERROR(INDEX(PP_Grid[#Data],$DD179,27),0)</f>
        <v/>
      </c>
      <c r="AD179">
        <f>IFERROR(INDEX(PP_Grid[#Data],$DD179,28),0)</f>
        <v/>
      </c>
      <c r="AE179">
        <f>IFERROR(INDEX(PP_Grid[#Data],$DD179,29),0)</f>
        <v/>
      </c>
      <c r="AF179">
        <f>IFERROR(INDEX(PP_Grid[#Data],$DD179,30),0)</f>
        <v/>
      </c>
      <c r="AG179">
        <f>IFERROR(INDEX(PP_Grid[#Data],$DD179,31),0)</f>
        <v/>
      </c>
      <c r="AH179">
        <f>IFERROR(INDEX(PP_Grid[#Data],$DD179,32),0)</f>
        <v/>
      </c>
      <c r="AI179">
        <f>IFERROR(INDEX(PP_Grid[#Data],$DD179,33),0)</f>
        <v/>
      </c>
      <c r="AJ179">
        <f>IFERROR(INDEX(PP_Grid[#Data],$DD179,34),0)</f>
        <v/>
      </c>
      <c r="AK179">
        <f>IFERROR(INDEX(PP_Grid[#Data],$DD179,35),0)</f>
        <v/>
      </c>
      <c r="AL179">
        <f>IFERROR(INDEX(PP_Grid[#Data],$DD179,36),0)</f>
        <v/>
      </c>
      <c r="AM179">
        <f>IFERROR(INDEX(PP_Grid[#Data],$DD179,37),0)</f>
        <v/>
      </c>
      <c r="AN179">
        <f>IFERROR(INDEX(PP_Grid[#Data],$DD179,38),0)</f>
        <v/>
      </c>
      <c r="AO179">
        <f>IFERROR(INDEX(PP_Grid[#Data],$DD179,39),0)</f>
        <v/>
      </c>
      <c r="AP179">
        <f>IFERROR(INDEX(PP_Grid[#Data],$DD179,40),0)</f>
        <v/>
      </c>
      <c r="AQ179">
        <f>IFERROR(INDEX(PP_Grid[#Data],$DD179,41),0)</f>
        <v/>
      </c>
      <c r="AR179">
        <f>IFERROR(INDEX(PP_Grid[#Data],$DD179,42),0)</f>
        <v/>
      </c>
      <c r="AS179">
        <f>IFERROR(INDEX(PP_Grid[#Data],$DD179,43),0)</f>
        <v/>
      </c>
      <c r="AT179">
        <f>IFERROR(INDEX(PP_Grid[#Data],$DD179,44),0)</f>
        <v/>
      </c>
      <c r="AU179">
        <f>IFERROR(INDEX(PP_Grid[#Data],$DD179,45),0)</f>
        <v/>
      </c>
      <c r="AV179">
        <f>IFERROR(INDEX(PP_Grid[#Data],$DD179,46),0)</f>
        <v/>
      </c>
      <c r="AW179">
        <f>IFERROR(INDEX(PP_Grid[#Data],$DD179,47),0)</f>
        <v/>
      </c>
      <c r="AX179">
        <f>IFERROR(INDEX(PP_Grid[#Data],$DD179,48),0)</f>
        <v/>
      </c>
      <c r="AY179">
        <f>IFERROR(INDEX(PP_Grid[#Data],$DD179,49),0)</f>
        <v/>
      </c>
      <c r="AZ179">
        <f>IFERROR(INDEX(PP_Grid[#Data],$DD179,50),0)</f>
        <v/>
      </c>
      <c r="BA179">
        <f>IFERROR(INDEX(PP_Grid[#Data],$DD179,51),0)</f>
        <v/>
      </c>
      <c r="BB179">
        <f>IFERROR(INDEX(PP_Grid[#Data],$DD179,52),0)</f>
        <v/>
      </c>
      <c r="BC179">
        <f>IFERROR(INDEX(PP_Grid[#Data],$DD179,53),0)</f>
        <v/>
      </c>
      <c r="BD179">
        <f>IFERROR(INDEX(PP_Grid[#Data],$DD179,54),0)</f>
        <v/>
      </c>
      <c r="BE179">
        <f>IFERROR(INDEX(PP_Grid[#Data],$DD179,55),0)</f>
        <v/>
      </c>
      <c r="BF179">
        <f>IFERROR(INDEX(PP_Grid[#Data],$DD179,56),0)</f>
        <v/>
      </c>
      <c r="BG179">
        <f>IFERROR(INDEX(PP_Grid[#Data],$DD179,57),0)</f>
        <v/>
      </c>
      <c r="BH179">
        <f>IFERROR(INDEX(PP_Grid[#Data],$DD179,58),0)</f>
        <v/>
      </c>
      <c r="BI179">
        <f>IFERROR(INDEX(PP_Grid[#Data],$DD179,59),0)</f>
        <v/>
      </c>
      <c r="BJ179">
        <f>IFERROR(INDEX(PP_Grid[#Data],$DD179,60),0)</f>
        <v/>
      </c>
      <c r="BK179">
        <f>IFERROR(INDEX(PP_Grid[#Data],$DD179,61),0)</f>
        <v/>
      </c>
      <c r="BL179">
        <f>IFERROR(INDEX(PP_Grid[#Data],$DD179,62),0)</f>
        <v/>
      </c>
      <c r="BM179">
        <f>IFERROR(INDEX(PP_Grid[#Data],$DD179,63),0)</f>
        <v/>
      </c>
      <c r="BN179">
        <f>IFERROR(INDEX(PP_Grid[#Data],$DD179,64),0)</f>
        <v/>
      </c>
      <c r="BO179">
        <f>IFERROR(INDEX(PP_Grid[#Data],$DD179,65),0)</f>
        <v/>
      </c>
      <c r="BP179">
        <f>IFERROR(INDEX(PP_Grid[#Data],$DD179,66),0)</f>
        <v/>
      </c>
      <c r="BQ179">
        <f>IFERROR(INDEX(PP_Grid[#Data],$DD179,67),0)</f>
        <v/>
      </c>
      <c r="BR179">
        <f>IFERROR(INDEX(PP_Grid[#Data],$DD179,68),0)</f>
        <v/>
      </c>
      <c r="BS179">
        <f>IFERROR(INDEX(PP_Grid[#Data],$DD179,69),0)</f>
        <v/>
      </c>
      <c r="BT179">
        <f>IFERROR(INDEX(PP_Grid[#Data],$DD179,70),0)</f>
        <v/>
      </c>
      <c r="BU179">
        <f>IFERROR(INDEX(PP_Grid[#Data],$DD179,71),0)</f>
        <v/>
      </c>
      <c r="BV179">
        <f>IFERROR(INDEX(PP_Grid[#Data],$DD179,72),0)</f>
        <v/>
      </c>
      <c r="BW179">
        <f>IFERROR(INDEX(PP_Grid[#Data],$DD179,73),0)</f>
        <v/>
      </c>
      <c r="BX179">
        <f>IFERROR(INDEX(PP_Grid[#Data],$DD179,74),0)</f>
        <v/>
      </c>
      <c r="BY179">
        <f>IFERROR(INDEX(PP_Grid[#Data],$DD179,75),0)</f>
        <v/>
      </c>
      <c r="BZ179">
        <f>IFERROR(INDEX(PP_Grid[#Data],$DD179,76),0)</f>
        <v/>
      </c>
      <c r="CA179">
        <f>IFERROR(INDEX(PP_Grid[#Data],$DD179,77),0)</f>
        <v/>
      </c>
      <c r="CB179">
        <f>IFERROR(INDEX(PP_Grid[#Data],$DD179,78),0)</f>
        <v/>
      </c>
      <c r="CC179">
        <f>IFERROR(INDEX(PP_Grid[#Data],$DD179,79),0)</f>
        <v/>
      </c>
      <c r="CD179">
        <f>IFERROR(INDEX(PP_Grid[#Data],$DD179,80),0)</f>
        <v/>
      </c>
      <c r="CE179">
        <f>IFERROR(INDEX(PP_Grid[#Data],$DD179,81),0)</f>
        <v/>
      </c>
      <c r="CF179">
        <f>IFERROR(INDEX(PP_Grid[#Data],$DD179,82),0)</f>
        <v/>
      </c>
      <c r="CG179">
        <f>IFERROR(INDEX(PP_Grid[#Data],$DD179,83),0)</f>
        <v/>
      </c>
      <c r="CH179">
        <f>IFERROR(INDEX(PP_Grid[#Data],$DD179,84),0)</f>
        <v/>
      </c>
      <c r="CI179">
        <f>IFERROR(INDEX(PP_Grid[#Data],$DD179,85),0)</f>
        <v/>
      </c>
      <c r="CJ179">
        <f>IFERROR(INDEX(PP_Grid[#Data],$DD179,86),0)</f>
        <v/>
      </c>
      <c r="CK179">
        <f>IFERROR(INDEX(PP_Grid[#Data],$DD179,87),0)</f>
        <v/>
      </c>
      <c r="CL179">
        <f>IFERROR(INDEX(PP_Grid[#Data],$DD179,88),0)</f>
        <v/>
      </c>
      <c r="CM179">
        <f>IFERROR(INDEX(PP_Grid[#Data],$DD179,89),0)</f>
        <v/>
      </c>
      <c r="CN179">
        <f>IFERROR(INDEX(PP_Grid[#Data],$DD179,90),0)</f>
        <v/>
      </c>
      <c r="CO179">
        <f>IFERROR(INDEX(PP_Grid[#Data],$DD179,91),0)</f>
        <v/>
      </c>
      <c r="CP179">
        <f>IFERROR(INDEX(PP_Grid[#Data],$DD179,92),0)</f>
        <v/>
      </c>
      <c r="CQ179">
        <f>IFERROR(INDEX(PP_Grid[#Data],$DD179,93),0)</f>
        <v/>
      </c>
      <c r="CR179">
        <f>IFERROR(INDEX(PP_Grid[#Data],$DD179,94),0)</f>
        <v/>
      </c>
      <c r="CS179">
        <f>IFERROR(INDEX(PP_Grid[#Data],$DD179,95),0)</f>
        <v/>
      </c>
      <c r="CT179">
        <f>IFERROR(INDEX(PP_Grid[#Data],$DD179,96),0)</f>
        <v/>
      </c>
      <c r="CU179">
        <f>IFERROR(INDEX(PP_Grid[#Data],$DD179,97),0)</f>
        <v/>
      </c>
      <c r="CV179">
        <f>IFERROR(INDEX(PP_Grid[#Data],$DD179,98),0)</f>
        <v/>
      </c>
      <c r="CW179">
        <f>IFERROR(INDEX(PP_Grid[#Data],$DD179,99),0)</f>
        <v/>
      </c>
      <c r="CX179">
        <f>IFERROR(INDEX(PP_Grid[#Data],$DD179,100),0)</f>
        <v/>
      </c>
      <c r="CY179">
        <f>IFERROR(INDEX(PP_Grid[#Data],$DD179,101),0)</f>
        <v/>
      </c>
      <c r="CZ179">
        <f>IFERROR(INDEX(PP_Grid[#Data],$DD179,102),0)</f>
        <v/>
      </c>
      <c r="DA179">
        <f>IFERROR(INDEX(PP_Grid[#Data],$DD179,103),0)</f>
        <v/>
      </c>
      <c r="DB179">
        <f>IFERROR(INDEX(PP_Grid[#Data],$DD179,104),0)</f>
        <v/>
      </c>
      <c r="DC179">
        <f>IFERROR(INDEX(PP_Grid[#Data],$DD179,105),0)</f>
        <v/>
      </c>
      <c r="DD179" s="7">
        <f>IFERROR(MATCH($B179,PP_Grid[Intermediate],0),99999)</f>
        <v/>
      </c>
    </row>
    <row r="180">
      <c r="B180" t="inlineStr">
        <is>
          <t>使用量(kg)</t>
        </is>
      </c>
      <c r="C180">
        <f>SUMIFS(M_BOM[RM_Qty_Per_Batch],M_BOM[Intermediate],$B179,M_BOM[Part Name],$A44)</f>
        <v/>
      </c>
      <c r="D180">
        <f>$C180*D179</f>
        <v/>
      </c>
      <c r="E180">
        <f>$C180*E179</f>
        <v/>
      </c>
      <c r="F180">
        <f>$C180*F179</f>
        <v/>
      </c>
      <c r="G180">
        <f>$C180*G179</f>
        <v/>
      </c>
      <c r="H180">
        <f>$C180*H179</f>
        <v/>
      </c>
      <c r="I180">
        <f>$C180*I179</f>
        <v/>
      </c>
      <c r="J180">
        <f>$C180*J179</f>
        <v/>
      </c>
      <c r="K180">
        <f>$C180*K179</f>
        <v/>
      </c>
      <c r="L180">
        <f>$C180*L179</f>
        <v/>
      </c>
      <c r="M180">
        <f>$C180*M179</f>
        <v/>
      </c>
      <c r="N180">
        <f>$C180*N179</f>
        <v/>
      </c>
      <c r="O180">
        <f>$C180*O179</f>
        <v/>
      </c>
      <c r="P180">
        <f>$C180*P179</f>
        <v/>
      </c>
      <c r="Q180">
        <f>$C180*Q179</f>
        <v/>
      </c>
      <c r="R180">
        <f>$C180*R179</f>
        <v/>
      </c>
      <c r="S180">
        <f>$C180*S179</f>
        <v/>
      </c>
      <c r="T180">
        <f>$C180*T179</f>
        <v/>
      </c>
      <c r="U180">
        <f>$C180*U179</f>
        <v/>
      </c>
      <c r="V180">
        <f>$C180*V179</f>
        <v/>
      </c>
      <c r="W180">
        <f>$C180*W179</f>
        <v/>
      </c>
      <c r="X180">
        <f>$C180*X179</f>
        <v/>
      </c>
      <c r="Y180">
        <f>$C180*Y179</f>
        <v/>
      </c>
      <c r="Z180">
        <f>$C180*Z179</f>
        <v/>
      </c>
      <c r="AA180">
        <f>$C180*AA179</f>
        <v/>
      </c>
      <c r="AB180">
        <f>$C180*AB179</f>
        <v/>
      </c>
      <c r="AC180">
        <f>$C180*AC179</f>
        <v/>
      </c>
      <c r="AD180">
        <f>$C180*AD179</f>
        <v/>
      </c>
      <c r="AE180">
        <f>$C180*AE179</f>
        <v/>
      </c>
      <c r="AF180">
        <f>$C180*AF179</f>
        <v/>
      </c>
      <c r="AG180">
        <f>$C180*AG179</f>
        <v/>
      </c>
      <c r="AH180">
        <f>$C180*AH179</f>
        <v/>
      </c>
      <c r="AI180">
        <f>$C180*AI179</f>
        <v/>
      </c>
      <c r="AJ180">
        <f>$C180*AJ179</f>
        <v/>
      </c>
      <c r="AK180">
        <f>$C180*AK179</f>
        <v/>
      </c>
      <c r="AL180">
        <f>$C180*AL179</f>
        <v/>
      </c>
      <c r="AM180">
        <f>$C180*AM179</f>
        <v/>
      </c>
      <c r="AN180">
        <f>$C180*AN179</f>
        <v/>
      </c>
      <c r="AO180">
        <f>$C180*AO179</f>
        <v/>
      </c>
      <c r="AP180">
        <f>$C180*AP179</f>
        <v/>
      </c>
      <c r="AQ180">
        <f>$C180*AQ179</f>
        <v/>
      </c>
      <c r="AR180">
        <f>$C180*AR179</f>
        <v/>
      </c>
      <c r="AS180">
        <f>$C180*AS179</f>
        <v/>
      </c>
      <c r="AT180">
        <f>$C180*AT179</f>
        <v/>
      </c>
      <c r="AU180">
        <f>$C180*AU179</f>
        <v/>
      </c>
      <c r="AV180">
        <f>$C180*AV179</f>
        <v/>
      </c>
      <c r="AW180">
        <f>$C180*AW179</f>
        <v/>
      </c>
      <c r="AX180">
        <f>$C180*AX179</f>
        <v/>
      </c>
      <c r="AY180">
        <f>$C180*AY179</f>
        <v/>
      </c>
      <c r="AZ180">
        <f>$C180*AZ179</f>
        <v/>
      </c>
      <c r="BA180">
        <f>$C180*BA179</f>
        <v/>
      </c>
      <c r="BB180">
        <f>$C180*BB179</f>
        <v/>
      </c>
      <c r="BC180">
        <f>$C180*BC179</f>
        <v/>
      </c>
      <c r="BD180">
        <f>$C180*BD179</f>
        <v/>
      </c>
      <c r="BE180">
        <f>$C180*BE179</f>
        <v/>
      </c>
      <c r="BF180">
        <f>$C180*BF179</f>
        <v/>
      </c>
      <c r="BG180">
        <f>$C180*BG179</f>
        <v/>
      </c>
      <c r="BH180">
        <f>$C180*BH179</f>
        <v/>
      </c>
      <c r="BI180">
        <f>$C180*BI179</f>
        <v/>
      </c>
      <c r="BJ180">
        <f>$C180*BJ179</f>
        <v/>
      </c>
      <c r="BK180">
        <f>$C180*BK179</f>
        <v/>
      </c>
      <c r="BL180">
        <f>$C180*BL179</f>
        <v/>
      </c>
      <c r="BM180">
        <f>$C180*BM179</f>
        <v/>
      </c>
      <c r="BN180">
        <f>$C180*BN179</f>
        <v/>
      </c>
      <c r="BO180">
        <f>$C180*BO179</f>
        <v/>
      </c>
      <c r="BP180">
        <f>$C180*BP179</f>
        <v/>
      </c>
      <c r="BQ180">
        <f>$C180*BQ179</f>
        <v/>
      </c>
      <c r="BR180">
        <f>$C180*BR179</f>
        <v/>
      </c>
      <c r="BS180">
        <f>$C180*BS179</f>
        <v/>
      </c>
      <c r="BT180">
        <f>$C180*BT179</f>
        <v/>
      </c>
      <c r="BU180">
        <f>$C180*BU179</f>
        <v/>
      </c>
      <c r="BV180">
        <f>$C180*BV179</f>
        <v/>
      </c>
      <c r="BW180">
        <f>$C180*BW179</f>
        <v/>
      </c>
      <c r="BX180">
        <f>$C180*BX179</f>
        <v/>
      </c>
      <c r="BY180">
        <f>$C180*BY179</f>
        <v/>
      </c>
      <c r="BZ180">
        <f>$C180*BZ179</f>
        <v/>
      </c>
      <c r="CA180">
        <f>$C180*CA179</f>
        <v/>
      </c>
      <c r="CB180">
        <f>$C180*CB179</f>
        <v/>
      </c>
      <c r="CC180">
        <f>$C180*CC179</f>
        <v/>
      </c>
      <c r="CD180">
        <f>$C180*CD179</f>
        <v/>
      </c>
      <c r="CE180">
        <f>$C180*CE179</f>
        <v/>
      </c>
      <c r="CF180">
        <f>$C180*CF179</f>
        <v/>
      </c>
      <c r="CG180">
        <f>$C180*CG179</f>
        <v/>
      </c>
      <c r="CH180">
        <f>$C180*CH179</f>
        <v/>
      </c>
      <c r="CI180">
        <f>$C180*CI179</f>
        <v/>
      </c>
      <c r="CJ180">
        <f>$C180*CJ179</f>
        <v/>
      </c>
      <c r="CK180">
        <f>$C180*CK179</f>
        <v/>
      </c>
      <c r="CL180">
        <f>$C180*CL179</f>
        <v/>
      </c>
      <c r="CM180">
        <f>$C180*CM179</f>
        <v/>
      </c>
      <c r="CN180">
        <f>$C180*CN179</f>
        <v/>
      </c>
      <c r="CO180">
        <f>$C180*CO179</f>
        <v/>
      </c>
      <c r="CP180">
        <f>$C180*CP179</f>
        <v/>
      </c>
      <c r="CQ180">
        <f>$C180*CQ179</f>
        <v/>
      </c>
      <c r="CR180">
        <f>$C180*CR179</f>
        <v/>
      </c>
      <c r="CS180">
        <f>$C180*CS179</f>
        <v/>
      </c>
      <c r="CT180">
        <f>$C180*CT179</f>
        <v/>
      </c>
      <c r="CU180">
        <f>$C180*CU179</f>
        <v/>
      </c>
      <c r="CV180">
        <f>$C180*CV179</f>
        <v/>
      </c>
      <c r="CW180">
        <f>$C180*CW179</f>
        <v/>
      </c>
      <c r="CX180">
        <f>$C180*CX179</f>
        <v/>
      </c>
      <c r="CY180">
        <f>$C180*CY179</f>
        <v/>
      </c>
      <c r="CZ180">
        <f>$C180*CZ179</f>
        <v/>
      </c>
      <c r="DA180">
        <f>$C180*DA179</f>
        <v/>
      </c>
      <c r="DB180">
        <f>$C180*DB179</f>
        <v/>
      </c>
      <c r="DC180">
        <f>$C180*DC179</f>
        <v/>
      </c>
    </row>
    <row r="181">
      <c r="B181" t="inlineStr">
        <is>
          <t>VSP-738</t>
        </is>
      </c>
      <c r="C181" t="inlineStr">
        <is>
          <t>No. of batches</t>
        </is>
      </c>
      <c r="D181">
        <f>IFERROR(INDEX(PP_Grid[#Data],$DD181,2),0)</f>
        <v/>
      </c>
      <c r="E181">
        <f>IFERROR(INDEX(PP_Grid[#Data],$DD181,3),0)</f>
        <v/>
      </c>
      <c r="F181">
        <f>IFERROR(INDEX(PP_Grid[#Data],$DD181,4),0)</f>
        <v/>
      </c>
      <c r="G181">
        <f>IFERROR(INDEX(PP_Grid[#Data],$DD181,5),0)</f>
        <v/>
      </c>
      <c r="H181">
        <f>IFERROR(INDEX(PP_Grid[#Data],$DD181,6),0)</f>
        <v/>
      </c>
      <c r="I181">
        <f>IFERROR(INDEX(PP_Grid[#Data],$DD181,7),0)</f>
        <v/>
      </c>
      <c r="J181">
        <f>IFERROR(INDEX(PP_Grid[#Data],$DD181,8),0)</f>
        <v/>
      </c>
      <c r="K181">
        <f>IFERROR(INDEX(PP_Grid[#Data],$DD181,9),0)</f>
        <v/>
      </c>
      <c r="L181">
        <f>IFERROR(INDEX(PP_Grid[#Data],$DD181,10),0)</f>
        <v/>
      </c>
      <c r="M181">
        <f>IFERROR(INDEX(PP_Grid[#Data],$DD181,11),0)</f>
        <v/>
      </c>
      <c r="N181">
        <f>IFERROR(INDEX(PP_Grid[#Data],$DD181,12),0)</f>
        <v/>
      </c>
      <c r="O181">
        <f>IFERROR(INDEX(PP_Grid[#Data],$DD181,13),0)</f>
        <v/>
      </c>
      <c r="P181">
        <f>IFERROR(INDEX(PP_Grid[#Data],$DD181,14),0)</f>
        <v/>
      </c>
      <c r="Q181">
        <f>IFERROR(INDEX(PP_Grid[#Data],$DD181,15),0)</f>
        <v/>
      </c>
      <c r="R181">
        <f>IFERROR(INDEX(PP_Grid[#Data],$DD181,16),0)</f>
        <v/>
      </c>
      <c r="S181">
        <f>IFERROR(INDEX(PP_Grid[#Data],$DD181,17),0)</f>
        <v/>
      </c>
      <c r="T181">
        <f>IFERROR(INDEX(PP_Grid[#Data],$DD181,18),0)</f>
        <v/>
      </c>
      <c r="U181">
        <f>IFERROR(INDEX(PP_Grid[#Data],$DD181,19),0)</f>
        <v/>
      </c>
      <c r="V181">
        <f>IFERROR(INDEX(PP_Grid[#Data],$DD181,20),0)</f>
        <v/>
      </c>
      <c r="W181">
        <f>IFERROR(INDEX(PP_Grid[#Data],$DD181,21),0)</f>
        <v/>
      </c>
      <c r="X181">
        <f>IFERROR(INDEX(PP_Grid[#Data],$DD181,22),0)</f>
        <v/>
      </c>
      <c r="Y181">
        <f>IFERROR(INDEX(PP_Grid[#Data],$DD181,23),0)</f>
        <v/>
      </c>
      <c r="Z181">
        <f>IFERROR(INDEX(PP_Grid[#Data],$DD181,24),0)</f>
        <v/>
      </c>
      <c r="AA181">
        <f>IFERROR(INDEX(PP_Grid[#Data],$DD181,25),0)</f>
        <v/>
      </c>
      <c r="AB181">
        <f>IFERROR(INDEX(PP_Grid[#Data],$DD181,26),0)</f>
        <v/>
      </c>
      <c r="AC181">
        <f>IFERROR(INDEX(PP_Grid[#Data],$DD181,27),0)</f>
        <v/>
      </c>
      <c r="AD181">
        <f>IFERROR(INDEX(PP_Grid[#Data],$DD181,28),0)</f>
        <v/>
      </c>
      <c r="AE181">
        <f>IFERROR(INDEX(PP_Grid[#Data],$DD181,29),0)</f>
        <v/>
      </c>
      <c r="AF181">
        <f>IFERROR(INDEX(PP_Grid[#Data],$DD181,30),0)</f>
        <v/>
      </c>
      <c r="AG181">
        <f>IFERROR(INDEX(PP_Grid[#Data],$DD181,31),0)</f>
        <v/>
      </c>
      <c r="AH181">
        <f>IFERROR(INDEX(PP_Grid[#Data],$DD181,32),0)</f>
        <v/>
      </c>
      <c r="AI181">
        <f>IFERROR(INDEX(PP_Grid[#Data],$DD181,33),0)</f>
        <v/>
      </c>
      <c r="AJ181">
        <f>IFERROR(INDEX(PP_Grid[#Data],$DD181,34),0)</f>
        <v/>
      </c>
      <c r="AK181">
        <f>IFERROR(INDEX(PP_Grid[#Data],$DD181,35),0)</f>
        <v/>
      </c>
      <c r="AL181">
        <f>IFERROR(INDEX(PP_Grid[#Data],$DD181,36),0)</f>
        <v/>
      </c>
      <c r="AM181">
        <f>IFERROR(INDEX(PP_Grid[#Data],$DD181,37),0)</f>
        <v/>
      </c>
      <c r="AN181">
        <f>IFERROR(INDEX(PP_Grid[#Data],$DD181,38),0)</f>
        <v/>
      </c>
      <c r="AO181">
        <f>IFERROR(INDEX(PP_Grid[#Data],$DD181,39),0)</f>
        <v/>
      </c>
      <c r="AP181">
        <f>IFERROR(INDEX(PP_Grid[#Data],$DD181,40),0)</f>
        <v/>
      </c>
      <c r="AQ181">
        <f>IFERROR(INDEX(PP_Grid[#Data],$DD181,41),0)</f>
        <v/>
      </c>
      <c r="AR181">
        <f>IFERROR(INDEX(PP_Grid[#Data],$DD181,42),0)</f>
        <v/>
      </c>
      <c r="AS181">
        <f>IFERROR(INDEX(PP_Grid[#Data],$DD181,43),0)</f>
        <v/>
      </c>
      <c r="AT181">
        <f>IFERROR(INDEX(PP_Grid[#Data],$DD181,44),0)</f>
        <v/>
      </c>
      <c r="AU181">
        <f>IFERROR(INDEX(PP_Grid[#Data],$DD181,45),0)</f>
        <v/>
      </c>
      <c r="AV181">
        <f>IFERROR(INDEX(PP_Grid[#Data],$DD181,46),0)</f>
        <v/>
      </c>
      <c r="AW181">
        <f>IFERROR(INDEX(PP_Grid[#Data],$DD181,47),0)</f>
        <v/>
      </c>
      <c r="AX181">
        <f>IFERROR(INDEX(PP_Grid[#Data],$DD181,48),0)</f>
        <v/>
      </c>
      <c r="AY181">
        <f>IFERROR(INDEX(PP_Grid[#Data],$DD181,49),0)</f>
        <v/>
      </c>
      <c r="AZ181">
        <f>IFERROR(INDEX(PP_Grid[#Data],$DD181,50),0)</f>
        <v/>
      </c>
      <c r="BA181">
        <f>IFERROR(INDEX(PP_Grid[#Data],$DD181,51),0)</f>
        <v/>
      </c>
      <c r="BB181">
        <f>IFERROR(INDEX(PP_Grid[#Data],$DD181,52),0)</f>
        <v/>
      </c>
      <c r="BC181">
        <f>IFERROR(INDEX(PP_Grid[#Data],$DD181,53),0)</f>
        <v/>
      </c>
      <c r="BD181">
        <f>IFERROR(INDEX(PP_Grid[#Data],$DD181,54),0)</f>
        <v/>
      </c>
      <c r="BE181">
        <f>IFERROR(INDEX(PP_Grid[#Data],$DD181,55),0)</f>
        <v/>
      </c>
      <c r="BF181">
        <f>IFERROR(INDEX(PP_Grid[#Data],$DD181,56),0)</f>
        <v/>
      </c>
      <c r="BG181">
        <f>IFERROR(INDEX(PP_Grid[#Data],$DD181,57),0)</f>
        <v/>
      </c>
      <c r="BH181">
        <f>IFERROR(INDEX(PP_Grid[#Data],$DD181,58),0)</f>
        <v/>
      </c>
      <c r="BI181">
        <f>IFERROR(INDEX(PP_Grid[#Data],$DD181,59),0)</f>
        <v/>
      </c>
      <c r="BJ181">
        <f>IFERROR(INDEX(PP_Grid[#Data],$DD181,60),0)</f>
        <v/>
      </c>
      <c r="BK181">
        <f>IFERROR(INDEX(PP_Grid[#Data],$DD181,61),0)</f>
        <v/>
      </c>
      <c r="BL181">
        <f>IFERROR(INDEX(PP_Grid[#Data],$DD181,62),0)</f>
        <v/>
      </c>
      <c r="BM181">
        <f>IFERROR(INDEX(PP_Grid[#Data],$DD181,63),0)</f>
        <v/>
      </c>
      <c r="BN181">
        <f>IFERROR(INDEX(PP_Grid[#Data],$DD181,64),0)</f>
        <v/>
      </c>
      <c r="BO181">
        <f>IFERROR(INDEX(PP_Grid[#Data],$DD181,65),0)</f>
        <v/>
      </c>
      <c r="BP181">
        <f>IFERROR(INDEX(PP_Grid[#Data],$DD181,66),0)</f>
        <v/>
      </c>
      <c r="BQ181">
        <f>IFERROR(INDEX(PP_Grid[#Data],$DD181,67),0)</f>
        <v/>
      </c>
      <c r="BR181">
        <f>IFERROR(INDEX(PP_Grid[#Data],$DD181,68),0)</f>
        <v/>
      </c>
      <c r="BS181">
        <f>IFERROR(INDEX(PP_Grid[#Data],$DD181,69),0)</f>
        <v/>
      </c>
      <c r="BT181">
        <f>IFERROR(INDEX(PP_Grid[#Data],$DD181,70),0)</f>
        <v/>
      </c>
      <c r="BU181">
        <f>IFERROR(INDEX(PP_Grid[#Data],$DD181,71),0)</f>
        <v/>
      </c>
      <c r="BV181">
        <f>IFERROR(INDEX(PP_Grid[#Data],$DD181,72),0)</f>
        <v/>
      </c>
      <c r="BW181">
        <f>IFERROR(INDEX(PP_Grid[#Data],$DD181,73),0)</f>
        <v/>
      </c>
      <c r="BX181">
        <f>IFERROR(INDEX(PP_Grid[#Data],$DD181,74),0)</f>
        <v/>
      </c>
      <c r="BY181">
        <f>IFERROR(INDEX(PP_Grid[#Data],$DD181,75),0)</f>
        <v/>
      </c>
      <c r="BZ181">
        <f>IFERROR(INDEX(PP_Grid[#Data],$DD181,76),0)</f>
        <v/>
      </c>
      <c r="CA181">
        <f>IFERROR(INDEX(PP_Grid[#Data],$DD181,77),0)</f>
        <v/>
      </c>
      <c r="CB181">
        <f>IFERROR(INDEX(PP_Grid[#Data],$DD181,78),0)</f>
        <v/>
      </c>
      <c r="CC181">
        <f>IFERROR(INDEX(PP_Grid[#Data],$DD181,79),0)</f>
        <v/>
      </c>
      <c r="CD181">
        <f>IFERROR(INDEX(PP_Grid[#Data],$DD181,80),0)</f>
        <v/>
      </c>
      <c r="CE181">
        <f>IFERROR(INDEX(PP_Grid[#Data],$DD181,81),0)</f>
        <v/>
      </c>
      <c r="CF181">
        <f>IFERROR(INDEX(PP_Grid[#Data],$DD181,82),0)</f>
        <v/>
      </c>
      <c r="CG181">
        <f>IFERROR(INDEX(PP_Grid[#Data],$DD181,83),0)</f>
        <v/>
      </c>
      <c r="CH181">
        <f>IFERROR(INDEX(PP_Grid[#Data],$DD181,84),0)</f>
        <v/>
      </c>
      <c r="CI181">
        <f>IFERROR(INDEX(PP_Grid[#Data],$DD181,85),0)</f>
        <v/>
      </c>
      <c r="CJ181">
        <f>IFERROR(INDEX(PP_Grid[#Data],$DD181,86),0)</f>
        <v/>
      </c>
      <c r="CK181">
        <f>IFERROR(INDEX(PP_Grid[#Data],$DD181,87),0)</f>
        <v/>
      </c>
      <c r="CL181">
        <f>IFERROR(INDEX(PP_Grid[#Data],$DD181,88),0)</f>
        <v/>
      </c>
      <c r="CM181">
        <f>IFERROR(INDEX(PP_Grid[#Data],$DD181,89),0)</f>
        <v/>
      </c>
      <c r="CN181">
        <f>IFERROR(INDEX(PP_Grid[#Data],$DD181,90),0)</f>
        <v/>
      </c>
      <c r="CO181">
        <f>IFERROR(INDEX(PP_Grid[#Data],$DD181,91),0)</f>
        <v/>
      </c>
      <c r="CP181">
        <f>IFERROR(INDEX(PP_Grid[#Data],$DD181,92),0)</f>
        <v/>
      </c>
      <c r="CQ181">
        <f>IFERROR(INDEX(PP_Grid[#Data],$DD181,93),0)</f>
        <v/>
      </c>
      <c r="CR181">
        <f>IFERROR(INDEX(PP_Grid[#Data],$DD181,94),0)</f>
        <v/>
      </c>
      <c r="CS181">
        <f>IFERROR(INDEX(PP_Grid[#Data],$DD181,95),0)</f>
        <v/>
      </c>
      <c r="CT181">
        <f>IFERROR(INDEX(PP_Grid[#Data],$DD181,96),0)</f>
        <v/>
      </c>
      <c r="CU181">
        <f>IFERROR(INDEX(PP_Grid[#Data],$DD181,97),0)</f>
        <v/>
      </c>
      <c r="CV181">
        <f>IFERROR(INDEX(PP_Grid[#Data],$DD181,98),0)</f>
        <v/>
      </c>
      <c r="CW181">
        <f>IFERROR(INDEX(PP_Grid[#Data],$DD181,99),0)</f>
        <v/>
      </c>
      <c r="CX181">
        <f>IFERROR(INDEX(PP_Grid[#Data],$DD181,100),0)</f>
        <v/>
      </c>
      <c r="CY181">
        <f>IFERROR(INDEX(PP_Grid[#Data],$DD181,101),0)</f>
        <v/>
      </c>
      <c r="CZ181">
        <f>IFERROR(INDEX(PP_Grid[#Data],$DD181,102),0)</f>
        <v/>
      </c>
      <c r="DA181">
        <f>IFERROR(INDEX(PP_Grid[#Data],$DD181,103),0)</f>
        <v/>
      </c>
      <c r="DB181">
        <f>IFERROR(INDEX(PP_Grid[#Data],$DD181,104),0)</f>
        <v/>
      </c>
      <c r="DC181">
        <f>IFERROR(INDEX(PP_Grid[#Data],$DD181,105),0)</f>
        <v/>
      </c>
      <c r="DD181" s="7">
        <f>IFERROR(MATCH($B181,PP_Grid[Intermediate],0),99999)</f>
        <v/>
      </c>
    </row>
    <row r="182">
      <c r="B182" t="inlineStr">
        <is>
          <t>使用量(kg)</t>
        </is>
      </c>
      <c r="C182">
        <f>SUMIFS(M_BOM[RM_Qty_Per_Batch],M_BOM[Intermediate],$B181,M_BOM[Part Name],$A44)</f>
        <v/>
      </c>
      <c r="D182">
        <f>$C182*D181</f>
        <v/>
      </c>
      <c r="E182">
        <f>$C182*E181</f>
        <v/>
      </c>
      <c r="F182">
        <f>$C182*F181</f>
        <v/>
      </c>
      <c r="G182">
        <f>$C182*G181</f>
        <v/>
      </c>
      <c r="H182">
        <f>$C182*H181</f>
        <v/>
      </c>
      <c r="I182">
        <f>$C182*I181</f>
        <v/>
      </c>
      <c r="J182">
        <f>$C182*J181</f>
        <v/>
      </c>
      <c r="K182">
        <f>$C182*K181</f>
        <v/>
      </c>
      <c r="L182">
        <f>$C182*L181</f>
        <v/>
      </c>
      <c r="M182">
        <f>$C182*M181</f>
        <v/>
      </c>
      <c r="N182">
        <f>$C182*N181</f>
        <v/>
      </c>
      <c r="O182">
        <f>$C182*O181</f>
        <v/>
      </c>
      <c r="P182">
        <f>$C182*P181</f>
        <v/>
      </c>
      <c r="Q182">
        <f>$C182*Q181</f>
        <v/>
      </c>
      <c r="R182">
        <f>$C182*R181</f>
        <v/>
      </c>
      <c r="S182">
        <f>$C182*S181</f>
        <v/>
      </c>
      <c r="T182">
        <f>$C182*T181</f>
        <v/>
      </c>
      <c r="U182">
        <f>$C182*U181</f>
        <v/>
      </c>
      <c r="V182">
        <f>$C182*V181</f>
        <v/>
      </c>
      <c r="W182">
        <f>$C182*W181</f>
        <v/>
      </c>
      <c r="X182">
        <f>$C182*X181</f>
        <v/>
      </c>
      <c r="Y182">
        <f>$C182*Y181</f>
        <v/>
      </c>
      <c r="Z182">
        <f>$C182*Z181</f>
        <v/>
      </c>
      <c r="AA182">
        <f>$C182*AA181</f>
        <v/>
      </c>
      <c r="AB182">
        <f>$C182*AB181</f>
        <v/>
      </c>
      <c r="AC182">
        <f>$C182*AC181</f>
        <v/>
      </c>
      <c r="AD182">
        <f>$C182*AD181</f>
        <v/>
      </c>
      <c r="AE182">
        <f>$C182*AE181</f>
        <v/>
      </c>
      <c r="AF182">
        <f>$C182*AF181</f>
        <v/>
      </c>
      <c r="AG182">
        <f>$C182*AG181</f>
        <v/>
      </c>
      <c r="AH182">
        <f>$C182*AH181</f>
        <v/>
      </c>
      <c r="AI182">
        <f>$C182*AI181</f>
        <v/>
      </c>
      <c r="AJ182">
        <f>$C182*AJ181</f>
        <v/>
      </c>
      <c r="AK182">
        <f>$C182*AK181</f>
        <v/>
      </c>
      <c r="AL182">
        <f>$C182*AL181</f>
        <v/>
      </c>
      <c r="AM182">
        <f>$C182*AM181</f>
        <v/>
      </c>
      <c r="AN182">
        <f>$C182*AN181</f>
        <v/>
      </c>
      <c r="AO182">
        <f>$C182*AO181</f>
        <v/>
      </c>
      <c r="AP182">
        <f>$C182*AP181</f>
        <v/>
      </c>
      <c r="AQ182">
        <f>$C182*AQ181</f>
        <v/>
      </c>
      <c r="AR182">
        <f>$C182*AR181</f>
        <v/>
      </c>
      <c r="AS182">
        <f>$C182*AS181</f>
        <v/>
      </c>
      <c r="AT182">
        <f>$C182*AT181</f>
        <v/>
      </c>
      <c r="AU182">
        <f>$C182*AU181</f>
        <v/>
      </c>
      <c r="AV182">
        <f>$C182*AV181</f>
        <v/>
      </c>
      <c r="AW182">
        <f>$C182*AW181</f>
        <v/>
      </c>
      <c r="AX182">
        <f>$C182*AX181</f>
        <v/>
      </c>
      <c r="AY182">
        <f>$C182*AY181</f>
        <v/>
      </c>
      <c r="AZ182">
        <f>$C182*AZ181</f>
        <v/>
      </c>
      <c r="BA182">
        <f>$C182*BA181</f>
        <v/>
      </c>
      <c r="BB182">
        <f>$C182*BB181</f>
        <v/>
      </c>
      <c r="BC182">
        <f>$C182*BC181</f>
        <v/>
      </c>
      <c r="BD182">
        <f>$C182*BD181</f>
        <v/>
      </c>
      <c r="BE182">
        <f>$C182*BE181</f>
        <v/>
      </c>
      <c r="BF182">
        <f>$C182*BF181</f>
        <v/>
      </c>
      <c r="BG182">
        <f>$C182*BG181</f>
        <v/>
      </c>
      <c r="BH182">
        <f>$C182*BH181</f>
        <v/>
      </c>
      <c r="BI182">
        <f>$C182*BI181</f>
        <v/>
      </c>
      <c r="BJ182">
        <f>$C182*BJ181</f>
        <v/>
      </c>
      <c r="BK182">
        <f>$C182*BK181</f>
        <v/>
      </c>
      <c r="BL182">
        <f>$C182*BL181</f>
        <v/>
      </c>
      <c r="BM182">
        <f>$C182*BM181</f>
        <v/>
      </c>
      <c r="BN182">
        <f>$C182*BN181</f>
        <v/>
      </c>
      <c r="BO182">
        <f>$C182*BO181</f>
        <v/>
      </c>
      <c r="BP182">
        <f>$C182*BP181</f>
        <v/>
      </c>
      <c r="BQ182">
        <f>$C182*BQ181</f>
        <v/>
      </c>
      <c r="BR182">
        <f>$C182*BR181</f>
        <v/>
      </c>
      <c r="BS182">
        <f>$C182*BS181</f>
        <v/>
      </c>
      <c r="BT182">
        <f>$C182*BT181</f>
        <v/>
      </c>
      <c r="BU182">
        <f>$C182*BU181</f>
        <v/>
      </c>
      <c r="BV182">
        <f>$C182*BV181</f>
        <v/>
      </c>
      <c r="BW182">
        <f>$C182*BW181</f>
        <v/>
      </c>
      <c r="BX182">
        <f>$C182*BX181</f>
        <v/>
      </c>
      <c r="BY182">
        <f>$C182*BY181</f>
        <v/>
      </c>
      <c r="BZ182">
        <f>$C182*BZ181</f>
        <v/>
      </c>
      <c r="CA182">
        <f>$C182*CA181</f>
        <v/>
      </c>
      <c r="CB182">
        <f>$C182*CB181</f>
        <v/>
      </c>
      <c r="CC182">
        <f>$C182*CC181</f>
        <v/>
      </c>
      <c r="CD182">
        <f>$C182*CD181</f>
        <v/>
      </c>
      <c r="CE182">
        <f>$C182*CE181</f>
        <v/>
      </c>
      <c r="CF182">
        <f>$C182*CF181</f>
        <v/>
      </c>
      <c r="CG182">
        <f>$C182*CG181</f>
        <v/>
      </c>
      <c r="CH182">
        <f>$C182*CH181</f>
        <v/>
      </c>
      <c r="CI182">
        <f>$C182*CI181</f>
        <v/>
      </c>
      <c r="CJ182">
        <f>$C182*CJ181</f>
        <v/>
      </c>
      <c r="CK182">
        <f>$C182*CK181</f>
        <v/>
      </c>
      <c r="CL182">
        <f>$C182*CL181</f>
        <v/>
      </c>
      <c r="CM182">
        <f>$C182*CM181</f>
        <v/>
      </c>
      <c r="CN182">
        <f>$C182*CN181</f>
        <v/>
      </c>
      <c r="CO182">
        <f>$C182*CO181</f>
        <v/>
      </c>
      <c r="CP182">
        <f>$C182*CP181</f>
        <v/>
      </c>
      <c r="CQ182">
        <f>$C182*CQ181</f>
        <v/>
      </c>
      <c r="CR182">
        <f>$C182*CR181</f>
        <v/>
      </c>
      <c r="CS182">
        <f>$C182*CS181</f>
        <v/>
      </c>
      <c r="CT182">
        <f>$C182*CT181</f>
        <v/>
      </c>
      <c r="CU182">
        <f>$C182*CU181</f>
        <v/>
      </c>
      <c r="CV182">
        <f>$C182*CV181</f>
        <v/>
      </c>
      <c r="CW182">
        <f>$C182*CW181</f>
        <v/>
      </c>
      <c r="CX182">
        <f>$C182*CX181</f>
        <v/>
      </c>
      <c r="CY182">
        <f>$C182*CY181</f>
        <v/>
      </c>
      <c r="CZ182">
        <f>$C182*CZ181</f>
        <v/>
      </c>
      <c r="DA182">
        <f>$C182*DA181</f>
        <v/>
      </c>
      <c r="DB182">
        <f>$C182*DB181</f>
        <v/>
      </c>
      <c r="DC182">
        <f>$C182*DC181</f>
        <v/>
      </c>
    </row>
    <row r="183">
      <c r="B183" t="inlineStr">
        <is>
          <t>VSP-739</t>
        </is>
      </c>
      <c r="C183" t="inlineStr">
        <is>
          <t>No. of batches</t>
        </is>
      </c>
      <c r="D183">
        <f>IFERROR(INDEX(PP_Grid[#Data],$DD183,2),0)</f>
        <v/>
      </c>
      <c r="E183">
        <f>IFERROR(INDEX(PP_Grid[#Data],$DD183,3),0)</f>
        <v/>
      </c>
      <c r="F183">
        <f>IFERROR(INDEX(PP_Grid[#Data],$DD183,4),0)</f>
        <v/>
      </c>
      <c r="G183">
        <f>IFERROR(INDEX(PP_Grid[#Data],$DD183,5),0)</f>
        <v/>
      </c>
      <c r="H183">
        <f>IFERROR(INDEX(PP_Grid[#Data],$DD183,6),0)</f>
        <v/>
      </c>
      <c r="I183">
        <f>IFERROR(INDEX(PP_Grid[#Data],$DD183,7),0)</f>
        <v/>
      </c>
      <c r="J183">
        <f>IFERROR(INDEX(PP_Grid[#Data],$DD183,8),0)</f>
        <v/>
      </c>
      <c r="K183">
        <f>IFERROR(INDEX(PP_Grid[#Data],$DD183,9),0)</f>
        <v/>
      </c>
      <c r="L183">
        <f>IFERROR(INDEX(PP_Grid[#Data],$DD183,10),0)</f>
        <v/>
      </c>
      <c r="M183">
        <f>IFERROR(INDEX(PP_Grid[#Data],$DD183,11),0)</f>
        <v/>
      </c>
      <c r="N183">
        <f>IFERROR(INDEX(PP_Grid[#Data],$DD183,12),0)</f>
        <v/>
      </c>
      <c r="O183">
        <f>IFERROR(INDEX(PP_Grid[#Data],$DD183,13),0)</f>
        <v/>
      </c>
      <c r="P183">
        <f>IFERROR(INDEX(PP_Grid[#Data],$DD183,14),0)</f>
        <v/>
      </c>
      <c r="Q183">
        <f>IFERROR(INDEX(PP_Grid[#Data],$DD183,15),0)</f>
        <v/>
      </c>
      <c r="R183">
        <f>IFERROR(INDEX(PP_Grid[#Data],$DD183,16),0)</f>
        <v/>
      </c>
      <c r="S183">
        <f>IFERROR(INDEX(PP_Grid[#Data],$DD183,17),0)</f>
        <v/>
      </c>
      <c r="T183">
        <f>IFERROR(INDEX(PP_Grid[#Data],$DD183,18),0)</f>
        <v/>
      </c>
      <c r="U183">
        <f>IFERROR(INDEX(PP_Grid[#Data],$DD183,19),0)</f>
        <v/>
      </c>
      <c r="V183">
        <f>IFERROR(INDEX(PP_Grid[#Data],$DD183,20),0)</f>
        <v/>
      </c>
      <c r="W183">
        <f>IFERROR(INDEX(PP_Grid[#Data],$DD183,21),0)</f>
        <v/>
      </c>
      <c r="X183">
        <f>IFERROR(INDEX(PP_Grid[#Data],$DD183,22),0)</f>
        <v/>
      </c>
      <c r="Y183">
        <f>IFERROR(INDEX(PP_Grid[#Data],$DD183,23),0)</f>
        <v/>
      </c>
      <c r="Z183">
        <f>IFERROR(INDEX(PP_Grid[#Data],$DD183,24),0)</f>
        <v/>
      </c>
      <c r="AA183">
        <f>IFERROR(INDEX(PP_Grid[#Data],$DD183,25),0)</f>
        <v/>
      </c>
      <c r="AB183">
        <f>IFERROR(INDEX(PP_Grid[#Data],$DD183,26),0)</f>
        <v/>
      </c>
      <c r="AC183">
        <f>IFERROR(INDEX(PP_Grid[#Data],$DD183,27),0)</f>
        <v/>
      </c>
      <c r="AD183">
        <f>IFERROR(INDEX(PP_Grid[#Data],$DD183,28),0)</f>
        <v/>
      </c>
      <c r="AE183">
        <f>IFERROR(INDEX(PP_Grid[#Data],$DD183,29),0)</f>
        <v/>
      </c>
      <c r="AF183">
        <f>IFERROR(INDEX(PP_Grid[#Data],$DD183,30),0)</f>
        <v/>
      </c>
      <c r="AG183">
        <f>IFERROR(INDEX(PP_Grid[#Data],$DD183,31),0)</f>
        <v/>
      </c>
      <c r="AH183">
        <f>IFERROR(INDEX(PP_Grid[#Data],$DD183,32),0)</f>
        <v/>
      </c>
      <c r="AI183">
        <f>IFERROR(INDEX(PP_Grid[#Data],$DD183,33),0)</f>
        <v/>
      </c>
      <c r="AJ183">
        <f>IFERROR(INDEX(PP_Grid[#Data],$DD183,34),0)</f>
        <v/>
      </c>
      <c r="AK183">
        <f>IFERROR(INDEX(PP_Grid[#Data],$DD183,35),0)</f>
        <v/>
      </c>
      <c r="AL183">
        <f>IFERROR(INDEX(PP_Grid[#Data],$DD183,36),0)</f>
        <v/>
      </c>
      <c r="AM183">
        <f>IFERROR(INDEX(PP_Grid[#Data],$DD183,37),0)</f>
        <v/>
      </c>
      <c r="AN183">
        <f>IFERROR(INDEX(PP_Grid[#Data],$DD183,38),0)</f>
        <v/>
      </c>
      <c r="AO183">
        <f>IFERROR(INDEX(PP_Grid[#Data],$DD183,39),0)</f>
        <v/>
      </c>
      <c r="AP183">
        <f>IFERROR(INDEX(PP_Grid[#Data],$DD183,40),0)</f>
        <v/>
      </c>
      <c r="AQ183">
        <f>IFERROR(INDEX(PP_Grid[#Data],$DD183,41),0)</f>
        <v/>
      </c>
      <c r="AR183">
        <f>IFERROR(INDEX(PP_Grid[#Data],$DD183,42),0)</f>
        <v/>
      </c>
      <c r="AS183">
        <f>IFERROR(INDEX(PP_Grid[#Data],$DD183,43),0)</f>
        <v/>
      </c>
      <c r="AT183">
        <f>IFERROR(INDEX(PP_Grid[#Data],$DD183,44),0)</f>
        <v/>
      </c>
      <c r="AU183">
        <f>IFERROR(INDEX(PP_Grid[#Data],$DD183,45),0)</f>
        <v/>
      </c>
      <c r="AV183">
        <f>IFERROR(INDEX(PP_Grid[#Data],$DD183,46),0)</f>
        <v/>
      </c>
      <c r="AW183">
        <f>IFERROR(INDEX(PP_Grid[#Data],$DD183,47),0)</f>
        <v/>
      </c>
      <c r="AX183">
        <f>IFERROR(INDEX(PP_Grid[#Data],$DD183,48),0)</f>
        <v/>
      </c>
      <c r="AY183">
        <f>IFERROR(INDEX(PP_Grid[#Data],$DD183,49),0)</f>
        <v/>
      </c>
      <c r="AZ183">
        <f>IFERROR(INDEX(PP_Grid[#Data],$DD183,50),0)</f>
        <v/>
      </c>
      <c r="BA183">
        <f>IFERROR(INDEX(PP_Grid[#Data],$DD183,51),0)</f>
        <v/>
      </c>
      <c r="BB183">
        <f>IFERROR(INDEX(PP_Grid[#Data],$DD183,52),0)</f>
        <v/>
      </c>
      <c r="BC183">
        <f>IFERROR(INDEX(PP_Grid[#Data],$DD183,53),0)</f>
        <v/>
      </c>
      <c r="BD183">
        <f>IFERROR(INDEX(PP_Grid[#Data],$DD183,54),0)</f>
        <v/>
      </c>
      <c r="BE183">
        <f>IFERROR(INDEX(PP_Grid[#Data],$DD183,55),0)</f>
        <v/>
      </c>
      <c r="BF183">
        <f>IFERROR(INDEX(PP_Grid[#Data],$DD183,56),0)</f>
        <v/>
      </c>
      <c r="BG183">
        <f>IFERROR(INDEX(PP_Grid[#Data],$DD183,57),0)</f>
        <v/>
      </c>
      <c r="BH183">
        <f>IFERROR(INDEX(PP_Grid[#Data],$DD183,58),0)</f>
        <v/>
      </c>
      <c r="BI183">
        <f>IFERROR(INDEX(PP_Grid[#Data],$DD183,59),0)</f>
        <v/>
      </c>
      <c r="BJ183">
        <f>IFERROR(INDEX(PP_Grid[#Data],$DD183,60),0)</f>
        <v/>
      </c>
      <c r="BK183">
        <f>IFERROR(INDEX(PP_Grid[#Data],$DD183,61),0)</f>
        <v/>
      </c>
      <c r="BL183">
        <f>IFERROR(INDEX(PP_Grid[#Data],$DD183,62),0)</f>
        <v/>
      </c>
      <c r="BM183">
        <f>IFERROR(INDEX(PP_Grid[#Data],$DD183,63),0)</f>
        <v/>
      </c>
      <c r="BN183">
        <f>IFERROR(INDEX(PP_Grid[#Data],$DD183,64),0)</f>
        <v/>
      </c>
      <c r="BO183">
        <f>IFERROR(INDEX(PP_Grid[#Data],$DD183,65),0)</f>
        <v/>
      </c>
      <c r="BP183">
        <f>IFERROR(INDEX(PP_Grid[#Data],$DD183,66),0)</f>
        <v/>
      </c>
      <c r="BQ183">
        <f>IFERROR(INDEX(PP_Grid[#Data],$DD183,67),0)</f>
        <v/>
      </c>
      <c r="BR183">
        <f>IFERROR(INDEX(PP_Grid[#Data],$DD183,68),0)</f>
        <v/>
      </c>
      <c r="BS183">
        <f>IFERROR(INDEX(PP_Grid[#Data],$DD183,69),0)</f>
        <v/>
      </c>
      <c r="BT183">
        <f>IFERROR(INDEX(PP_Grid[#Data],$DD183,70),0)</f>
        <v/>
      </c>
      <c r="BU183">
        <f>IFERROR(INDEX(PP_Grid[#Data],$DD183,71),0)</f>
        <v/>
      </c>
      <c r="BV183">
        <f>IFERROR(INDEX(PP_Grid[#Data],$DD183,72),0)</f>
        <v/>
      </c>
      <c r="BW183">
        <f>IFERROR(INDEX(PP_Grid[#Data],$DD183,73),0)</f>
        <v/>
      </c>
      <c r="BX183">
        <f>IFERROR(INDEX(PP_Grid[#Data],$DD183,74),0)</f>
        <v/>
      </c>
      <c r="BY183">
        <f>IFERROR(INDEX(PP_Grid[#Data],$DD183,75),0)</f>
        <v/>
      </c>
      <c r="BZ183">
        <f>IFERROR(INDEX(PP_Grid[#Data],$DD183,76),0)</f>
        <v/>
      </c>
      <c r="CA183">
        <f>IFERROR(INDEX(PP_Grid[#Data],$DD183,77),0)</f>
        <v/>
      </c>
      <c r="CB183">
        <f>IFERROR(INDEX(PP_Grid[#Data],$DD183,78),0)</f>
        <v/>
      </c>
      <c r="CC183">
        <f>IFERROR(INDEX(PP_Grid[#Data],$DD183,79),0)</f>
        <v/>
      </c>
      <c r="CD183">
        <f>IFERROR(INDEX(PP_Grid[#Data],$DD183,80),0)</f>
        <v/>
      </c>
      <c r="CE183">
        <f>IFERROR(INDEX(PP_Grid[#Data],$DD183,81),0)</f>
        <v/>
      </c>
      <c r="CF183">
        <f>IFERROR(INDEX(PP_Grid[#Data],$DD183,82),0)</f>
        <v/>
      </c>
      <c r="CG183">
        <f>IFERROR(INDEX(PP_Grid[#Data],$DD183,83),0)</f>
        <v/>
      </c>
      <c r="CH183">
        <f>IFERROR(INDEX(PP_Grid[#Data],$DD183,84),0)</f>
        <v/>
      </c>
      <c r="CI183">
        <f>IFERROR(INDEX(PP_Grid[#Data],$DD183,85),0)</f>
        <v/>
      </c>
      <c r="CJ183">
        <f>IFERROR(INDEX(PP_Grid[#Data],$DD183,86),0)</f>
        <v/>
      </c>
      <c r="CK183">
        <f>IFERROR(INDEX(PP_Grid[#Data],$DD183,87),0)</f>
        <v/>
      </c>
      <c r="CL183">
        <f>IFERROR(INDEX(PP_Grid[#Data],$DD183,88),0)</f>
        <v/>
      </c>
      <c r="CM183">
        <f>IFERROR(INDEX(PP_Grid[#Data],$DD183,89),0)</f>
        <v/>
      </c>
      <c r="CN183">
        <f>IFERROR(INDEX(PP_Grid[#Data],$DD183,90),0)</f>
        <v/>
      </c>
      <c r="CO183">
        <f>IFERROR(INDEX(PP_Grid[#Data],$DD183,91),0)</f>
        <v/>
      </c>
      <c r="CP183">
        <f>IFERROR(INDEX(PP_Grid[#Data],$DD183,92),0)</f>
        <v/>
      </c>
      <c r="CQ183">
        <f>IFERROR(INDEX(PP_Grid[#Data],$DD183,93),0)</f>
        <v/>
      </c>
      <c r="CR183">
        <f>IFERROR(INDEX(PP_Grid[#Data],$DD183,94),0)</f>
        <v/>
      </c>
      <c r="CS183">
        <f>IFERROR(INDEX(PP_Grid[#Data],$DD183,95),0)</f>
        <v/>
      </c>
      <c r="CT183">
        <f>IFERROR(INDEX(PP_Grid[#Data],$DD183,96),0)</f>
        <v/>
      </c>
      <c r="CU183">
        <f>IFERROR(INDEX(PP_Grid[#Data],$DD183,97),0)</f>
        <v/>
      </c>
      <c r="CV183">
        <f>IFERROR(INDEX(PP_Grid[#Data],$DD183,98),0)</f>
        <v/>
      </c>
      <c r="CW183">
        <f>IFERROR(INDEX(PP_Grid[#Data],$DD183,99),0)</f>
        <v/>
      </c>
      <c r="CX183">
        <f>IFERROR(INDEX(PP_Grid[#Data],$DD183,100),0)</f>
        <v/>
      </c>
      <c r="CY183">
        <f>IFERROR(INDEX(PP_Grid[#Data],$DD183,101),0)</f>
        <v/>
      </c>
      <c r="CZ183">
        <f>IFERROR(INDEX(PP_Grid[#Data],$DD183,102),0)</f>
        <v/>
      </c>
      <c r="DA183">
        <f>IFERROR(INDEX(PP_Grid[#Data],$DD183,103),0)</f>
        <v/>
      </c>
      <c r="DB183">
        <f>IFERROR(INDEX(PP_Grid[#Data],$DD183,104),0)</f>
        <v/>
      </c>
      <c r="DC183">
        <f>IFERROR(INDEX(PP_Grid[#Data],$DD183,105),0)</f>
        <v/>
      </c>
      <c r="DD183" s="7">
        <f>IFERROR(MATCH($B183,PP_Grid[Intermediate],0),99999)</f>
        <v/>
      </c>
    </row>
    <row r="184">
      <c r="B184" t="inlineStr">
        <is>
          <t>使用量(kg)</t>
        </is>
      </c>
      <c r="C184">
        <f>SUMIFS(M_BOM[RM_Qty_Per_Batch],M_BOM[Intermediate],$B183,M_BOM[Part Name],$A44)</f>
        <v/>
      </c>
      <c r="D184">
        <f>$C184*D183</f>
        <v/>
      </c>
      <c r="E184">
        <f>$C184*E183</f>
        <v/>
      </c>
      <c r="F184">
        <f>$C184*F183</f>
        <v/>
      </c>
      <c r="G184">
        <f>$C184*G183</f>
        <v/>
      </c>
      <c r="H184">
        <f>$C184*H183</f>
        <v/>
      </c>
      <c r="I184">
        <f>$C184*I183</f>
        <v/>
      </c>
      <c r="J184">
        <f>$C184*J183</f>
        <v/>
      </c>
      <c r="K184">
        <f>$C184*K183</f>
        <v/>
      </c>
      <c r="L184">
        <f>$C184*L183</f>
        <v/>
      </c>
      <c r="M184">
        <f>$C184*M183</f>
        <v/>
      </c>
      <c r="N184">
        <f>$C184*N183</f>
        <v/>
      </c>
      <c r="O184">
        <f>$C184*O183</f>
        <v/>
      </c>
      <c r="P184">
        <f>$C184*P183</f>
        <v/>
      </c>
      <c r="Q184">
        <f>$C184*Q183</f>
        <v/>
      </c>
      <c r="R184">
        <f>$C184*R183</f>
        <v/>
      </c>
      <c r="S184">
        <f>$C184*S183</f>
        <v/>
      </c>
      <c r="T184">
        <f>$C184*T183</f>
        <v/>
      </c>
      <c r="U184">
        <f>$C184*U183</f>
        <v/>
      </c>
      <c r="V184">
        <f>$C184*V183</f>
        <v/>
      </c>
      <c r="W184">
        <f>$C184*W183</f>
        <v/>
      </c>
      <c r="X184">
        <f>$C184*X183</f>
        <v/>
      </c>
      <c r="Y184">
        <f>$C184*Y183</f>
        <v/>
      </c>
      <c r="Z184">
        <f>$C184*Z183</f>
        <v/>
      </c>
      <c r="AA184">
        <f>$C184*AA183</f>
        <v/>
      </c>
      <c r="AB184">
        <f>$C184*AB183</f>
        <v/>
      </c>
      <c r="AC184">
        <f>$C184*AC183</f>
        <v/>
      </c>
      <c r="AD184">
        <f>$C184*AD183</f>
        <v/>
      </c>
      <c r="AE184">
        <f>$C184*AE183</f>
        <v/>
      </c>
      <c r="AF184">
        <f>$C184*AF183</f>
        <v/>
      </c>
      <c r="AG184">
        <f>$C184*AG183</f>
        <v/>
      </c>
      <c r="AH184">
        <f>$C184*AH183</f>
        <v/>
      </c>
      <c r="AI184">
        <f>$C184*AI183</f>
        <v/>
      </c>
      <c r="AJ184">
        <f>$C184*AJ183</f>
        <v/>
      </c>
      <c r="AK184">
        <f>$C184*AK183</f>
        <v/>
      </c>
      <c r="AL184">
        <f>$C184*AL183</f>
        <v/>
      </c>
      <c r="AM184">
        <f>$C184*AM183</f>
        <v/>
      </c>
      <c r="AN184">
        <f>$C184*AN183</f>
        <v/>
      </c>
      <c r="AO184">
        <f>$C184*AO183</f>
        <v/>
      </c>
      <c r="AP184">
        <f>$C184*AP183</f>
        <v/>
      </c>
      <c r="AQ184">
        <f>$C184*AQ183</f>
        <v/>
      </c>
      <c r="AR184">
        <f>$C184*AR183</f>
        <v/>
      </c>
      <c r="AS184">
        <f>$C184*AS183</f>
        <v/>
      </c>
      <c r="AT184">
        <f>$C184*AT183</f>
        <v/>
      </c>
      <c r="AU184">
        <f>$C184*AU183</f>
        <v/>
      </c>
      <c r="AV184">
        <f>$C184*AV183</f>
        <v/>
      </c>
      <c r="AW184">
        <f>$C184*AW183</f>
        <v/>
      </c>
      <c r="AX184">
        <f>$C184*AX183</f>
        <v/>
      </c>
      <c r="AY184">
        <f>$C184*AY183</f>
        <v/>
      </c>
      <c r="AZ184">
        <f>$C184*AZ183</f>
        <v/>
      </c>
      <c r="BA184">
        <f>$C184*BA183</f>
        <v/>
      </c>
      <c r="BB184">
        <f>$C184*BB183</f>
        <v/>
      </c>
      <c r="BC184">
        <f>$C184*BC183</f>
        <v/>
      </c>
      <c r="BD184">
        <f>$C184*BD183</f>
        <v/>
      </c>
      <c r="BE184">
        <f>$C184*BE183</f>
        <v/>
      </c>
      <c r="BF184">
        <f>$C184*BF183</f>
        <v/>
      </c>
      <c r="BG184">
        <f>$C184*BG183</f>
        <v/>
      </c>
      <c r="BH184">
        <f>$C184*BH183</f>
        <v/>
      </c>
      <c r="BI184">
        <f>$C184*BI183</f>
        <v/>
      </c>
      <c r="BJ184">
        <f>$C184*BJ183</f>
        <v/>
      </c>
      <c r="BK184">
        <f>$C184*BK183</f>
        <v/>
      </c>
      <c r="BL184">
        <f>$C184*BL183</f>
        <v/>
      </c>
      <c r="BM184">
        <f>$C184*BM183</f>
        <v/>
      </c>
      <c r="BN184">
        <f>$C184*BN183</f>
        <v/>
      </c>
      <c r="BO184">
        <f>$C184*BO183</f>
        <v/>
      </c>
      <c r="BP184">
        <f>$C184*BP183</f>
        <v/>
      </c>
      <c r="BQ184">
        <f>$C184*BQ183</f>
        <v/>
      </c>
      <c r="BR184">
        <f>$C184*BR183</f>
        <v/>
      </c>
      <c r="BS184">
        <f>$C184*BS183</f>
        <v/>
      </c>
      <c r="BT184">
        <f>$C184*BT183</f>
        <v/>
      </c>
      <c r="BU184">
        <f>$C184*BU183</f>
        <v/>
      </c>
      <c r="BV184">
        <f>$C184*BV183</f>
        <v/>
      </c>
      <c r="BW184">
        <f>$C184*BW183</f>
        <v/>
      </c>
      <c r="BX184">
        <f>$C184*BX183</f>
        <v/>
      </c>
      <c r="BY184">
        <f>$C184*BY183</f>
        <v/>
      </c>
      <c r="BZ184">
        <f>$C184*BZ183</f>
        <v/>
      </c>
      <c r="CA184">
        <f>$C184*CA183</f>
        <v/>
      </c>
      <c r="CB184">
        <f>$C184*CB183</f>
        <v/>
      </c>
      <c r="CC184">
        <f>$C184*CC183</f>
        <v/>
      </c>
      <c r="CD184">
        <f>$C184*CD183</f>
        <v/>
      </c>
      <c r="CE184">
        <f>$C184*CE183</f>
        <v/>
      </c>
      <c r="CF184">
        <f>$C184*CF183</f>
        <v/>
      </c>
      <c r="CG184">
        <f>$C184*CG183</f>
        <v/>
      </c>
      <c r="CH184">
        <f>$C184*CH183</f>
        <v/>
      </c>
      <c r="CI184">
        <f>$C184*CI183</f>
        <v/>
      </c>
      <c r="CJ184">
        <f>$C184*CJ183</f>
        <v/>
      </c>
      <c r="CK184">
        <f>$C184*CK183</f>
        <v/>
      </c>
      <c r="CL184">
        <f>$C184*CL183</f>
        <v/>
      </c>
      <c r="CM184">
        <f>$C184*CM183</f>
        <v/>
      </c>
      <c r="CN184">
        <f>$C184*CN183</f>
        <v/>
      </c>
      <c r="CO184">
        <f>$C184*CO183</f>
        <v/>
      </c>
      <c r="CP184">
        <f>$C184*CP183</f>
        <v/>
      </c>
      <c r="CQ184">
        <f>$C184*CQ183</f>
        <v/>
      </c>
      <c r="CR184">
        <f>$C184*CR183</f>
        <v/>
      </c>
      <c r="CS184">
        <f>$C184*CS183</f>
        <v/>
      </c>
      <c r="CT184">
        <f>$C184*CT183</f>
        <v/>
      </c>
      <c r="CU184">
        <f>$C184*CU183</f>
        <v/>
      </c>
      <c r="CV184">
        <f>$C184*CV183</f>
        <v/>
      </c>
      <c r="CW184">
        <f>$C184*CW183</f>
        <v/>
      </c>
      <c r="CX184">
        <f>$C184*CX183</f>
        <v/>
      </c>
      <c r="CY184">
        <f>$C184*CY183</f>
        <v/>
      </c>
      <c r="CZ184">
        <f>$C184*CZ183</f>
        <v/>
      </c>
      <c r="DA184">
        <f>$C184*DA183</f>
        <v/>
      </c>
      <c r="DB184">
        <f>$C184*DB183</f>
        <v/>
      </c>
      <c r="DC184">
        <f>$C184*DC183</f>
        <v/>
      </c>
    </row>
    <row r="185">
      <c r="B185" t="inlineStr">
        <is>
          <t>VSP-740</t>
        </is>
      </c>
      <c r="C185" t="inlineStr">
        <is>
          <t>No. of batches</t>
        </is>
      </c>
      <c r="D185">
        <f>IFERROR(INDEX(PP_Grid[#Data],$DD185,2),0)</f>
        <v/>
      </c>
      <c r="E185">
        <f>IFERROR(INDEX(PP_Grid[#Data],$DD185,3),0)</f>
        <v/>
      </c>
      <c r="F185">
        <f>IFERROR(INDEX(PP_Grid[#Data],$DD185,4),0)</f>
        <v/>
      </c>
      <c r="G185">
        <f>IFERROR(INDEX(PP_Grid[#Data],$DD185,5),0)</f>
        <v/>
      </c>
      <c r="H185">
        <f>IFERROR(INDEX(PP_Grid[#Data],$DD185,6),0)</f>
        <v/>
      </c>
      <c r="I185">
        <f>IFERROR(INDEX(PP_Grid[#Data],$DD185,7),0)</f>
        <v/>
      </c>
      <c r="J185">
        <f>IFERROR(INDEX(PP_Grid[#Data],$DD185,8),0)</f>
        <v/>
      </c>
      <c r="K185">
        <f>IFERROR(INDEX(PP_Grid[#Data],$DD185,9),0)</f>
        <v/>
      </c>
      <c r="L185">
        <f>IFERROR(INDEX(PP_Grid[#Data],$DD185,10),0)</f>
        <v/>
      </c>
      <c r="M185">
        <f>IFERROR(INDEX(PP_Grid[#Data],$DD185,11),0)</f>
        <v/>
      </c>
      <c r="N185">
        <f>IFERROR(INDEX(PP_Grid[#Data],$DD185,12),0)</f>
        <v/>
      </c>
      <c r="O185">
        <f>IFERROR(INDEX(PP_Grid[#Data],$DD185,13),0)</f>
        <v/>
      </c>
      <c r="P185">
        <f>IFERROR(INDEX(PP_Grid[#Data],$DD185,14),0)</f>
        <v/>
      </c>
      <c r="Q185">
        <f>IFERROR(INDEX(PP_Grid[#Data],$DD185,15),0)</f>
        <v/>
      </c>
      <c r="R185">
        <f>IFERROR(INDEX(PP_Grid[#Data],$DD185,16),0)</f>
        <v/>
      </c>
      <c r="S185">
        <f>IFERROR(INDEX(PP_Grid[#Data],$DD185,17),0)</f>
        <v/>
      </c>
      <c r="T185">
        <f>IFERROR(INDEX(PP_Grid[#Data],$DD185,18),0)</f>
        <v/>
      </c>
      <c r="U185">
        <f>IFERROR(INDEX(PP_Grid[#Data],$DD185,19),0)</f>
        <v/>
      </c>
      <c r="V185">
        <f>IFERROR(INDEX(PP_Grid[#Data],$DD185,20),0)</f>
        <v/>
      </c>
      <c r="W185">
        <f>IFERROR(INDEX(PP_Grid[#Data],$DD185,21),0)</f>
        <v/>
      </c>
      <c r="X185">
        <f>IFERROR(INDEX(PP_Grid[#Data],$DD185,22),0)</f>
        <v/>
      </c>
      <c r="Y185">
        <f>IFERROR(INDEX(PP_Grid[#Data],$DD185,23),0)</f>
        <v/>
      </c>
      <c r="Z185">
        <f>IFERROR(INDEX(PP_Grid[#Data],$DD185,24),0)</f>
        <v/>
      </c>
      <c r="AA185">
        <f>IFERROR(INDEX(PP_Grid[#Data],$DD185,25),0)</f>
        <v/>
      </c>
      <c r="AB185">
        <f>IFERROR(INDEX(PP_Grid[#Data],$DD185,26),0)</f>
        <v/>
      </c>
      <c r="AC185">
        <f>IFERROR(INDEX(PP_Grid[#Data],$DD185,27),0)</f>
        <v/>
      </c>
      <c r="AD185">
        <f>IFERROR(INDEX(PP_Grid[#Data],$DD185,28),0)</f>
        <v/>
      </c>
      <c r="AE185">
        <f>IFERROR(INDEX(PP_Grid[#Data],$DD185,29),0)</f>
        <v/>
      </c>
      <c r="AF185">
        <f>IFERROR(INDEX(PP_Grid[#Data],$DD185,30),0)</f>
        <v/>
      </c>
      <c r="AG185">
        <f>IFERROR(INDEX(PP_Grid[#Data],$DD185,31),0)</f>
        <v/>
      </c>
      <c r="AH185">
        <f>IFERROR(INDEX(PP_Grid[#Data],$DD185,32),0)</f>
        <v/>
      </c>
      <c r="AI185">
        <f>IFERROR(INDEX(PP_Grid[#Data],$DD185,33),0)</f>
        <v/>
      </c>
      <c r="AJ185">
        <f>IFERROR(INDEX(PP_Grid[#Data],$DD185,34),0)</f>
        <v/>
      </c>
      <c r="AK185">
        <f>IFERROR(INDEX(PP_Grid[#Data],$DD185,35),0)</f>
        <v/>
      </c>
      <c r="AL185">
        <f>IFERROR(INDEX(PP_Grid[#Data],$DD185,36),0)</f>
        <v/>
      </c>
      <c r="AM185">
        <f>IFERROR(INDEX(PP_Grid[#Data],$DD185,37),0)</f>
        <v/>
      </c>
      <c r="AN185">
        <f>IFERROR(INDEX(PP_Grid[#Data],$DD185,38),0)</f>
        <v/>
      </c>
      <c r="AO185">
        <f>IFERROR(INDEX(PP_Grid[#Data],$DD185,39),0)</f>
        <v/>
      </c>
      <c r="AP185">
        <f>IFERROR(INDEX(PP_Grid[#Data],$DD185,40),0)</f>
        <v/>
      </c>
      <c r="AQ185">
        <f>IFERROR(INDEX(PP_Grid[#Data],$DD185,41),0)</f>
        <v/>
      </c>
      <c r="AR185">
        <f>IFERROR(INDEX(PP_Grid[#Data],$DD185,42),0)</f>
        <v/>
      </c>
      <c r="AS185">
        <f>IFERROR(INDEX(PP_Grid[#Data],$DD185,43),0)</f>
        <v/>
      </c>
      <c r="AT185">
        <f>IFERROR(INDEX(PP_Grid[#Data],$DD185,44),0)</f>
        <v/>
      </c>
      <c r="AU185">
        <f>IFERROR(INDEX(PP_Grid[#Data],$DD185,45),0)</f>
        <v/>
      </c>
      <c r="AV185">
        <f>IFERROR(INDEX(PP_Grid[#Data],$DD185,46),0)</f>
        <v/>
      </c>
      <c r="AW185">
        <f>IFERROR(INDEX(PP_Grid[#Data],$DD185,47),0)</f>
        <v/>
      </c>
      <c r="AX185">
        <f>IFERROR(INDEX(PP_Grid[#Data],$DD185,48),0)</f>
        <v/>
      </c>
      <c r="AY185">
        <f>IFERROR(INDEX(PP_Grid[#Data],$DD185,49),0)</f>
        <v/>
      </c>
      <c r="AZ185">
        <f>IFERROR(INDEX(PP_Grid[#Data],$DD185,50),0)</f>
        <v/>
      </c>
      <c r="BA185">
        <f>IFERROR(INDEX(PP_Grid[#Data],$DD185,51),0)</f>
        <v/>
      </c>
      <c r="BB185">
        <f>IFERROR(INDEX(PP_Grid[#Data],$DD185,52),0)</f>
        <v/>
      </c>
      <c r="BC185">
        <f>IFERROR(INDEX(PP_Grid[#Data],$DD185,53),0)</f>
        <v/>
      </c>
      <c r="BD185">
        <f>IFERROR(INDEX(PP_Grid[#Data],$DD185,54),0)</f>
        <v/>
      </c>
      <c r="BE185">
        <f>IFERROR(INDEX(PP_Grid[#Data],$DD185,55),0)</f>
        <v/>
      </c>
      <c r="BF185">
        <f>IFERROR(INDEX(PP_Grid[#Data],$DD185,56),0)</f>
        <v/>
      </c>
      <c r="BG185">
        <f>IFERROR(INDEX(PP_Grid[#Data],$DD185,57),0)</f>
        <v/>
      </c>
      <c r="BH185">
        <f>IFERROR(INDEX(PP_Grid[#Data],$DD185,58),0)</f>
        <v/>
      </c>
      <c r="BI185">
        <f>IFERROR(INDEX(PP_Grid[#Data],$DD185,59),0)</f>
        <v/>
      </c>
      <c r="BJ185">
        <f>IFERROR(INDEX(PP_Grid[#Data],$DD185,60),0)</f>
        <v/>
      </c>
      <c r="BK185">
        <f>IFERROR(INDEX(PP_Grid[#Data],$DD185,61),0)</f>
        <v/>
      </c>
      <c r="BL185">
        <f>IFERROR(INDEX(PP_Grid[#Data],$DD185,62),0)</f>
        <v/>
      </c>
      <c r="BM185">
        <f>IFERROR(INDEX(PP_Grid[#Data],$DD185,63),0)</f>
        <v/>
      </c>
      <c r="BN185">
        <f>IFERROR(INDEX(PP_Grid[#Data],$DD185,64),0)</f>
        <v/>
      </c>
      <c r="BO185">
        <f>IFERROR(INDEX(PP_Grid[#Data],$DD185,65),0)</f>
        <v/>
      </c>
      <c r="BP185">
        <f>IFERROR(INDEX(PP_Grid[#Data],$DD185,66),0)</f>
        <v/>
      </c>
      <c r="BQ185">
        <f>IFERROR(INDEX(PP_Grid[#Data],$DD185,67),0)</f>
        <v/>
      </c>
      <c r="BR185">
        <f>IFERROR(INDEX(PP_Grid[#Data],$DD185,68),0)</f>
        <v/>
      </c>
      <c r="BS185">
        <f>IFERROR(INDEX(PP_Grid[#Data],$DD185,69),0)</f>
        <v/>
      </c>
      <c r="BT185">
        <f>IFERROR(INDEX(PP_Grid[#Data],$DD185,70),0)</f>
        <v/>
      </c>
      <c r="BU185">
        <f>IFERROR(INDEX(PP_Grid[#Data],$DD185,71),0)</f>
        <v/>
      </c>
      <c r="BV185">
        <f>IFERROR(INDEX(PP_Grid[#Data],$DD185,72),0)</f>
        <v/>
      </c>
      <c r="BW185">
        <f>IFERROR(INDEX(PP_Grid[#Data],$DD185,73),0)</f>
        <v/>
      </c>
      <c r="BX185">
        <f>IFERROR(INDEX(PP_Grid[#Data],$DD185,74),0)</f>
        <v/>
      </c>
      <c r="BY185">
        <f>IFERROR(INDEX(PP_Grid[#Data],$DD185,75),0)</f>
        <v/>
      </c>
      <c r="BZ185">
        <f>IFERROR(INDEX(PP_Grid[#Data],$DD185,76),0)</f>
        <v/>
      </c>
      <c r="CA185">
        <f>IFERROR(INDEX(PP_Grid[#Data],$DD185,77),0)</f>
        <v/>
      </c>
      <c r="CB185">
        <f>IFERROR(INDEX(PP_Grid[#Data],$DD185,78),0)</f>
        <v/>
      </c>
      <c r="CC185">
        <f>IFERROR(INDEX(PP_Grid[#Data],$DD185,79),0)</f>
        <v/>
      </c>
      <c r="CD185">
        <f>IFERROR(INDEX(PP_Grid[#Data],$DD185,80),0)</f>
        <v/>
      </c>
      <c r="CE185">
        <f>IFERROR(INDEX(PP_Grid[#Data],$DD185,81),0)</f>
        <v/>
      </c>
      <c r="CF185">
        <f>IFERROR(INDEX(PP_Grid[#Data],$DD185,82),0)</f>
        <v/>
      </c>
      <c r="CG185">
        <f>IFERROR(INDEX(PP_Grid[#Data],$DD185,83),0)</f>
        <v/>
      </c>
      <c r="CH185">
        <f>IFERROR(INDEX(PP_Grid[#Data],$DD185,84),0)</f>
        <v/>
      </c>
      <c r="CI185">
        <f>IFERROR(INDEX(PP_Grid[#Data],$DD185,85),0)</f>
        <v/>
      </c>
      <c r="CJ185">
        <f>IFERROR(INDEX(PP_Grid[#Data],$DD185,86),0)</f>
        <v/>
      </c>
      <c r="CK185">
        <f>IFERROR(INDEX(PP_Grid[#Data],$DD185,87),0)</f>
        <v/>
      </c>
      <c r="CL185">
        <f>IFERROR(INDEX(PP_Grid[#Data],$DD185,88),0)</f>
        <v/>
      </c>
      <c r="CM185">
        <f>IFERROR(INDEX(PP_Grid[#Data],$DD185,89),0)</f>
        <v/>
      </c>
      <c r="CN185">
        <f>IFERROR(INDEX(PP_Grid[#Data],$DD185,90),0)</f>
        <v/>
      </c>
      <c r="CO185">
        <f>IFERROR(INDEX(PP_Grid[#Data],$DD185,91),0)</f>
        <v/>
      </c>
      <c r="CP185">
        <f>IFERROR(INDEX(PP_Grid[#Data],$DD185,92),0)</f>
        <v/>
      </c>
      <c r="CQ185">
        <f>IFERROR(INDEX(PP_Grid[#Data],$DD185,93),0)</f>
        <v/>
      </c>
      <c r="CR185">
        <f>IFERROR(INDEX(PP_Grid[#Data],$DD185,94),0)</f>
        <v/>
      </c>
      <c r="CS185">
        <f>IFERROR(INDEX(PP_Grid[#Data],$DD185,95),0)</f>
        <v/>
      </c>
      <c r="CT185">
        <f>IFERROR(INDEX(PP_Grid[#Data],$DD185,96),0)</f>
        <v/>
      </c>
      <c r="CU185">
        <f>IFERROR(INDEX(PP_Grid[#Data],$DD185,97),0)</f>
        <v/>
      </c>
      <c r="CV185">
        <f>IFERROR(INDEX(PP_Grid[#Data],$DD185,98),0)</f>
        <v/>
      </c>
      <c r="CW185">
        <f>IFERROR(INDEX(PP_Grid[#Data],$DD185,99),0)</f>
        <v/>
      </c>
      <c r="CX185">
        <f>IFERROR(INDEX(PP_Grid[#Data],$DD185,100),0)</f>
        <v/>
      </c>
      <c r="CY185">
        <f>IFERROR(INDEX(PP_Grid[#Data],$DD185,101),0)</f>
        <v/>
      </c>
      <c r="CZ185">
        <f>IFERROR(INDEX(PP_Grid[#Data],$DD185,102),0)</f>
        <v/>
      </c>
      <c r="DA185">
        <f>IFERROR(INDEX(PP_Grid[#Data],$DD185,103),0)</f>
        <v/>
      </c>
      <c r="DB185">
        <f>IFERROR(INDEX(PP_Grid[#Data],$DD185,104),0)</f>
        <v/>
      </c>
      <c r="DC185">
        <f>IFERROR(INDEX(PP_Grid[#Data],$DD185,105),0)</f>
        <v/>
      </c>
      <c r="DD185" s="7">
        <f>IFERROR(MATCH($B185,PP_Grid[Intermediate],0),99999)</f>
        <v/>
      </c>
    </row>
    <row r="186">
      <c r="B186" t="inlineStr">
        <is>
          <t>使用量(kg)</t>
        </is>
      </c>
      <c r="C186">
        <f>SUMIFS(M_BOM[RM_Qty_Per_Batch],M_BOM[Intermediate],$B185,M_BOM[Part Name],$A44)</f>
        <v/>
      </c>
      <c r="D186">
        <f>$C186*D185</f>
        <v/>
      </c>
      <c r="E186">
        <f>$C186*E185</f>
        <v/>
      </c>
      <c r="F186">
        <f>$C186*F185</f>
        <v/>
      </c>
      <c r="G186">
        <f>$C186*G185</f>
        <v/>
      </c>
      <c r="H186">
        <f>$C186*H185</f>
        <v/>
      </c>
      <c r="I186">
        <f>$C186*I185</f>
        <v/>
      </c>
      <c r="J186">
        <f>$C186*J185</f>
        <v/>
      </c>
      <c r="K186">
        <f>$C186*K185</f>
        <v/>
      </c>
      <c r="L186">
        <f>$C186*L185</f>
        <v/>
      </c>
      <c r="M186">
        <f>$C186*M185</f>
        <v/>
      </c>
      <c r="N186">
        <f>$C186*N185</f>
        <v/>
      </c>
      <c r="O186">
        <f>$C186*O185</f>
        <v/>
      </c>
      <c r="P186">
        <f>$C186*P185</f>
        <v/>
      </c>
      <c r="Q186">
        <f>$C186*Q185</f>
        <v/>
      </c>
      <c r="R186">
        <f>$C186*R185</f>
        <v/>
      </c>
      <c r="S186">
        <f>$C186*S185</f>
        <v/>
      </c>
      <c r="T186">
        <f>$C186*T185</f>
        <v/>
      </c>
      <c r="U186">
        <f>$C186*U185</f>
        <v/>
      </c>
      <c r="V186">
        <f>$C186*V185</f>
        <v/>
      </c>
      <c r="W186">
        <f>$C186*W185</f>
        <v/>
      </c>
      <c r="X186">
        <f>$C186*X185</f>
        <v/>
      </c>
      <c r="Y186">
        <f>$C186*Y185</f>
        <v/>
      </c>
      <c r="Z186">
        <f>$C186*Z185</f>
        <v/>
      </c>
      <c r="AA186">
        <f>$C186*AA185</f>
        <v/>
      </c>
      <c r="AB186">
        <f>$C186*AB185</f>
        <v/>
      </c>
      <c r="AC186">
        <f>$C186*AC185</f>
        <v/>
      </c>
      <c r="AD186">
        <f>$C186*AD185</f>
        <v/>
      </c>
      <c r="AE186">
        <f>$C186*AE185</f>
        <v/>
      </c>
      <c r="AF186">
        <f>$C186*AF185</f>
        <v/>
      </c>
      <c r="AG186">
        <f>$C186*AG185</f>
        <v/>
      </c>
      <c r="AH186">
        <f>$C186*AH185</f>
        <v/>
      </c>
      <c r="AI186">
        <f>$C186*AI185</f>
        <v/>
      </c>
      <c r="AJ186">
        <f>$C186*AJ185</f>
        <v/>
      </c>
      <c r="AK186">
        <f>$C186*AK185</f>
        <v/>
      </c>
      <c r="AL186">
        <f>$C186*AL185</f>
        <v/>
      </c>
      <c r="AM186">
        <f>$C186*AM185</f>
        <v/>
      </c>
      <c r="AN186">
        <f>$C186*AN185</f>
        <v/>
      </c>
      <c r="AO186">
        <f>$C186*AO185</f>
        <v/>
      </c>
      <c r="AP186">
        <f>$C186*AP185</f>
        <v/>
      </c>
      <c r="AQ186">
        <f>$C186*AQ185</f>
        <v/>
      </c>
      <c r="AR186">
        <f>$C186*AR185</f>
        <v/>
      </c>
      <c r="AS186">
        <f>$C186*AS185</f>
        <v/>
      </c>
      <c r="AT186">
        <f>$C186*AT185</f>
        <v/>
      </c>
      <c r="AU186">
        <f>$C186*AU185</f>
        <v/>
      </c>
      <c r="AV186">
        <f>$C186*AV185</f>
        <v/>
      </c>
      <c r="AW186">
        <f>$C186*AW185</f>
        <v/>
      </c>
      <c r="AX186">
        <f>$C186*AX185</f>
        <v/>
      </c>
      <c r="AY186">
        <f>$C186*AY185</f>
        <v/>
      </c>
      <c r="AZ186">
        <f>$C186*AZ185</f>
        <v/>
      </c>
      <c r="BA186">
        <f>$C186*BA185</f>
        <v/>
      </c>
      <c r="BB186">
        <f>$C186*BB185</f>
        <v/>
      </c>
      <c r="BC186">
        <f>$C186*BC185</f>
        <v/>
      </c>
      <c r="BD186">
        <f>$C186*BD185</f>
        <v/>
      </c>
      <c r="BE186">
        <f>$C186*BE185</f>
        <v/>
      </c>
      <c r="BF186">
        <f>$C186*BF185</f>
        <v/>
      </c>
      <c r="BG186">
        <f>$C186*BG185</f>
        <v/>
      </c>
      <c r="BH186">
        <f>$C186*BH185</f>
        <v/>
      </c>
      <c r="BI186">
        <f>$C186*BI185</f>
        <v/>
      </c>
      <c r="BJ186">
        <f>$C186*BJ185</f>
        <v/>
      </c>
      <c r="BK186">
        <f>$C186*BK185</f>
        <v/>
      </c>
      <c r="BL186">
        <f>$C186*BL185</f>
        <v/>
      </c>
      <c r="BM186">
        <f>$C186*BM185</f>
        <v/>
      </c>
      <c r="BN186">
        <f>$C186*BN185</f>
        <v/>
      </c>
      <c r="BO186">
        <f>$C186*BO185</f>
        <v/>
      </c>
      <c r="BP186">
        <f>$C186*BP185</f>
        <v/>
      </c>
      <c r="BQ186">
        <f>$C186*BQ185</f>
        <v/>
      </c>
      <c r="BR186">
        <f>$C186*BR185</f>
        <v/>
      </c>
      <c r="BS186">
        <f>$C186*BS185</f>
        <v/>
      </c>
      <c r="BT186">
        <f>$C186*BT185</f>
        <v/>
      </c>
      <c r="BU186">
        <f>$C186*BU185</f>
        <v/>
      </c>
      <c r="BV186">
        <f>$C186*BV185</f>
        <v/>
      </c>
      <c r="BW186">
        <f>$C186*BW185</f>
        <v/>
      </c>
      <c r="BX186">
        <f>$C186*BX185</f>
        <v/>
      </c>
      <c r="BY186">
        <f>$C186*BY185</f>
        <v/>
      </c>
      <c r="BZ186">
        <f>$C186*BZ185</f>
        <v/>
      </c>
      <c r="CA186">
        <f>$C186*CA185</f>
        <v/>
      </c>
      <c r="CB186">
        <f>$C186*CB185</f>
        <v/>
      </c>
      <c r="CC186">
        <f>$C186*CC185</f>
        <v/>
      </c>
      <c r="CD186">
        <f>$C186*CD185</f>
        <v/>
      </c>
      <c r="CE186">
        <f>$C186*CE185</f>
        <v/>
      </c>
      <c r="CF186">
        <f>$C186*CF185</f>
        <v/>
      </c>
      <c r="CG186">
        <f>$C186*CG185</f>
        <v/>
      </c>
      <c r="CH186">
        <f>$C186*CH185</f>
        <v/>
      </c>
      <c r="CI186">
        <f>$C186*CI185</f>
        <v/>
      </c>
      <c r="CJ186">
        <f>$C186*CJ185</f>
        <v/>
      </c>
      <c r="CK186">
        <f>$C186*CK185</f>
        <v/>
      </c>
      <c r="CL186">
        <f>$C186*CL185</f>
        <v/>
      </c>
      <c r="CM186">
        <f>$C186*CM185</f>
        <v/>
      </c>
      <c r="CN186">
        <f>$C186*CN185</f>
        <v/>
      </c>
      <c r="CO186">
        <f>$C186*CO185</f>
        <v/>
      </c>
      <c r="CP186">
        <f>$C186*CP185</f>
        <v/>
      </c>
      <c r="CQ186">
        <f>$C186*CQ185</f>
        <v/>
      </c>
      <c r="CR186">
        <f>$C186*CR185</f>
        <v/>
      </c>
      <c r="CS186">
        <f>$C186*CS185</f>
        <v/>
      </c>
      <c r="CT186">
        <f>$C186*CT185</f>
        <v/>
      </c>
      <c r="CU186">
        <f>$C186*CU185</f>
        <v/>
      </c>
      <c r="CV186">
        <f>$C186*CV185</f>
        <v/>
      </c>
      <c r="CW186">
        <f>$C186*CW185</f>
        <v/>
      </c>
      <c r="CX186">
        <f>$C186*CX185</f>
        <v/>
      </c>
      <c r="CY186">
        <f>$C186*CY185</f>
        <v/>
      </c>
      <c r="CZ186">
        <f>$C186*CZ185</f>
        <v/>
      </c>
      <c r="DA186">
        <f>$C186*DA185</f>
        <v/>
      </c>
      <c r="DB186">
        <f>$C186*DB185</f>
        <v/>
      </c>
      <c r="DC186">
        <f>$C186*DC185</f>
        <v/>
      </c>
    </row>
    <row r="187">
      <c r="B187" t="inlineStr">
        <is>
          <t>VSP-746</t>
        </is>
      </c>
      <c r="C187" t="inlineStr">
        <is>
          <t>No. of batches</t>
        </is>
      </c>
      <c r="D187">
        <f>IFERROR(INDEX(PP_Grid[#Data],$DD187,2),0)</f>
        <v/>
      </c>
      <c r="E187">
        <f>IFERROR(INDEX(PP_Grid[#Data],$DD187,3),0)</f>
        <v/>
      </c>
      <c r="F187">
        <f>IFERROR(INDEX(PP_Grid[#Data],$DD187,4),0)</f>
        <v/>
      </c>
      <c r="G187">
        <f>IFERROR(INDEX(PP_Grid[#Data],$DD187,5),0)</f>
        <v/>
      </c>
      <c r="H187">
        <f>IFERROR(INDEX(PP_Grid[#Data],$DD187,6),0)</f>
        <v/>
      </c>
      <c r="I187">
        <f>IFERROR(INDEX(PP_Grid[#Data],$DD187,7),0)</f>
        <v/>
      </c>
      <c r="J187">
        <f>IFERROR(INDEX(PP_Grid[#Data],$DD187,8),0)</f>
        <v/>
      </c>
      <c r="K187">
        <f>IFERROR(INDEX(PP_Grid[#Data],$DD187,9),0)</f>
        <v/>
      </c>
      <c r="L187">
        <f>IFERROR(INDEX(PP_Grid[#Data],$DD187,10),0)</f>
        <v/>
      </c>
      <c r="M187">
        <f>IFERROR(INDEX(PP_Grid[#Data],$DD187,11),0)</f>
        <v/>
      </c>
      <c r="N187">
        <f>IFERROR(INDEX(PP_Grid[#Data],$DD187,12),0)</f>
        <v/>
      </c>
      <c r="O187">
        <f>IFERROR(INDEX(PP_Grid[#Data],$DD187,13),0)</f>
        <v/>
      </c>
      <c r="P187">
        <f>IFERROR(INDEX(PP_Grid[#Data],$DD187,14),0)</f>
        <v/>
      </c>
      <c r="Q187">
        <f>IFERROR(INDEX(PP_Grid[#Data],$DD187,15),0)</f>
        <v/>
      </c>
      <c r="R187">
        <f>IFERROR(INDEX(PP_Grid[#Data],$DD187,16),0)</f>
        <v/>
      </c>
      <c r="S187">
        <f>IFERROR(INDEX(PP_Grid[#Data],$DD187,17),0)</f>
        <v/>
      </c>
      <c r="T187">
        <f>IFERROR(INDEX(PP_Grid[#Data],$DD187,18),0)</f>
        <v/>
      </c>
      <c r="U187">
        <f>IFERROR(INDEX(PP_Grid[#Data],$DD187,19),0)</f>
        <v/>
      </c>
      <c r="V187">
        <f>IFERROR(INDEX(PP_Grid[#Data],$DD187,20),0)</f>
        <v/>
      </c>
      <c r="W187">
        <f>IFERROR(INDEX(PP_Grid[#Data],$DD187,21),0)</f>
        <v/>
      </c>
      <c r="X187">
        <f>IFERROR(INDEX(PP_Grid[#Data],$DD187,22),0)</f>
        <v/>
      </c>
      <c r="Y187">
        <f>IFERROR(INDEX(PP_Grid[#Data],$DD187,23),0)</f>
        <v/>
      </c>
      <c r="Z187">
        <f>IFERROR(INDEX(PP_Grid[#Data],$DD187,24),0)</f>
        <v/>
      </c>
      <c r="AA187">
        <f>IFERROR(INDEX(PP_Grid[#Data],$DD187,25),0)</f>
        <v/>
      </c>
      <c r="AB187">
        <f>IFERROR(INDEX(PP_Grid[#Data],$DD187,26),0)</f>
        <v/>
      </c>
      <c r="AC187">
        <f>IFERROR(INDEX(PP_Grid[#Data],$DD187,27),0)</f>
        <v/>
      </c>
      <c r="AD187">
        <f>IFERROR(INDEX(PP_Grid[#Data],$DD187,28),0)</f>
        <v/>
      </c>
      <c r="AE187">
        <f>IFERROR(INDEX(PP_Grid[#Data],$DD187,29),0)</f>
        <v/>
      </c>
      <c r="AF187">
        <f>IFERROR(INDEX(PP_Grid[#Data],$DD187,30),0)</f>
        <v/>
      </c>
      <c r="AG187">
        <f>IFERROR(INDEX(PP_Grid[#Data],$DD187,31),0)</f>
        <v/>
      </c>
      <c r="AH187">
        <f>IFERROR(INDEX(PP_Grid[#Data],$DD187,32),0)</f>
        <v/>
      </c>
      <c r="AI187">
        <f>IFERROR(INDEX(PP_Grid[#Data],$DD187,33),0)</f>
        <v/>
      </c>
      <c r="AJ187">
        <f>IFERROR(INDEX(PP_Grid[#Data],$DD187,34),0)</f>
        <v/>
      </c>
      <c r="AK187">
        <f>IFERROR(INDEX(PP_Grid[#Data],$DD187,35),0)</f>
        <v/>
      </c>
      <c r="AL187">
        <f>IFERROR(INDEX(PP_Grid[#Data],$DD187,36),0)</f>
        <v/>
      </c>
      <c r="AM187">
        <f>IFERROR(INDEX(PP_Grid[#Data],$DD187,37),0)</f>
        <v/>
      </c>
      <c r="AN187">
        <f>IFERROR(INDEX(PP_Grid[#Data],$DD187,38),0)</f>
        <v/>
      </c>
      <c r="AO187">
        <f>IFERROR(INDEX(PP_Grid[#Data],$DD187,39),0)</f>
        <v/>
      </c>
      <c r="AP187">
        <f>IFERROR(INDEX(PP_Grid[#Data],$DD187,40),0)</f>
        <v/>
      </c>
      <c r="AQ187">
        <f>IFERROR(INDEX(PP_Grid[#Data],$DD187,41),0)</f>
        <v/>
      </c>
      <c r="AR187">
        <f>IFERROR(INDEX(PP_Grid[#Data],$DD187,42),0)</f>
        <v/>
      </c>
      <c r="AS187">
        <f>IFERROR(INDEX(PP_Grid[#Data],$DD187,43),0)</f>
        <v/>
      </c>
      <c r="AT187">
        <f>IFERROR(INDEX(PP_Grid[#Data],$DD187,44),0)</f>
        <v/>
      </c>
      <c r="AU187">
        <f>IFERROR(INDEX(PP_Grid[#Data],$DD187,45),0)</f>
        <v/>
      </c>
      <c r="AV187">
        <f>IFERROR(INDEX(PP_Grid[#Data],$DD187,46),0)</f>
        <v/>
      </c>
      <c r="AW187">
        <f>IFERROR(INDEX(PP_Grid[#Data],$DD187,47),0)</f>
        <v/>
      </c>
      <c r="AX187">
        <f>IFERROR(INDEX(PP_Grid[#Data],$DD187,48),0)</f>
        <v/>
      </c>
      <c r="AY187">
        <f>IFERROR(INDEX(PP_Grid[#Data],$DD187,49),0)</f>
        <v/>
      </c>
      <c r="AZ187">
        <f>IFERROR(INDEX(PP_Grid[#Data],$DD187,50),0)</f>
        <v/>
      </c>
      <c r="BA187">
        <f>IFERROR(INDEX(PP_Grid[#Data],$DD187,51),0)</f>
        <v/>
      </c>
      <c r="BB187">
        <f>IFERROR(INDEX(PP_Grid[#Data],$DD187,52),0)</f>
        <v/>
      </c>
      <c r="BC187">
        <f>IFERROR(INDEX(PP_Grid[#Data],$DD187,53),0)</f>
        <v/>
      </c>
      <c r="BD187">
        <f>IFERROR(INDEX(PP_Grid[#Data],$DD187,54),0)</f>
        <v/>
      </c>
      <c r="BE187">
        <f>IFERROR(INDEX(PP_Grid[#Data],$DD187,55),0)</f>
        <v/>
      </c>
      <c r="BF187">
        <f>IFERROR(INDEX(PP_Grid[#Data],$DD187,56),0)</f>
        <v/>
      </c>
      <c r="BG187">
        <f>IFERROR(INDEX(PP_Grid[#Data],$DD187,57),0)</f>
        <v/>
      </c>
      <c r="BH187">
        <f>IFERROR(INDEX(PP_Grid[#Data],$DD187,58),0)</f>
        <v/>
      </c>
      <c r="BI187">
        <f>IFERROR(INDEX(PP_Grid[#Data],$DD187,59),0)</f>
        <v/>
      </c>
      <c r="BJ187">
        <f>IFERROR(INDEX(PP_Grid[#Data],$DD187,60),0)</f>
        <v/>
      </c>
      <c r="BK187">
        <f>IFERROR(INDEX(PP_Grid[#Data],$DD187,61),0)</f>
        <v/>
      </c>
      <c r="BL187">
        <f>IFERROR(INDEX(PP_Grid[#Data],$DD187,62),0)</f>
        <v/>
      </c>
      <c r="BM187">
        <f>IFERROR(INDEX(PP_Grid[#Data],$DD187,63),0)</f>
        <v/>
      </c>
      <c r="BN187">
        <f>IFERROR(INDEX(PP_Grid[#Data],$DD187,64),0)</f>
        <v/>
      </c>
      <c r="BO187">
        <f>IFERROR(INDEX(PP_Grid[#Data],$DD187,65),0)</f>
        <v/>
      </c>
      <c r="BP187">
        <f>IFERROR(INDEX(PP_Grid[#Data],$DD187,66),0)</f>
        <v/>
      </c>
      <c r="BQ187">
        <f>IFERROR(INDEX(PP_Grid[#Data],$DD187,67),0)</f>
        <v/>
      </c>
      <c r="BR187">
        <f>IFERROR(INDEX(PP_Grid[#Data],$DD187,68),0)</f>
        <v/>
      </c>
      <c r="BS187">
        <f>IFERROR(INDEX(PP_Grid[#Data],$DD187,69),0)</f>
        <v/>
      </c>
      <c r="BT187">
        <f>IFERROR(INDEX(PP_Grid[#Data],$DD187,70),0)</f>
        <v/>
      </c>
      <c r="BU187">
        <f>IFERROR(INDEX(PP_Grid[#Data],$DD187,71),0)</f>
        <v/>
      </c>
      <c r="BV187">
        <f>IFERROR(INDEX(PP_Grid[#Data],$DD187,72),0)</f>
        <v/>
      </c>
      <c r="BW187">
        <f>IFERROR(INDEX(PP_Grid[#Data],$DD187,73),0)</f>
        <v/>
      </c>
      <c r="BX187">
        <f>IFERROR(INDEX(PP_Grid[#Data],$DD187,74),0)</f>
        <v/>
      </c>
      <c r="BY187">
        <f>IFERROR(INDEX(PP_Grid[#Data],$DD187,75),0)</f>
        <v/>
      </c>
      <c r="BZ187">
        <f>IFERROR(INDEX(PP_Grid[#Data],$DD187,76),0)</f>
        <v/>
      </c>
      <c r="CA187">
        <f>IFERROR(INDEX(PP_Grid[#Data],$DD187,77),0)</f>
        <v/>
      </c>
      <c r="CB187">
        <f>IFERROR(INDEX(PP_Grid[#Data],$DD187,78),0)</f>
        <v/>
      </c>
      <c r="CC187">
        <f>IFERROR(INDEX(PP_Grid[#Data],$DD187,79),0)</f>
        <v/>
      </c>
      <c r="CD187">
        <f>IFERROR(INDEX(PP_Grid[#Data],$DD187,80),0)</f>
        <v/>
      </c>
      <c r="CE187">
        <f>IFERROR(INDEX(PP_Grid[#Data],$DD187,81),0)</f>
        <v/>
      </c>
      <c r="CF187">
        <f>IFERROR(INDEX(PP_Grid[#Data],$DD187,82),0)</f>
        <v/>
      </c>
      <c r="CG187">
        <f>IFERROR(INDEX(PP_Grid[#Data],$DD187,83),0)</f>
        <v/>
      </c>
      <c r="CH187">
        <f>IFERROR(INDEX(PP_Grid[#Data],$DD187,84),0)</f>
        <v/>
      </c>
      <c r="CI187">
        <f>IFERROR(INDEX(PP_Grid[#Data],$DD187,85),0)</f>
        <v/>
      </c>
      <c r="CJ187">
        <f>IFERROR(INDEX(PP_Grid[#Data],$DD187,86),0)</f>
        <v/>
      </c>
      <c r="CK187">
        <f>IFERROR(INDEX(PP_Grid[#Data],$DD187,87),0)</f>
        <v/>
      </c>
      <c r="CL187">
        <f>IFERROR(INDEX(PP_Grid[#Data],$DD187,88),0)</f>
        <v/>
      </c>
      <c r="CM187">
        <f>IFERROR(INDEX(PP_Grid[#Data],$DD187,89),0)</f>
        <v/>
      </c>
      <c r="CN187">
        <f>IFERROR(INDEX(PP_Grid[#Data],$DD187,90),0)</f>
        <v/>
      </c>
      <c r="CO187">
        <f>IFERROR(INDEX(PP_Grid[#Data],$DD187,91),0)</f>
        <v/>
      </c>
      <c r="CP187">
        <f>IFERROR(INDEX(PP_Grid[#Data],$DD187,92),0)</f>
        <v/>
      </c>
      <c r="CQ187">
        <f>IFERROR(INDEX(PP_Grid[#Data],$DD187,93),0)</f>
        <v/>
      </c>
      <c r="CR187">
        <f>IFERROR(INDEX(PP_Grid[#Data],$DD187,94),0)</f>
        <v/>
      </c>
      <c r="CS187">
        <f>IFERROR(INDEX(PP_Grid[#Data],$DD187,95),0)</f>
        <v/>
      </c>
      <c r="CT187">
        <f>IFERROR(INDEX(PP_Grid[#Data],$DD187,96),0)</f>
        <v/>
      </c>
      <c r="CU187">
        <f>IFERROR(INDEX(PP_Grid[#Data],$DD187,97),0)</f>
        <v/>
      </c>
      <c r="CV187">
        <f>IFERROR(INDEX(PP_Grid[#Data],$DD187,98),0)</f>
        <v/>
      </c>
      <c r="CW187">
        <f>IFERROR(INDEX(PP_Grid[#Data],$DD187,99),0)</f>
        <v/>
      </c>
      <c r="CX187">
        <f>IFERROR(INDEX(PP_Grid[#Data],$DD187,100),0)</f>
        <v/>
      </c>
      <c r="CY187">
        <f>IFERROR(INDEX(PP_Grid[#Data],$DD187,101),0)</f>
        <v/>
      </c>
      <c r="CZ187">
        <f>IFERROR(INDEX(PP_Grid[#Data],$DD187,102),0)</f>
        <v/>
      </c>
      <c r="DA187">
        <f>IFERROR(INDEX(PP_Grid[#Data],$DD187,103),0)</f>
        <v/>
      </c>
      <c r="DB187">
        <f>IFERROR(INDEX(PP_Grid[#Data],$DD187,104),0)</f>
        <v/>
      </c>
      <c r="DC187">
        <f>IFERROR(INDEX(PP_Grid[#Data],$DD187,105),0)</f>
        <v/>
      </c>
      <c r="DD187" s="7">
        <f>IFERROR(MATCH($B187,PP_Grid[Intermediate],0),99999)</f>
        <v/>
      </c>
    </row>
    <row r="188">
      <c r="B188" t="inlineStr">
        <is>
          <t>使用量(kg)</t>
        </is>
      </c>
      <c r="C188">
        <f>SUMIFS(M_BOM[RM_Qty_Per_Batch],M_BOM[Intermediate],$B187,M_BOM[Part Name],$A44)</f>
        <v/>
      </c>
      <c r="D188">
        <f>$C188*D187</f>
        <v/>
      </c>
      <c r="E188">
        <f>$C188*E187</f>
        <v/>
      </c>
      <c r="F188">
        <f>$C188*F187</f>
        <v/>
      </c>
      <c r="G188">
        <f>$C188*G187</f>
        <v/>
      </c>
      <c r="H188">
        <f>$C188*H187</f>
        <v/>
      </c>
      <c r="I188">
        <f>$C188*I187</f>
        <v/>
      </c>
      <c r="J188">
        <f>$C188*J187</f>
        <v/>
      </c>
      <c r="K188">
        <f>$C188*K187</f>
        <v/>
      </c>
      <c r="L188">
        <f>$C188*L187</f>
        <v/>
      </c>
      <c r="M188">
        <f>$C188*M187</f>
        <v/>
      </c>
      <c r="N188">
        <f>$C188*N187</f>
        <v/>
      </c>
      <c r="O188">
        <f>$C188*O187</f>
        <v/>
      </c>
      <c r="P188">
        <f>$C188*P187</f>
        <v/>
      </c>
      <c r="Q188">
        <f>$C188*Q187</f>
        <v/>
      </c>
      <c r="R188">
        <f>$C188*R187</f>
        <v/>
      </c>
      <c r="S188">
        <f>$C188*S187</f>
        <v/>
      </c>
      <c r="T188">
        <f>$C188*T187</f>
        <v/>
      </c>
      <c r="U188">
        <f>$C188*U187</f>
        <v/>
      </c>
      <c r="V188">
        <f>$C188*V187</f>
        <v/>
      </c>
      <c r="W188">
        <f>$C188*W187</f>
        <v/>
      </c>
      <c r="X188">
        <f>$C188*X187</f>
        <v/>
      </c>
      <c r="Y188">
        <f>$C188*Y187</f>
        <v/>
      </c>
      <c r="Z188">
        <f>$C188*Z187</f>
        <v/>
      </c>
      <c r="AA188">
        <f>$C188*AA187</f>
        <v/>
      </c>
      <c r="AB188">
        <f>$C188*AB187</f>
        <v/>
      </c>
      <c r="AC188">
        <f>$C188*AC187</f>
        <v/>
      </c>
      <c r="AD188">
        <f>$C188*AD187</f>
        <v/>
      </c>
      <c r="AE188">
        <f>$C188*AE187</f>
        <v/>
      </c>
      <c r="AF188">
        <f>$C188*AF187</f>
        <v/>
      </c>
      <c r="AG188">
        <f>$C188*AG187</f>
        <v/>
      </c>
      <c r="AH188">
        <f>$C188*AH187</f>
        <v/>
      </c>
      <c r="AI188">
        <f>$C188*AI187</f>
        <v/>
      </c>
      <c r="AJ188">
        <f>$C188*AJ187</f>
        <v/>
      </c>
      <c r="AK188">
        <f>$C188*AK187</f>
        <v/>
      </c>
      <c r="AL188">
        <f>$C188*AL187</f>
        <v/>
      </c>
      <c r="AM188">
        <f>$C188*AM187</f>
        <v/>
      </c>
      <c r="AN188">
        <f>$C188*AN187</f>
        <v/>
      </c>
      <c r="AO188">
        <f>$C188*AO187</f>
        <v/>
      </c>
      <c r="AP188">
        <f>$C188*AP187</f>
        <v/>
      </c>
      <c r="AQ188">
        <f>$C188*AQ187</f>
        <v/>
      </c>
      <c r="AR188">
        <f>$C188*AR187</f>
        <v/>
      </c>
      <c r="AS188">
        <f>$C188*AS187</f>
        <v/>
      </c>
      <c r="AT188">
        <f>$C188*AT187</f>
        <v/>
      </c>
      <c r="AU188">
        <f>$C188*AU187</f>
        <v/>
      </c>
      <c r="AV188">
        <f>$C188*AV187</f>
        <v/>
      </c>
      <c r="AW188">
        <f>$C188*AW187</f>
        <v/>
      </c>
      <c r="AX188">
        <f>$C188*AX187</f>
        <v/>
      </c>
      <c r="AY188">
        <f>$C188*AY187</f>
        <v/>
      </c>
      <c r="AZ188">
        <f>$C188*AZ187</f>
        <v/>
      </c>
      <c r="BA188">
        <f>$C188*BA187</f>
        <v/>
      </c>
      <c r="BB188">
        <f>$C188*BB187</f>
        <v/>
      </c>
      <c r="BC188">
        <f>$C188*BC187</f>
        <v/>
      </c>
      <c r="BD188">
        <f>$C188*BD187</f>
        <v/>
      </c>
      <c r="BE188">
        <f>$C188*BE187</f>
        <v/>
      </c>
      <c r="BF188">
        <f>$C188*BF187</f>
        <v/>
      </c>
      <c r="BG188">
        <f>$C188*BG187</f>
        <v/>
      </c>
      <c r="BH188">
        <f>$C188*BH187</f>
        <v/>
      </c>
      <c r="BI188">
        <f>$C188*BI187</f>
        <v/>
      </c>
      <c r="BJ188">
        <f>$C188*BJ187</f>
        <v/>
      </c>
      <c r="BK188">
        <f>$C188*BK187</f>
        <v/>
      </c>
      <c r="BL188">
        <f>$C188*BL187</f>
        <v/>
      </c>
      <c r="BM188">
        <f>$C188*BM187</f>
        <v/>
      </c>
      <c r="BN188">
        <f>$C188*BN187</f>
        <v/>
      </c>
      <c r="BO188">
        <f>$C188*BO187</f>
        <v/>
      </c>
      <c r="BP188">
        <f>$C188*BP187</f>
        <v/>
      </c>
      <c r="BQ188">
        <f>$C188*BQ187</f>
        <v/>
      </c>
      <c r="BR188">
        <f>$C188*BR187</f>
        <v/>
      </c>
      <c r="BS188">
        <f>$C188*BS187</f>
        <v/>
      </c>
      <c r="BT188">
        <f>$C188*BT187</f>
        <v/>
      </c>
      <c r="BU188">
        <f>$C188*BU187</f>
        <v/>
      </c>
      <c r="BV188">
        <f>$C188*BV187</f>
        <v/>
      </c>
      <c r="BW188">
        <f>$C188*BW187</f>
        <v/>
      </c>
      <c r="BX188">
        <f>$C188*BX187</f>
        <v/>
      </c>
      <c r="BY188">
        <f>$C188*BY187</f>
        <v/>
      </c>
      <c r="BZ188">
        <f>$C188*BZ187</f>
        <v/>
      </c>
      <c r="CA188">
        <f>$C188*CA187</f>
        <v/>
      </c>
      <c r="CB188">
        <f>$C188*CB187</f>
        <v/>
      </c>
      <c r="CC188">
        <f>$C188*CC187</f>
        <v/>
      </c>
      <c r="CD188">
        <f>$C188*CD187</f>
        <v/>
      </c>
      <c r="CE188">
        <f>$C188*CE187</f>
        <v/>
      </c>
      <c r="CF188">
        <f>$C188*CF187</f>
        <v/>
      </c>
      <c r="CG188">
        <f>$C188*CG187</f>
        <v/>
      </c>
      <c r="CH188">
        <f>$C188*CH187</f>
        <v/>
      </c>
      <c r="CI188">
        <f>$C188*CI187</f>
        <v/>
      </c>
      <c r="CJ188">
        <f>$C188*CJ187</f>
        <v/>
      </c>
      <c r="CK188">
        <f>$C188*CK187</f>
        <v/>
      </c>
      <c r="CL188">
        <f>$C188*CL187</f>
        <v/>
      </c>
      <c r="CM188">
        <f>$C188*CM187</f>
        <v/>
      </c>
      <c r="CN188">
        <f>$C188*CN187</f>
        <v/>
      </c>
      <c r="CO188">
        <f>$C188*CO187</f>
        <v/>
      </c>
      <c r="CP188">
        <f>$C188*CP187</f>
        <v/>
      </c>
      <c r="CQ188">
        <f>$C188*CQ187</f>
        <v/>
      </c>
      <c r="CR188">
        <f>$C188*CR187</f>
        <v/>
      </c>
      <c r="CS188">
        <f>$C188*CS187</f>
        <v/>
      </c>
      <c r="CT188">
        <f>$C188*CT187</f>
        <v/>
      </c>
      <c r="CU188">
        <f>$C188*CU187</f>
        <v/>
      </c>
      <c r="CV188">
        <f>$C188*CV187</f>
        <v/>
      </c>
      <c r="CW188">
        <f>$C188*CW187</f>
        <v/>
      </c>
      <c r="CX188">
        <f>$C188*CX187</f>
        <v/>
      </c>
      <c r="CY188">
        <f>$C188*CY187</f>
        <v/>
      </c>
      <c r="CZ188">
        <f>$C188*CZ187</f>
        <v/>
      </c>
      <c r="DA188">
        <f>$C188*DA187</f>
        <v/>
      </c>
      <c r="DB188">
        <f>$C188*DB187</f>
        <v/>
      </c>
      <c r="DC188">
        <f>$C188*DC187</f>
        <v/>
      </c>
    </row>
    <row r="189">
      <c r="B189" t="inlineStr">
        <is>
          <t>VSP-820</t>
        </is>
      </c>
      <c r="C189" t="inlineStr">
        <is>
          <t>No. of batches</t>
        </is>
      </c>
      <c r="D189">
        <f>IFERROR(INDEX(PP_Grid[#Data],$DD189,2),0)</f>
        <v/>
      </c>
      <c r="E189">
        <f>IFERROR(INDEX(PP_Grid[#Data],$DD189,3),0)</f>
        <v/>
      </c>
      <c r="F189">
        <f>IFERROR(INDEX(PP_Grid[#Data],$DD189,4),0)</f>
        <v/>
      </c>
      <c r="G189">
        <f>IFERROR(INDEX(PP_Grid[#Data],$DD189,5),0)</f>
        <v/>
      </c>
      <c r="H189">
        <f>IFERROR(INDEX(PP_Grid[#Data],$DD189,6),0)</f>
        <v/>
      </c>
      <c r="I189">
        <f>IFERROR(INDEX(PP_Grid[#Data],$DD189,7),0)</f>
        <v/>
      </c>
      <c r="J189">
        <f>IFERROR(INDEX(PP_Grid[#Data],$DD189,8),0)</f>
        <v/>
      </c>
      <c r="K189">
        <f>IFERROR(INDEX(PP_Grid[#Data],$DD189,9),0)</f>
        <v/>
      </c>
      <c r="L189">
        <f>IFERROR(INDEX(PP_Grid[#Data],$DD189,10),0)</f>
        <v/>
      </c>
      <c r="M189">
        <f>IFERROR(INDEX(PP_Grid[#Data],$DD189,11),0)</f>
        <v/>
      </c>
      <c r="N189">
        <f>IFERROR(INDEX(PP_Grid[#Data],$DD189,12),0)</f>
        <v/>
      </c>
      <c r="O189">
        <f>IFERROR(INDEX(PP_Grid[#Data],$DD189,13),0)</f>
        <v/>
      </c>
      <c r="P189">
        <f>IFERROR(INDEX(PP_Grid[#Data],$DD189,14),0)</f>
        <v/>
      </c>
      <c r="Q189">
        <f>IFERROR(INDEX(PP_Grid[#Data],$DD189,15),0)</f>
        <v/>
      </c>
      <c r="R189">
        <f>IFERROR(INDEX(PP_Grid[#Data],$DD189,16),0)</f>
        <v/>
      </c>
      <c r="S189">
        <f>IFERROR(INDEX(PP_Grid[#Data],$DD189,17),0)</f>
        <v/>
      </c>
      <c r="T189">
        <f>IFERROR(INDEX(PP_Grid[#Data],$DD189,18),0)</f>
        <v/>
      </c>
      <c r="U189">
        <f>IFERROR(INDEX(PP_Grid[#Data],$DD189,19),0)</f>
        <v/>
      </c>
      <c r="V189">
        <f>IFERROR(INDEX(PP_Grid[#Data],$DD189,20),0)</f>
        <v/>
      </c>
      <c r="W189">
        <f>IFERROR(INDEX(PP_Grid[#Data],$DD189,21),0)</f>
        <v/>
      </c>
      <c r="X189">
        <f>IFERROR(INDEX(PP_Grid[#Data],$DD189,22),0)</f>
        <v/>
      </c>
      <c r="Y189">
        <f>IFERROR(INDEX(PP_Grid[#Data],$DD189,23),0)</f>
        <v/>
      </c>
      <c r="Z189">
        <f>IFERROR(INDEX(PP_Grid[#Data],$DD189,24),0)</f>
        <v/>
      </c>
      <c r="AA189">
        <f>IFERROR(INDEX(PP_Grid[#Data],$DD189,25),0)</f>
        <v/>
      </c>
      <c r="AB189">
        <f>IFERROR(INDEX(PP_Grid[#Data],$DD189,26),0)</f>
        <v/>
      </c>
      <c r="AC189">
        <f>IFERROR(INDEX(PP_Grid[#Data],$DD189,27),0)</f>
        <v/>
      </c>
      <c r="AD189">
        <f>IFERROR(INDEX(PP_Grid[#Data],$DD189,28),0)</f>
        <v/>
      </c>
      <c r="AE189">
        <f>IFERROR(INDEX(PP_Grid[#Data],$DD189,29),0)</f>
        <v/>
      </c>
      <c r="AF189">
        <f>IFERROR(INDEX(PP_Grid[#Data],$DD189,30),0)</f>
        <v/>
      </c>
      <c r="AG189">
        <f>IFERROR(INDEX(PP_Grid[#Data],$DD189,31),0)</f>
        <v/>
      </c>
      <c r="AH189">
        <f>IFERROR(INDEX(PP_Grid[#Data],$DD189,32),0)</f>
        <v/>
      </c>
      <c r="AI189">
        <f>IFERROR(INDEX(PP_Grid[#Data],$DD189,33),0)</f>
        <v/>
      </c>
      <c r="AJ189">
        <f>IFERROR(INDEX(PP_Grid[#Data],$DD189,34),0)</f>
        <v/>
      </c>
      <c r="AK189">
        <f>IFERROR(INDEX(PP_Grid[#Data],$DD189,35),0)</f>
        <v/>
      </c>
      <c r="AL189">
        <f>IFERROR(INDEX(PP_Grid[#Data],$DD189,36),0)</f>
        <v/>
      </c>
      <c r="AM189">
        <f>IFERROR(INDEX(PP_Grid[#Data],$DD189,37),0)</f>
        <v/>
      </c>
      <c r="AN189">
        <f>IFERROR(INDEX(PP_Grid[#Data],$DD189,38),0)</f>
        <v/>
      </c>
      <c r="AO189">
        <f>IFERROR(INDEX(PP_Grid[#Data],$DD189,39),0)</f>
        <v/>
      </c>
      <c r="AP189">
        <f>IFERROR(INDEX(PP_Grid[#Data],$DD189,40),0)</f>
        <v/>
      </c>
      <c r="AQ189">
        <f>IFERROR(INDEX(PP_Grid[#Data],$DD189,41),0)</f>
        <v/>
      </c>
      <c r="AR189">
        <f>IFERROR(INDEX(PP_Grid[#Data],$DD189,42),0)</f>
        <v/>
      </c>
      <c r="AS189">
        <f>IFERROR(INDEX(PP_Grid[#Data],$DD189,43),0)</f>
        <v/>
      </c>
      <c r="AT189">
        <f>IFERROR(INDEX(PP_Grid[#Data],$DD189,44),0)</f>
        <v/>
      </c>
      <c r="AU189">
        <f>IFERROR(INDEX(PP_Grid[#Data],$DD189,45),0)</f>
        <v/>
      </c>
      <c r="AV189">
        <f>IFERROR(INDEX(PP_Grid[#Data],$DD189,46),0)</f>
        <v/>
      </c>
      <c r="AW189">
        <f>IFERROR(INDEX(PP_Grid[#Data],$DD189,47),0)</f>
        <v/>
      </c>
      <c r="AX189">
        <f>IFERROR(INDEX(PP_Grid[#Data],$DD189,48),0)</f>
        <v/>
      </c>
      <c r="AY189">
        <f>IFERROR(INDEX(PP_Grid[#Data],$DD189,49),0)</f>
        <v/>
      </c>
      <c r="AZ189">
        <f>IFERROR(INDEX(PP_Grid[#Data],$DD189,50),0)</f>
        <v/>
      </c>
      <c r="BA189">
        <f>IFERROR(INDEX(PP_Grid[#Data],$DD189,51),0)</f>
        <v/>
      </c>
      <c r="BB189">
        <f>IFERROR(INDEX(PP_Grid[#Data],$DD189,52),0)</f>
        <v/>
      </c>
      <c r="BC189">
        <f>IFERROR(INDEX(PP_Grid[#Data],$DD189,53),0)</f>
        <v/>
      </c>
      <c r="BD189">
        <f>IFERROR(INDEX(PP_Grid[#Data],$DD189,54),0)</f>
        <v/>
      </c>
      <c r="BE189">
        <f>IFERROR(INDEX(PP_Grid[#Data],$DD189,55),0)</f>
        <v/>
      </c>
      <c r="BF189">
        <f>IFERROR(INDEX(PP_Grid[#Data],$DD189,56),0)</f>
        <v/>
      </c>
      <c r="BG189">
        <f>IFERROR(INDEX(PP_Grid[#Data],$DD189,57),0)</f>
        <v/>
      </c>
      <c r="BH189">
        <f>IFERROR(INDEX(PP_Grid[#Data],$DD189,58),0)</f>
        <v/>
      </c>
      <c r="BI189">
        <f>IFERROR(INDEX(PP_Grid[#Data],$DD189,59),0)</f>
        <v/>
      </c>
      <c r="BJ189">
        <f>IFERROR(INDEX(PP_Grid[#Data],$DD189,60),0)</f>
        <v/>
      </c>
      <c r="BK189">
        <f>IFERROR(INDEX(PP_Grid[#Data],$DD189,61),0)</f>
        <v/>
      </c>
      <c r="BL189">
        <f>IFERROR(INDEX(PP_Grid[#Data],$DD189,62),0)</f>
        <v/>
      </c>
      <c r="BM189">
        <f>IFERROR(INDEX(PP_Grid[#Data],$DD189,63),0)</f>
        <v/>
      </c>
      <c r="BN189">
        <f>IFERROR(INDEX(PP_Grid[#Data],$DD189,64),0)</f>
        <v/>
      </c>
      <c r="BO189">
        <f>IFERROR(INDEX(PP_Grid[#Data],$DD189,65),0)</f>
        <v/>
      </c>
      <c r="BP189">
        <f>IFERROR(INDEX(PP_Grid[#Data],$DD189,66),0)</f>
        <v/>
      </c>
      <c r="BQ189">
        <f>IFERROR(INDEX(PP_Grid[#Data],$DD189,67),0)</f>
        <v/>
      </c>
      <c r="BR189">
        <f>IFERROR(INDEX(PP_Grid[#Data],$DD189,68),0)</f>
        <v/>
      </c>
      <c r="BS189">
        <f>IFERROR(INDEX(PP_Grid[#Data],$DD189,69),0)</f>
        <v/>
      </c>
      <c r="BT189">
        <f>IFERROR(INDEX(PP_Grid[#Data],$DD189,70),0)</f>
        <v/>
      </c>
      <c r="BU189">
        <f>IFERROR(INDEX(PP_Grid[#Data],$DD189,71),0)</f>
        <v/>
      </c>
      <c r="BV189">
        <f>IFERROR(INDEX(PP_Grid[#Data],$DD189,72),0)</f>
        <v/>
      </c>
      <c r="BW189">
        <f>IFERROR(INDEX(PP_Grid[#Data],$DD189,73),0)</f>
        <v/>
      </c>
      <c r="BX189">
        <f>IFERROR(INDEX(PP_Grid[#Data],$DD189,74),0)</f>
        <v/>
      </c>
      <c r="BY189">
        <f>IFERROR(INDEX(PP_Grid[#Data],$DD189,75),0)</f>
        <v/>
      </c>
      <c r="BZ189">
        <f>IFERROR(INDEX(PP_Grid[#Data],$DD189,76),0)</f>
        <v/>
      </c>
      <c r="CA189">
        <f>IFERROR(INDEX(PP_Grid[#Data],$DD189,77),0)</f>
        <v/>
      </c>
      <c r="CB189">
        <f>IFERROR(INDEX(PP_Grid[#Data],$DD189,78),0)</f>
        <v/>
      </c>
      <c r="CC189">
        <f>IFERROR(INDEX(PP_Grid[#Data],$DD189,79),0)</f>
        <v/>
      </c>
      <c r="CD189">
        <f>IFERROR(INDEX(PP_Grid[#Data],$DD189,80),0)</f>
        <v/>
      </c>
      <c r="CE189">
        <f>IFERROR(INDEX(PP_Grid[#Data],$DD189,81),0)</f>
        <v/>
      </c>
      <c r="CF189">
        <f>IFERROR(INDEX(PP_Grid[#Data],$DD189,82),0)</f>
        <v/>
      </c>
      <c r="CG189">
        <f>IFERROR(INDEX(PP_Grid[#Data],$DD189,83),0)</f>
        <v/>
      </c>
      <c r="CH189">
        <f>IFERROR(INDEX(PP_Grid[#Data],$DD189,84),0)</f>
        <v/>
      </c>
      <c r="CI189">
        <f>IFERROR(INDEX(PP_Grid[#Data],$DD189,85),0)</f>
        <v/>
      </c>
      <c r="CJ189">
        <f>IFERROR(INDEX(PP_Grid[#Data],$DD189,86),0)</f>
        <v/>
      </c>
      <c r="CK189">
        <f>IFERROR(INDEX(PP_Grid[#Data],$DD189,87),0)</f>
        <v/>
      </c>
      <c r="CL189">
        <f>IFERROR(INDEX(PP_Grid[#Data],$DD189,88),0)</f>
        <v/>
      </c>
      <c r="CM189">
        <f>IFERROR(INDEX(PP_Grid[#Data],$DD189,89),0)</f>
        <v/>
      </c>
      <c r="CN189">
        <f>IFERROR(INDEX(PP_Grid[#Data],$DD189,90),0)</f>
        <v/>
      </c>
      <c r="CO189">
        <f>IFERROR(INDEX(PP_Grid[#Data],$DD189,91),0)</f>
        <v/>
      </c>
      <c r="CP189">
        <f>IFERROR(INDEX(PP_Grid[#Data],$DD189,92),0)</f>
        <v/>
      </c>
      <c r="CQ189">
        <f>IFERROR(INDEX(PP_Grid[#Data],$DD189,93),0)</f>
        <v/>
      </c>
      <c r="CR189">
        <f>IFERROR(INDEX(PP_Grid[#Data],$DD189,94),0)</f>
        <v/>
      </c>
      <c r="CS189">
        <f>IFERROR(INDEX(PP_Grid[#Data],$DD189,95),0)</f>
        <v/>
      </c>
      <c r="CT189">
        <f>IFERROR(INDEX(PP_Grid[#Data],$DD189,96),0)</f>
        <v/>
      </c>
      <c r="CU189">
        <f>IFERROR(INDEX(PP_Grid[#Data],$DD189,97),0)</f>
        <v/>
      </c>
      <c r="CV189">
        <f>IFERROR(INDEX(PP_Grid[#Data],$DD189,98),0)</f>
        <v/>
      </c>
      <c r="CW189">
        <f>IFERROR(INDEX(PP_Grid[#Data],$DD189,99),0)</f>
        <v/>
      </c>
      <c r="CX189">
        <f>IFERROR(INDEX(PP_Grid[#Data],$DD189,100),0)</f>
        <v/>
      </c>
      <c r="CY189">
        <f>IFERROR(INDEX(PP_Grid[#Data],$DD189,101),0)</f>
        <v/>
      </c>
      <c r="CZ189">
        <f>IFERROR(INDEX(PP_Grid[#Data],$DD189,102),0)</f>
        <v/>
      </c>
      <c r="DA189">
        <f>IFERROR(INDEX(PP_Grid[#Data],$DD189,103),0)</f>
        <v/>
      </c>
      <c r="DB189">
        <f>IFERROR(INDEX(PP_Grid[#Data],$DD189,104),0)</f>
        <v/>
      </c>
      <c r="DC189">
        <f>IFERROR(INDEX(PP_Grid[#Data],$DD189,105),0)</f>
        <v/>
      </c>
      <c r="DD189" s="7">
        <f>IFERROR(MATCH($B189,PP_Grid[Intermediate],0),99999)</f>
        <v/>
      </c>
    </row>
    <row r="190">
      <c r="B190" t="inlineStr">
        <is>
          <t>使用量(kg)</t>
        </is>
      </c>
      <c r="C190">
        <f>SUMIFS(M_BOM[RM_Qty_Per_Batch],M_BOM[Intermediate],$B189,M_BOM[Part Name],$A44)</f>
        <v/>
      </c>
      <c r="D190">
        <f>$C190*D189</f>
        <v/>
      </c>
      <c r="E190">
        <f>$C190*E189</f>
        <v/>
      </c>
      <c r="F190">
        <f>$C190*F189</f>
        <v/>
      </c>
      <c r="G190">
        <f>$C190*G189</f>
        <v/>
      </c>
      <c r="H190">
        <f>$C190*H189</f>
        <v/>
      </c>
      <c r="I190">
        <f>$C190*I189</f>
        <v/>
      </c>
      <c r="J190">
        <f>$C190*J189</f>
        <v/>
      </c>
      <c r="K190">
        <f>$C190*K189</f>
        <v/>
      </c>
      <c r="L190">
        <f>$C190*L189</f>
        <v/>
      </c>
      <c r="M190">
        <f>$C190*M189</f>
        <v/>
      </c>
      <c r="N190">
        <f>$C190*N189</f>
        <v/>
      </c>
      <c r="O190">
        <f>$C190*O189</f>
        <v/>
      </c>
      <c r="P190">
        <f>$C190*P189</f>
        <v/>
      </c>
      <c r="Q190">
        <f>$C190*Q189</f>
        <v/>
      </c>
      <c r="R190">
        <f>$C190*R189</f>
        <v/>
      </c>
      <c r="S190">
        <f>$C190*S189</f>
        <v/>
      </c>
      <c r="T190">
        <f>$C190*T189</f>
        <v/>
      </c>
      <c r="U190">
        <f>$C190*U189</f>
        <v/>
      </c>
      <c r="V190">
        <f>$C190*V189</f>
        <v/>
      </c>
      <c r="W190">
        <f>$C190*W189</f>
        <v/>
      </c>
      <c r="X190">
        <f>$C190*X189</f>
        <v/>
      </c>
      <c r="Y190">
        <f>$C190*Y189</f>
        <v/>
      </c>
      <c r="Z190">
        <f>$C190*Z189</f>
        <v/>
      </c>
      <c r="AA190">
        <f>$C190*AA189</f>
        <v/>
      </c>
      <c r="AB190">
        <f>$C190*AB189</f>
        <v/>
      </c>
      <c r="AC190">
        <f>$C190*AC189</f>
        <v/>
      </c>
      <c r="AD190">
        <f>$C190*AD189</f>
        <v/>
      </c>
      <c r="AE190">
        <f>$C190*AE189</f>
        <v/>
      </c>
      <c r="AF190">
        <f>$C190*AF189</f>
        <v/>
      </c>
      <c r="AG190">
        <f>$C190*AG189</f>
        <v/>
      </c>
      <c r="AH190">
        <f>$C190*AH189</f>
        <v/>
      </c>
      <c r="AI190">
        <f>$C190*AI189</f>
        <v/>
      </c>
      <c r="AJ190">
        <f>$C190*AJ189</f>
        <v/>
      </c>
      <c r="AK190">
        <f>$C190*AK189</f>
        <v/>
      </c>
      <c r="AL190">
        <f>$C190*AL189</f>
        <v/>
      </c>
      <c r="AM190">
        <f>$C190*AM189</f>
        <v/>
      </c>
      <c r="AN190">
        <f>$C190*AN189</f>
        <v/>
      </c>
      <c r="AO190">
        <f>$C190*AO189</f>
        <v/>
      </c>
      <c r="AP190">
        <f>$C190*AP189</f>
        <v/>
      </c>
      <c r="AQ190">
        <f>$C190*AQ189</f>
        <v/>
      </c>
      <c r="AR190">
        <f>$C190*AR189</f>
        <v/>
      </c>
      <c r="AS190">
        <f>$C190*AS189</f>
        <v/>
      </c>
      <c r="AT190">
        <f>$C190*AT189</f>
        <v/>
      </c>
      <c r="AU190">
        <f>$C190*AU189</f>
        <v/>
      </c>
      <c r="AV190">
        <f>$C190*AV189</f>
        <v/>
      </c>
      <c r="AW190">
        <f>$C190*AW189</f>
        <v/>
      </c>
      <c r="AX190">
        <f>$C190*AX189</f>
        <v/>
      </c>
      <c r="AY190">
        <f>$C190*AY189</f>
        <v/>
      </c>
      <c r="AZ190">
        <f>$C190*AZ189</f>
        <v/>
      </c>
      <c r="BA190">
        <f>$C190*BA189</f>
        <v/>
      </c>
      <c r="BB190">
        <f>$C190*BB189</f>
        <v/>
      </c>
      <c r="BC190">
        <f>$C190*BC189</f>
        <v/>
      </c>
      <c r="BD190">
        <f>$C190*BD189</f>
        <v/>
      </c>
      <c r="BE190">
        <f>$C190*BE189</f>
        <v/>
      </c>
      <c r="BF190">
        <f>$C190*BF189</f>
        <v/>
      </c>
      <c r="BG190">
        <f>$C190*BG189</f>
        <v/>
      </c>
      <c r="BH190">
        <f>$C190*BH189</f>
        <v/>
      </c>
      <c r="BI190">
        <f>$C190*BI189</f>
        <v/>
      </c>
      <c r="BJ190">
        <f>$C190*BJ189</f>
        <v/>
      </c>
      <c r="BK190">
        <f>$C190*BK189</f>
        <v/>
      </c>
      <c r="BL190">
        <f>$C190*BL189</f>
        <v/>
      </c>
      <c r="BM190">
        <f>$C190*BM189</f>
        <v/>
      </c>
      <c r="BN190">
        <f>$C190*BN189</f>
        <v/>
      </c>
      <c r="BO190">
        <f>$C190*BO189</f>
        <v/>
      </c>
      <c r="BP190">
        <f>$C190*BP189</f>
        <v/>
      </c>
      <c r="BQ190">
        <f>$C190*BQ189</f>
        <v/>
      </c>
      <c r="BR190">
        <f>$C190*BR189</f>
        <v/>
      </c>
      <c r="BS190">
        <f>$C190*BS189</f>
        <v/>
      </c>
      <c r="BT190">
        <f>$C190*BT189</f>
        <v/>
      </c>
      <c r="BU190">
        <f>$C190*BU189</f>
        <v/>
      </c>
      <c r="BV190">
        <f>$C190*BV189</f>
        <v/>
      </c>
      <c r="BW190">
        <f>$C190*BW189</f>
        <v/>
      </c>
      <c r="BX190">
        <f>$C190*BX189</f>
        <v/>
      </c>
      <c r="BY190">
        <f>$C190*BY189</f>
        <v/>
      </c>
      <c r="BZ190">
        <f>$C190*BZ189</f>
        <v/>
      </c>
      <c r="CA190">
        <f>$C190*CA189</f>
        <v/>
      </c>
      <c r="CB190">
        <f>$C190*CB189</f>
        <v/>
      </c>
      <c r="CC190">
        <f>$C190*CC189</f>
        <v/>
      </c>
      <c r="CD190">
        <f>$C190*CD189</f>
        <v/>
      </c>
      <c r="CE190">
        <f>$C190*CE189</f>
        <v/>
      </c>
      <c r="CF190">
        <f>$C190*CF189</f>
        <v/>
      </c>
      <c r="CG190">
        <f>$C190*CG189</f>
        <v/>
      </c>
      <c r="CH190">
        <f>$C190*CH189</f>
        <v/>
      </c>
      <c r="CI190">
        <f>$C190*CI189</f>
        <v/>
      </c>
      <c r="CJ190">
        <f>$C190*CJ189</f>
        <v/>
      </c>
      <c r="CK190">
        <f>$C190*CK189</f>
        <v/>
      </c>
      <c r="CL190">
        <f>$C190*CL189</f>
        <v/>
      </c>
      <c r="CM190">
        <f>$C190*CM189</f>
        <v/>
      </c>
      <c r="CN190">
        <f>$C190*CN189</f>
        <v/>
      </c>
      <c r="CO190">
        <f>$C190*CO189</f>
        <v/>
      </c>
      <c r="CP190">
        <f>$C190*CP189</f>
        <v/>
      </c>
      <c r="CQ190">
        <f>$C190*CQ189</f>
        <v/>
      </c>
      <c r="CR190">
        <f>$C190*CR189</f>
        <v/>
      </c>
      <c r="CS190">
        <f>$C190*CS189</f>
        <v/>
      </c>
      <c r="CT190">
        <f>$C190*CT189</f>
        <v/>
      </c>
      <c r="CU190">
        <f>$C190*CU189</f>
        <v/>
      </c>
      <c r="CV190">
        <f>$C190*CV189</f>
        <v/>
      </c>
      <c r="CW190">
        <f>$C190*CW189</f>
        <v/>
      </c>
      <c r="CX190">
        <f>$C190*CX189</f>
        <v/>
      </c>
      <c r="CY190">
        <f>$C190*CY189</f>
        <v/>
      </c>
      <c r="CZ190">
        <f>$C190*CZ189</f>
        <v/>
      </c>
      <c r="DA190">
        <f>$C190*DA189</f>
        <v/>
      </c>
      <c r="DB190">
        <f>$C190*DB189</f>
        <v/>
      </c>
      <c r="DC190">
        <f>$C190*DC189</f>
        <v/>
      </c>
    </row>
    <row r="191">
      <c r="B191" t="inlineStr">
        <is>
          <t>VSP-822</t>
        </is>
      </c>
      <c r="C191" t="inlineStr">
        <is>
          <t>No. of batches</t>
        </is>
      </c>
      <c r="D191">
        <f>IFERROR(INDEX(PP_Grid[#Data],$DD191,2),0)</f>
        <v/>
      </c>
      <c r="E191">
        <f>IFERROR(INDEX(PP_Grid[#Data],$DD191,3),0)</f>
        <v/>
      </c>
      <c r="F191">
        <f>IFERROR(INDEX(PP_Grid[#Data],$DD191,4),0)</f>
        <v/>
      </c>
      <c r="G191">
        <f>IFERROR(INDEX(PP_Grid[#Data],$DD191,5),0)</f>
        <v/>
      </c>
      <c r="H191">
        <f>IFERROR(INDEX(PP_Grid[#Data],$DD191,6),0)</f>
        <v/>
      </c>
      <c r="I191">
        <f>IFERROR(INDEX(PP_Grid[#Data],$DD191,7),0)</f>
        <v/>
      </c>
      <c r="J191">
        <f>IFERROR(INDEX(PP_Grid[#Data],$DD191,8),0)</f>
        <v/>
      </c>
      <c r="K191">
        <f>IFERROR(INDEX(PP_Grid[#Data],$DD191,9),0)</f>
        <v/>
      </c>
      <c r="L191">
        <f>IFERROR(INDEX(PP_Grid[#Data],$DD191,10),0)</f>
        <v/>
      </c>
      <c r="M191">
        <f>IFERROR(INDEX(PP_Grid[#Data],$DD191,11),0)</f>
        <v/>
      </c>
      <c r="N191">
        <f>IFERROR(INDEX(PP_Grid[#Data],$DD191,12),0)</f>
        <v/>
      </c>
      <c r="O191">
        <f>IFERROR(INDEX(PP_Grid[#Data],$DD191,13),0)</f>
        <v/>
      </c>
      <c r="P191">
        <f>IFERROR(INDEX(PP_Grid[#Data],$DD191,14),0)</f>
        <v/>
      </c>
      <c r="Q191">
        <f>IFERROR(INDEX(PP_Grid[#Data],$DD191,15),0)</f>
        <v/>
      </c>
      <c r="R191">
        <f>IFERROR(INDEX(PP_Grid[#Data],$DD191,16),0)</f>
        <v/>
      </c>
      <c r="S191">
        <f>IFERROR(INDEX(PP_Grid[#Data],$DD191,17),0)</f>
        <v/>
      </c>
      <c r="T191">
        <f>IFERROR(INDEX(PP_Grid[#Data],$DD191,18),0)</f>
        <v/>
      </c>
      <c r="U191">
        <f>IFERROR(INDEX(PP_Grid[#Data],$DD191,19),0)</f>
        <v/>
      </c>
      <c r="V191">
        <f>IFERROR(INDEX(PP_Grid[#Data],$DD191,20),0)</f>
        <v/>
      </c>
      <c r="W191">
        <f>IFERROR(INDEX(PP_Grid[#Data],$DD191,21),0)</f>
        <v/>
      </c>
      <c r="X191">
        <f>IFERROR(INDEX(PP_Grid[#Data],$DD191,22),0)</f>
        <v/>
      </c>
      <c r="Y191">
        <f>IFERROR(INDEX(PP_Grid[#Data],$DD191,23),0)</f>
        <v/>
      </c>
      <c r="Z191">
        <f>IFERROR(INDEX(PP_Grid[#Data],$DD191,24),0)</f>
        <v/>
      </c>
      <c r="AA191">
        <f>IFERROR(INDEX(PP_Grid[#Data],$DD191,25),0)</f>
        <v/>
      </c>
      <c r="AB191">
        <f>IFERROR(INDEX(PP_Grid[#Data],$DD191,26),0)</f>
        <v/>
      </c>
      <c r="AC191">
        <f>IFERROR(INDEX(PP_Grid[#Data],$DD191,27),0)</f>
        <v/>
      </c>
      <c r="AD191">
        <f>IFERROR(INDEX(PP_Grid[#Data],$DD191,28),0)</f>
        <v/>
      </c>
      <c r="AE191">
        <f>IFERROR(INDEX(PP_Grid[#Data],$DD191,29),0)</f>
        <v/>
      </c>
      <c r="AF191">
        <f>IFERROR(INDEX(PP_Grid[#Data],$DD191,30),0)</f>
        <v/>
      </c>
      <c r="AG191">
        <f>IFERROR(INDEX(PP_Grid[#Data],$DD191,31),0)</f>
        <v/>
      </c>
      <c r="AH191">
        <f>IFERROR(INDEX(PP_Grid[#Data],$DD191,32),0)</f>
        <v/>
      </c>
      <c r="AI191">
        <f>IFERROR(INDEX(PP_Grid[#Data],$DD191,33),0)</f>
        <v/>
      </c>
      <c r="AJ191">
        <f>IFERROR(INDEX(PP_Grid[#Data],$DD191,34),0)</f>
        <v/>
      </c>
      <c r="AK191">
        <f>IFERROR(INDEX(PP_Grid[#Data],$DD191,35),0)</f>
        <v/>
      </c>
      <c r="AL191">
        <f>IFERROR(INDEX(PP_Grid[#Data],$DD191,36),0)</f>
        <v/>
      </c>
      <c r="AM191">
        <f>IFERROR(INDEX(PP_Grid[#Data],$DD191,37),0)</f>
        <v/>
      </c>
      <c r="AN191">
        <f>IFERROR(INDEX(PP_Grid[#Data],$DD191,38),0)</f>
        <v/>
      </c>
      <c r="AO191">
        <f>IFERROR(INDEX(PP_Grid[#Data],$DD191,39),0)</f>
        <v/>
      </c>
      <c r="AP191">
        <f>IFERROR(INDEX(PP_Grid[#Data],$DD191,40),0)</f>
        <v/>
      </c>
      <c r="AQ191">
        <f>IFERROR(INDEX(PP_Grid[#Data],$DD191,41),0)</f>
        <v/>
      </c>
      <c r="AR191">
        <f>IFERROR(INDEX(PP_Grid[#Data],$DD191,42),0)</f>
        <v/>
      </c>
      <c r="AS191">
        <f>IFERROR(INDEX(PP_Grid[#Data],$DD191,43),0)</f>
        <v/>
      </c>
      <c r="AT191">
        <f>IFERROR(INDEX(PP_Grid[#Data],$DD191,44),0)</f>
        <v/>
      </c>
      <c r="AU191">
        <f>IFERROR(INDEX(PP_Grid[#Data],$DD191,45),0)</f>
        <v/>
      </c>
      <c r="AV191">
        <f>IFERROR(INDEX(PP_Grid[#Data],$DD191,46),0)</f>
        <v/>
      </c>
      <c r="AW191">
        <f>IFERROR(INDEX(PP_Grid[#Data],$DD191,47),0)</f>
        <v/>
      </c>
      <c r="AX191">
        <f>IFERROR(INDEX(PP_Grid[#Data],$DD191,48),0)</f>
        <v/>
      </c>
      <c r="AY191">
        <f>IFERROR(INDEX(PP_Grid[#Data],$DD191,49),0)</f>
        <v/>
      </c>
      <c r="AZ191">
        <f>IFERROR(INDEX(PP_Grid[#Data],$DD191,50),0)</f>
        <v/>
      </c>
      <c r="BA191">
        <f>IFERROR(INDEX(PP_Grid[#Data],$DD191,51),0)</f>
        <v/>
      </c>
      <c r="BB191">
        <f>IFERROR(INDEX(PP_Grid[#Data],$DD191,52),0)</f>
        <v/>
      </c>
      <c r="BC191">
        <f>IFERROR(INDEX(PP_Grid[#Data],$DD191,53),0)</f>
        <v/>
      </c>
      <c r="BD191">
        <f>IFERROR(INDEX(PP_Grid[#Data],$DD191,54),0)</f>
        <v/>
      </c>
      <c r="BE191">
        <f>IFERROR(INDEX(PP_Grid[#Data],$DD191,55),0)</f>
        <v/>
      </c>
      <c r="BF191">
        <f>IFERROR(INDEX(PP_Grid[#Data],$DD191,56),0)</f>
        <v/>
      </c>
      <c r="BG191">
        <f>IFERROR(INDEX(PP_Grid[#Data],$DD191,57),0)</f>
        <v/>
      </c>
      <c r="BH191">
        <f>IFERROR(INDEX(PP_Grid[#Data],$DD191,58),0)</f>
        <v/>
      </c>
      <c r="BI191">
        <f>IFERROR(INDEX(PP_Grid[#Data],$DD191,59),0)</f>
        <v/>
      </c>
      <c r="BJ191">
        <f>IFERROR(INDEX(PP_Grid[#Data],$DD191,60),0)</f>
        <v/>
      </c>
      <c r="BK191">
        <f>IFERROR(INDEX(PP_Grid[#Data],$DD191,61),0)</f>
        <v/>
      </c>
      <c r="BL191">
        <f>IFERROR(INDEX(PP_Grid[#Data],$DD191,62),0)</f>
        <v/>
      </c>
      <c r="BM191">
        <f>IFERROR(INDEX(PP_Grid[#Data],$DD191,63),0)</f>
        <v/>
      </c>
      <c r="BN191">
        <f>IFERROR(INDEX(PP_Grid[#Data],$DD191,64),0)</f>
        <v/>
      </c>
      <c r="BO191">
        <f>IFERROR(INDEX(PP_Grid[#Data],$DD191,65),0)</f>
        <v/>
      </c>
      <c r="BP191">
        <f>IFERROR(INDEX(PP_Grid[#Data],$DD191,66),0)</f>
        <v/>
      </c>
      <c r="BQ191">
        <f>IFERROR(INDEX(PP_Grid[#Data],$DD191,67),0)</f>
        <v/>
      </c>
      <c r="BR191">
        <f>IFERROR(INDEX(PP_Grid[#Data],$DD191,68),0)</f>
        <v/>
      </c>
      <c r="BS191">
        <f>IFERROR(INDEX(PP_Grid[#Data],$DD191,69),0)</f>
        <v/>
      </c>
      <c r="BT191">
        <f>IFERROR(INDEX(PP_Grid[#Data],$DD191,70),0)</f>
        <v/>
      </c>
      <c r="BU191">
        <f>IFERROR(INDEX(PP_Grid[#Data],$DD191,71),0)</f>
        <v/>
      </c>
      <c r="BV191">
        <f>IFERROR(INDEX(PP_Grid[#Data],$DD191,72),0)</f>
        <v/>
      </c>
      <c r="BW191">
        <f>IFERROR(INDEX(PP_Grid[#Data],$DD191,73),0)</f>
        <v/>
      </c>
      <c r="BX191">
        <f>IFERROR(INDEX(PP_Grid[#Data],$DD191,74),0)</f>
        <v/>
      </c>
      <c r="BY191">
        <f>IFERROR(INDEX(PP_Grid[#Data],$DD191,75),0)</f>
        <v/>
      </c>
      <c r="BZ191">
        <f>IFERROR(INDEX(PP_Grid[#Data],$DD191,76),0)</f>
        <v/>
      </c>
      <c r="CA191">
        <f>IFERROR(INDEX(PP_Grid[#Data],$DD191,77),0)</f>
        <v/>
      </c>
      <c r="CB191">
        <f>IFERROR(INDEX(PP_Grid[#Data],$DD191,78),0)</f>
        <v/>
      </c>
      <c r="CC191">
        <f>IFERROR(INDEX(PP_Grid[#Data],$DD191,79),0)</f>
        <v/>
      </c>
      <c r="CD191">
        <f>IFERROR(INDEX(PP_Grid[#Data],$DD191,80),0)</f>
        <v/>
      </c>
      <c r="CE191">
        <f>IFERROR(INDEX(PP_Grid[#Data],$DD191,81),0)</f>
        <v/>
      </c>
      <c r="CF191">
        <f>IFERROR(INDEX(PP_Grid[#Data],$DD191,82),0)</f>
        <v/>
      </c>
      <c r="CG191">
        <f>IFERROR(INDEX(PP_Grid[#Data],$DD191,83),0)</f>
        <v/>
      </c>
      <c r="CH191">
        <f>IFERROR(INDEX(PP_Grid[#Data],$DD191,84),0)</f>
        <v/>
      </c>
      <c r="CI191">
        <f>IFERROR(INDEX(PP_Grid[#Data],$DD191,85),0)</f>
        <v/>
      </c>
      <c r="CJ191">
        <f>IFERROR(INDEX(PP_Grid[#Data],$DD191,86),0)</f>
        <v/>
      </c>
      <c r="CK191">
        <f>IFERROR(INDEX(PP_Grid[#Data],$DD191,87),0)</f>
        <v/>
      </c>
      <c r="CL191">
        <f>IFERROR(INDEX(PP_Grid[#Data],$DD191,88),0)</f>
        <v/>
      </c>
      <c r="CM191">
        <f>IFERROR(INDEX(PP_Grid[#Data],$DD191,89),0)</f>
        <v/>
      </c>
      <c r="CN191">
        <f>IFERROR(INDEX(PP_Grid[#Data],$DD191,90),0)</f>
        <v/>
      </c>
      <c r="CO191">
        <f>IFERROR(INDEX(PP_Grid[#Data],$DD191,91),0)</f>
        <v/>
      </c>
      <c r="CP191">
        <f>IFERROR(INDEX(PP_Grid[#Data],$DD191,92),0)</f>
        <v/>
      </c>
      <c r="CQ191">
        <f>IFERROR(INDEX(PP_Grid[#Data],$DD191,93),0)</f>
        <v/>
      </c>
      <c r="CR191">
        <f>IFERROR(INDEX(PP_Grid[#Data],$DD191,94),0)</f>
        <v/>
      </c>
      <c r="CS191">
        <f>IFERROR(INDEX(PP_Grid[#Data],$DD191,95),0)</f>
        <v/>
      </c>
      <c r="CT191">
        <f>IFERROR(INDEX(PP_Grid[#Data],$DD191,96),0)</f>
        <v/>
      </c>
      <c r="CU191">
        <f>IFERROR(INDEX(PP_Grid[#Data],$DD191,97),0)</f>
        <v/>
      </c>
      <c r="CV191">
        <f>IFERROR(INDEX(PP_Grid[#Data],$DD191,98),0)</f>
        <v/>
      </c>
      <c r="CW191">
        <f>IFERROR(INDEX(PP_Grid[#Data],$DD191,99),0)</f>
        <v/>
      </c>
      <c r="CX191">
        <f>IFERROR(INDEX(PP_Grid[#Data],$DD191,100),0)</f>
        <v/>
      </c>
      <c r="CY191">
        <f>IFERROR(INDEX(PP_Grid[#Data],$DD191,101),0)</f>
        <v/>
      </c>
      <c r="CZ191">
        <f>IFERROR(INDEX(PP_Grid[#Data],$DD191,102),0)</f>
        <v/>
      </c>
      <c r="DA191">
        <f>IFERROR(INDEX(PP_Grid[#Data],$DD191,103),0)</f>
        <v/>
      </c>
      <c r="DB191">
        <f>IFERROR(INDEX(PP_Grid[#Data],$DD191,104),0)</f>
        <v/>
      </c>
      <c r="DC191">
        <f>IFERROR(INDEX(PP_Grid[#Data],$DD191,105),0)</f>
        <v/>
      </c>
      <c r="DD191" s="7">
        <f>IFERROR(MATCH($B191,PP_Grid[Intermediate],0),99999)</f>
        <v/>
      </c>
    </row>
    <row r="192">
      <c r="B192" t="inlineStr">
        <is>
          <t>使用量(kg)</t>
        </is>
      </c>
      <c r="C192">
        <f>SUMIFS(M_BOM[RM_Qty_Per_Batch],M_BOM[Intermediate],$B191,M_BOM[Part Name],$A44)</f>
        <v/>
      </c>
      <c r="D192">
        <f>$C192*D191</f>
        <v/>
      </c>
      <c r="E192">
        <f>$C192*E191</f>
        <v/>
      </c>
      <c r="F192">
        <f>$C192*F191</f>
        <v/>
      </c>
      <c r="G192">
        <f>$C192*G191</f>
        <v/>
      </c>
      <c r="H192">
        <f>$C192*H191</f>
        <v/>
      </c>
      <c r="I192">
        <f>$C192*I191</f>
        <v/>
      </c>
      <c r="J192">
        <f>$C192*J191</f>
        <v/>
      </c>
      <c r="K192">
        <f>$C192*K191</f>
        <v/>
      </c>
      <c r="L192">
        <f>$C192*L191</f>
        <v/>
      </c>
      <c r="M192">
        <f>$C192*M191</f>
        <v/>
      </c>
      <c r="N192">
        <f>$C192*N191</f>
        <v/>
      </c>
      <c r="O192">
        <f>$C192*O191</f>
        <v/>
      </c>
      <c r="P192">
        <f>$C192*P191</f>
        <v/>
      </c>
      <c r="Q192">
        <f>$C192*Q191</f>
        <v/>
      </c>
      <c r="R192">
        <f>$C192*R191</f>
        <v/>
      </c>
      <c r="S192">
        <f>$C192*S191</f>
        <v/>
      </c>
      <c r="T192">
        <f>$C192*T191</f>
        <v/>
      </c>
      <c r="U192">
        <f>$C192*U191</f>
        <v/>
      </c>
      <c r="V192">
        <f>$C192*V191</f>
        <v/>
      </c>
      <c r="W192">
        <f>$C192*W191</f>
        <v/>
      </c>
      <c r="X192">
        <f>$C192*X191</f>
        <v/>
      </c>
      <c r="Y192">
        <f>$C192*Y191</f>
        <v/>
      </c>
      <c r="Z192">
        <f>$C192*Z191</f>
        <v/>
      </c>
      <c r="AA192">
        <f>$C192*AA191</f>
        <v/>
      </c>
      <c r="AB192">
        <f>$C192*AB191</f>
        <v/>
      </c>
      <c r="AC192">
        <f>$C192*AC191</f>
        <v/>
      </c>
      <c r="AD192">
        <f>$C192*AD191</f>
        <v/>
      </c>
      <c r="AE192">
        <f>$C192*AE191</f>
        <v/>
      </c>
      <c r="AF192">
        <f>$C192*AF191</f>
        <v/>
      </c>
      <c r="AG192">
        <f>$C192*AG191</f>
        <v/>
      </c>
      <c r="AH192">
        <f>$C192*AH191</f>
        <v/>
      </c>
      <c r="AI192">
        <f>$C192*AI191</f>
        <v/>
      </c>
      <c r="AJ192">
        <f>$C192*AJ191</f>
        <v/>
      </c>
      <c r="AK192">
        <f>$C192*AK191</f>
        <v/>
      </c>
      <c r="AL192">
        <f>$C192*AL191</f>
        <v/>
      </c>
      <c r="AM192">
        <f>$C192*AM191</f>
        <v/>
      </c>
      <c r="AN192">
        <f>$C192*AN191</f>
        <v/>
      </c>
      <c r="AO192">
        <f>$C192*AO191</f>
        <v/>
      </c>
      <c r="AP192">
        <f>$C192*AP191</f>
        <v/>
      </c>
      <c r="AQ192">
        <f>$C192*AQ191</f>
        <v/>
      </c>
      <c r="AR192">
        <f>$C192*AR191</f>
        <v/>
      </c>
      <c r="AS192">
        <f>$C192*AS191</f>
        <v/>
      </c>
      <c r="AT192">
        <f>$C192*AT191</f>
        <v/>
      </c>
      <c r="AU192">
        <f>$C192*AU191</f>
        <v/>
      </c>
      <c r="AV192">
        <f>$C192*AV191</f>
        <v/>
      </c>
      <c r="AW192">
        <f>$C192*AW191</f>
        <v/>
      </c>
      <c r="AX192">
        <f>$C192*AX191</f>
        <v/>
      </c>
      <c r="AY192">
        <f>$C192*AY191</f>
        <v/>
      </c>
      <c r="AZ192">
        <f>$C192*AZ191</f>
        <v/>
      </c>
      <c r="BA192">
        <f>$C192*BA191</f>
        <v/>
      </c>
      <c r="BB192">
        <f>$C192*BB191</f>
        <v/>
      </c>
      <c r="BC192">
        <f>$C192*BC191</f>
        <v/>
      </c>
      <c r="BD192">
        <f>$C192*BD191</f>
        <v/>
      </c>
      <c r="BE192">
        <f>$C192*BE191</f>
        <v/>
      </c>
      <c r="BF192">
        <f>$C192*BF191</f>
        <v/>
      </c>
      <c r="BG192">
        <f>$C192*BG191</f>
        <v/>
      </c>
      <c r="BH192">
        <f>$C192*BH191</f>
        <v/>
      </c>
      <c r="BI192">
        <f>$C192*BI191</f>
        <v/>
      </c>
      <c r="BJ192">
        <f>$C192*BJ191</f>
        <v/>
      </c>
      <c r="BK192">
        <f>$C192*BK191</f>
        <v/>
      </c>
      <c r="BL192">
        <f>$C192*BL191</f>
        <v/>
      </c>
      <c r="BM192">
        <f>$C192*BM191</f>
        <v/>
      </c>
      <c r="BN192">
        <f>$C192*BN191</f>
        <v/>
      </c>
      <c r="BO192">
        <f>$C192*BO191</f>
        <v/>
      </c>
      <c r="BP192">
        <f>$C192*BP191</f>
        <v/>
      </c>
      <c r="BQ192">
        <f>$C192*BQ191</f>
        <v/>
      </c>
      <c r="BR192">
        <f>$C192*BR191</f>
        <v/>
      </c>
      <c r="BS192">
        <f>$C192*BS191</f>
        <v/>
      </c>
      <c r="BT192">
        <f>$C192*BT191</f>
        <v/>
      </c>
      <c r="BU192">
        <f>$C192*BU191</f>
        <v/>
      </c>
      <c r="BV192">
        <f>$C192*BV191</f>
        <v/>
      </c>
      <c r="BW192">
        <f>$C192*BW191</f>
        <v/>
      </c>
      <c r="BX192">
        <f>$C192*BX191</f>
        <v/>
      </c>
      <c r="BY192">
        <f>$C192*BY191</f>
        <v/>
      </c>
      <c r="BZ192">
        <f>$C192*BZ191</f>
        <v/>
      </c>
      <c r="CA192">
        <f>$C192*CA191</f>
        <v/>
      </c>
      <c r="CB192">
        <f>$C192*CB191</f>
        <v/>
      </c>
      <c r="CC192">
        <f>$C192*CC191</f>
        <v/>
      </c>
      <c r="CD192">
        <f>$C192*CD191</f>
        <v/>
      </c>
      <c r="CE192">
        <f>$C192*CE191</f>
        <v/>
      </c>
      <c r="CF192">
        <f>$C192*CF191</f>
        <v/>
      </c>
      <c r="CG192">
        <f>$C192*CG191</f>
        <v/>
      </c>
      <c r="CH192">
        <f>$C192*CH191</f>
        <v/>
      </c>
      <c r="CI192">
        <f>$C192*CI191</f>
        <v/>
      </c>
      <c r="CJ192">
        <f>$C192*CJ191</f>
        <v/>
      </c>
      <c r="CK192">
        <f>$C192*CK191</f>
        <v/>
      </c>
      <c r="CL192">
        <f>$C192*CL191</f>
        <v/>
      </c>
      <c r="CM192">
        <f>$C192*CM191</f>
        <v/>
      </c>
      <c r="CN192">
        <f>$C192*CN191</f>
        <v/>
      </c>
      <c r="CO192">
        <f>$C192*CO191</f>
        <v/>
      </c>
      <c r="CP192">
        <f>$C192*CP191</f>
        <v/>
      </c>
      <c r="CQ192">
        <f>$C192*CQ191</f>
        <v/>
      </c>
      <c r="CR192">
        <f>$C192*CR191</f>
        <v/>
      </c>
      <c r="CS192">
        <f>$C192*CS191</f>
        <v/>
      </c>
      <c r="CT192">
        <f>$C192*CT191</f>
        <v/>
      </c>
      <c r="CU192">
        <f>$C192*CU191</f>
        <v/>
      </c>
      <c r="CV192">
        <f>$C192*CV191</f>
        <v/>
      </c>
      <c r="CW192">
        <f>$C192*CW191</f>
        <v/>
      </c>
      <c r="CX192">
        <f>$C192*CX191</f>
        <v/>
      </c>
      <c r="CY192">
        <f>$C192*CY191</f>
        <v/>
      </c>
      <c r="CZ192">
        <f>$C192*CZ191</f>
        <v/>
      </c>
      <c r="DA192">
        <f>$C192*DA191</f>
        <v/>
      </c>
      <c r="DB192">
        <f>$C192*DB191</f>
        <v/>
      </c>
      <c r="DC192">
        <f>$C192*DC191</f>
        <v/>
      </c>
    </row>
    <row r="193">
      <c r="B193" t="inlineStr">
        <is>
          <t>VSP-869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7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Name],$A44)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t="inlineStr">
        <is>
          <t>VSP-870</t>
        </is>
      </c>
      <c r="C195" t="inlineStr">
        <is>
          <t>No. of batches</t>
        </is>
      </c>
      <c r="D195">
        <f>IFERROR(INDEX(PP_Grid[#Data],$DD195,2),0)</f>
        <v/>
      </c>
      <c r="E195">
        <f>IFERROR(INDEX(PP_Grid[#Data],$DD195,3),0)</f>
        <v/>
      </c>
      <c r="F195">
        <f>IFERROR(INDEX(PP_Grid[#Data],$DD195,4),0)</f>
        <v/>
      </c>
      <c r="G195">
        <f>IFERROR(INDEX(PP_Grid[#Data],$DD195,5),0)</f>
        <v/>
      </c>
      <c r="H195">
        <f>IFERROR(INDEX(PP_Grid[#Data],$DD195,6),0)</f>
        <v/>
      </c>
      <c r="I195">
        <f>IFERROR(INDEX(PP_Grid[#Data],$DD195,7),0)</f>
        <v/>
      </c>
      <c r="J195">
        <f>IFERROR(INDEX(PP_Grid[#Data],$DD195,8),0)</f>
        <v/>
      </c>
      <c r="K195">
        <f>IFERROR(INDEX(PP_Grid[#Data],$DD195,9),0)</f>
        <v/>
      </c>
      <c r="L195">
        <f>IFERROR(INDEX(PP_Grid[#Data],$DD195,10),0)</f>
        <v/>
      </c>
      <c r="M195">
        <f>IFERROR(INDEX(PP_Grid[#Data],$DD195,11),0)</f>
        <v/>
      </c>
      <c r="N195">
        <f>IFERROR(INDEX(PP_Grid[#Data],$DD195,12),0)</f>
        <v/>
      </c>
      <c r="O195">
        <f>IFERROR(INDEX(PP_Grid[#Data],$DD195,13),0)</f>
        <v/>
      </c>
      <c r="P195">
        <f>IFERROR(INDEX(PP_Grid[#Data],$DD195,14),0)</f>
        <v/>
      </c>
      <c r="Q195">
        <f>IFERROR(INDEX(PP_Grid[#Data],$DD195,15),0)</f>
        <v/>
      </c>
      <c r="R195">
        <f>IFERROR(INDEX(PP_Grid[#Data],$DD195,16),0)</f>
        <v/>
      </c>
      <c r="S195">
        <f>IFERROR(INDEX(PP_Grid[#Data],$DD195,17),0)</f>
        <v/>
      </c>
      <c r="T195">
        <f>IFERROR(INDEX(PP_Grid[#Data],$DD195,18),0)</f>
        <v/>
      </c>
      <c r="U195">
        <f>IFERROR(INDEX(PP_Grid[#Data],$DD195,19),0)</f>
        <v/>
      </c>
      <c r="V195">
        <f>IFERROR(INDEX(PP_Grid[#Data],$DD195,20),0)</f>
        <v/>
      </c>
      <c r="W195">
        <f>IFERROR(INDEX(PP_Grid[#Data],$DD195,21),0)</f>
        <v/>
      </c>
      <c r="X195">
        <f>IFERROR(INDEX(PP_Grid[#Data],$DD195,22),0)</f>
        <v/>
      </c>
      <c r="Y195">
        <f>IFERROR(INDEX(PP_Grid[#Data],$DD195,23),0)</f>
        <v/>
      </c>
      <c r="Z195">
        <f>IFERROR(INDEX(PP_Grid[#Data],$DD195,24),0)</f>
        <v/>
      </c>
      <c r="AA195">
        <f>IFERROR(INDEX(PP_Grid[#Data],$DD195,25),0)</f>
        <v/>
      </c>
      <c r="AB195">
        <f>IFERROR(INDEX(PP_Grid[#Data],$DD195,26),0)</f>
        <v/>
      </c>
      <c r="AC195">
        <f>IFERROR(INDEX(PP_Grid[#Data],$DD195,27),0)</f>
        <v/>
      </c>
      <c r="AD195">
        <f>IFERROR(INDEX(PP_Grid[#Data],$DD195,28),0)</f>
        <v/>
      </c>
      <c r="AE195">
        <f>IFERROR(INDEX(PP_Grid[#Data],$DD195,29),0)</f>
        <v/>
      </c>
      <c r="AF195">
        <f>IFERROR(INDEX(PP_Grid[#Data],$DD195,30),0)</f>
        <v/>
      </c>
      <c r="AG195">
        <f>IFERROR(INDEX(PP_Grid[#Data],$DD195,31),0)</f>
        <v/>
      </c>
      <c r="AH195">
        <f>IFERROR(INDEX(PP_Grid[#Data],$DD195,32),0)</f>
        <v/>
      </c>
      <c r="AI195">
        <f>IFERROR(INDEX(PP_Grid[#Data],$DD195,33),0)</f>
        <v/>
      </c>
      <c r="AJ195">
        <f>IFERROR(INDEX(PP_Grid[#Data],$DD195,34),0)</f>
        <v/>
      </c>
      <c r="AK195">
        <f>IFERROR(INDEX(PP_Grid[#Data],$DD195,35),0)</f>
        <v/>
      </c>
      <c r="AL195">
        <f>IFERROR(INDEX(PP_Grid[#Data],$DD195,36),0)</f>
        <v/>
      </c>
      <c r="AM195">
        <f>IFERROR(INDEX(PP_Grid[#Data],$DD195,37),0)</f>
        <v/>
      </c>
      <c r="AN195">
        <f>IFERROR(INDEX(PP_Grid[#Data],$DD195,38),0)</f>
        <v/>
      </c>
      <c r="AO195">
        <f>IFERROR(INDEX(PP_Grid[#Data],$DD195,39),0)</f>
        <v/>
      </c>
      <c r="AP195">
        <f>IFERROR(INDEX(PP_Grid[#Data],$DD195,40),0)</f>
        <v/>
      </c>
      <c r="AQ195">
        <f>IFERROR(INDEX(PP_Grid[#Data],$DD195,41),0)</f>
        <v/>
      </c>
      <c r="AR195">
        <f>IFERROR(INDEX(PP_Grid[#Data],$DD195,42),0)</f>
        <v/>
      </c>
      <c r="AS195">
        <f>IFERROR(INDEX(PP_Grid[#Data],$DD195,43),0)</f>
        <v/>
      </c>
      <c r="AT195">
        <f>IFERROR(INDEX(PP_Grid[#Data],$DD195,44),0)</f>
        <v/>
      </c>
      <c r="AU195">
        <f>IFERROR(INDEX(PP_Grid[#Data],$DD195,45),0)</f>
        <v/>
      </c>
      <c r="AV195">
        <f>IFERROR(INDEX(PP_Grid[#Data],$DD195,46),0)</f>
        <v/>
      </c>
      <c r="AW195">
        <f>IFERROR(INDEX(PP_Grid[#Data],$DD195,47),0)</f>
        <v/>
      </c>
      <c r="AX195">
        <f>IFERROR(INDEX(PP_Grid[#Data],$DD195,48),0)</f>
        <v/>
      </c>
      <c r="AY195">
        <f>IFERROR(INDEX(PP_Grid[#Data],$DD195,49),0)</f>
        <v/>
      </c>
      <c r="AZ195">
        <f>IFERROR(INDEX(PP_Grid[#Data],$DD195,50),0)</f>
        <v/>
      </c>
      <c r="BA195">
        <f>IFERROR(INDEX(PP_Grid[#Data],$DD195,51),0)</f>
        <v/>
      </c>
      <c r="BB195">
        <f>IFERROR(INDEX(PP_Grid[#Data],$DD195,52),0)</f>
        <v/>
      </c>
      <c r="BC195">
        <f>IFERROR(INDEX(PP_Grid[#Data],$DD195,53),0)</f>
        <v/>
      </c>
      <c r="BD195">
        <f>IFERROR(INDEX(PP_Grid[#Data],$DD195,54),0)</f>
        <v/>
      </c>
      <c r="BE195">
        <f>IFERROR(INDEX(PP_Grid[#Data],$DD195,55),0)</f>
        <v/>
      </c>
      <c r="BF195">
        <f>IFERROR(INDEX(PP_Grid[#Data],$DD195,56),0)</f>
        <v/>
      </c>
      <c r="BG195">
        <f>IFERROR(INDEX(PP_Grid[#Data],$DD195,57),0)</f>
        <v/>
      </c>
      <c r="BH195">
        <f>IFERROR(INDEX(PP_Grid[#Data],$DD195,58),0)</f>
        <v/>
      </c>
      <c r="BI195">
        <f>IFERROR(INDEX(PP_Grid[#Data],$DD195,59),0)</f>
        <v/>
      </c>
      <c r="BJ195">
        <f>IFERROR(INDEX(PP_Grid[#Data],$DD195,60),0)</f>
        <v/>
      </c>
      <c r="BK195">
        <f>IFERROR(INDEX(PP_Grid[#Data],$DD195,61),0)</f>
        <v/>
      </c>
      <c r="BL195">
        <f>IFERROR(INDEX(PP_Grid[#Data],$DD195,62),0)</f>
        <v/>
      </c>
      <c r="BM195">
        <f>IFERROR(INDEX(PP_Grid[#Data],$DD195,63),0)</f>
        <v/>
      </c>
      <c r="BN195">
        <f>IFERROR(INDEX(PP_Grid[#Data],$DD195,64),0)</f>
        <v/>
      </c>
      <c r="BO195">
        <f>IFERROR(INDEX(PP_Grid[#Data],$DD195,65),0)</f>
        <v/>
      </c>
      <c r="BP195">
        <f>IFERROR(INDEX(PP_Grid[#Data],$DD195,66),0)</f>
        <v/>
      </c>
      <c r="BQ195">
        <f>IFERROR(INDEX(PP_Grid[#Data],$DD195,67),0)</f>
        <v/>
      </c>
      <c r="BR195">
        <f>IFERROR(INDEX(PP_Grid[#Data],$DD195,68),0)</f>
        <v/>
      </c>
      <c r="BS195">
        <f>IFERROR(INDEX(PP_Grid[#Data],$DD195,69),0)</f>
        <v/>
      </c>
      <c r="BT195">
        <f>IFERROR(INDEX(PP_Grid[#Data],$DD195,70),0)</f>
        <v/>
      </c>
      <c r="BU195">
        <f>IFERROR(INDEX(PP_Grid[#Data],$DD195,71),0)</f>
        <v/>
      </c>
      <c r="BV195">
        <f>IFERROR(INDEX(PP_Grid[#Data],$DD195,72),0)</f>
        <v/>
      </c>
      <c r="BW195">
        <f>IFERROR(INDEX(PP_Grid[#Data],$DD195,73),0)</f>
        <v/>
      </c>
      <c r="BX195">
        <f>IFERROR(INDEX(PP_Grid[#Data],$DD195,74),0)</f>
        <v/>
      </c>
      <c r="BY195">
        <f>IFERROR(INDEX(PP_Grid[#Data],$DD195,75),0)</f>
        <v/>
      </c>
      <c r="BZ195">
        <f>IFERROR(INDEX(PP_Grid[#Data],$DD195,76),0)</f>
        <v/>
      </c>
      <c r="CA195">
        <f>IFERROR(INDEX(PP_Grid[#Data],$DD195,77),0)</f>
        <v/>
      </c>
      <c r="CB195">
        <f>IFERROR(INDEX(PP_Grid[#Data],$DD195,78),0)</f>
        <v/>
      </c>
      <c r="CC195">
        <f>IFERROR(INDEX(PP_Grid[#Data],$DD195,79),0)</f>
        <v/>
      </c>
      <c r="CD195">
        <f>IFERROR(INDEX(PP_Grid[#Data],$DD195,80),0)</f>
        <v/>
      </c>
      <c r="CE195">
        <f>IFERROR(INDEX(PP_Grid[#Data],$DD195,81),0)</f>
        <v/>
      </c>
      <c r="CF195">
        <f>IFERROR(INDEX(PP_Grid[#Data],$DD195,82),0)</f>
        <v/>
      </c>
      <c r="CG195">
        <f>IFERROR(INDEX(PP_Grid[#Data],$DD195,83),0)</f>
        <v/>
      </c>
      <c r="CH195">
        <f>IFERROR(INDEX(PP_Grid[#Data],$DD195,84),0)</f>
        <v/>
      </c>
      <c r="CI195">
        <f>IFERROR(INDEX(PP_Grid[#Data],$DD195,85),0)</f>
        <v/>
      </c>
      <c r="CJ195">
        <f>IFERROR(INDEX(PP_Grid[#Data],$DD195,86),0)</f>
        <v/>
      </c>
      <c r="CK195">
        <f>IFERROR(INDEX(PP_Grid[#Data],$DD195,87),0)</f>
        <v/>
      </c>
      <c r="CL195">
        <f>IFERROR(INDEX(PP_Grid[#Data],$DD195,88),0)</f>
        <v/>
      </c>
      <c r="CM195">
        <f>IFERROR(INDEX(PP_Grid[#Data],$DD195,89),0)</f>
        <v/>
      </c>
      <c r="CN195">
        <f>IFERROR(INDEX(PP_Grid[#Data],$DD195,90),0)</f>
        <v/>
      </c>
      <c r="CO195">
        <f>IFERROR(INDEX(PP_Grid[#Data],$DD195,91),0)</f>
        <v/>
      </c>
      <c r="CP195">
        <f>IFERROR(INDEX(PP_Grid[#Data],$DD195,92),0)</f>
        <v/>
      </c>
      <c r="CQ195">
        <f>IFERROR(INDEX(PP_Grid[#Data],$DD195,93),0)</f>
        <v/>
      </c>
      <c r="CR195">
        <f>IFERROR(INDEX(PP_Grid[#Data],$DD195,94),0)</f>
        <v/>
      </c>
      <c r="CS195">
        <f>IFERROR(INDEX(PP_Grid[#Data],$DD195,95),0)</f>
        <v/>
      </c>
      <c r="CT195">
        <f>IFERROR(INDEX(PP_Grid[#Data],$DD195,96),0)</f>
        <v/>
      </c>
      <c r="CU195">
        <f>IFERROR(INDEX(PP_Grid[#Data],$DD195,97),0)</f>
        <v/>
      </c>
      <c r="CV195">
        <f>IFERROR(INDEX(PP_Grid[#Data],$DD195,98),0)</f>
        <v/>
      </c>
      <c r="CW195">
        <f>IFERROR(INDEX(PP_Grid[#Data],$DD195,99),0)</f>
        <v/>
      </c>
      <c r="CX195">
        <f>IFERROR(INDEX(PP_Grid[#Data],$DD195,100),0)</f>
        <v/>
      </c>
      <c r="CY195">
        <f>IFERROR(INDEX(PP_Grid[#Data],$DD195,101),0)</f>
        <v/>
      </c>
      <c r="CZ195">
        <f>IFERROR(INDEX(PP_Grid[#Data],$DD195,102),0)</f>
        <v/>
      </c>
      <c r="DA195">
        <f>IFERROR(INDEX(PP_Grid[#Data],$DD195,103),0)</f>
        <v/>
      </c>
      <c r="DB195">
        <f>IFERROR(INDEX(PP_Grid[#Data],$DD195,104),0)</f>
        <v/>
      </c>
      <c r="DC195">
        <f>IFERROR(INDEX(PP_Grid[#Data],$DD195,105),0)</f>
        <v/>
      </c>
      <c r="DD195" s="7">
        <f>IFERROR(MATCH($B195,PP_Grid[Intermediate],0),99999)</f>
        <v/>
      </c>
    </row>
    <row r="196">
      <c r="B196" t="inlineStr">
        <is>
          <t>使用量(kg)</t>
        </is>
      </c>
      <c r="C196">
        <f>SUMIFS(M_BOM[RM_Qty_Per_Batch],M_BOM[Intermediate],$B195,M_BOM[Part Name],$A44)</f>
        <v/>
      </c>
      <c r="D196">
        <f>$C196*D195</f>
        <v/>
      </c>
      <c r="E196">
        <f>$C196*E195</f>
        <v/>
      </c>
      <c r="F196">
        <f>$C196*F195</f>
        <v/>
      </c>
      <c r="G196">
        <f>$C196*G195</f>
        <v/>
      </c>
      <c r="H196">
        <f>$C196*H195</f>
        <v/>
      </c>
      <c r="I196">
        <f>$C196*I195</f>
        <v/>
      </c>
      <c r="J196">
        <f>$C196*J195</f>
        <v/>
      </c>
      <c r="K196">
        <f>$C196*K195</f>
        <v/>
      </c>
      <c r="L196">
        <f>$C196*L195</f>
        <v/>
      </c>
      <c r="M196">
        <f>$C196*M195</f>
        <v/>
      </c>
      <c r="N196">
        <f>$C196*N195</f>
        <v/>
      </c>
      <c r="O196">
        <f>$C196*O195</f>
        <v/>
      </c>
      <c r="P196">
        <f>$C196*P195</f>
        <v/>
      </c>
      <c r="Q196">
        <f>$C196*Q195</f>
        <v/>
      </c>
      <c r="R196">
        <f>$C196*R195</f>
        <v/>
      </c>
      <c r="S196">
        <f>$C196*S195</f>
        <v/>
      </c>
      <c r="T196">
        <f>$C196*T195</f>
        <v/>
      </c>
      <c r="U196">
        <f>$C196*U195</f>
        <v/>
      </c>
      <c r="V196">
        <f>$C196*V195</f>
        <v/>
      </c>
      <c r="W196">
        <f>$C196*W195</f>
        <v/>
      </c>
      <c r="X196">
        <f>$C196*X195</f>
        <v/>
      </c>
      <c r="Y196">
        <f>$C196*Y195</f>
        <v/>
      </c>
      <c r="Z196">
        <f>$C196*Z195</f>
        <v/>
      </c>
      <c r="AA196">
        <f>$C196*AA195</f>
        <v/>
      </c>
      <c r="AB196">
        <f>$C196*AB195</f>
        <v/>
      </c>
      <c r="AC196">
        <f>$C196*AC195</f>
        <v/>
      </c>
      <c r="AD196">
        <f>$C196*AD195</f>
        <v/>
      </c>
      <c r="AE196">
        <f>$C196*AE195</f>
        <v/>
      </c>
      <c r="AF196">
        <f>$C196*AF195</f>
        <v/>
      </c>
      <c r="AG196">
        <f>$C196*AG195</f>
        <v/>
      </c>
      <c r="AH196">
        <f>$C196*AH195</f>
        <v/>
      </c>
      <c r="AI196">
        <f>$C196*AI195</f>
        <v/>
      </c>
      <c r="AJ196">
        <f>$C196*AJ195</f>
        <v/>
      </c>
      <c r="AK196">
        <f>$C196*AK195</f>
        <v/>
      </c>
      <c r="AL196">
        <f>$C196*AL195</f>
        <v/>
      </c>
      <c r="AM196">
        <f>$C196*AM195</f>
        <v/>
      </c>
      <c r="AN196">
        <f>$C196*AN195</f>
        <v/>
      </c>
      <c r="AO196">
        <f>$C196*AO195</f>
        <v/>
      </c>
      <c r="AP196">
        <f>$C196*AP195</f>
        <v/>
      </c>
      <c r="AQ196">
        <f>$C196*AQ195</f>
        <v/>
      </c>
      <c r="AR196">
        <f>$C196*AR195</f>
        <v/>
      </c>
      <c r="AS196">
        <f>$C196*AS195</f>
        <v/>
      </c>
      <c r="AT196">
        <f>$C196*AT195</f>
        <v/>
      </c>
      <c r="AU196">
        <f>$C196*AU195</f>
        <v/>
      </c>
      <c r="AV196">
        <f>$C196*AV195</f>
        <v/>
      </c>
      <c r="AW196">
        <f>$C196*AW195</f>
        <v/>
      </c>
      <c r="AX196">
        <f>$C196*AX195</f>
        <v/>
      </c>
      <c r="AY196">
        <f>$C196*AY195</f>
        <v/>
      </c>
      <c r="AZ196">
        <f>$C196*AZ195</f>
        <v/>
      </c>
      <c r="BA196">
        <f>$C196*BA195</f>
        <v/>
      </c>
      <c r="BB196">
        <f>$C196*BB195</f>
        <v/>
      </c>
      <c r="BC196">
        <f>$C196*BC195</f>
        <v/>
      </c>
      <c r="BD196">
        <f>$C196*BD195</f>
        <v/>
      </c>
      <c r="BE196">
        <f>$C196*BE195</f>
        <v/>
      </c>
      <c r="BF196">
        <f>$C196*BF195</f>
        <v/>
      </c>
      <c r="BG196">
        <f>$C196*BG195</f>
        <v/>
      </c>
      <c r="BH196">
        <f>$C196*BH195</f>
        <v/>
      </c>
      <c r="BI196">
        <f>$C196*BI195</f>
        <v/>
      </c>
      <c r="BJ196">
        <f>$C196*BJ195</f>
        <v/>
      </c>
      <c r="BK196">
        <f>$C196*BK195</f>
        <v/>
      </c>
      <c r="BL196">
        <f>$C196*BL195</f>
        <v/>
      </c>
      <c r="BM196">
        <f>$C196*BM195</f>
        <v/>
      </c>
      <c r="BN196">
        <f>$C196*BN195</f>
        <v/>
      </c>
      <c r="BO196">
        <f>$C196*BO195</f>
        <v/>
      </c>
      <c r="BP196">
        <f>$C196*BP195</f>
        <v/>
      </c>
      <c r="BQ196">
        <f>$C196*BQ195</f>
        <v/>
      </c>
      <c r="BR196">
        <f>$C196*BR195</f>
        <v/>
      </c>
      <c r="BS196">
        <f>$C196*BS195</f>
        <v/>
      </c>
      <c r="BT196">
        <f>$C196*BT195</f>
        <v/>
      </c>
      <c r="BU196">
        <f>$C196*BU195</f>
        <v/>
      </c>
      <c r="BV196">
        <f>$C196*BV195</f>
        <v/>
      </c>
      <c r="BW196">
        <f>$C196*BW195</f>
        <v/>
      </c>
      <c r="BX196">
        <f>$C196*BX195</f>
        <v/>
      </c>
      <c r="BY196">
        <f>$C196*BY195</f>
        <v/>
      </c>
      <c r="BZ196">
        <f>$C196*BZ195</f>
        <v/>
      </c>
      <c r="CA196">
        <f>$C196*CA195</f>
        <v/>
      </c>
      <c r="CB196">
        <f>$C196*CB195</f>
        <v/>
      </c>
      <c r="CC196">
        <f>$C196*CC195</f>
        <v/>
      </c>
      <c r="CD196">
        <f>$C196*CD195</f>
        <v/>
      </c>
      <c r="CE196">
        <f>$C196*CE195</f>
        <v/>
      </c>
      <c r="CF196">
        <f>$C196*CF195</f>
        <v/>
      </c>
      <c r="CG196">
        <f>$C196*CG195</f>
        <v/>
      </c>
      <c r="CH196">
        <f>$C196*CH195</f>
        <v/>
      </c>
      <c r="CI196">
        <f>$C196*CI195</f>
        <v/>
      </c>
      <c r="CJ196">
        <f>$C196*CJ195</f>
        <v/>
      </c>
      <c r="CK196">
        <f>$C196*CK195</f>
        <v/>
      </c>
      <c r="CL196">
        <f>$C196*CL195</f>
        <v/>
      </c>
      <c r="CM196">
        <f>$C196*CM195</f>
        <v/>
      </c>
      <c r="CN196">
        <f>$C196*CN195</f>
        <v/>
      </c>
      <c r="CO196">
        <f>$C196*CO195</f>
        <v/>
      </c>
      <c r="CP196">
        <f>$C196*CP195</f>
        <v/>
      </c>
      <c r="CQ196">
        <f>$C196*CQ195</f>
        <v/>
      </c>
      <c r="CR196">
        <f>$C196*CR195</f>
        <v/>
      </c>
      <c r="CS196">
        <f>$C196*CS195</f>
        <v/>
      </c>
      <c r="CT196">
        <f>$C196*CT195</f>
        <v/>
      </c>
      <c r="CU196">
        <f>$C196*CU195</f>
        <v/>
      </c>
      <c r="CV196">
        <f>$C196*CV195</f>
        <v/>
      </c>
      <c r="CW196">
        <f>$C196*CW195</f>
        <v/>
      </c>
      <c r="CX196">
        <f>$C196*CX195</f>
        <v/>
      </c>
      <c r="CY196">
        <f>$C196*CY195</f>
        <v/>
      </c>
      <c r="CZ196">
        <f>$C196*CZ195</f>
        <v/>
      </c>
      <c r="DA196">
        <f>$C196*DA195</f>
        <v/>
      </c>
      <c r="DB196">
        <f>$C196*DB195</f>
        <v/>
      </c>
      <c r="DC196">
        <f>$C196*DC195</f>
        <v/>
      </c>
    </row>
    <row r="197">
      <c r="B197" t="inlineStr">
        <is>
          <t>VSP-910</t>
        </is>
      </c>
      <c r="C197" t="inlineStr">
        <is>
          <t>No. of batches</t>
        </is>
      </c>
      <c r="D197">
        <f>IFERROR(INDEX(PP_Grid[#Data],$DD197,2),0)</f>
        <v/>
      </c>
      <c r="E197">
        <f>IFERROR(INDEX(PP_Grid[#Data],$DD197,3),0)</f>
        <v/>
      </c>
      <c r="F197">
        <f>IFERROR(INDEX(PP_Grid[#Data],$DD197,4),0)</f>
        <v/>
      </c>
      <c r="G197">
        <f>IFERROR(INDEX(PP_Grid[#Data],$DD197,5),0)</f>
        <v/>
      </c>
      <c r="H197">
        <f>IFERROR(INDEX(PP_Grid[#Data],$DD197,6),0)</f>
        <v/>
      </c>
      <c r="I197">
        <f>IFERROR(INDEX(PP_Grid[#Data],$DD197,7),0)</f>
        <v/>
      </c>
      <c r="J197">
        <f>IFERROR(INDEX(PP_Grid[#Data],$DD197,8),0)</f>
        <v/>
      </c>
      <c r="K197">
        <f>IFERROR(INDEX(PP_Grid[#Data],$DD197,9),0)</f>
        <v/>
      </c>
      <c r="L197">
        <f>IFERROR(INDEX(PP_Grid[#Data],$DD197,10),0)</f>
        <v/>
      </c>
      <c r="M197">
        <f>IFERROR(INDEX(PP_Grid[#Data],$DD197,11),0)</f>
        <v/>
      </c>
      <c r="N197">
        <f>IFERROR(INDEX(PP_Grid[#Data],$DD197,12),0)</f>
        <v/>
      </c>
      <c r="O197">
        <f>IFERROR(INDEX(PP_Grid[#Data],$DD197,13),0)</f>
        <v/>
      </c>
      <c r="P197">
        <f>IFERROR(INDEX(PP_Grid[#Data],$DD197,14),0)</f>
        <v/>
      </c>
      <c r="Q197">
        <f>IFERROR(INDEX(PP_Grid[#Data],$DD197,15),0)</f>
        <v/>
      </c>
      <c r="R197">
        <f>IFERROR(INDEX(PP_Grid[#Data],$DD197,16),0)</f>
        <v/>
      </c>
      <c r="S197">
        <f>IFERROR(INDEX(PP_Grid[#Data],$DD197,17),0)</f>
        <v/>
      </c>
      <c r="T197">
        <f>IFERROR(INDEX(PP_Grid[#Data],$DD197,18),0)</f>
        <v/>
      </c>
      <c r="U197">
        <f>IFERROR(INDEX(PP_Grid[#Data],$DD197,19),0)</f>
        <v/>
      </c>
      <c r="V197">
        <f>IFERROR(INDEX(PP_Grid[#Data],$DD197,20),0)</f>
        <v/>
      </c>
      <c r="W197">
        <f>IFERROR(INDEX(PP_Grid[#Data],$DD197,21),0)</f>
        <v/>
      </c>
      <c r="X197">
        <f>IFERROR(INDEX(PP_Grid[#Data],$DD197,22),0)</f>
        <v/>
      </c>
      <c r="Y197">
        <f>IFERROR(INDEX(PP_Grid[#Data],$DD197,23),0)</f>
        <v/>
      </c>
      <c r="Z197">
        <f>IFERROR(INDEX(PP_Grid[#Data],$DD197,24),0)</f>
        <v/>
      </c>
      <c r="AA197">
        <f>IFERROR(INDEX(PP_Grid[#Data],$DD197,25),0)</f>
        <v/>
      </c>
      <c r="AB197">
        <f>IFERROR(INDEX(PP_Grid[#Data],$DD197,26),0)</f>
        <v/>
      </c>
      <c r="AC197">
        <f>IFERROR(INDEX(PP_Grid[#Data],$DD197,27),0)</f>
        <v/>
      </c>
      <c r="AD197">
        <f>IFERROR(INDEX(PP_Grid[#Data],$DD197,28),0)</f>
        <v/>
      </c>
      <c r="AE197">
        <f>IFERROR(INDEX(PP_Grid[#Data],$DD197,29),0)</f>
        <v/>
      </c>
      <c r="AF197">
        <f>IFERROR(INDEX(PP_Grid[#Data],$DD197,30),0)</f>
        <v/>
      </c>
      <c r="AG197">
        <f>IFERROR(INDEX(PP_Grid[#Data],$DD197,31),0)</f>
        <v/>
      </c>
      <c r="AH197">
        <f>IFERROR(INDEX(PP_Grid[#Data],$DD197,32),0)</f>
        <v/>
      </c>
      <c r="AI197">
        <f>IFERROR(INDEX(PP_Grid[#Data],$DD197,33),0)</f>
        <v/>
      </c>
      <c r="AJ197">
        <f>IFERROR(INDEX(PP_Grid[#Data],$DD197,34),0)</f>
        <v/>
      </c>
      <c r="AK197">
        <f>IFERROR(INDEX(PP_Grid[#Data],$DD197,35),0)</f>
        <v/>
      </c>
      <c r="AL197">
        <f>IFERROR(INDEX(PP_Grid[#Data],$DD197,36),0)</f>
        <v/>
      </c>
      <c r="AM197">
        <f>IFERROR(INDEX(PP_Grid[#Data],$DD197,37),0)</f>
        <v/>
      </c>
      <c r="AN197">
        <f>IFERROR(INDEX(PP_Grid[#Data],$DD197,38),0)</f>
        <v/>
      </c>
      <c r="AO197">
        <f>IFERROR(INDEX(PP_Grid[#Data],$DD197,39),0)</f>
        <v/>
      </c>
      <c r="AP197">
        <f>IFERROR(INDEX(PP_Grid[#Data],$DD197,40),0)</f>
        <v/>
      </c>
      <c r="AQ197">
        <f>IFERROR(INDEX(PP_Grid[#Data],$DD197,41),0)</f>
        <v/>
      </c>
      <c r="AR197">
        <f>IFERROR(INDEX(PP_Grid[#Data],$DD197,42),0)</f>
        <v/>
      </c>
      <c r="AS197">
        <f>IFERROR(INDEX(PP_Grid[#Data],$DD197,43),0)</f>
        <v/>
      </c>
      <c r="AT197">
        <f>IFERROR(INDEX(PP_Grid[#Data],$DD197,44),0)</f>
        <v/>
      </c>
      <c r="AU197">
        <f>IFERROR(INDEX(PP_Grid[#Data],$DD197,45),0)</f>
        <v/>
      </c>
      <c r="AV197">
        <f>IFERROR(INDEX(PP_Grid[#Data],$DD197,46),0)</f>
        <v/>
      </c>
      <c r="AW197">
        <f>IFERROR(INDEX(PP_Grid[#Data],$DD197,47),0)</f>
        <v/>
      </c>
      <c r="AX197">
        <f>IFERROR(INDEX(PP_Grid[#Data],$DD197,48),0)</f>
        <v/>
      </c>
      <c r="AY197">
        <f>IFERROR(INDEX(PP_Grid[#Data],$DD197,49),0)</f>
        <v/>
      </c>
      <c r="AZ197">
        <f>IFERROR(INDEX(PP_Grid[#Data],$DD197,50),0)</f>
        <v/>
      </c>
      <c r="BA197">
        <f>IFERROR(INDEX(PP_Grid[#Data],$DD197,51),0)</f>
        <v/>
      </c>
      <c r="BB197">
        <f>IFERROR(INDEX(PP_Grid[#Data],$DD197,52),0)</f>
        <v/>
      </c>
      <c r="BC197">
        <f>IFERROR(INDEX(PP_Grid[#Data],$DD197,53),0)</f>
        <v/>
      </c>
      <c r="BD197">
        <f>IFERROR(INDEX(PP_Grid[#Data],$DD197,54),0)</f>
        <v/>
      </c>
      <c r="BE197">
        <f>IFERROR(INDEX(PP_Grid[#Data],$DD197,55),0)</f>
        <v/>
      </c>
      <c r="BF197">
        <f>IFERROR(INDEX(PP_Grid[#Data],$DD197,56),0)</f>
        <v/>
      </c>
      <c r="BG197">
        <f>IFERROR(INDEX(PP_Grid[#Data],$DD197,57),0)</f>
        <v/>
      </c>
      <c r="BH197">
        <f>IFERROR(INDEX(PP_Grid[#Data],$DD197,58),0)</f>
        <v/>
      </c>
      <c r="BI197">
        <f>IFERROR(INDEX(PP_Grid[#Data],$DD197,59),0)</f>
        <v/>
      </c>
      <c r="BJ197">
        <f>IFERROR(INDEX(PP_Grid[#Data],$DD197,60),0)</f>
        <v/>
      </c>
      <c r="BK197">
        <f>IFERROR(INDEX(PP_Grid[#Data],$DD197,61),0)</f>
        <v/>
      </c>
      <c r="BL197">
        <f>IFERROR(INDEX(PP_Grid[#Data],$DD197,62),0)</f>
        <v/>
      </c>
      <c r="BM197">
        <f>IFERROR(INDEX(PP_Grid[#Data],$DD197,63),0)</f>
        <v/>
      </c>
      <c r="BN197">
        <f>IFERROR(INDEX(PP_Grid[#Data],$DD197,64),0)</f>
        <v/>
      </c>
      <c r="BO197">
        <f>IFERROR(INDEX(PP_Grid[#Data],$DD197,65),0)</f>
        <v/>
      </c>
      <c r="BP197">
        <f>IFERROR(INDEX(PP_Grid[#Data],$DD197,66),0)</f>
        <v/>
      </c>
      <c r="BQ197">
        <f>IFERROR(INDEX(PP_Grid[#Data],$DD197,67),0)</f>
        <v/>
      </c>
      <c r="BR197">
        <f>IFERROR(INDEX(PP_Grid[#Data],$DD197,68),0)</f>
        <v/>
      </c>
      <c r="BS197">
        <f>IFERROR(INDEX(PP_Grid[#Data],$DD197,69),0)</f>
        <v/>
      </c>
      <c r="BT197">
        <f>IFERROR(INDEX(PP_Grid[#Data],$DD197,70),0)</f>
        <v/>
      </c>
      <c r="BU197">
        <f>IFERROR(INDEX(PP_Grid[#Data],$DD197,71),0)</f>
        <v/>
      </c>
      <c r="BV197">
        <f>IFERROR(INDEX(PP_Grid[#Data],$DD197,72),0)</f>
        <v/>
      </c>
      <c r="BW197">
        <f>IFERROR(INDEX(PP_Grid[#Data],$DD197,73),0)</f>
        <v/>
      </c>
      <c r="BX197">
        <f>IFERROR(INDEX(PP_Grid[#Data],$DD197,74),0)</f>
        <v/>
      </c>
      <c r="BY197">
        <f>IFERROR(INDEX(PP_Grid[#Data],$DD197,75),0)</f>
        <v/>
      </c>
      <c r="BZ197">
        <f>IFERROR(INDEX(PP_Grid[#Data],$DD197,76),0)</f>
        <v/>
      </c>
      <c r="CA197">
        <f>IFERROR(INDEX(PP_Grid[#Data],$DD197,77),0)</f>
        <v/>
      </c>
      <c r="CB197">
        <f>IFERROR(INDEX(PP_Grid[#Data],$DD197,78),0)</f>
        <v/>
      </c>
      <c r="CC197">
        <f>IFERROR(INDEX(PP_Grid[#Data],$DD197,79),0)</f>
        <v/>
      </c>
      <c r="CD197">
        <f>IFERROR(INDEX(PP_Grid[#Data],$DD197,80),0)</f>
        <v/>
      </c>
      <c r="CE197">
        <f>IFERROR(INDEX(PP_Grid[#Data],$DD197,81),0)</f>
        <v/>
      </c>
      <c r="CF197">
        <f>IFERROR(INDEX(PP_Grid[#Data],$DD197,82),0)</f>
        <v/>
      </c>
      <c r="CG197">
        <f>IFERROR(INDEX(PP_Grid[#Data],$DD197,83),0)</f>
        <v/>
      </c>
      <c r="CH197">
        <f>IFERROR(INDEX(PP_Grid[#Data],$DD197,84),0)</f>
        <v/>
      </c>
      <c r="CI197">
        <f>IFERROR(INDEX(PP_Grid[#Data],$DD197,85),0)</f>
        <v/>
      </c>
      <c r="CJ197">
        <f>IFERROR(INDEX(PP_Grid[#Data],$DD197,86),0)</f>
        <v/>
      </c>
      <c r="CK197">
        <f>IFERROR(INDEX(PP_Grid[#Data],$DD197,87),0)</f>
        <v/>
      </c>
      <c r="CL197">
        <f>IFERROR(INDEX(PP_Grid[#Data],$DD197,88),0)</f>
        <v/>
      </c>
      <c r="CM197">
        <f>IFERROR(INDEX(PP_Grid[#Data],$DD197,89),0)</f>
        <v/>
      </c>
      <c r="CN197">
        <f>IFERROR(INDEX(PP_Grid[#Data],$DD197,90),0)</f>
        <v/>
      </c>
      <c r="CO197">
        <f>IFERROR(INDEX(PP_Grid[#Data],$DD197,91),0)</f>
        <v/>
      </c>
      <c r="CP197">
        <f>IFERROR(INDEX(PP_Grid[#Data],$DD197,92),0)</f>
        <v/>
      </c>
      <c r="CQ197">
        <f>IFERROR(INDEX(PP_Grid[#Data],$DD197,93),0)</f>
        <v/>
      </c>
      <c r="CR197">
        <f>IFERROR(INDEX(PP_Grid[#Data],$DD197,94),0)</f>
        <v/>
      </c>
      <c r="CS197">
        <f>IFERROR(INDEX(PP_Grid[#Data],$DD197,95),0)</f>
        <v/>
      </c>
      <c r="CT197">
        <f>IFERROR(INDEX(PP_Grid[#Data],$DD197,96),0)</f>
        <v/>
      </c>
      <c r="CU197">
        <f>IFERROR(INDEX(PP_Grid[#Data],$DD197,97),0)</f>
        <v/>
      </c>
      <c r="CV197">
        <f>IFERROR(INDEX(PP_Grid[#Data],$DD197,98),0)</f>
        <v/>
      </c>
      <c r="CW197">
        <f>IFERROR(INDEX(PP_Grid[#Data],$DD197,99),0)</f>
        <v/>
      </c>
      <c r="CX197">
        <f>IFERROR(INDEX(PP_Grid[#Data],$DD197,100),0)</f>
        <v/>
      </c>
      <c r="CY197">
        <f>IFERROR(INDEX(PP_Grid[#Data],$DD197,101),0)</f>
        <v/>
      </c>
      <c r="CZ197">
        <f>IFERROR(INDEX(PP_Grid[#Data],$DD197,102),0)</f>
        <v/>
      </c>
      <c r="DA197">
        <f>IFERROR(INDEX(PP_Grid[#Data],$DD197,103),0)</f>
        <v/>
      </c>
      <c r="DB197">
        <f>IFERROR(INDEX(PP_Grid[#Data],$DD197,104),0)</f>
        <v/>
      </c>
      <c r="DC197">
        <f>IFERROR(INDEX(PP_Grid[#Data],$DD197,105),0)</f>
        <v/>
      </c>
      <c r="DD197" s="7">
        <f>IFERROR(MATCH($B197,PP_Grid[Intermediate],0),99999)</f>
        <v/>
      </c>
    </row>
    <row r="198">
      <c r="B198" t="inlineStr">
        <is>
          <t>使用量(kg)</t>
        </is>
      </c>
      <c r="C198">
        <f>SUMIFS(M_BOM[RM_Qty_Per_Batch],M_BOM[Intermediate],$B197,M_BOM[Part Name],$A44)</f>
        <v/>
      </c>
      <c r="D198">
        <f>$C198*D197</f>
        <v/>
      </c>
      <c r="E198">
        <f>$C198*E197</f>
        <v/>
      </c>
      <c r="F198">
        <f>$C198*F197</f>
        <v/>
      </c>
      <c r="G198">
        <f>$C198*G197</f>
        <v/>
      </c>
      <c r="H198">
        <f>$C198*H197</f>
        <v/>
      </c>
      <c r="I198">
        <f>$C198*I197</f>
        <v/>
      </c>
      <c r="J198">
        <f>$C198*J197</f>
        <v/>
      </c>
      <c r="K198">
        <f>$C198*K197</f>
        <v/>
      </c>
      <c r="L198">
        <f>$C198*L197</f>
        <v/>
      </c>
      <c r="M198">
        <f>$C198*M197</f>
        <v/>
      </c>
      <c r="N198">
        <f>$C198*N197</f>
        <v/>
      </c>
      <c r="O198">
        <f>$C198*O197</f>
        <v/>
      </c>
      <c r="P198">
        <f>$C198*P197</f>
        <v/>
      </c>
      <c r="Q198">
        <f>$C198*Q197</f>
        <v/>
      </c>
      <c r="R198">
        <f>$C198*R197</f>
        <v/>
      </c>
      <c r="S198">
        <f>$C198*S197</f>
        <v/>
      </c>
      <c r="T198">
        <f>$C198*T197</f>
        <v/>
      </c>
      <c r="U198">
        <f>$C198*U197</f>
        <v/>
      </c>
      <c r="V198">
        <f>$C198*V197</f>
        <v/>
      </c>
      <c r="W198">
        <f>$C198*W197</f>
        <v/>
      </c>
      <c r="X198">
        <f>$C198*X197</f>
        <v/>
      </c>
      <c r="Y198">
        <f>$C198*Y197</f>
        <v/>
      </c>
      <c r="Z198">
        <f>$C198*Z197</f>
        <v/>
      </c>
      <c r="AA198">
        <f>$C198*AA197</f>
        <v/>
      </c>
      <c r="AB198">
        <f>$C198*AB197</f>
        <v/>
      </c>
      <c r="AC198">
        <f>$C198*AC197</f>
        <v/>
      </c>
      <c r="AD198">
        <f>$C198*AD197</f>
        <v/>
      </c>
      <c r="AE198">
        <f>$C198*AE197</f>
        <v/>
      </c>
      <c r="AF198">
        <f>$C198*AF197</f>
        <v/>
      </c>
      <c r="AG198">
        <f>$C198*AG197</f>
        <v/>
      </c>
      <c r="AH198">
        <f>$C198*AH197</f>
        <v/>
      </c>
      <c r="AI198">
        <f>$C198*AI197</f>
        <v/>
      </c>
      <c r="AJ198">
        <f>$C198*AJ197</f>
        <v/>
      </c>
      <c r="AK198">
        <f>$C198*AK197</f>
        <v/>
      </c>
      <c r="AL198">
        <f>$C198*AL197</f>
        <v/>
      </c>
      <c r="AM198">
        <f>$C198*AM197</f>
        <v/>
      </c>
      <c r="AN198">
        <f>$C198*AN197</f>
        <v/>
      </c>
      <c r="AO198">
        <f>$C198*AO197</f>
        <v/>
      </c>
      <c r="AP198">
        <f>$C198*AP197</f>
        <v/>
      </c>
      <c r="AQ198">
        <f>$C198*AQ197</f>
        <v/>
      </c>
      <c r="AR198">
        <f>$C198*AR197</f>
        <v/>
      </c>
      <c r="AS198">
        <f>$C198*AS197</f>
        <v/>
      </c>
      <c r="AT198">
        <f>$C198*AT197</f>
        <v/>
      </c>
      <c r="AU198">
        <f>$C198*AU197</f>
        <v/>
      </c>
      <c r="AV198">
        <f>$C198*AV197</f>
        <v/>
      </c>
      <c r="AW198">
        <f>$C198*AW197</f>
        <v/>
      </c>
      <c r="AX198">
        <f>$C198*AX197</f>
        <v/>
      </c>
      <c r="AY198">
        <f>$C198*AY197</f>
        <v/>
      </c>
      <c r="AZ198">
        <f>$C198*AZ197</f>
        <v/>
      </c>
      <c r="BA198">
        <f>$C198*BA197</f>
        <v/>
      </c>
      <c r="BB198">
        <f>$C198*BB197</f>
        <v/>
      </c>
      <c r="BC198">
        <f>$C198*BC197</f>
        <v/>
      </c>
      <c r="BD198">
        <f>$C198*BD197</f>
        <v/>
      </c>
      <c r="BE198">
        <f>$C198*BE197</f>
        <v/>
      </c>
      <c r="BF198">
        <f>$C198*BF197</f>
        <v/>
      </c>
      <c r="BG198">
        <f>$C198*BG197</f>
        <v/>
      </c>
      <c r="BH198">
        <f>$C198*BH197</f>
        <v/>
      </c>
      <c r="BI198">
        <f>$C198*BI197</f>
        <v/>
      </c>
      <c r="BJ198">
        <f>$C198*BJ197</f>
        <v/>
      </c>
      <c r="BK198">
        <f>$C198*BK197</f>
        <v/>
      </c>
      <c r="BL198">
        <f>$C198*BL197</f>
        <v/>
      </c>
      <c r="BM198">
        <f>$C198*BM197</f>
        <v/>
      </c>
      <c r="BN198">
        <f>$C198*BN197</f>
        <v/>
      </c>
      <c r="BO198">
        <f>$C198*BO197</f>
        <v/>
      </c>
      <c r="BP198">
        <f>$C198*BP197</f>
        <v/>
      </c>
      <c r="BQ198">
        <f>$C198*BQ197</f>
        <v/>
      </c>
      <c r="BR198">
        <f>$C198*BR197</f>
        <v/>
      </c>
      <c r="BS198">
        <f>$C198*BS197</f>
        <v/>
      </c>
      <c r="BT198">
        <f>$C198*BT197</f>
        <v/>
      </c>
      <c r="BU198">
        <f>$C198*BU197</f>
        <v/>
      </c>
      <c r="BV198">
        <f>$C198*BV197</f>
        <v/>
      </c>
      <c r="BW198">
        <f>$C198*BW197</f>
        <v/>
      </c>
      <c r="BX198">
        <f>$C198*BX197</f>
        <v/>
      </c>
      <c r="BY198">
        <f>$C198*BY197</f>
        <v/>
      </c>
      <c r="BZ198">
        <f>$C198*BZ197</f>
        <v/>
      </c>
      <c r="CA198">
        <f>$C198*CA197</f>
        <v/>
      </c>
      <c r="CB198">
        <f>$C198*CB197</f>
        <v/>
      </c>
      <c r="CC198">
        <f>$C198*CC197</f>
        <v/>
      </c>
      <c r="CD198">
        <f>$C198*CD197</f>
        <v/>
      </c>
      <c r="CE198">
        <f>$C198*CE197</f>
        <v/>
      </c>
      <c r="CF198">
        <f>$C198*CF197</f>
        <v/>
      </c>
      <c r="CG198">
        <f>$C198*CG197</f>
        <v/>
      </c>
      <c r="CH198">
        <f>$C198*CH197</f>
        <v/>
      </c>
      <c r="CI198">
        <f>$C198*CI197</f>
        <v/>
      </c>
      <c r="CJ198">
        <f>$C198*CJ197</f>
        <v/>
      </c>
      <c r="CK198">
        <f>$C198*CK197</f>
        <v/>
      </c>
      <c r="CL198">
        <f>$C198*CL197</f>
        <v/>
      </c>
      <c r="CM198">
        <f>$C198*CM197</f>
        <v/>
      </c>
      <c r="CN198">
        <f>$C198*CN197</f>
        <v/>
      </c>
      <c r="CO198">
        <f>$C198*CO197</f>
        <v/>
      </c>
      <c r="CP198">
        <f>$C198*CP197</f>
        <v/>
      </c>
      <c r="CQ198">
        <f>$C198*CQ197</f>
        <v/>
      </c>
      <c r="CR198">
        <f>$C198*CR197</f>
        <v/>
      </c>
      <c r="CS198">
        <f>$C198*CS197</f>
        <v/>
      </c>
      <c r="CT198">
        <f>$C198*CT197</f>
        <v/>
      </c>
      <c r="CU198">
        <f>$C198*CU197</f>
        <v/>
      </c>
      <c r="CV198">
        <f>$C198*CV197</f>
        <v/>
      </c>
      <c r="CW198">
        <f>$C198*CW197</f>
        <v/>
      </c>
      <c r="CX198">
        <f>$C198*CX197</f>
        <v/>
      </c>
      <c r="CY198">
        <f>$C198*CY197</f>
        <v/>
      </c>
      <c r="CZ198">
        <f>$C198*CZ197</f>
        <v/>
      </c>
      <c r="DA198">
        <f>$C198*DA197</f>
        <v/>
      </c>
      <c r="DB198">
        <f>$C198*DB197</f>
        <v/>
      </c>
      <c r="DC198">
        <f>$C198*DC197</f>
        <v/>
      </c>
    </row>
    <row r="199">
      <c r="B199" t="inlineStr">
        <is>
          <t>VSP-989</t>
        </is>
      </c>
      <c r="C199" t="inlineStr">
        <is>
          <t>No. of batches</t>
        </is>
      </c>
      <c r="D199">
        <f>IFERROR(INDEX(PP_Grid[#Data],$DD199,2),0)</f>
        <v/>
      </c>
      <c r="E199">
        <f>IFERROR(INDEX(PP_Grid[#Data],$DD199,3),0)</f>
        <v/>
      </c>
      <c r="F199">
        <f>IFERROR(INDEX(PP_Grid[#Data],$DD199,4),0)</f>
        <v/>
      </c>
      <c r="G199">
        <f>IFERROR(INDEX(PP_Grid[#Data],$DD199,5),0)</f>
        <v/>
      </c>
      <c r="H199">
        <f>IFERROR(INDEX(PP_Grid[#Data],$DD199,6),0)</f>
        <v/>
      </c>
      <c r="I199">
        <f>IFERROR(INDEX(PP_Grid[#Data],$DD199,7),0)</f>
        <v/>
      </c>
      <c r="J199">
        <f>IFERROR(INDEX(PP_Grid[#Data],$DD199,8),0)</f>
        <v/>
      </c>
      <c r="K199">
        <f>IFERROR(INDEX(PP_Grid[#Data],$DD199,9),0)</f>
        <v/>
      </c>
      <c r="L199">
        <f>IFERROR(INDEX(PP_Grid[#Data],$DD199,10),0)</f>
        <v/>
      </c>
      <c r="M199">
        <f>IFERROR(INDEX(PP_Grid[#Data],$DD199,11),0)</f>
        <v/>
      </c>
      <c r="N199">
        <f>IFERROR(INDEX(PP_Grid[#Data],$DD199,12),0)</f>
        <v/>
      </c>
      <c r="O199">
        <f>IFERROR(INDEX(PP_Grid[#Data],$DD199,13),0)</f>
        <v/>
      </c>
      <c r="P199">
        <f>IFERROR(INDEX(PP_Grid[#Data],$DD199,14),0)</f>
        <v/>
      </c>
      <c r="Q199">
        <f>IFERROR(INDEX(PP_Grid[#Data],$DD199,15),0)</f>
        <v/>
      </c>
      <c r="R199">
        <f>IFERROR(INDEX(PP_Grid[#Data],$DD199,16),0)</f>
        <v/>
      </c>
      <c r="S199">
        <f>IFERROR(INDEX(PP_Grid[#Data],$DD199,17),0)</f>
        <v/>
      </c>
      <c r="T199">
        <f>IFERROR(INDEX(PP_Grid[#Data],$DD199,18),0)</f>
        <v/>
      </c>
      <c r="U199">
        <f>IFERROR(INDEX(PP_Grid[#Data],$DD199,19),0)</f>
        <v/>
      </c>
      <c r="V199">
        <f>IFERROR(INDEX(PP_Grid[#Data],$DD199,20),0)</f>
        <v/>
      </c>
      <c r="W199">
        <f>IFERROR(INDEX(PP_Grid[#Data],$DD199,21),0)</f>
        <v/>
      </c>
      <c r="X199">
        <f>IFERROR(INDEX(PP_Grid[#Data],$DD199,22),0)</f>
        <v/>
      </c>
      <c r="Y199">
        <f>IFERROR(INDEX(PP_Grid[#Data],$DD199,23),0)</f>
        <v/>
      </c>
      <c r="Z199">
        <f>IFERROR(INDEX(PP_Grid[#Data],$DD199,24),0)</f>
        <v/>
      </c>
      <c r="AA199">
        <f>IFERROR(INDEX(PP_Grid[#Data],$DD199,25),0)</f>
        <v/>
      </c>
      <c r="AB199">
        <f>IFERROR(INDEX(PP_Grid[#Data],$DD199,26),0)</f>
        <v/>
      </c>
      <c r="AC199">
        <f>IFERROR(INDEX(PP_Grid[#Data],$DD199,27),0)</f>
        <v/>
      </c>
      <c r="AD199">
        <f>IFERROR(INDEX(PP_Grid[#Data],$DD199,28),0)</f>
        <v/>
      </c>
      <c r="AE199">
        <f>IFERROR(INDEX(PP_Grid[#Data],$DD199,29),0)</f>
        <v/>
      </c>
      <c r="AF199">
        <f>IFERROR(INDEX(PP_Grid[#Data],$DD199,30),0)</f>
        <v/>
      </c>
      <c r="AG199">
        <f>IFERROR(INDEX(PP_Grid[#Data],$DD199,31),0)</f>
        <v/>
      </c>
      <c r="AH199">
        <f>IFERROR(INDEX(PP_Grid[#Data],$DD199,32),0)</f>
        <v/>
      </c>
      <c r="AI199">
        <f>IFERROR(INDEX(PP_Grid[#Data],$DD199,33),0)</f>
        <v/>
      </c>
      <c r="AJ199">
        <f>IFERROR(INDEX(PP_Grid[#Data],$DD199,34),0)</f>
        <v/>
      </c>
      <c r="AK199">
        <f>IFERROR(INDEX(PP_Grid[#Data],$DD199,35),0)</f>
        <v/>
      </c>
      <c r="AL199">
        <f>IFERROR(INDEX(PP_Grid[#Data],$DD199,36),0)</f>
        <v/>
      </c>
      <c r="AM199">
        <f>IFERROR(INDEX(PP_Grid[#Data],$DD199,37),0)</f>
        <v/>
      </c>
      <c r="AN199">
        <f>IFERROR(INDEX(PP_Grid[#Data],$DD199,38),0)</f>
        <v/>
      </c>
      <c r="AO199">
        <f>IFERROR(INDEX(PP_Grid[#Data],$DD199,39),0)</f>
        <v/>
      </c>
      <c r="AP199">
        <f>IFERROR(INDEX(PP_Grid[#Data],$DD199,40),0)</f>
        <v/>
      </c>
      <c r="AQ199">
        <f>IFERROR(INDEX(PP_Grid[#Data],$DD199,41),0)</f>
        <v/>
      </c>
      <c r="AR199">
        <f>IFERROR(INDEX(PP_Grid[#Data],$DD199,42),0)</f>
        <v/>
      </c>
      <c r="AS199">
        <f>IFERROR(INDEX(PP_Grid[#Data],$DD199,43),0)</f>
        <v/>
      </c>
      <c r="AT199">
        <f>IFERROR(INDEX(PP_Grid[#Data],$DD199,44),0)</f>
        <v/>
      </c>
      <c r="AU199">
        <f>IFERROR(INDEX(PP_Grid[#Data],$DD199,45),0)</f>
        <v/>
      </c>
      <c r="AV199">
        <f>IFERROR(INDEX(PP_Grid[#Data],$DD199,46),0)</f>
        <v/>
      </c>
      <c r="AW199">
        <f>IFERROR(INDEX(PP_Grid[#Data],$DD199,47),0)</f>
        <v/>
      </c>
      <c r="AX199">
        <f>IFERROR(INDEX(PP_Grid[#Data],$DD199,48),0)</f>
        <v/>
      </c>
      <c r="AY199">
        <f>IFERROR(INDEX(PP_Grid[#Data],$DD199,49),0)</f>
        <v/>
      </c>
      <c r="AZ199">
        <f>IFERROR(INDEX(PP_Grid[#Data],$DD199,50),0)</f>
        <v/>
      </c>
      <c r="BA199">
        <f>IFERROR(INDEX(PP_Grid[#Data],$DD199,51),0)</f>
        <v/>
      </c>
      <c r="BB199">
        <f>IFERROR(INDEX(PP_Grid[#Data],$DD199,52),0)</f>
        <v/>
      </c>
      <c r="BC199">
        <f>IFERROR(INDEX(PP_Grid[#Data],$DD199,53),0)</f>
        <v/>
      </c>
      <c r="BD199">
        <f>IFERROR(INDEX(PP_Grid[#Data],$DD199,54),0)</f>
        <v/>
      </c>
      <c r="BE199">
        <f>IFERROR(INDEX(PP_Grid[#Data],$DD199,55),0)</f>
        <v/>
      </c>
      <c r="BF199">
        <f>IFERROR(INDEX(PP_Grid[#Data],$DD199,56),0)</f>
        <v/>
      </c>
      <c r="BG199">
        <f>IFERROR(INDEX(PP_Grid[#Data],$DD199,57),0)</f>
        <v/>
      </c>
      <c r="BH199">
        <f>IFERROR(INDEX(PP_Grid[#Data],$DD199,58),0)</f>
        <v/>
      </c>
      <c r="BI199">
        <f>IFERROR(INDEX(PP_Grid[#Data],$DD199,59),0)</f>
        <v/>
      </c>
      <c r="BJ199">
        <f>IFERROR(INDEX(PP_Grid[#Data],$DD199,60),0)</f>
        <v/>
      </c>
      <c r="BK199">
        <f>IFERROR(INDEX(PP_Grid[#Data],$DD199,61),0)</f>
        <v/>
      </c>
      <c r="BL199">
        <f>IFERROR(INDEX(PP_Grid[#Data],$DD199,62),0)</f>
        <v/>
      </c>
      <c r="BM199">
        <f>IFERROR(INDEX(PP_Grid[#Data],$DD199,63),0)</f>
        <v/>
      </c>
      <c r="BN199">
        <f>IFERROR(INDEX(PP_Grid[#Data],$DD199,64),0)</f>
        <v/>
      </c>
      <c r="BO199">
        <f>IFERROR(INDEX(PP_Grid[#Data],$DD199,65),0)</f>
        <v/>
      </c>
      <c r="BP199">
        <f>IFERROR(INDEX(PP_Grid[#Data],$DD199,66),0)</f>
        <v/>
      </c>
      <c r="BQ199">
        <f>IFERROR(INDEX(PP_Grid[#Data],$DD199,67),0)</f>
        <v/>
      </c>
      <c r="BR199">
        <f>IFERROR(INDEX(PP_Grid[#Data],$DD199,68),0)</f>
        <v/>
      </c>
      <c r="BS199">
        <f>IFERROR(INDEX(PP_Grid[#Data],$DD199,69),0)</f>
        <v/>
      </c>
      <c r="BT199">
        <f>IFERROR(INDEX(PP_Grid[#Data],$DD199,70),0)</f>
        <v/>
      </c>
      <c r="BU199">
        <f>IFERROR(INDEX(PP_Grid[#Data],$DD199,71),0)</f>
        <v/>
      </c>
      <c r="BV199">
        <f>IFERROR(INDEX(PP_Grid[#Data],$DD199,72),0)</f>
        <v/>
      </c>
      <c r="BW199">
        <f>IFERROR(INDEX(PP_Grid[#Data],$DD199,73),0)</f>
        <v/>
      </c>
      <c r="BX199">
        <f>IFERROR(INDEX(PP_Grid[#Data],$DD199,74),0)</f>
        <v/>
      </c>
      <c r="BY199">
        <f>IFERROR(INDEX(PP_Grid[#Data],$DD199,75),0)</f>
        <v/>
      </c>
      <c r="BZ199">
        <f>IFERROR(INDEX(PP_Grid[#Data],$DD199,76),0)</f>
        <v/>
      </c>
      <c r="CA199">
        <f>IFERROR(INDEX(PP_Grid[#Data],$DD199,77),0)</f>
        <v/>
      </c>
      <c r="CB199">
        <f>IFERROR(INDEX(PP_Grid[#Data],$DD199,78),0)</f>
        <v/>
      </c>
      <c r="CC199">
        <f>IFERROR(INDEX(PP_Grid[#Data],$DD199,79),0)</f>
        <v/>
      </c>
      <c r="CD199">
        <f>IFERROR(INDEX(PP_Grid[#Data],$DD199,80),0)</f>
        <v/>
      </c>
      <c r="CE199">
        <f>IFERROR(INDEX(PP_Grid[#Data],$DD199,81),0)</f>
        <v/>
      </c>
      <c r="CF199">
        <f>IFERROR(INDEX(PP_Grid[#Data],$DD199,82),0)</f>
        <v/>
      </c>
      <c r="CG199">
        <f>IFERROR(INDEX(PP_Grid[#Data],$DD199,83),0)</f>
        <v/>
      </c>
      <c r="CH199">
        <f>IFERROR(INDEX(PP_Grid[#Data],$DD199,84),0)</f>
        <v/>
      </c>
      <c r="CI199">
        <f>IFERROR(INDEX(PP_Grid[#Data],$DD199,85),0)</f>
        <v/>
      </c>
      <c r="CJ199">
        <f>IFERROR(INDEX(PP_Grid[#Data],$DD199,86),0)</f>
        <v/>
      </c>
      <c r="CK199">
        <f>IFERROR(INDEX(PP_Grid[#Data],$DD199,87),0)</f>
        <v/>
      </c>
      <c r="CL199">
        <f>IFERROR(INDEX(PP_Grid[#Data],$DD199,88),0)</f>
        <v/>
      </c>
      <c r="CM199">
        <f>IFERROR(INDEX(PP_Grid[#Data],$DD199,89),0)</f>
        <v/>
      </c>
      <c r="CN199">
        <f>IFERROR(INDEX(PP_Grid[#Data],$DD199,90),0)</f>
        <v/>
      </c>
      <c r="CO199">
        <f>IFERROR(INDEX(PP_Grid[#Data],$DD199,91),0)</f>
        <v/>
      </c>
      <c r="CP199">
        <f>IFERROR(INDEX(PP_Grid[#Data],$DD199,92),0)</f>
        <v/>
      </c>
      <c r="CQ199">
        <f>IFERROR(INDEX(PP_Grid[#Data],$DD199,93),0)</f>
        <v/>
      </c>
      <c r="CR199">
        <f>IFERROR(INDEX(PP_Grid[#Data],$DD199,94),0)</f>
        <v/>
      </c>
      <c r="CS199">
        <f>IFERROR(INDEX(PP_Grid[#Data],$DD199,95),0)</f>
        <v/>
      </c>
      <c r="CT199">
        <f>IFERROR(INDEX(PP_Grid[#Data],$DD199,96),0)</f>
        <v/>
      </c>
      <c r="CU199">
        <f>IFERROR(INDEX(PP_Grid[#Data],$DD199,97),0)</f>
        <v/>
      </c>
      <c r="CV199">
        <f>IFERROR(INDEX(PP_Grid[#Data],$DD199,98),0)</f>
        <v/>
      </c>
      <c r="CW199">
        <f>IFERROR(INDEX(PP_Grid[#Data],$DD199,99),0)</f>
        <v/>
      </c>
      <c r="CX199">
        <f>IFERROR(INDEX(PP_Grid[#Data],$DD199,100),0)</f>
        <v/>
      </c>
      <c r="CY199">
        <f>IFERROR(INDEX(PP_Grid[#Data],$DD199,101),0)</f>
        <v/>
      </c>
      <c r="CZ199">
        <f>IFERROR(INDEX(PP_Grid[#Data],$DD199,102),0)</f>
        <v/>
      </c>
      <c r="DA199">
        <f>IFERROR(INDEX(PP_Grid[#Data],$DD199,103),0)</f>
        <v/>
      </c>
      <c r="DB199">
        <f>IFERROR(INDEX(PP_Grid[#Data],$DD199,104),0)</f>
        <v/>
      </c>
      <c r="DC199">
        <f>IFERROR(INDEX(PP_Grid[#Data],$DD199,105),0)</f>
        <v/>
      </c>
      <c r="DD199" s="7">
        <f>IFERROR(MATCH($B199,PP_Grid[Intermediate],0),99999)</f>
        <v/>
      </c>
    </row>
    <row r="200">
      <c r="B200" t="inlineStr">
        <is>
          <t>使用量(kg)</t>
        </is>
      </c>
      <c r="C200">
        <f>SUMIFS(M_BOM[RM_Qty_Per_Batch],M_BOM[Intermediate],$B199,M_BOM[Part Name],$A44)</f>
        <v/>
      </c>
      <c r="D200">
        <f>$C200*D199</f>
        <v/>
      </c>
      <c r="E200">
        <f>$C200*E199</f>
        <v/>
      </c>
      <c r="F200">
        <f>$C200*F199</f>
        <v/>
      </c>
      <c r="G200">
        <f>$C200*G199</f>
        <v/>
      </c>
      <c r="H200">
        <f>$C200*H199</f>
        <v/>
      </c>
      <c r="I200">
        <f>$C200*I199</f>
        <v/>
      </c>
      <c r="J200">
        <f>$C200*J199</f>
        <v/>
      </c>
      <c r="K200">
        <f>$C200*K199</f>
        <v/>
      </c>
      <c r="L200">
        <f>$C200*L199</f>
        <v/>
      </c>
      <c r="M200">
        <f>$C200*M199</f>
        <v/>
      </c>
      <c r="N200">
        <f>$C200*N199</f>
        <v/>
      </c>
      <c r="O200">
        <f>$C200*O199</f>
        <v/>
      </c>
      <c r="P200">
        <f>$C200*P199</f>
        <v/>
      </c>
      <c r="Q200">
        <f>$C200*Q199</f>
        <v/>
      </c>
      <c r="R200">
        <f>$C200*R199</f>
        <v/>
      </c>
      <c r="S200">
        <f>$C200*S199</f>
        <v/>
      </c>
      <c r="T200">
        <f>$C200*T199</f>
        <v/>
      </c>
      <c r="U200">
        <f>$C200*U199</f>
        <v/>
      </c>
      <c r="V200">
        <f>$C200*V199</f>
        <v/>
      </c>
      <c r="W200">
        <f>$C200*W199</f>
        <v/>
      </c>
      <c r="X200">
        <f>$C200*X199</f>
        <v/>
      </c>
      <c r="Y200">
        <f>$C200*Y199</f>
        <v/>
      </c>
      <c r="Z200">
        <f>$C200*Z199</f>
        <v/>
      </c>
      <c r="AA200">
        <f>$C200*AA199</f>
        <v/>
      </c>
      <c r="AB200">
        <f>$C200*AB199</f>
        <v/>
      </c>
      <c r="AC200">
        <f>$C200*AC199</f>
        <v/>
      </c>
      <c r="AD200">
        <f>$C200*AD199</f>
        <v/>
      </c>
      <c r="AE200">
        <f>$C200*AE199</f>
        <v/>
      </c>
      <c r="AF200">
        <f>$C200*AF199</f>
        <v/>
      </c>
      <c r="AG200">
        <f>$C200*AG199</f>
        <v/>
      </c>
      <c r="AH200">
        <f>$C200*AH199</f>
        <v/>
      </c>
      <c r="AI200">
        <f>$C200*AI199</f>
        <v/>
      </c>
      <c r="AJ200">
        <f>$C200*AJ199</f>
        <v/>
      </c>
      <c r="AK200">
        <f>$C200*AK199</f>
        <v/>
      </c>
      <c r="AL200">
        <f>$C200*AL199</f>
        <v/>
      </c>
      <c r="AM200">
        <f>$C200*AM199</f>
        <v/>
      </c>
      <c r="AN200">
        <f>$C200*AN199</f>
        <v/>
      </c>
      <c r="AO200">
        <f>$C200*AO199</f>
        <v/>
      </c>
      <c r="AP200">
        <f>$C200*AP199</f>
        <v/>
      </c>
      <c r="AQ200">
        <f>$C200*AQ199</f>
        <v/>
      </c>
      <c r="AR200">
        <f>$C200*AR199</f>
        <v/>
      </c>
      <c r="AS200">
        <f>$C200*AS199</f>
        <v/>
      </c>
      <c r="AT200">
        <f>$C200*AT199</f>
        <v/>
      </c>
      <c r="AU200">
        <f>$C200*AU199</f>
        <v/>
      </c>
      <c r="AV200">
        <f>$C200*AV199</f>
        <v/>
      </c>
      <c r="AW200">
        <f>$C200*AW199</f>
        <v/>
      </c>
      <c r="AX200">
        <f>$C200*AX199</f>
        <v/>
      </c>
      <c r="AY200">
        <f>$C200*AY199</f>
        <v/>
      </c>
      <c r="AZ200">
        <f>$C200*AZ199</f>
        <v/>
      </c>
      <c r="BA200">
        <f>$C200*BA199</f>
        <v/>
      </c>
      <c r="BB200">
        <f>$C200*BB199</f>
        <v/>
      </c>
      <c r="BC200">
        <f>$C200*BC199</f>
        <v/>
      </c>
      <c r="BD200">
        <f>$C200*BD199</f>
        <v/>
      </c>
      <c r="BE200">
        <f>$C200*BE199</f>
        <v/>
      </c>
      <c r="BF200">
        <f>$C200*BF199</f>
        <v/>
      </c>
      <c r="BG200">
        <f>$C200*BG199</f>
        <v/>
      </c>
      <c r="BH200">
        <f>$C200*BH199</f>
        <v/>
      </c>
      <c r="BI200">
        <f>$C200*BI199</f>
        <v/>
      </c>
      <c r="BJ200">
        <f>$C200*BJ199</f>
        <v/>
      </c>
      <c r="BK200">
        <f>$C200*BK199</f>
        <v/>
      </c>
      <c r="BL200">
        <f>$C200*BL199</f>
        <v/>
      </c>
      <c r="BM200">
        <f>$C200*BM199</f>
        <v/>
      </c>
      <c r="BN200">
        <f>$C200*BN199</f>
        <v/>
      </c>
      <c r="BO200">
        <f>$C200*BO199</f>
        <v/>
      </c>
      <c r="BP200">
        <f>$C200*BP199</f>
        <v/>
      </c>
      <c r="BQ200">
        <f>$C200*BQ199</f>
        <v/>
      </c>
      <c r="BR200">
        <f>$C200*BR199</f>
        <v/>
      </c>
      <c r="BS200">
        <f>$C200*BS199</f>
        <v/>
      </c>
      <c r="BT200">
        <f>$C200*BT199</f>
        <v/>
      </c>
      <c r="BU200">
        <f>$C200*BU199</f>
        <v/>
      </c>
      <c r="BV200">
        <f>$C200*BV199</f>
        <v/>
      </c>
      <c r="BW200">
        <f>$C200*BW199</f>
        <v/>
      </c>
      <c r="BX200">
        <f>$C200*BX199</f>
        <v/>
      </c>
      <c r="BY200">
        <f>$C200*BY199</f>
        <v/>
      </c>
      <c r="BZ200">
        <f>$C200*BZ199</f>
        <v/>
      </c>
      <c r="CA200">
        <f>$C200*CA199</f>
        <v/>
      </c>
      <c r="CB200">
        <f>$C200*CB199</f>
        <v/>
      </c>
      <c r="CC200">
        <f>$C200*CC199</f>
        <v/>
      </c>
      <c r="CD200">
        <f>$C200*CD199</f>
        <v/>
      </c>
      <c r="CE200">
        <f>$C200*CE199</f>
        <v/>
      </c>
      <c r="CF200">
        <f>$C200*CF199</f>
        <v/>
      </c>
      <c r="CG200">
        <f>$C200*CG199</f>
        <v/>
      </c>
      <c r="CH200">
        <f>$C200*CH199</f>
        <v/>
      </c>
      <c r="CI200">
        <f>$C200*CI199</f>
        <v/>
      </c>
      <c r="CJ200">
        <f>$C200*CJ199</f>
        <v/>
      </c>
      <c r="CK200">
        <f>$C200*CK199</f>
        <v/>
      </c>
      <c r="CL200">
        <f>$C200*CL199</f>
        <v/>
      </c>
      <c r="CM200">
        <f>$C200*CM199</f>
        <v/>
      </c>
      <c r="CN200">
        <f>$C200*CN199</f>
        <v/>
      </c>
      <c r="CO200">
        <f>$C200*CO199</f>
        <v/>
      </c>
      <c r="CP200">
        <f>$C200*CP199</f>
        <v/>
      </c>
      <c r="CQ200">
        <f>$C200*CQ199</f>
        <v/>
      </c>
      <c r="CR200">
        <f>$C200*CR199</f>
        <v/>
      </c>
      <c r="CS200">
        <f>$C200*CS199</f>
        <v/>
      </c>
      <c r="CT200">
        <f>$C200*CT199</f>
        <v/>
      </c>
      <c r="CU200">
        <f>$C200*CU199</f>
        <v/>
      </c>
      <c r="CV200">
        <f>$C200*CV199</f>
        <v/>
      </c>
      <c r="CW200">
        <f>$C200*CW199</f>
        <v/>
      </c>
      <c r="CX200">
        <f>$C200*CX199</f>
        <v/>
      </c>
      <c r="CY200">
        <f>$C200*CY199</f>
        <v/>
      </c>
      <c r="CZ200">
        <f>$C200*CZ199</f>
        <v/>
      </c>
      <c r="DA200">
        <f>$C200*DA199</f>
        <v/>
      </c>
      <c r="DB200">
        <f>$C200*DB199</f>
        <v/>
      </c>
      <c r="DC200">
        <f>$C200*DC199</f>
        <v/>
      </c>
    </row>
    <row r="201">
      <c r="B201" t="inlineStr">
        <is>
          <t>VSP-990</t>
        </is>
      </c>
      <c r="C201" t="inlineStr">
        <is>
          <t>No. of batches</t>
        </is>
      </c>
      <c r="D201">
        <f>IFERROR(INDEX(PP_Grid[#Data],$DD201,2),0)</f>
        <v/>
      </c>
      <c r="E201">
        <f>IFERROR(INDEX(PP_Grid[#Data],$DD201,3),0)</f>
        <v/>
      </c>
      <c r="F201">
        <f>IFERROR(INDEX(PP_Grid[#Data],$DD201,4),0)</f>
        <v/>
      </c>
      <c r="G201">
        <f>IFERROR(INDEX(PP_Grid[#Data],$DD201,5),0)</f>
        <v/>
      </c>
      <c r="H201">
        <f>IFERROR(INDEX(PP_Grid[#Data],$DD201,6),0)</f>
        <v/>
      </c>
      <c r="I201">
        <f>IFERROR(INDEX(PP_Grid[#Data],$DD201,7),0)</f>
        <v/>
      </c>
      <c r="J201">
        <f>IFERROR(INDEX(PP_Grid[#Data],$DD201,8),0)</f>
        <v/>
      </c>
      <c r="K201">
        <f>IFERROR(INDEX(PP_Grid[#Data],$DD201,9),0)</f>
        <v/>
      </c>
      <c r="L201">
        <f>IFERROR(INDEX(PP_Grid[#Data],$DD201,10),0)</f>
        <v/>
      </c>
      <c r="M201">
        <f>IFERROR(INDEX(PP_Grid[#Data],$DD201,11),0)</f>
        <v/>
      </c>
      <c r="N201">
        <f>IFERROR(INDEX(PP_Grid[#Data],$DD201,12),0)</f>
        <v/>
      </c>
      <c r="O201">
        <f>IFERROR(INDEX(PP_Grid[#Data],$DD201,13),0)</f>
        <v/>
      </c>
      <c r="P201">
        <f>IFERROR(INDEX(PP_Grid[#Data],$DD201,14),0)</f>
        <v/>
      </c>
      <c r="Q201">
        <f>IFERROR(INDEX(PP_Grid[#Data],$DD201,15),0)</f>
        <v/>
      </c>
      <c r="R201">
        <f>IFERROR(INDEX(PP_Grid[#Data],$DD201,16),0)</f>
        <v/>
      </c>
      <c r="S201">
        <f>IFERROR(INDEX(PP_Grid[#Data],$DD201,17),0)</f>
        <v/>
      </c>
      <c r="T201">
        <f>IFERROR(INDEX(PP_Grid[#Data],$DD201,18),0)</f>
        <v/>
      </c>
      <c r="U201">
        <f>IFERROR(INDEX(PP_Grid[#Data],$DD201,19),0)</f>
        <v/>
      </c>
      <c r="V201">
        <f>IFERROR(INDEX(PP_Grid[#Data],$DD201,20),0)</f>
        <v/>
      </c>
      <c r="W201">
        <f>IFERROR(INDEX(PP_Grid[#Data],$DD201,21),0)</f>
        <v/>
      </c>
      <c r="X201">
        <f>IFERROR(INDEX(PP_Grid[#Data],$DD201,22),0)</f>
        <v/>
      </c>
      <c r="Y201">
        <f>IFERROR(INDEX(PP_Grid[#Data],$DD201,23),0)</f>
        <v/>
      </c>
      <c r="Z201">
        <f>IFERROR(INDEX(PP_Grid[#Data],$DD201,24),0)</f>
        <v/>
      </c>
      <c r="AA201">
        <f>IFERROR(INDEX(PP_Grid[#Data],$DD201,25),0)</f>
        <v/>
      </c>
      <c r="AB201">
        <f>IFERROR(INDEX(PP_Grid[#Data],$DD201,26),0)</f>
        <v/>
      </c>
      <c r="AC201">
        <f>IFERROR(INDEX(PP_Grid[#Data],$DD201,27),0)</f>
        <v/>
      </c>
      <c r="AD201">
        <f>IFERROR(INDEX(PP_Grid[#Data],$DD201,28),0)</f>
        <v/>
      </c>
      <c r="AE201">
        <f>IFERROR(INDEX(PP_Grid[#Data],$DD201,29),0)</f>
        <v/>
      </c>
      <c r="AF201">
        <f>IFERROR(INDEX(PP_Grid[#Data],$DD201,30),0)</f>
        <v/>
      </c>
      <c r="AG201">
        <f>IFERROR(INDEX(PP_Grid[#Data],$DD201,31),0)</f>
        <v/>
      </c>
      <c r="AH201">
        <f>IFERROR(INDEX(PP_Grid[#Data],$DD201,32),0)</f>
        <v/>
      </c>
      <c r="AI201">
        <f>IFERROR(INDEX(PP_Grid[#Data],$DD201,33),0)</f>
        <v/>
      </c>
      <c r="AJ201">
        <f>IFERROR(INDEX(PP_Grid[#Data],$DD201,34),0)</f>
        <v/>
      </c>
      <c r="AK201">
        <f>IFERROR(INDEX(PP_Grid[#Data],$DD201,35),0)</f>
        <v/>
      </c>
      <c r="AL201">
        <f>IFERROR(INDEX(PP_Grid[#Data],$DD201,36),0)</f>
        <v/>
      </c>
      <c r="AM201">
        <f>IFERROR(INDEX(PP_Grid[#Data],$DD201,37),0)</f>
        <v/>
      </c>
      <c r="AN201">
        <f>IFERROR(INDEX(PP_Grid[#Data],$DD201,38),0)</f>
        <v/>
      </c>
      <c r="AO201">
        <f>IFERROR(INDEX(PP_Grid[#Data],$DD201,39),0)</f>
        <v/>
      </c>
      <c r="AP201">
        <f>IFERROR(INDEX(PP_Grid[#Data],$DD201,40),0)</f>
        <v/>
      </c>
      <c r="AQ201">
        <f>IFERROR(INDEX(PP_Grid[#Data],$DD201,41),0)</f>
        <v/>
      </c>
      <c r="AR201">
        <f>IFERROR(INDEX(PP_Grid[#Data],$DD201,42),0)</f>
        <v/>
      </c>
      <c r="AS201">
        <f>IFERROR(INDEX(PP_Grid[#Data],$DD201,43),0)</f>
        <v/>
      </c>
      <c r="AT201">
        <f>IFERROR(INDEX(PP_Grid[#Data],$DD201,44),0)</f>
        <v/>
      </c>
      <c r="AU201">
        <f>IFERROR(INDEX(PP_Grid[#Data],$DD201,45),0)</f>
        <v/>
      </c>
      <c r="AV201">
        <f>IFERROR(INDEX(PP_Grid[#Data],$DD201,46),0)</f>
        <v/>
      </c>
      <c r="AW201">
        <f>IFERROR(INDEX(PP_Grid[#Data],$DD201,47),0)</f>
        <v/>
      </c>
      <c r="AX201">
        <f>IFERROR(INDEX(PP_Grid[#Data],$DD201,48),0)</f>
        <v/>
      </c>
      <c r="AY201">
        <f>IFERROR(INDEX(PP_Grid[#Data],$DD201,49),0)</f>
        <v/>
      </c>
      <c r="AZ201">
        <f>IFERROR(INDEX(PP_Grid[#Data],$DD201,50),0)</f>
        <v/>
      </c>
      <c r="BA201">
        <f>IFERROR(INDEX(PP_Grid[#Data],$DD201,51),0)</f>
        <v/>
      </c>
      <c r="BB201">
        <f>IFERROR(INDEX(PP_Grid[#Data],$DD201,52),0)</f>
        <v/>
      </c>
      <c r="BC201">
        <f>IFERROR(INDEX(PP_Grid[#Data],$DD201,53),0)</f>
        <v/>
      </c>
      <c r="BD201">
        <f>IFERROR(INDEX(PP_Grid[#Data],$DD201,54),0)</f>
        <v/>
      </c>
      <c r="BE201">
        <f>IFERROR(INDEX(PP_Grid[#Data],$DD201,55),0)</f>
        <v/>
      </c>
      <c r="BF201">
        <f>IFERROR(INDEX(PP_Grid[#Data],$DD201,56),0)</f>
        <v/>
      </c>
      <c r="BG201">
        <f>IFERROR(INDEX(PP_Grid[#Data],$DD201,57),0)</f>
        <v/>
      </c>
      <c r="BH201">
        <f>IFERROR(INDEX(PP_Grid[#Data],$DD201,58),0)</f>
        <v/>
      </c>
      <c r="BI201">
        <f>IFERROR(INDEX(PP_Grid[#Data],$DD201,59),0)</f>
        <v/>
      </c>
      <c r="BJ201">
        <f>IFERROR(INDEX(PP_Grid[#Data],$DD201,60),0)</f>
        <v/>
      </c>
      <c r="BK201">
        <f>IFERROR(INDEX(PP_Grid[#Data],$DD201,61),0)</f>
        <v/>
      </c>
      <c r="BL201">
        <f>IFERROR(INDEX(PP_Grid[#Data],$DD201,62),0)</f>
        <v/>
      </c>
      <c r="BM201">
        <f>IFERROR(INDEX(PP_Grid[#Data],$DD201,63),0)</f>
        <v/>
      </c>
      <c r="BN201">
        <f>IFERROR(INDEX(PP_Grid[#Data],$DD201,64),0)</f>
        <v/>
      </c>
      <c r="BO201">
        <f>IFERROR(INDEX(PP_Grid[#Data],$DD201,65),0)</f>
        <v/>
      </c>
      <c r="BP201">
        <f>IFERROR(INDEX(PP_Grid[#Data],$DD201,66),0)</f>
        <v/>
      </c>
      <c r="BQ201">
        <f>IFERROR(INDEX(PP_Grid[#Data],$DD201,67),0)</f>
        <v/>
      </c>
      <c r="BR201">
        <f>IFERROR(INDEX(PP_Grid[#Data],$DD201,68),0)</f>
        <v/>
      </c>
      <c r="BS201">
        <f>IFERROR(INDEX(PP_Grid[#Data],$DD201,69),0)</f>
        <v/>
      </c>
      <c r="BT201">
        <f>IFERROR(INDEX(PP_Grid[#Data],$DD201,70),0)</f>
        <v/>
      </c>
      <c r="BU201">
        <f>IFERROR(INDEX(PP_Grid[#Data],$DD201,71),0)</f>
        <v/>
      </c>
      <c r="BV201">
        <f>IFERROR(INDEX(PP_Grid[#Data],$DD201,72),0)</f>
        <v/>
      </c>
      <c r="BW201">
        <f>IFERROR(INDEX(PP_Grid[#Data],$DD201,73),0)</f>
        <v/>
      </c>
      <c r="BX201">
        <f>IFERROR(INDEX(PP_Grid[#Data],$DD201,74),0)</f>
        <v/>
      </c>
      <c r="BY201">
        <f>IFERROR(INDEX(PP_Grid[#Data],$DD201,75),0)</f>
        <v/>
      </c>
      <c r="BZ201">
        <f>IFERROR(INDEX(PP_Grid[#Data],$DD201,76),0)</f>
        <v/>
      </c>
      <c r="CA201">
        <f>IFERROR(INDEX(PP_Grid[#Data],$DD201,77),0)</f>
        <v/>
      </c>
      <c r="CB201">
        <f>IFERROR(INDEX(PP_Grid[#Data],$DD201,78),0)</f>
        <v/>
      </c>
      <c r="CC201">
        <f>IFERROR(INDEX(PP_Grid[#Data],$DD201,79),0)</f>
        <v/>
      </c>
      <c r="CD201">
        <f>IFERROR(INDEX(PP_Grid[#Data],$DD201,80),0)</f>
        <v/>
      </c>
      <c r="CE201">
        <f>IFERROR(INDEX(PP_Grid[#Data],$DD201,81),0)</f>
        <v/>
      </c>
      <c r="CF201">
        <f>IFERROR(INDEX(PP_Grid[#Data],$DD201,82),0)</f>
        <v/>
      </c>
      <c r="CG201">
        <f>IFERROR(INDEX(PP_Grid[#Data],$DD201,83),0)</f>
        <v/>
      </c>
      <c r="CH201">
        <f>IFERROR(INDEX(PP_Grid[#Data],$DD201,84),0)</f>
        <v/>
      </c>
      <c r="CI201">
        <f>IFERROR(INDEX(PP_Grid[#Data],$DD201,85),0)</f>
        <v/>
      </c>
      <c r="CJ201">
        <f>IFERROR(INDEX(PP_Grid[#Data],$DD201,86),0)</f>
        <v/>
      </c>
      <c r="CK201">
        <f>IFERROR(INDEX(PP_Grid[#Data],$DD201,87),0)</f>
        <v/>
      </c>
      <c r="CL201">
        <f>IFERROR(INDEX(PP_Grid[#Data],$DD201,88),0)</f>
        <v/>
      </c>
      <c r="CM201">
        <f>IFERROR(INDEX(PP_Grid[#Data],$DD201,89),0)</f>
        <v/>
      </c>
      <c r="CN201">
        <f>IFERROR(INDEX(PP_Grid[#Data],$DD201,90),0)</f>
        <v/>
      </c>
      <c r="CO201">
        <f>IFERROR(INDEX(PP_Grid[#Data],$DD201,91),0)</f>
        <v/>
      </c>
      <c r="CP201">
        <f>IFERROR(INDEX(PP_Grid[#Data],$DD201,92),0)</f>
        <v/>
      </c>
      <c r="CQ201">
        <f>IFERROR(INDEX(PP_Grid[#Data],$DD201,93),0)</f>
        <v/>
      </c>
      <c r="CR201">
        <f>IFERROR(INDEX(PP_Grid[#Data],$DD201,94),0)</f>
        <v/>
      </c>
      <c r="CS201">
        <f>IFERROR(INDEX(PP_Grid[#Data],$DD201,95),0)</f>
        <v/>
      </c>
      <c r="CT201">
        <f>IFERROR(INDEX(PP_Grid[#Data],$DD201,96),0)</f>
        <v/>
      </c>
      <c r="CU201">
        <f>IFERROR(INDEX(PP_Grid[#Data],$DD201,97),0)</f>
        <v/>
      </c>
      <c r="CV201">
        <f>IFERROR(INDEX(PP_Grid[#Data],$DD201,98),0)</f>
        <v/>
      </c>
      <c r="CW201">
        <f>IFERROR(INDEX(PP_Grid[#Data],$DD201,99),0)</f>
        <v/>
      </c>
      <c r="CX201">
        <f>IFERROR(INDEX(PP_Grid[#Data],$DD201,100),0)</f>
        <v/>
      </c>
      <c r="CY201">
        <f>IFERROR(INDEX(PP_Grid[#Data],$DD201,101),0)</f>
        <v/>
      </c>
      <c r="CZ201">
        <f>IFERROR(INDEX(PP_Grid[#Data],$DD201,102),0)</f>
        <v/>
      </c>
      <c r="DA201">
        <f>IFERROR(INDEX(PP_Grid[#Data],$DD201,103),0)</f>
        <v/>
      </c>
      <c r="DB201">
        <f>IFERROR(INDEX(PP_Grid[#Data],$DD201,104),0)</f>
        <v/>
      </c>
      <c r="DC201">
        <f>IFERROR(INDEX(PP_Grid[#Data],$DD201,105),0)</f>
        <v/>
      </c>
      <c r="DD201" s="7">
        <f>IFERROR(MATCH($B201,PP_Grid[Intermediate],0),99999)</f>
        <v/>
      </c>
    </row>
    <row r="202">
      <c r="B202" t="inlineStr">
        <is>
          <t>使用量(kg)</t>
        </is>
      </c>
      <c r="C202">
        <f>SUMIFS(M_BOM[RM_Qty_Per_Batch],M_BOM[Intermediate],$B201,M_BOM[Part Name],$A44)</f>
        <v/>
      </c>
      <c r="D202">
        <f>$C202*D201</f>
        <v/>
      </c>
      <c r="E202">
        <f>$C202*E201</f>
        <v/>
      </c>
      <c r="F202">
        <f>$C202*F201</f>
        <v/>
      </c>
      <c r="G202">
        <f>$C202*G201</f>
        <v/>
      </c>
      <c r="H202">
        <f>$C202*H201</f>
        <v/>
      </c>
      <c r="I202">
        <f>$C202*I201</f>
        <v/>
      </c>
      <c r="J202">
        <f>$C202*J201</f>
        <v/>
      </c>
      <c r="K202">
        <f>$C202*K201</f>
        <v/>
      </c>
      <c r="L202">
        <f>$C202*L201</f>
        <v/>
      </c>
      <c r="M202">
        <f>$C202*M201</f>
        <v/>
      </c>
      <c r="N202">
        <f>$C202*N201</f>
        <v/>
      </c>
      <c r="O202">
        <f>$C202*O201</f>
        <v/>
      </c>
      <c r="P202">
        <f>$C202*P201</f>
        <v/>
      </c>
      <c r="Q202">
        <f>$C202*Q201</f>
        <v/>
      </c>
      <c r="R202">
        <f>$C202*R201</f>
        <v/>
      </c>
      <c r="S202">
        <f>$C202*S201</f>
        <v/>
      </c>
      <c r="T202">
        <f>$C202*T201</f>
        <v/>
      </c>
      <c r="U202">
        <f>$C202*U201</f>
        <v/>
      </c>
      <c r="V202">
        <f>$C202*V201</f>
        <v/>
      </c>
      <c r="W202">
        <f>$C202*W201</f>
        <v/>
      </c>
      <c r="X202">
        <f>$C202*X201</f>
        <v/>
      </c>
      <c r="Y202">
        <f>$C202*Y201</f>
        <v/>
      </c>
      <c r="Z202">
        <f>$C202*Z201</f>
        <v/>
      </c>
      <c r="AA202">
        <f>$C202*AA201</f>
        <v/>
      </c>
      <c r="AB202">
        <f>$C202*AB201</f>
        <v/>
      </c>
      <c r="AC202">
        <f>$C202*AC201</f>
        <v/>
      </c>
      <c r="AD202">
        <f>$C202*AD201</f>
        <v/>
      </c>
      <c r="AE202">
        <f>$C202*AE201</f>
        <v/>
      </c>
      <c r="AF202">
        <f>$C202*AF201</f>
        <v/>
      </c>
      <c r="AG202">
        <f>$C202*AG201</f>
        <v/>
      </c>
      <c r="AH202">
        <f>$C202*AH201</f>
        <v/>
      </c>
      <c r="AI202">
        <f>$C202*AI201</f>
        <v/>
      </c>
      <c r="AJ202">
        <f>$C202*AJ201</f>
        <v/>
      </c>
      <c r="AK202">
        <f>$C202*AK201</f>
        <v/>
      </c>
      <c r="AL202">
        <f>$C202*AL201</f>
        <v/>
      </c>
      <c r="AM202">
        <f>$C202*AM201</f>
        <v/>
      </c>
      <c r="AN202">
        <f>$C202*AN201</f>
        <v/>
      </c>
      <c r="AO202">
        <f>$C202*AO201</f>
        <v/>
      </c>
      <c r="AP202">
        <f>$C202*AP201</f>
        <v/>
      </c>
      <c r="AQ202">
        <f>$C202*AQ201</f>
        <v/>
      </c>
      <c r="AR202">
        <f>$C202*AR201</f>
        <v/>
      </c>
      <c r="AS202">
        <f>$C202*AS201</f>
        <v/>
      </c>
      <c r="AT202">
        <f>$C202*AT201</f>
        <v/>
      </c>
      <c r="AU202">
        <f>$C202*AU201</f>
        <v/>
      </c>
      <c r="AV202">
        <f>$C202*AV201</f>
        <v/>
      </c>
      <c r="AW202">
        <f>$C202*AW201</f>
        <v/>
      </c>
      <c r="AX202">
        <f>$C202*AX201</f>
        <v/>
      </c>
      <c r="AY202">
        <f>$C202*AY201</f>
        <v/>
      </c>
      <c r="AZ202">
        <f>$C202*AZ201</f>
        <v/>
      </c>
      <c r="BA202">
        <f>$C202*BA201</f>
        <v/>
      </c>
      <c r="BB202">
        <f>$C202*BB201</f>
        <v/>
      </c>
      <c r="BC202">
        <f>$C202*BC201</f>
        <v/>
      </c>
      <c r="BD202">
        <f>$C202*BD201</f>
        <v/>
      </c>
      <c r="BE202">
        <f>$C202*BE201</f>
        <v/>
      </c>
      <c r="BF202">
        <f>$C202*BF201</f>
        <v/>
      </c>
      <c r="BG202">
        <f>$C202*BG201</f>
        <v/>
      </c>
      <c r="BH202">
        <f>$C202*BH201</f>
        <v/>
      </c>
      <c r="BI202">
        <f>$C202*BI201</f>
        <v/>
      </c>
      <c r="BJ202">
        <f>$C202*BJ201</f>
        <v/>
      </c>
      <c r="BK202">
        <f>$C202*BK201</f>
        <v/>
      </c>
      <c r="BL202">
        <f>$C202*BL201</f>
        <v/>
      </c>
      <c r="BM202">
        <f>$C202*BM201</f>
        <v/>
      </c>
      <c r="BN202">
        <f>$C202*BN201</f>
        <v/>
      </c>
      <c r="BO202">
        <f>$C202*BO201</f>
        <v/>
      </c>
      <c r="BP202">
        <f>$C202*BP201</f>
        <v/>
      </c>
      <c r="BQ202">
        <f>$C202*BQ201</f>
        <v/>
      </c>
      <c r="BR202">
        <f>$C202*BR201</f>
        <v/>
      </c>
      <c r="BS202">
        <f>$C202*BS201</f>
        <v/>
      </c>
      <c r="BT202">
        <f>$C202*BT201</f>
        <v/>
      </c>
      <c r="BU202">
        <f>$C202*BU201</f>
        <v/>
      </c>
      <c r="BV202">
        <f>$C202*BV201</f>
        <v/>
      </c>
      <c r="BW202">
        <f>$C202*BW201</f>
        <v/>
      </c>
      <c r="BX202">
        <f>$C202*BX201</f>
        <v/>
      </c>
      <c r="BY202">
        <f>$C202*BY201</f>
        <v/>
      </c>
      <c r="BZ202">
        <f>$C202*BZ201</f>
        <v/>
      </c>
      <c r="CA202">
        <f>$C202*CA201</f>
        <v/>
      </c>
      <c r="CB202">
        <f>$C202*CB201</f>
        <v/>
      </c>
      <c r="CC202">
        <f>$C202*CC201</f>
        <v/>
      </c>
      <c r="CD202">
        <f>$C202*CD201</f>
        <v/>
      </c>
      <c r="CE202">
        <f>$C202*CE201</f>
        <v/>
      </c>
      <c r="CF202">
        <f>$C202*CF201</f>
        <v/>
      </c>
      <c r="CG202">
        <f>$C202*CG201</f>
        <v/>
      </c>
      <c r="CH202">
        <f>$C202*CH201</f>
        <v/>
      </c>
      <c r="CI202">
        <f>$C202*CI201</f>
        <v/>
      </c>
      <c r="CJ202">
        <f>$C202*CJ201</f>
        <v/>
      </c>
      <c r="CK202">
        <f>$C202*CK201</f>
        <v/>
      </c>
      <c r="CL202">
        <f>$C202*CL201</f>
        <v/>
      </c>
      <c r="CM202">
        <f>$C202*CM201</f>
        <v/>
      </c>
      <c r="CN202">
        <f>$C202*CN201</f>
        <v/>
      </c>
      <c r="CO202">
        <f>$C202*CO201</f>
        <v/>
      </c>
      <c r="CP202">
        <f>$C202*CP201</f>
        <v/>
      </c>
      <c r="CQ202">
        <f>$C202*CQ201</f>
        <v/>
      </c>
      <c r="CR202">
        <f>$C202*CR201</f>
        <v/>
      </c>
      <c r="CS202">
        <f>$C202*CS201</f>
        <v/>
      </c>
      <c r="CT202">
        <f>$C202*CT201</f>
        <v/>
      </c>
      <c r="CU202">
        <f>$C202*CU201</f>
        <v/>
      </c>
      <c r="CV202">
        <f>$C202*CV201</f>
        <v/>
      </c>
      <c r="CW202">
        <f>$C202*CW201</f>
        <v/>
      </c>
      <c r="CX202">
        <f>$C202*CX201</f>
        <v/>
      </c>
      <c r="CY202">
        <f>$C202*CY201</f>
        <v/>
      </c>
      <c r="CZ202">
        <f>$C202*CZ201</f>
        <v/>
      </c>
      <c r="DA202">
        <f>$C202*DA201</f>
        <v/>
      </c>
      <c r="DB202">
        <f>$C202*DB201</f>
        <v/>
      </c>
      <c r="DC202">
        <f>$C202*DC201</f>
        <v/>
      </c>
    </row>
    <row r="203">
      <c r="B203" t="inlineStr">
        <is>
          <t>VSZ-745</t>
        </is>
      </c>
      <c r="C203" t="inlineStr">
        <is>
          <t>No. of batches</t>
        </is>
      </c>
      <c r="D203">
        <f>IFERROR(INDEX(PP_Grid[#Data],$DD203,2),0)</f>
        <v/>
      </c>
      <c r="E203">
        <f>IFERROR(INDEX(PP_Grid[#Data],$DD203,3),0)</f>
        <v/>
      </c>
      <c r="F203">
        <f>IFERROR(INDEX(PP_Grid[#Data],$DD203,4),0)</f>
        <v/>
      </c>
      <c r="G203">
        <f>IFERROR(INDEX(PP_Grid[#Data],$DD203,5),0)</f>
        <v/>
      </c>
      <c r="H203">
        <f>IFERROR(INDEX(PP_Grid[#Data],$DD203,6),0)</f>
        <v/>
      </c>
      <c r="I203">
        <f>IFERROR(INDEX(PP_Grid[#Data],$DD203,7),0)</f>
        <v/>
      </c>
      <c r="J203">
        <f>IFERROR(INDEX(PP_Grid[#Data],$DD203,8),0)</f>
        <v/>
      </c>
      <c r="K203">
        <f>IFERROR(INDEX(PP_Grid[#Data],$DD203,9),0)</f>
        <v/>
      </c>
      <c r="L203">
        <f>IFERROR(INDEX(PP_Grid[#Data],$DD203,10),0)</f>
        <v/>
      </c>
      <c r="M203">
        <f>IFERROR(INDEX(PP_Grid[#Data],$DD203,11),0)</f>
        <v/>
      </c>
      <c r="N203">
        <f>IFERROR(INDEX(PP_Grid[#Data],$DD203,12),0)</f>
        <v/>
      </c>
      <c r="O203">
        <f>IFERROR(INDEX(PP_Grid[#Data],$DD203,13),0)</f>
        <v/>
      </c>
      <c r="P203">
        <f>IFERROR(INDEX(PP_Grid[#Data],$DD203,14),0)</f>
        <v/>
      </c>
      <c r="Q203">
        <f>IFERROR(INDEX(PP_Grid[#Data],$DD203,15),0)</f>
        <v/>
      </c>
      <c r="R203">
        <f>IFERROR(INDEX(PP_Grid[#Data],$DD203,16),0)</f>
        <v/>
      </c>
      <c r="S203">
        <f>IFERROR(INDEX(PP_Grid[#Data],$DD203,17),0)</f>
        <v/>
      </c>
      <c r="T203">
        <f>IFERROR(INDEX(PP_Grid[#Data],$DD203,18),0)</f>
        <v/>
      </c>
      <c r="U203">
        <f>IFERROR(INDEX(PP_Grid[#Data],$DD203,19),0)</f>
        <v/>
      </c>
      <c r="V203">
        <f>IFERROR(INDEX(PP_Grid[#Data],$DD203,20),0)</f>
        <v/>
      </c>
      <c r="W203">
        <f>IFERROR(INDEX(PP_Grid[#Data],$DD203,21),0)</f>
        <v/>
      </c>
      <c r="X203">
        <f>IFERROR(INDEX(PP_Grid[#Data],$DD203,22),0)</f>
        <v/>
      </c>
      <c r="Y203">
        <f>IFERROR(INDEX(PP_Grid[#Data],$DD203,23),0)</f>
        <v/>
      </c>
      <c r="Z203">
        <f>IFERROR(INDEX(PP_Grid[#Data],$DD203,24),0)</f>
        <v/>
      </c>
      <c r="AA203">
        <f>IFERROR(INDEX(PP_Grid[#Data],$DD203,25),0)</f>
        <v/>
      </c>
      <c r="AB203">
        <f>IFERROR(INDEX(PP_Grid[#Data],$DD203,26),0)</f>
        <v/>
      </c>
      <c r="AC203">
        <f>IFERROR(INDEX(PP_Grid[#Data],$DD203,27),0)</f>
        <v/>
      </c>
      <c r="AD203">
        <f>IFERROR(INDEX(PP_Grid[#Data],$DD203,28),0)</f>
        <v/>
      </c>
      <c r="AE203">
        <f>IFERROR(INDEX(PP_Grid[#Data],$DD203,29),0)</f>
        <v/>
      </c>
      <c r="AF203">
        <f>IFERROR(INDEX(PP_Grid[#Data],$DD203,30),0)</f>
        <v/>
      </c>
      <c r="AG203">
        <f>IFERROR(INDEX(PP_Grid[#Data],$DD203,31),0)</f>
        <v/>
      </c>
      <c r="AH203">
        <f>IFERROR(INDEX(PP_Grid[#Data],$DD203,32),0)</f>
        <v/>
      </c>
      <c r="AI203">
        <f>IFERROR(INDEX(PP_Grid[#Data],$DD203,33),0)</f>
        <v/>
      </c>
      <c r="AJ203">
        <f>IFERROR(INDEX(PP_Grid[#Data],$DD203,34),0)</f>
        <v/>
      </c>
      <c r="AK203">
        <f>IFERROR(INDEX(PP_Grid[#Data],$DD203,35),0)</f>
        <v/>
      </c>
      <c r="AL203">
        <f>IFERROR(INDEX(PP_Grid[#Data],$DD203,36),0)</f>
        <v/>
      </c>
      <c r="AM203">
        <f>IFERROR(INDEX(PP_Grid[#Data],$DD203,37),0)</f>
        <v/>
      </c>
      <c r="AN203">
        <f>IFERROR(INDEX(PP_Grid[#Data],$DD203,38),0)</f>
        <v/>
      </c>
      <c r="AO203">
        <f>IFERROR(INDEX(PP_Grid[#Data],$DD203,39),0)</f>
        <v/>
      </c>
      <c r="AP203">
        <f>IFERROR(INDEX(PP_Grid[#Data],$DD203,40),0)</f>
        <v/>
      </c>
      <c r="AQ203">
        <f>IFERROR(INDEX(PP_Grid[#Data],$DD203,41),0)</f>
        <v/>
      </c>
      <c r="AR203">
        <f>IFERROR(INDEX(PP_Grid[#Data],$DD203,42),0)</f>
        <v/>
      </c>
      <c r="AS203">
        <f>IFERROR(INDEX(PP_Grid[#Data],$DD203,43),0)</f>
        <v/>
      </c>
      <c r="AT203">
        <f>IFERROR(INDEX(PP_Grid[#Data],$DD203,44),0)</f>
        <v/>
      </c>
      <c r="AU203">
        <f>IFERROR(INDEX(PP_Grid[#Data],$DD203,45),0)</f>
        <v/>
      </c>
      <c r="AV203">
        <f>IFERROR(INDEX(PP_Grid[#Data],$DD203,46),0)</f>
        <v/>
      </c>
      <c r="AW203">
        <f>IFERROR(INDEX(PP_Grid[#Data],$DD203,47),0)</f>
        <v/>
      </c>
      <c r="AX203">
        <f>IFERROR(INDEX(PP_Grid[#Data],$DD203,48),0)</f>
        <v/>
      </c>
      <c r="AY203">
        <f>IFERROR(INDEX(PP_Grid[#Data],$DD203,49),0)</f>
        <v/>
      </c>
      <c r="AZ203">
        <f>IFERROR(INDEX(PP_Grid[#Data],$DD203,50),0)</f>
        <v/>
      </c>
      <c r="BA203">
        <f>IFERROR(INDEX(PP_Grid[#Data],$DD203,51),0)</f>
        <v/>
      </c>
      <c r="BB203">
        <f>IFERROR(INDEX(PP_Grid[#Data],$DD203,52),0)</f>
        <v/>
      </c>
      <c r="BC203">
        <f>IFERROR(INDEX(PP_Grid[#Data],$DD203,53),0)</f>
        <v/>
      </c>
      <c r="BD203">
        <f>IFERROR(INDEX(PP_Grid[#Data],$DD203,54),0)</f>
        <v/>
      </c>
      <c r="BE203">
        <f>IFERROR(INDEX(PP_Grid[#Data],$DD203,55),0)</f>
        <v/>
      </c>
      <c r="BF203">
        <f>IFERROR(INDEX(PP_Grid[#Data],$DD203,56),0)</f>
        <v/>
      </c>
      <c r="BG203">
        <f>IFERROR(INDEX(PP_Grid[#Data],$DD203,57),0)</f>
        <v/>
      </c>
      <c r="BH203">
        <f>IFERROR(INDEX(PP_Grid[#Data],$DD203,58),0)</f>
        <v/>
      </c>
      <c r="BI203">
        <f>IFERROR(INDEX(PP_Grid[#Data],$DD203,59),0)</f>
        <v/>
      </c>
      <c r="BJ203">
        <f>IFERROR(INDEX(PP_Grid[#Data],$DD203,60),0)</f>
        <v/>
      </c>
      <c r="BK203">
        <f>IFERROR(INDEX(PP_Grid[#Data],$DD203,61),0)</f>
        <v/>
      </c>
      <c r="BL203">
        <f>IFERROR(INDEX(PP_Grid[#Data],$DD203,62),0)</f>
        <v/>
      </c>
      <c r="BM203">
        <f>IFERROR(INDEX(PP_Grid[#Data],$DD203,63),0)</f>
        <v/>
      </c>
      <c r="BN203">
        <f>IFERROR(INDEX(PP_Grid[#Data],$DD203,64),0)</f>
        <v/>
      </c>
      <c r="BO203">
        <f>IFERROR(INDEX(PP_Grid[#Data],$DD203,65),0)</f>
        <v/>
      </c>
      <c r="BP203">
        <f>IFERROR(INDEX(PP_Grid[#Data],$DD203,66),0)</f>
        <v/>
      </c>
      <c r="BQ203">
        <f>IFERROR(INDEX(PP_Grid[#Data],$DD203,67),0)</f>
        <v/>
      </c>
      <c r="BR203">
        <f>IFERROR(INDEX(PP_Grid[#Data],$DD203,68),0)</f>
        <v/>
      </c>
      <c r="BS203">
        <f>IFERROR(INDEX(PP_Grid[#Data],$DD203,69),0)</f>
        <v/>
      </c>
      <c r="BT203">
        <f>IFERROR(INDEX(PP_Grid[#Data],$DD203,70),0)</f>
        <v/>
      </c>
      <c r="BU203">
        <f>IFERROR(INDEX(PP_Grid[#Data],$DD203,71),0)</f>
        <v/>
      </c>
      <c r="BV203">
        <f>IFERROR(INDEX(PP_Grid[#Data],$DD203,72),0)</f>
        <v/>
      </c>
      <c r="BW203">
        <f>IFERROR(INDEX(PP_Grid[#Data],$DD203,73),0)</f>
        <v/>
      </c>
      <c r="BX203">
        <f>IFERROR(INDEX(PP_Grid[#Data],$DD203,74),0)</f>
        <v/>
      </c>
      <c r="BY203">
        <f>IFERROR(INDEX(PP_Grid[#Data],$DD203,75),0)</f>
        <v/>
      </c>
      <c r="BZ203">
        <f>IFERROR(INDEX(PP_Grid[#Data],$DD203,76),0)</f>
        <v/>
      </c>
      <c r="CA203">
        <f>IFERROR(INDEX(PP_Grid[#Data],$DD203,77),0)</f>
        <v/>
      </c>
      <c r="CB203">
        <f>IFERROR(INDEX(PP_Grid[#Data],$DD203,78),0)</f>
        <v/>
      </c>
      <c r="CC203">
        <f>IFERROR(INDEX(PP_Grid[#Data],$DD203,79),0)</f>
        <v/>
      </c>
      <c r="CD203">
        <f>IFERROR(INDEX(PP_Grid[#Data],$DD203,80),0)</f>
        <v/>
      </c>
      <c r="CE203">
        <f>IFERROR(INDEX(PP_Grid[#Data],$DD203,81),0)</f>
        <v/>
      </c>
      <c r="CF203">
        <f>IFERROR(INDEX(PP_Grid[#Data],$DD203,82),0)</f>
        <v/>
      </c>
      <c r="CG203">
        <f>IFERROR(INDEX(PP_Grid[#Data],$DD203,83),0)</f>
        <v/>
      </c>
      <c r="CH203">
        <f>IFERROR(INDEX(PP_Grid[#Data],$DD203,84),0)</f>
        <v/>
      </c>
      <c r="CI203">
        <f>IFERROR(INDEX(PP_Grid[#Data],$DD203,85),0)</f>
        <v/>
      </c>
      <c r="CJ203">
        <f>IFERROR(INDEX(PP_Grid[#Data],$DD203,86),0)</f>
        <v/>
      </c>
      <c r="CK203">
        <f>IFERROR(INDEX(PP_Grid[#Data],$DD203,87),0)</f>
        <v/>
      </c>
      <c r="CL203">
        <f>IFERROR(INDEX(PP_Grid[#Data],$DD203,88),0)</f>
        <v/>
      </c>
      <c r="CM203">
        <f>IFERROR(INDEX(PP_Grid[#Data],$DD203,89),0)</f>
        <v/>
      </c>
      <c r="CN203">
        <f>IFERROR(INDEX(PP_Grid[#Data],$DD203,90),0)</f>
        <v/>
      </c>
      <c r="CO203">
        <f>IFERROR(INDEX(PP_Grid[#Data],$DD203,91),0)</f>
        <v/>
      </c>
      <c r="CP203">
        <f>IFERROR(INDEX(PP_Grid[#Data],$DD203,92),0)</f>
        <v/>
      </c>
      <c r="CQ203">
        <f>IFERROR(INDEX(PP_Grid[#Data],$DD203,93),0)</f>
        <v/>
      </c>
      <c r="CR203">
        <f>IFERROR(INDEX(PP_Grid[#Data],$DD203,94),0)</f>
        <v/>
      </c>
      <c r="CS203">
        <f>IFERROR(INDEX(PP_Grid[#Data],$DD203,95),0)</f>
        <v/>
      </c>
      <c r="CT203">
        <f>IFERROR(INDEX(PP_Grid[#Data],$DD203,96),0)</f>
        <v/>
      </c>
      <c r="CU203">
        <f>IFERROR(INDEX(PP_Grid[#Data],$DD203,97),0)</f>
        <v/>
      </c>
      <c r="CV203">
        <f>IFERROR(INDEX(PP_Grid[#Data],$DD203,98),0)</f>
        <v/>
      </c>
      <c r="CW203">
        <f>IFERROR(INDEX(PP_Grid[#Data],$DD203,99),0)</f>
        <v/>
      </c>
      <c r="CX203">
        <f>IFERROR(INDEX(PP_Grid[#Data],$DD203,100),0)</f>
        <v/>
      </c>
      <c r="CY203">
        <f>IFERROR(INDEX(PP_Grid[#Data],$DD203,101),0)</f>
        <v/>
      </c>
      <c r="CZ203">
        <f>IFERROR(INDEX(PP_Grid[#Data],$DD203,102),0)</f>
        <v/>
      </c>
      <c r="DA203">
        <f>IFERROR(INDEX(PP_Grid[#Data],$DD203,103),0)</f>
        <v/>
      </c>
      <c r="DB203">
        <f>IFERROR(INDEX(PP_Grid[#Data],$DD203,104),0)</f>
        <v/>
      </c>
      <c r="DC203">
        <f>IFERROR(INDEX(PP_Grid[#Data],$DD203,105),0)</f>
        <v/>
      </c>
      <c r="DD203" s="7">
        <f>IFERROR(MATCH($B203,PP_Grid[Intermediate],0),99999)</f>
        <v/>
      </c>
    </row>
    <row r="204">
      <c r="B204" t="inlineStr">
        <is>
          <t>使用量(kg)</t>
        </is>
      </c>
      <c r="C204">
        <f>SUMIFS(M_BOM[RM_Qty_Per_Batch],M_BOM[Intermediate],$B203,M_BOM[Part Name],$A44)</f>
        <v/>
      </c>
      <c r="D204">
        <f>$C204*D203</f>
        <v/>
      </c>
      <c r="E204">
        <f>$C204*E203</f>
        <v/>
      </c>
      <c r="F204">
        <f>$C204*F203</f>
        <v/>
      </c>
      <c r="G204">
        <f>$C204*G203</f>
        <v/>
      </c>
      <c r="H204">
        <f>$C204*H203</f>
        <v/>
      </c>
      <c r="I204">
        <f>$C204*I203</f>
        <v/>
      </c>
      <c r="J204">
        <f>$C204*J203</f>
        <v/>
      </c>
      <c r="K204">
        <f>$C204*K203</f>
        <v/>
      </c>
      <c r="L204">
        <f>$C204*L203</f>
        <v/>
      </c>
      <c r="M204">
        <f>$C204*M203</f>
        <v/>
      </c>
      <c r="N204">
        <f>$C204*N203</f>
        <v/>
      </c>
      <c r="O204">
        <f>$C204*O203</f>
        <v/>
      </c>
      <c r="P204">
        <f>$C204*P203</f>
        <v/>
      </c>
      <c r="Q204">
        <f>$C204*Q203</f>
        <v/>
      </c>
      <c r="R204">
        <f>$C204*R203</f>
        <v/>
      </c>
      <c r="S204">
        <f>$C204*S203</f>
        <v/>
      </c>
      <c r="T204">
        <f>$C204*T203</f>
        <v/>
      </c>
      <c r="U204">
        <f>$C204*U203</f>
        <v/>
      </c>
      <c r="V204">
        <f>$C204*V203</f>
        <v/>
      </c>
      <c r="W204">
        <f>$C204*W203</f>
        <v/>
      </c>
      <c r="X204">
        <f>$C204*X203</f>
        <v/>
      </c>
      <c r="Y204">
        <f>$C204*Y203</f>
        <v/>
      </c>
      <c r="Z204">
        <f>$C204*Z203</f>
        <v/>
      </c>
      <c r="AA204">
        <f>$C204*AA203</f>
        <v/>
      </c>
      <c r="AB204">
        <f>$C204*AB203</f>
        <v/>
      </c>
      <c r="AC204">
        <f>$C204*AC203</f>
        <v/>
      </c>
      <c r="AD204">
        <f>$C204*AD203</f>
        <v/>
      </c>
      <c r="AE204">
        <f>$C204*AE203</f>
        <v/>
      </c>
      <c r="AF204">
        <f>$C204*AF203</f>
        <v/>
      </c>
      <c r="AG204">
        <f>$C204*AG203</f>
        <v/>
      </c>
      <c r="AH204">
        <f>$C204*AH203</f>
        <v/>
      </c>
      <c r="AI204">
        <f>$C204*AI203</f>
        <v/>
      </c>
      <c r="AJ204">
        <f>$C204*AJ203</f>
        <v/>
      </c>
      <c r="AK204">
        <f>$C204*AK203</f>
        <v/>
      </c>
      <c r="AL204">
        <f>$C204*AL203</f>
        <v/>
      </c>
      <c r="AM204">
        <f>$C204*AM203</f>
        <v/>
      </c>
      <c r="AN204">
        <f>$C204*AN203</f>
        <v/>
      </c>
      <c r="AO204">
        <f>$C204*AO203</f>
        <v/>
      </c>
      <c r="AP204">
        <f>$C204*AP203</f>
        <v/>
      </c>
      <c r="AQ204">
        <f>$C204*AQ203</f>
        <v/>
      </c>
      <c r="AR204">
        <f>$C204*AR203</f>
        <v/>
      </c>
      <c r="AS204">
        <f>$C204*AS203</f>
        <v/>
      </c>
      <c r="AT204">
        <f>$C204*AT203</f>
        <v/>
      </c>
      <c r="AU204">
        <f>$C204*AU203</f>
        <v/>
      </c>
      <c r="AV204">
        <f>$C204*AV203</f>
        <v/>
      </c>
      <c r="AW204">
        <f>$C204*AW203</f>
        <v/>
      </c>
      <c r="AX204">
        <f>$C204*AX203</f>
        <v/>
      </c>
      <c r="AY204">
        <f>$C204*AY203</f>
        <v/>
      </c>
      <c r="AZ204">
        <f>$C204*AZ203</f>
        <v/>
      </c>
      <c r="BA204">
        <f>$C204*BA203</f>
        <v/>
      </c>
      <c r="BB204">
        <f>$C204*BB203</f>
        <v/>
      </c>
      <c r="BC204">
        <f>$C204*BC203</f>
        <v/>
      </c>
      <c r="BD204">
        <f>$C204*BD203</f>
        <v/>
      </c>
      <c r="BE204">
        <f>$C204*BE203</f>
        <v/>
      </c>
      <c r="BF204">
        <f>$C204*BF203</f>
        <v/>
      </c>
      <c r="BG204">
        <f>$C204*BG203</f>
        <v/>
      </c>
      <c r="BH204">
        <f>$C204*BH203</f>
        <v/>
      </c>
      <c r="BI204">
        <f>$C204*BI203</f>
        <v/>
      </c>
      <c r="BJ204">
        <f>$C204*BJ203</f>
        <v/>
      </c>
      <c r="BK204">
        <f>$C204*BK203</f>
        <v/>
      </c>
      <c r="BL204">
        <f>$C204*BL203</f>
        <v/>
      </c>
      <c r="BM204">
        <f>$C204*BM203</f>
        <v/>
      </c>
      <c r="BN204">
        <f>$C204*BN203</f>
        <v/>
      </c>
      <c r="BO204">
        <f>$C204*BO203</f>
        <v/>
      </c>
      <c r="BP204">
        <f>$C204*BP203</f>
        <v/>
      </c>
      <c r="BQ204">
        <f>$C204*BQ203</f>
        <v/>
      </c>
      <c r="BR204">
        <f>$C204*BR203</f>
        <v/>
      </c>
      <c r="BS204">
        <f>$C204*BS203</f>
        <v/>
      </c>
      <c r="BT204">
        <f>$C204*BT203</f>
        <v/>
      </c>
      <c r="BU204">
        <f>$C204*BU203</f>
        <v/>
      </c>
      <c r="BV204">
        <f>$C204*BV203</f>
        <v/>
      </c>
      <c r="BW204">
        <f>$C204*BW203</f>
        <v/>
      </c>
      <c r="BX204">
        <f>$C204*BX203</f>
        <v/>
      </c>
      <c r="BY204">
        <f>$C204*BY203</f>
        <v/>
      </c>
      <c r="BZ204">
        <f>$C204*BZ203</f>
        <v/>
      </c>
      <c r="CA204">
        <f>$C204*CA203</f>
        <v/>
      </c>
      <c r="CB204">
        <f>$C204*CB203</f>
        <v/>
      </c>
      <c r="CC204">
        <f>$C204*CC203</f>
        <v/>
      </c>
      <c r="CD204">
        <f>$C204*CD203</f>
        <v/>
      </c>
      <c r="CE204">
        <f>$C204*CE203</f>
        <v/>
      </c>
      <c r="CF204">
        <f>$C204*CF203</f>
        <v/>
      </c>
      <c r="CG204">
        <f>$C204*CG203</f>
        <v/>
      </c>
      <c r="CH204">
        <f>$C204*CH203</f>
        <v/>
      </c>
      <c r="CI204">
        <f>$C204*CI203</f>
        <v/>
      </c>
      <c r="CJ204">
        <f>$C204*CJ203</f>
        <v/>
      </c>
      <c r="CK204">
        <f>$C204*CK203</f>
        <v/>
      </c>
      <c r="CL204">
        <f>$C204*CL203</f>
        <v/>
      </c>
      <c r="CM204">
        <f>$C204*CM203</f>
        <v/>
      </c>
      <c r="CN204">
        <f>$C204*CN203</f>
        <v/>
      </c>
      <c r="CO204">
        <f>$C204*CO203</f>
        <v/>
      </c>
      <c r="CP204">
        <f>$C204*CP203</f>
        <v/>
      </c>
      <c r="CQ204">
        <f>$C204*CQ203</f>
        <v/>
      </c>
      <c r="CR204">
        <f>$C204*CR203</f>
        <v/>
      </c>
      <c r="CS204">
        <f>$C204*CS203</f>
        <v/>
      </c>
      <c r="CT204">
        <f>$C204*CT203</f>
        <v/>
      </c>
      <c r="CU204">
        <f>$C204*CU203</f>
        <v/>
      </c>
      <c r="CV204">
        <f>$C204*CV203</f>
        <v/>
      </c>
      <c r="CW204">
        <f>$C204*CW203</f>
        <v/>
      </c>
      <c r="CX204">
        <f>$C204*CX203</f>
        <v/>
      </c>
      <c r="CY204">
        <f>$C204*CY203</f>
        <v/>
      </c>
      <c r="CZ204">
        <f>$C204*CZ203</f>
        <v/>
      </c>
      <c r="DA204">
        <f>$C204*DA203</f>
        <v/>
      </c>
      <c r="DB204">
        <f>$C204*DB203</f>
        <v/>
      </c>
      <c r="DC204">
        <f>$C204*DC203</f>
        <v/>
      </c>
    </row>
    <row r="205">
      <c r="B205" t="inlineStr">
        <is>
          <t>TVS-267</t>
        </is>
      </c>
      <c r="C205" t="inlineStr">
        <is>
          <t>No. of batches</t>
        </is>
      </c>
      <c r="D205">
        <f>IFERROR(INDEX(PP_Grid[#Data],$DD205,2),0)</f>
        <v/>
      </c>
      <c r="E205">
        <f>IFERROR(INDEX(PP_Grid[#Data],$DD205,3),0)</f>
        <v/>
      </c>
      <c r="F205">
        <f>IFERROR(INDEX(PP_Grid[#Data],$DD205,4),0)</f>
        <v/>
      </c>
      <c r="G205">
        <f>IFERROR(INDEX(PP_Grid[#Data],$DD205,5),0)</f>
        <v/>
      </c>
      <c r="H205">
        <f>IFERROR(INDEX(PP_Grid[#Data],$DD205,6),0)</f>
        <v/>
      </c>
      <c r="I205">
        <f>IFERROR(INDEX(PP_Grid[#Data],$DD205,7),0)</f>
        <v/>
      </c>
      <c r="J205">
        <f>IFERROR(INDEX(PP_Grid[#Data],$DD205,8),0)</f>
        <v/>
      </c>
      <c r="K205">
        <f>IFERROR(INDEX(PP_Grid[#Data],$DD205,9),0)</f>
        <v/>
      </c>
      <c r="L205">
        <f>IFERROR(INDEX(PP_Grid[#Data],$DD205,10),0)</f>
        <v/>
      </c>
      <c r="M205">
        <f>IFERROR(INDEX(PP_Grid[#Data],$DD205,11),0)</f>
        <v/>
      </c>
      <c r="N205">
        <f>IFERROR(INDEX(PP_Grid[#Data],$DD205,12),0)</f>
        <v/>
      </c>
      <c r="O205">
        <f>IFERROR(INDEX(PP_Grid[#Data],$DD205,13),0)</f>
        <v/>
      </c>
      <c r="P205">
        <f>IFERROR(INDEX(PP_Grid[#Data],$DD205,14),0)</f>
        <v/>
      </c>
      <c r="Q205">
        <f>IFERROR(INDEX(PP_Grid[#Data],$DD205,15),0)</f>
        <v/>
      </c>
      <c r="R205">
        <f>IFERROR(INDEX(PP_Grid[#Data],$DD205,16),0)</f>
        <v/>
      </c>
      <c r="S205">
        <f>IFERROR(INDEX(PP_Grid[#Data],$DD205,17),0)</f>
        <v/>
      </c>
      <c r="T205">
        <f>IFERROR(INDEX(PP_Grid[#Data],$DD205,18),0)</f>
        <v/>
      </c>
      <c r="U205">
        <f>IFERROR(INDEX(PP_Grid[#Data],$DD205,19),0)</f>
        <v/>
      </c>
      <c r="V205">
        <f>IFERROR(INDEX(PP_Grid[#Data],$DD205,20),0)</f>
        <v/>
      </c>
      <c r="W205">
        <f>IFERROR(INDEX(PP_Grid[#Data],$DD205,21),0)</f>
        <v/>
      </c>
      <c r="X205">
        <f>IFERROR(INDEX(PP_Grid[#Data],$DD205,22),0)</f>
        <v/>
      </c>
      <c r="Y205">
        <f>IFERROR(INDEX(PP_Grid[#Data],$DD205,23),0)</f>
        <v/>
      </c>
      <c r="Z205">
        <f>IFERROR(INDEX(PP_Grid[#Data],$DD205,24),0)</f>
        <v/>
      </c>
      <c r="AA205">
        <f>IFERROR(INDEX(PP_Grid[#Data],$DD205,25),0)</f>
        <v/>
      </c>
      <c r="AB205">
        <f>IFERROR(INDEX(PP_Grid[#Data],$DD205,26),0)</f>
        <v/>
      </c>
      <c r="AC205">
        <f>IFERROR(INDEX(PP_Grid[#Data],$DD205,27),0)</f>
        <v/>
      </c>
      <c r="AD205">
        <f>IFERROR(INDEX(PP_Grid[#Data],$DD205,28),0)</f>
        <v/>
      </c>
      <c r="AE205">
        <f>IFERROR(INDEX(PP_Grid[#Data],$DD205,29),0)</f>
        <v/>
      </c>
      <c r="AF205">
        <f>IFERROR(INDEX(PP_Grid[#Data],$DD205,30),0)</f>
        <v/>
      </c>
      <c r="AG205">
        <f>IFERROR(INDEX(PP_Grid[#Data],$DD205,31),0)</f>
        <v/>
      </c>
      <c r="AH205">
        <f>IFERROR(INDEX(PP_Grid[#Data],$DD205,32),0)</f>
        <v/>
      </c>
      <c r="AI205">
        <f>IFERROR(INDEX(PP_Grid[#Data],$DD205,33),0)</f>
        <v/>
      </c>
      <c r="AJ205">
        <f>IFERROR(INDEX(PP_Grid[#Data],$DD205,34),0)</f>
        <v/>
      </c>
      <c r="AK205">
        <f>IFERROR(INDEX(PP_Grid[#Data],$DD205,35),0)</f>
        <v/>
      </c>
      <c r="AL205">
        <f>IFERROR(INDEX(PP_Grid[#Data],$DD205,36),0)</f>
        <v/>
      </c>
      <c r="AM205">
        <f>IFERROR(INDEX(PP_Grid[#Data],$DD205,37),0)</f>
        <v/>
      </c>
      <c r="AN205">
        <f>IFERROR(INDEX(PP_Grid[#Data],$DD205,38),0)</f>
        <v/>
      </c>
      <c r="AO205">
        <f>IFERROR(INDEX(PP_Grid[#Data],$DD205,39),0)</f>
        <v/>
      </c>
      <c r="AP205">
        <f>IFERROR(INDEX(PP_Grid[#Data],$DD205,40),0)</f>
        <v/>
      </c>
      <c r="AQ205">
        <f>IFERROR(INDEX(PP_Grid[#Data],$DD205,41),0)</f>
        <v/>
      </c>
      <c r="AR205">
        <f>IFERROR(INDEX(PP_Grid[#Data],$DD205,42),0)</f>
        <v/>
      </c>
      <c r="AS205">
        <f>IFERROR(INDEX(PP_Grid[#Data],$DD205,43),0)</f>
        <v/>
      </c>
      <c r="AT205">
        <f>IFERROR(INDEX(PP_Grid[#Data],$DD205,44),0)</f>
        <v/>
      </c>
      <c r="AU205">
        <f>IFERROR(INDEX(PP_Grid[#Data],$DD205,45),0)</f>
        <v/>
      </c>
      <c r="AV205">
        <f>IFERROR(INDEX(PP_Grid[#Data],$DD205,46),0)</f>
        <v/>
      </c>
      <c r="AW205">
        <f>IFERROR(INDEX(PP_Grid[#Data],$DD205,47),0)</f>
        <v/>
      </c>
      <c r="AX205">
        <f>IFERROR(INDEX(PP_Grid[#Data],$DD205,48),0)</f>
        <v/>
      </c>
      <c r="AY205">
        <f>IFERROR(INDEX(PP_Grid[#Data],$DD205,49),0)</f>
        <v/>
      </c>
      <c r="AZ205">
        <f>IFERROR(INDEX(PP_Grid[#Data],$DD205,50),0)</f>
        <v/>
      </c>
      <c r="BA205">
        <f>IFERROR(INDEX(PP_Grid[#Data],$DD205,51),0)</f>
        <v/>
      </c>
      <c r="BB205">
        <f>IFERROR(INDEX(PP_Grid[#Data],$DD205,52),0)</f>
        <v/>
      </c>
      <c r="BC205">
        <f>IFERROR(INDEX(PP_Grid[#Data],$DD205,53),0)</f>
        <v/>
      </c>
      <c r="BD205">
        <f>IFERROR(INDEX(PP_Grid[#Data],$DD205,54),0)</f>
        <v/>
      </c>
      <c r="BE205">
        <f>IFERROR(INDEX(PP_Grid[#Data],$DD205,55),0)</f>
        <v/>
      </c>
      <c r="BF205">
        <f>IFERROR(INDEX(PP_Grid[#Data],$DD205,56),0)</f>
        <v/>
      </c>
      <c r="BG205">
        <f>IFERROR(INDEX(PP_Grid[#Data],$DD205,57),0)</f>
        <v/>
      </c>
      <c r="BH205">
        <f>IFERROR(INDEX(PP_Grid[#Data],$DD205,58),0)</f>
        <v/>
      </c>
      <c r="BI205">
        <f>IFERROR(INDEX(PP_Grid[#Data],$DD205,59),0)</f>
        <v/>
      </c>
      <c r="BJ205">
        <f>IFERROR(INDEX(PP_Grid[#Data],$DD205,60),0)</f>
        <v/>
      </c>
      <c r="BK205">
        <f>IFERROR(INDEX(PP_Grid[#Data],$DD205,61),0)</f>
        <v/>
      </c>
      <c r="BL205">
        <f>IFERROR(INDEX(PP_Grid[#Data],$DD205,62),0)</f>
        <v/>
      </c>
      <c r="BM205">
        <f>IFERROR(INDEX(PP_Grid[#Data],$DD205,63),0)</f>
        <v/>
      </c>
      <c r="BN205">
        <f>IFERROR(INDEX(PP_Grid[#Data],$DD205,64),0)</f>
        <v/>
      </c>
      <c r="BO205">
        <f>IFERROR(INDEX(PP_Grid[#Data],$DD205,65),0)</f>
        <v/>
      </c>
      <c r="BP205">
        <f>IFERROR(INDEX(PP_Grid[#Data],$DD205,66),0)</f>
        <v/>
      </c>
      <c r="BQ205">
        <f>IFERROR(INDEX(PP_Grid[#Data],$DD205,67),0)</f>
        <v/>
      </c>
      <c r="BR205">
        <f>IFERROR(INDEX(PP_Grid[#Data],$DD205,68),0)</f>
        <v/>
      </c>
      <c r="BS205">
        <f>IFERROR(INDEX(PP_Grid[#Data],$DD205,69),0)</f>
        <v/>
      </c>
      <c r="BT205">
        <f>IFERROR(INDEX(PP_Grid[#Data],$DD205,70),0)</f>
        <v/>
      </c>
      <c r="BU205">
        <f>IFERROR(INDEX(PP_Grid[#Data],$DD205,71),0)</f>
        <v/>
      </c>
      <c r="BV205">
        <f>IFERROR(INDEX(PP_Grid[#Data],$DD205,72),0)</f>
        <v/>
      </c>
      <c r="BW205">
        <f>IFERROR(INDEX(PP_Grid[#Data],$DD205,73),0)</f>
        <v/>
      </c>
      <c r="BX205">
        <f>IFERROR(INDEX(PP_Grid[#Data],$DD205,74),0)</f>
        <v/>
      </c>
      <c r="BY205">
        <f>IFERROR(INDEX(PP_Grid[#Data],$DD205,75),0)</f>
        <v/>
      </c>
      <c r="BZ205">
        <f>IFERROR(INDEX(PP_Grid[#Data],$DD205,76),0)</f>
        <v/>
      </c>
      <c r="CA205">
        <f>IFERROR(INDEX(PP_Grid[#Data],$DD205,77),0)</f>
        <v/>
      </c>
      <c r="CB205">
        <f>IFERROR(INDEX(PP_Grid[#Data],$DD205,78),0)</f>
        <v/>
      </c>
      <c r="CC205">
        <f>IFERROR(INDEX(PP_Grid[#Data],$DD205,79),0)</f>
        <v/>
      </c>
      <c r="CD205">
        <f>IFERROR(INDEX(PP_Grid[#Data],$DD205,80),0)</f>
        <v/>
      </c>
      <c r="CE205">
        <f>IFERROR(INDEX(PP_Grid[#Data],$DD205,81),0)</f>
        <v/>
      </c>
      <c r="CF205">
        <f>IFERROR(INDEX(PP_Grid[#Data],$DD205,82),0)</f>
        <v/>
      </c>
      <c r="CG205">
        <f>IFERROR(INDEX(PP_Grid[#Data],$DD205,83),0)</f>
        <v/>
      </c>
      <c r="CH205">
        <f>IFERROR(INDEX(PP_Grid[#Data],$DD205,84),0)</f>
        <v/>
      </c>
      <c r="CI205">
        <f>IFERROR(INDEX(PP_Grid[#Data],$DD205,85),0)</f>
        <v/>
      </c>
      <c r="CJ205">
        <f>IFERROR(INDEX(PP_Grid[#Data],$DD205,86),0)</f>
        <v/>
      </c>
      <c r="CK205">
        <f>IFERROR(INDEX(PP_Grid[#Data],$DD205,87),0)</f>
        <v/>
      </c>
      <c r="CL205">
        <f>IFERROR(INDEX(PP_Grid[#Data],$DD205,88),0)</f>
        <v/>
      </c>
      <c r="CM205">
        <f>IFERROR(INDEX(PP_Grid[#Data],$DD205,89),0)</f>
        <v/>
      </c>
      <c r="CN205">
        <f>IFERROR(INDEX(PP_Grid[#Data],$DD205,90),0)</f>
        <v/>
      </c>
      <c r="CO205">
        <f>IFERROR(INDEX(PP_Grid[#Data],$DD205,91),0)</f>
        <v/>
      </c>
      <c r="CP205">
        <f>IFERROR(INDEX(PP_Grid[#Data],$DD205,92),0)</f>
        <v/>
      </c>
      <c r="CQ205">
        <f>IFERROR(INDEX(PP_Grid[#Data],$DD205,93),0)</f>
        <v/>
      </c>
      <c r="CR205">
        <f>IFERROR(INDEX(PP_Grid[#Data],$DD205,94),0)</f>
        <v/>
      </c>
      <c r="CS205">
        <f>IFERROR(INDEX(PP_Grid[#Data],$DD205,95),0)</f>
        <v/>
      </c>
      <c r="CT205">
        <f>IFERROR(INDEX(PP_Grid[#Data],$DD205,96),0)</f>
        <v/>
      </c>
      <c r="CU205">
        <f>IFERROR(INDEX(PP_Grid[#Data],$DD205,97),0)</f>
        <v/>
      </c>
      <c r="CV205">
        <f>IFERROR(INDEX(PP_Grid[#Data],$DD205,98),0)</f>
        <v/>
      </c>
      <c r="CW205">
        <f>IFERROR(INDEX(PP_Grid[#Data],$DD205,99),0)</f>
        <v/>
      </c>
      <c r="CX205">
        <f>IFERROR(INDEX(PP_Grid[#Data],$DD205,100),0)</f>
        <v/>
      </c>
      <c r="CY205">
        <f>IFERROR(INDEX(PP_Grid[#Data],$DD205,101),0)</f>
        <v/>
      </c>
      <c r="CZ205">
        <f>IFERROR(INDEX(PP_Grid[#Data],$DD205,102),0)</f>
        <v/>
      </c>
      <c r="DA205">
        <f>IFERROR(INDEX(PP_Grid[#Data],$DD205,103),0)</f>
        <v/>
      </c>
      <c r="DB205">
        <f>IFERROR(INDEX(PP_Grid[#Data],$DD205,104),0)</f>
        <v/>
      </c>
      <c r="DC205">
        <f>IFERROR(INDEX(PP_Grid[#Data],$DD205,105),0)</f>
        <v/>
      </c>
      <c r="DD205" s="7">
        <f>IFERROR(MATCH($B205,PP_Grid[Intermediate],0),99999)</f>
        <v/>
      </c>
    </row>
    <row r="206">
      <c r="B206" t="inlineStr">
        <is>
          <t>使用量(kg)</t>
        </is>
      </c>
      <c r="C206">
        <f>SUMIFS(M_BOM[RM_Qty_Per_Batch],M_BOM[Intermediate],$B205,M_BOM[Part Name],$A44)</f>
        <v/>
      </c>
      <c r="D206">
        <f>$C206*D205</f>
        <v/>
      </c>
      <c r="E206">
        <f>$C206*E205</f>
        <v/>
      </c>
      <c r="F206">
        <f>$C206*F205</f>
        <v/>
      </c>
      <c r="G206">
        <f>$C206*G205</f>
        <v/>
      </c>
      <c r="H206">
        <f>$C206*H205</f>
        <v/>
      </c>
      <c r="I206">
        <f>$C206*I205</f>
        <v/>
      </c>
      <c r="J206">
        <f>$C206*J205</f>
        <v/>
      </c>
      <c r="K206">
        <f>$C206*K205</f>
        <v/>
      </c>
      <c r="L206">
        <f>$C206*L205</f>
        <v/>
      </c>
      <c r="M206">
        <f>$C206*M205</f>
        <v/>
      </c>
      <c r="N206">
        <f>$C206*N205</f>
        <v/>
      </c>
      <c r="O206">
        <f>$C206*O205</f>
        <v/>
      </c>
      <c r="P206">
        <f>$C206*P205</f>
        <v/>
      </c>
      <c r="Q206">
        <f>$C206*Q205</f>
        <v/>
      </c>
      <c r="R206">
        <f>$C206*R205</f>
        <v/>
      </c>
      <c r="S206">
        <f>$C206*S205</f>
        <v/>
      </c>
      <c r="T206">
        <f>$C206*T205</f>
        <v/>
      </c>
      <c r="U206">
        <f>$C206*U205</f>
        <v/>
      </c>
      <c r="V206">
        <f>$C206*V205</f>
        <v/>
      </c>
      <c r="W206">
        <f>$C206*W205</f>
        <v/>
      </c>
      <c r="X206">
        <f>$C206*X205</f>
        <v/>
      </c>
      <c r="Y206">
        <f>$C206*Y205</f>
        <v/>
      </c>
      <c r="Z206">
        <f>$C206*Z205</f>
        <v/>
      </c>
      <c r="AA206">
        <f>$C206*AA205</f>
        <v/>
      </c>
      <c r="AB206">
        <f>$C206*AB205</f>
        <v/>
      </c>
      <c r="AC206">
        <f>$C206*AC205</f>
        <v/>
      </c>
      <c r="AD206">
        <f>$C206*AD205</f>
        <v/>
      </c>
      <c r="AE206">
        <f>$C206*AE205</f>
        <v/>
      </c>
      <c r="AF206">
        <f>$C206*AF205</f>
        <v/>
      </c>
      <c r="AG206">
        <f>$C206*AG205</f>
        <v/>
      </c>
      <c r="AH206">
        <f>$C206*AH205</f>
        <v/>
      </c>
      <c r="AI206">
        <f>$C206*AI205</f>
        <v/>
      </c>
      <c r="AJ206">
        <f>$C206*AJ205</f>
        <v/>
      </c>
      <c r="AK206">
        <f>$C206*AK205</f>
        <v/>
      </c>
      <c r="AL206">
        <f>$C206*AL205</f>
        <v/>
      </c>
      <c r="AM206">
        <f>$C206*AM205</f>
        <v/>
      </c>
      <c r="AN206">
        <f>$C206*AN205</f>
        <v/>
      </c>
      <c r="AO206">
        <f>$C206*AO205</f>
        <v/>
      </c>
      <c r="AP206">
        <f>$C206*AP205</f>
        <v/>
      </c>
      <c r="AQ206">
        <f>$C206*AQ205</f>
        <v/>
      </c>
      <c r="AR206">
        <f>$C206*AR205</f>
        <v/>
      </c>
      <c r="AS206">
        <f>$C206*AS205</f>
        <v/>
      </c>
      <c r="AT206">
        <f>$C206*AT205</f>
        <v/>
      </c>
      <c r="AU206">
        <f>$C206*AU205</f>
        <v/>
      </c>
      <c r="AV206">
        <f>$C206*AV205</f>
        <v/>
      </c>
      <c r="AW206">
        <f>$C206*AW205</f>
        <v/>
      </c>
      <c r="AX206">
        <f>$C206*AX205</f>
        <v/>
      </c>
      <c r="AY206">
        <f>$C206*AY205</f>
        <v/>
      </c>
      <c r="AZ206">
        <f>$C206*AZ205</f>
        <v/>
      </c>
      <c r="BA206">
        <f>$C206*BA205</f>
        <v/>
      </c>
      <c r="BB206">
        <f>$C206*BB205</f>
        <v/>
      </c>
      <c r="BC206">
        <f>$C206*BC205</f>
        <v/>
      </c>
      <c r="BD206">
        <f>$C206*BD205</f>
        <v/>
      </c>
      <c r="BE206">
        <f>$C206*BE205</f>
        <v/>
      </c>
      <c r="BF206">
        <f>$C206*BF205</f>
        <v/>
      </c>
      <c r="BG206">
        <f>$C206*BG205</f>
        <v/>
      </c>
      <c r="BH206">
        <f>$C206*BH205</f>
        <v/>
      </c>
      <c r="BI206">
        <f>$C206*BI205</f>
        <v/>
      </c>
      <c r="BJ206">
        <f>$C206*BJ205</f>
        <v/>
      </c>
      <c r="BK206">
        <f>$C206*BK205</f>
        <v/>
      </c>
      <c r="BL206">
        <f>$C206*BL205</f>
        <v/>
      </c>
      <c r="BM206">
        <f>$C206*BM205</f>
        <v/>
      </c>
      <c r="BN206">
        <f>$C206*BN205</f>
        <v/>
      </c>
      <c r="BO206">
        <f>$C206*BO205</f>
        <v/>
      </c>
      <c r="BP206">
        <f>$C206*BP205</f>
        <v/>
      </c>
      <c r="BQ206">
        <f>$C206*BQ205</f>
        <v/>
      </c>
      <c r="BR206">
        <f>$C206*BR205</f>
        <v/>
      </c>
      <c r="BS206">
        <f>$C206*BS205</f>
        <v/>
      </c>
      <c r="BT206">
        <f>$C206*BT205</f>
        <v/>
      </c>
      <c r="BU206">
        <f>$C206*BU205</f>
        <v/>
      </c>
      <c r="BV206">
        <f>$C206*BV205</f>
        <v/>
      </c>
      <c r="BW206">
        <f>$C206*BW205</f>
        <v/>
      </c>
      <c r="BX206">
        <f>$C206*BX205</f>
        <v/>
      </c>
      <c r="BY206">
        <f>$C206*BY205</f>
        <v/>
      </c>
      <c r="BZ206">
        <f>$C206*BZ205</f>
        <v/>
      </c>
      <c r="CA206">
        <f>$C206*CA205</f>
        <v/>
      </c>
      <c r="CB206">
        <f>$C206*CB205</f>
        <v/>
      </c>
      <c r="CC206">
        <f>$C206*CC205</f>
        <v/>
      </c>
      <c r="CD206">
        <f>$C206*CD205</f>
        <v/>
      </c>
      <c r="CE206">
        <f>$C206*CE205</f>
        <v/>
      </c>
      <c r="CF206">
        <f>$C206*CF205</f>
        <v/>
      </c>
      <c r="CG206">
        <f>$C206*CG205</f>
        <v/>
      </c>
      <c r="CH206">
        <f>$C206*CH205</f>
        <v/>
      </c>
      <c r="CI206">
        <f>$C206*CI205</f>
        <v/>
      </c>
      <c r="CJ206">
        <f>$C206*CJ205</f>
        <v/>
      </c>
      <c r="CK206">
        <f>$C206*CK205</f>
        <v/>
      </c>
      <c r="CL206">
        <f>$C206*CL205</f>
        <v/>
      </c>
      <c r="CM206">
        <f>$C206*CM205</f>
        <v/>
      </c>
      <c r="CN206">
        <f>$C206*CN205</f>
        <v/>
      </c>
      <c r="CO206">
        <f>$C206*CO205</f>
        <v/>
      </c>
      <c r="CP206">
        <f>$C206*CP205</f>
        <v/>
      </c>
      <c r="CQ206">
        <f>$C206*CQ205</f>
        <v/>
      </c>
      <c r="CR206">
        <f>$C206*CR205</f>
        <v/>
      </c>
      <c r="CS206">
        <f>$C206*CS205</f>
        <v/>
      </c>
      <c r="CT206">
        <f>$C206*CT205</f>
        <v/>
      </c>
      <c r="CU206">
        <f>$C206*CU205</f>
        <v/>
      </c>
      <c r="CV206">
        <f>$C206*CV205</f>
        <v/>
      </c>
      <c r="CW206">
        <f>$C206*CW205</f>
        <v/>
      </c>
      <c r="CX206">
        <f>$C206*CX205</f>
        <v/>
      </c>
      <c r="CY206">
        <f>$C206*CY205</f>
        <v/>
      </c>
      <c r="CZ206">
        <f>$C206*CZ205</f>
        <v/>
      </c>
      <c r="DA206">
        <f>$C206*DA205</f>
        <v/>
      </c>
      <c r="DB206">
        <f>$C206*DB205</f>
        <v/>
      </c>
      <c r="DC206">
        <f>$C206*DC205</f>
        <v/>
      </c>
    </row>
    <row r="207">
      <c r="B207" t="inlineStr">
        <is>
          <t>TVS-500</t>
        </is>
      </c>
      <c r="C207" t="inlineStr">
        <is>
          <t>No. of batches</t>
        </is>
      </c>
      <c r="D207">
        <f>IFERROR(INDEX(PP_Grid[#Data],$DD207,2),0)</f>
        <v/>
      </c>
      <c r="E207">
        <f>IFERROR(INDEX(PP_Grid[#Data],$DD207,3),0)</f>
        <v/>
      </c>
      <c r="F207">
        <f>IFERROR(INDEX(PP_Grid[#Data],$DD207,4),0)</f>
        <v/>
      </c>
      <c r="G207">
        <f>IFERROR(INDEX(PP_Grid[#Data],$DD207,5),0)</f>
        <v/>
      </c>
      <c r="H207">
        <f>IFERROR(INDEX(PP_Grid[#Data],$DD207,6),0)</f>
        <v/>
      </c>
      <c r="I207">
        <f>IFERROR(INDEX(PP_Grid[#Data],$DD207,7),0)</f>
        <v/>
      </c>
      <c r="J207">
        <f>IFERROR(INDEX(PP_Grid[#Data],$DD207,8),0)</f>
        <v/>
      </c>
      <c r="K207">
        <f>IFERROR(INDEX(PP_Grid[#Data],$DD207,9),0)</f>
        <v/>
      </c>
      <c r="L207">
        <f>IFERROR(INDEX(PP_Grid[#Data],$DD207,10),0)</f>
        <v/>
      </c>
      <c r="M207">
        <f>IFERROR(INDEX(PP_Grid[#Data],$DD207,11),0)</f>
        <v/>
      </c>
      <c r="N207">
        <f>IFERROR(INDEX(PP_Grid[#Data],$DD207,12),0)</f>
        <v/>
      </c>
      <c r="O207">
        <f>IFERROR(INDEX(PP_Grid[#Data],$DD207,13),0)</f>
        <v/>
      </c>
      <c r="P207">
        <f>IFERROR(INDEX(PP_Grid[#Data],$DD207,14),0)</f>
        <v/>
      </c>
      <c r="Q207">
        <f>IFERROR(INDEX(PP_Grid[#Data],$DD207,15),0)</f>
        <v/>
      </c>
      <c r="R207">
        <f>IFERROR(INDEX(PP_Grid[#Data],$DD207,16),0)</f>
        <v/>
      </c>
      <c r="S207">
        <f>IFERROR(INDEX(PP_Grid[#Data],$DD207,17),0)</f>
        <v/>
      </c>
      <c r="T207">
        <f>IFERROR(INDEX(PP_Grid[#Data],$DD207,18),0)</f>
        <v/>
      </c>
      <c r="U207">
        <f>IFERROR(INDEX(PP_Grid[#Data],$DD207,19),0)</f>
        <v/>
      </c>
      <c r="V207">
        <f>IFERROR(INDEX(PP_Grid[#Data],$DD207,20),0)</f>
        <v/>
      </c>
      <c r="W207">
        <f>IFERROR(INDEX(PP_Grid[#Data],$DD207,21),0)</f>
        <v/>
      </c>
      <c r="X207">
        <f>IFERROR(INDEX(PP_Grid[#Data],$DD207,22),0)</f>
        <v/>
      </c>
      <c r="Y207">
        <f>IFERROR(INDEX(PP_Grid[#Data],$DD207,23),0)</f>
        <v/>
      </c>
      <c r="Z207">
        <f>IFERROR(INDEX(PP_Grid[#Data],$DD207,24),0)</f>
        <v/>
      </c>
      <c r="AA207">
        <f>IFERROR(INDEX(PP_Grid[#Data],$DD207,25),0)</f>
        <v/>
      </c>
      <c r="AB207">
        <f>IFERROR(INDEX(PP_Grid[#Data],$DD207,26),0)</f>
        <v/>
      </c>
      <c r="AC207">
        <f>IFERROR(INDEX(PP_Grid[#Data],$DD207,27),0)</f>
        <v/>
      </c>
      <c r="AD207">
        <f>IFERROR(INDEX(PP_Grid[#Data],$DD207,28),0)</f>
        <v/>
      </c>
      <c r="AE207">
        <f>IFERROR(INDEX(PP_Grid[#Data],$DD207,29),0)</f>
        <v/>
      </c>
      <c r="AF207">
        <f>IFERROR(INDEX(PP_Grid[#Data],$DD207,30),0)</f>
        <v/>
      </c>
      <c r="AG207">
        <f>IFERROR(INDEX(PP_Grid[#Data],$DD207,31),0)</f>
        <v/>
      </c>
      <c r="AH207">
        <f>IFERROR(INDEX(PP_Grid[#Data],$DD207,32),0)</f>
        <v/>
      </c>
      <c r="AI207">
        <f>IFERROR(INDEX(PP_Grid[#Data],$DD207,33),0)</f>
        <v/>
      </c>
      <c r="AJ207">
        <f>IFERROR(INDEX(PP_Grid[#Data],$DD207,34),0)</f>
        <v/>
      </c>
      <c r="AK207">
        <f>IFERROR(INDEX(PP_Grid[#Data],$DD207,35),0)</f>
        <v/>
      </c>
      <c r="AL207">
        <f>IFERROR(INDEX(PP_Grid[#Data],$DD207,36),0)</f>
        <v/>
      </c>
      <c r="AM207">
        <f>IFERROR(INDEX(PP_Grid[#Data],$DD207,37),0)</f>
        <v/>
      </c>
      <c r="AN207">
        <f>IFERROR(INDEX(PP_Grid[#Data],$DD207,38),0)</f>
        <v/>
      </c>
      <c r="AO207">
        <f>IFERROR(INDEX(PP_Grid[#Data],$DD207,39),0)</f>
        <v/>
      </c>
      <c r="AP207">
        <f>IFERROR(INDEX(PP_Grid[#Data],$DD207,40),0)</f>
        <v/>
      </c>
      <c r="AQ207">
        <f>IFERROR(INDEX(PP_Grid[#Data],$DD207,41),0)</f>
        <v/>
      </c>
      <c r="AR207">
        <f>IFERROR(INDEX(PP_Grid[#Data],$DD207,42),0)</f>
        <v/>
      </c>
      <c r="AS207">
        <f>IFERROR(INDEX(PP_Grid[#Data],$DD207,43),0)</f>
        <v/>
      </c>
      <c r="AT207">
        <f>IFERROR(INDEX(PP_Grid[#Data],$DD207,44),0)</f>
        <v/>
      </c>
      <c r="AU207">
        <f>IFERROR(INDEX(PP_Grid[#Data],$DD207,45),0)</f>
        <v/>
      </c>
      <c r="AV207">
        <f>IFERROR(INDEX(PP_Grid[#Data],$DD207,46),0)</f>
        <v/>
      </c>
      <c r="AW207">
        <f>IFERROR(INDEX(PP_Grid[#Data],$DD207,47),0)</f>
        <v/>
      </c>
      <c r="AX207">
        <f>IFERROR(INDEX(PP_Grid[#Data],$DD207,48),0)</f>
        <v/>
      </c>
      <c r="AY207">
        <f>IFERROR(INDEX(PP_Grid[#Data],$DD207,49),0)</f>
        <v/>
      </c>
      <c r="AZ207">
        <f>IFERROR(INDEX(PP_Grid[#Data],$DD207,50),0)</f>
        <v/>
      </c>
      <c r="BA207">
        <f>IFERROR(INDEX(PP_Grid[#Data],$DD207,51),0)</f>
        <v/>
      </c>
      <c r="BB207">
        <f>IFERROR(INDEX(PP_Grid[#Data],$DD207,52),0)</f>
        <v/>
      </c>
      <c r="BC207">
        <f>IFERROR(INDEX(PP_Grid[#Data],$DD207,53),0)</f>
        <v/>
      </c>
      <c r="BD207">
        <f>IFERROR(INDEX(PP_Grid[#Data],$DD207,54),0)</f>
        <v/>
      </c>
      <c r="BE207">
        <f>IFERROR(INDEX(PP_Grid[#Data],$DD207,55),0)</f>
        <v/>
      </c>
      <c r="BF207">
        <f>IFERROR(INDEX(PP_Grid[#Data],$DD207,56),0)</f>
        <v/>
      </c>
      <c r="BG207">
        <f>IFERROR(INDEX(PP_Grid[#Data],$DD207,57),0)</f>
        <v/>
      </c>
      <c r="BH207">
        <f>IFERROR(INDEX(PP_Grid[#Data],$DD207,58),0)</f>
        <v/>
      </c>
      <c r="BI207">
        <f>IFERROR(INDEX(PP_Grid[#Data],$DD207,59),0)</f>
        <v/>
      </c>
      <c r="BJ207">
        <f>IFERROR(INDEX(PP_Grid[#Data],$DD207,60),0)</f>
        <v/>
      </c>
      <c r="BK207">
        <f>IFERROR(INDEX(PP_Grid[#Data],$DD207,61),0)</f>
        <v/>
      </c>
      <c r="BL207">
        <f>IFERROR(INDEX(PP_Grid[#Data],$DD207,62),0)</f>
        <v/>
      </c>
      <c r="BM207">
        <f>IFERROR(INDEX(PP_Grid[#Data],$DD207,63),0)</f>
        <v/>
      </c>
      <c r="BN207">
        <f>IFERROR(INDEX(PP_Grid[#Data],$DD207,64),0)</f>
        <v/>
      </c>
      <c r="BO207">
        <f>IFERROR(INDEX(PP_Grid[#Data],$DD207,65),0)</f>
        <v/>
      </c>
      <c r="BP207">
        <f>IFERROR(INDEX(PP_Grid[#Data],$DD207,66),0)</f>
        <v/>
      </c>
      <c r="BQ207">
        <f>IFERROR(INDEX(PP_Grid[#Data],$DD207,67),0)</f>
        <v/>
      </c>
      <c r="BR207">
        <f>IFERROR(INDEX(PP_Grid[#Data],$DD207,68),0)</f>
        <v/>
      </c>
      <c r="BS207">
        <f>IFERROR(INDEX(PP_Grid[#Data],$DD207,69),0)</f>
        <v/>
      </c>
      <c r="BT207">
        <f>IFERROR(INDEX(PP_Grid[#Data],$DD207,70),0)</f>
        <v/>
      </c>
      <c r="BU207">
        <f>IFERROR(INDEX(PP_Grid[#Data],$DD207,71),0)</f>
        <v/>
      </c>
      <c r="BV207">
        <f>IFERROR(INDEX(PP_Grid[#Data],$DD207,72),0)</f>
        <v/>
      </c>
      <c r="BW207">
        <f>IFERROR(INDEX(PP_Grid[#Data],$DD207,73),0)</f>
        <v/>
      </c>
      <c r="BX207">
        <f>IFERROR(INDEX(PP_Grid[#Data],$DD207,74),0)</f>
        <v/>
      </c>
      <c r="BY207">
        <f>IFERROR(INDEX(PP_Grid[#Data],$DD207,75),0)</f>
        <v/>
      </c>
      <c r="BZ207">
        <f>IFERROR(INDEX(PP_Grid[#Data],$DD207,76),0)</f>
        <v/>
      </c>
      <c r="CA207">
        <f>IFERROR(INDEX(PP_Grid[#Data],$DD207,77),0)</f>
        <v/>
      </c>
      <c r="CB207">
        <f>IFERROR(INDEX(PP_Grid[#Data],$DD207,78),0)</f>
        <v/>
      </c>
      <c r="CC207">
        <f>IFERROR(INDEX(PP_Grid[#Data],$DD207,79),0)</f>
        <v/>
      </c>
      <c r="CD207">
        <f>IFERROR(INDEX(PP_Grid[#Data],$DD207,80),0)</f>
        <v/>
      </c>
      <c r="CE207">
        <f>IFERROR(INDEX(PP_Grid[#Data],$DD207,81),0)</f>
        <v/>
      </c>
      <c r="CF207">
        <f>IFERROR(INDEX(PP_Grid[#Data],$DD207,82),0)</f>
        <v/>
      </c>
      <c r="CG207">
        <f>IFERROR(INDEX(PP_Grid[#Data],$DD207,83),0)</f>
        <v/>
      </c>
      <c r="CH207">
        <f>IFERROR(INDEX(PP_Grid[#Data],$DD207,84),0)</f>
        <v/>
      </c>
      <c r="CI207">
        <f>IFERROR(INDEX(PP_Grid[#Data],$DD207,85),0)</f>
        <v/>
      </c>
      <c r="CJ207">
        <f>IFERROR(INDEX(PP_Grid[#Data],$DD207,86),0)</f>
        <v/>
      </c>
      <c r="CK207">
        <f>IFERROR(INDEX(PP_Grid[#Data],$DD207,87),0)</f>
        <v/>
      </c>
      <c r="CL207">
        <f>IFERROR(INDEX(PP_Grid[#Data],$DD207,88),0)</f>
        <v/>
      </c>
      <c r="CM207">
        <f>IFERROR(INDEX(PP_Grid[#Data],$DD207,89),0)</f>
        <v/>
      </c>
      <c r="CN207">
        <f>IFERROR(INDEX(PP_Grid[#Data],$DD207,90),0)</f>
        <v/>
      </c>
      <c r="CO207">
        <f>IFERROR(INDEX(PP_Grid[#Data],$DD207,91),0)</f>
        <v/>
      </c>
      <c r="CP207">
        <f>IFERROR(INDEX(PP_Grid[#Data],$DD207,92),0)</f>
        <v/>
      </c>
      <c r="CQ207">
        <f>IFERROR(INDEX(PP_Grid[#Data],$DD207,93),0)</f>
        <v/>
      </c>
      <c r="CR207">
        <f>IFERROR(INDEX(PP_Grid[#Data],$DD207,94),0)</f>
        <v/>
      </c>
      <c r="CS207">
        <f>IFERROR(INDEX(PP_Grid[#Data],$DD207,95),0)</f>
        <v/>
      </c>
      <c r="CT207">
        <f>IFERROR(INDEX(PP_Grid[#Data],$DD207,96),0)</f>
        <v/>
      </c>
      <c r="CU207">
        <f>IFERROR(INDEX(PP_Grid[#Data],$DD207,97),0)</f>
        <v/>
      </c>
      <c r="CV207">
        <f>IFERROR(INDEX(PP_Grid[#Data],$DD207,98),0)</f>
        <v/>
      </c>
      <c r="CW207">
        <f>IFERROR(INDEX(PP_Grid[#Data],$DD207,99),0)</f>
        <v/>
      </c>
      <c r="CX207">
        <f>IFERROR(INDEX(PP_Grid[#Data],$DD207,100),0)</f>
        <v/>
      </c>
      <c r="CY207">
        <f>IFERROR(INDEX(PP_Grid[#Data],$DD207,101),0)</f>
        <v/>
      </c>
      <c r="CZ207">
        <f>IFERROR(INDEX(PP_Grid[#Data],$DD207,102),0)</f>
        <v/>
      </c>
      <c r="DA207">
        <f>IFERROR(INDEX(PP_Grid[#Data],$DD207,103),0)</f>
        <v/>
      </c>
      <c r="DB207">
        <f>IFERROR(INDEX(PP_Grid[#Data],$DD207,104),0)</f>
        <v/>
      </c>
      <c r="DC207">
        <f>IFERROR(INDEX(PP_Grid[#Data],$DD207,105),0)</f>
        <v/>
      </c>
      <c r="DD207" s="7">
        <f>IFERROR(MATCH($B207,PP_Grid[Intermediate],0),99999)</f>
        <v/>
      </c>
    </row>
    <row r="208">
      <c r="B208" t="inlineStr">
        <is>
          <t>使用量(kg)</t>
        </is>
      </c>
      <c r="C208">
        <f>SUMIFS(M_BOM[RM_Qty_Per_Batch],M_BOM[Intermediate],$B207,M_BOM[Part Name],$A44)</f>
        <v/>
      </c>
      <c r="D208">
        <f>$C208*D207</f>
        <v/>
      </c>
      <c r="E208">
        <f>$C208*E207</f>
        <v/>
      </c>
      <c r="F208">
        <f>$C208*F207</f>
        <v/>
      </c>
      <c r="G208">
        <f>$C208*G207</f>
        <v/>
      </c>
      <c r="H208">
        <f>$C208*H207</f>
        <v/>
      </c>
      <c r="I208">
        <f>$C208*I207</f>
        <v/>
      </c>
      <c r="J208">
        <f>$C208*J207</f>
        <v/>
      </c>
      <c r="K208">
        <f>$C208*K207</f>
        <v/>
      </c>
      <c r="L208">
        <f>$C208*L207</f>
        <v/>
      </c>
      <c r="M208">
        <f>$C208*M207</f>
        <v/>
      </c>
      <c r="N208">
        <f>$C208*N207</f>
        <v/>
      </c>
      <c r="O208">
        <f>$C208*O207</f>
        <v/>
      </c>
      <c r="P208">
        <f>$C208*P207</f>
        <v/>
      </c>
      <c r="Q208">
        <f>$C208*Q207</f>
        <v/>
      </c>
      <c r="R208">
        <f>$C208*R207</f>
        <v/>
      </c>
      <c r="S208">
        <f>$C208*S207</f>
        <v/>
      </c>
      <c r="T208">
        <f>$C208*T207</f>
        <v/>
      </c>
      <c r="U208">
        <f>$C208*U207</f>
        <v/>
      </c>
      <c r="V208">
        <f>$C208*V207</f>
        <v/>
      </c>
      <c r="W208">
        <f>$C208*W207</f>
        <v/>
      </c>
      <c r="X208">
        <f>$C208*X207</f>
        <v/>
      </c>
      <c r="Y208">
        <f>$C208*Y207</f>
        <v/>
      </c>
      <c r="Z208">
        <f>$C208*Z207</f>
        <v/>
      </c>
      <c r="AA208">
        <f>$C208*AA207</f>
        <v/>
      </c>
      <c r="AB208">
        <f>$C208*AB207</f>
        <v/>
      </c>
      <c r="AC208">
        <f>$C208*AC207</f>
        <v/>
      </c>
      <c r="AD208">
        <f>$C208*AD207</f>
        <v/>
      </c>
      <c r="AE208">
        <f>$C208*AE207</f>
        <v/>
      </c>
      <c r="AF208">
        <f>$C208*AF207</f>
        <v/>
      </c>
      <c r="AG208">
        <f>$C208*AG207</f>
        <v/>
      </c>
      <c r="AH208">
        <f>$C208*AH207</f>
        <v/>
      </c>
      <c r="AI208">
        <f>$C208*AI207</f>
        <v/>
      </c>
      <c r="AJ208">
        <f>$C208*AJ207</f>
        <v/>
      </c>
      <c r="AK208">
        <f>$C208*AK207</f>
        <v/>
      </c>
      <c r="AL208">
        <f>$C208*AL207</f>
        <v/>
      </c>
      <c r="AM208">
        <f>$C208*AM207</f>
        <v/>
      </c>
      <c r="AN208">
        <f>$C208*AN207</f>
        <v/>
      </c>
      <c r="AO208">
        <f>$C208*AO207</f>
        <v/>
      </c>
      <c r="AP208">
        <f>$C208*AP207</f>
        <v/>
      </c>
      <c r="AQ208">
        <f>$C208*AQ207</f>
        <v/>
      </c>
      <c r="AR208">
        <f>$C208*AR207</f>
        <v/>
      </c>
      <c r="AS208">
        <f>$C208*AS207</f>
        <v/>
      </c>
      <c r="AT208">
        <f>$C208*AT207</f>
        <v/>
      </c>
      <c r="AU208">
        <f>$C208*AU207</f>
        <v/>
      </c>
      <c r="AV208">
        <f>$C208*AV207</f>
        <v/>
      </c>
      <c r="AW208">
        <f>$C208*AW207</f>
        <v/>
      </c>
      <c r="AX208">
        <f>$C208*AX207</f>
        <v/>
      </c>
      <c r="AY208">
        <f>$C208*AY207</f>
        <v/>
      </c>
      <c r="AZ208">
        <f>$C208*AZ207</f>
        <v/>
      </c>
      <c r="BA208">
        <f>$C208*BA207</f>
        <v/>
      </c>
      <c r="BB208">
        <f>$C208*BB207</f>
        <v/>
      </c>
      <c r="BC208">
        <f>$C208*BC207</f>
        <v/>
      </c>
      <c r="BD208">
        <f>$C208*BD207</f>
        <v/>
      </c>
      <c r="BE208">
        <f>$C208*BE207</f>
        <v/>
      </c>
      <c r="BF208">
        <f>$C208*BF207</f>
        <v/>
      </c>
      <c r="BG208">
        <f>$C208*BG207</f>
        <v/>
      </c>
      <c r="BH208">
        <f>$C208*BH207</f>
        <v/>
      </c>
      <c r="BI208">
        <f>$C208*BI207</f>
        <v/>
      </c>
      <c r="BJ208">
        <f>$C208*BJ207</f>
        <v/>
      </c>
      <c r="BK208">
        <f>$C208*BK207</f>
        <v/>
      </c>
      <c r="BL208">
        <f>$C208*BL207</f>
        <v/>
      </c>
      <c r="BM208">
        <f>$C208*BM207</f>
        <v/>
      </c>
      <c r="BN208">
        <f>$C208*BN207</f>
        <v/>
      </c>
      <c r="BO208">
        <f>$C208*BO207</f>
        <v/>
      </c>
      <c r="BP208">
        <f>$C208*BP207</f>
        <v/>
      </c>
      <c r="BQ208">
        <f>$C208*BQ207</f>
        <v/>
      </c>
      <c r="BR208">
        <f>$C208*BR207</f>
        <v/>
      </c>
      <c r="BS208">
        <f>$C208*BS207</f>
        <v/>
      </c>
      <c r="BT208">
        <f>$C208*BT207</f>
        <v/>
      </c>
      <c r="BU208">
        <f>$C208*BU207</f>
        <v/>
      </c>
      <c r="BV208">
        <f>$C208*BV207</f>
        <v/>
      </c>
      <c r="BW208">
        <f>$C208*BW207</f>
        <v/>
      </c>
      <c r="BX208">
        <f>$C208*BX207</f>
        <v/>
      </c>
      <c r="BY208">
        <f>$C208*BY207</f>
        <v/>
      </c>
      <c r="BZ208">
        <f>$C208*BZ207</f>
        <v/>
      </c>
      <c r="CA208">
        <f>$C208*CA207</f>
        <v/>
      </c>
      <c r="CB208">
        <f>$C208*CB207</f>
        <v/>
      </c>
      <c r="CC208">
        <f>$C208*CC207</f>
        <v/>
      </c>
      <c r="CD208">
        <f>$C208*CD207</f>
        <v/>
      </c>
      <c r="CE208">
        <f>$C208*CE207</f>
        <v/>
      </c>
      <c r="CF208">
        <f>$C208*CF207</f>
        <v/>
      </c>
      <c r="CG208">
        <f>$C208*CG207</f>
        <v/>
      </c>
      <c r="CH208">
        <f>$C208*CH207</f>
        <v/>
      </c>
      <c r="CI208">
        <f>$C208*CI207</f>
        <v/>
      </c>
      <c r="CJ208">
        <f>$C208*CJ207</f>
        <v/>
      </c>
      <c r="CK208">
        <f>$C208*CK207</f>
        <v/>
      </c>
      <c r="CL208">
        <f>$C208*CL207</f>
        <v/>
      </c>
      <c r="CM208">
        <f>$C208*CM207</f>
        <v/>
      </c>
      <c r="CN208">
        <f>$C208*CN207</f>
        <v/>
      </c>
      <c r="CO208">
        <f>$C208*CO207</f>
        <v/>
      </c>
      <c r="CP208">
        <f>$C208*CP207</f>
        <v/>
      </c>
      <c r="CQ208">
        <f>$C208*CQ207</f>
        <v/>
      </c>
      <c r="CR208">
        <f>$C208*CR207</f>
        <v/>
      </c>
      <c r="CS208">
        <f>$C208*CS207</f>
        <v/>
      </c>
      <c r="CT208">
        <f>$C208*CT207</f>
        <v/>
      </c>
      <c r="CU208">
        <f>$C208*CU207</f>
        <v/>
      </c>
      <c r="CV208">
        <f>$C208*CV207</f>
        <v/>
      </c>
      <c r="CW208">
        <f>$C208*CW207</f>
        <v/>
      </c>
      <c r="CX208">
        <f>$C208*CX207</f>
        <v/>
      </c>
      <c r="CY208">
        <f>$C208*CY207</f>
        <v/>
      </c>
      <c r="CZ208">
        <f>$C208*CZ207</f>
        <v/>
      </c>
      <c r="DA208">
        <f>$C208*DA207</f>
        <v/>
      </c>
      <c r="DB208">
        <f>$C208*DB207</f>
        <v/>
      </c>
      <c r="DC208">
        <f>$C208*DC207</f>
        <v/>
      </c>
    </row>
    <row r="209">
      <c r="B209" t="inlineStr">
        <is>
          <t>TSP-1499</t>
        </is>
      </c>
      <c r="C209" t="inlineStr">
        <is>
          <t>No. of batches</t>
        </is>
      </c>
      <c r="D209">
        <f>IFERROR(INDEX(PP_Grid[#Data],$DD209,2),0)</f>
        <v/>
      </c>
      <c r="E209">
        <f>IFERROR(INDEX(PP_Grid[#Data],$DD209,3),0)</f>
        <v/>
      </c>
      <c r="F209">
        <f>IFERROR(INDEX(PP_Grid[#Data],$DD209,4),0)</f>
        <v/>
      </c>
      <c r="G209">
        <f>IFERROR(INDEX(PP_Grid[#Data],$DD209,5),0)</f>
        <v/>
      </c>
      <c r="H209">
        <f>IFERROR(INDEX(PP_Grid[#Data],$DD209,6),0)</f>
        <v/>
      </c>
      <c r="I209">
        <f>IFERROR(INDEX(PP_Grid[#Data],$DD209,7),0)</f>
        <v/>
      </c>
      <c r="J209">
        <f>IFERROR(INDEX(PP_Grid[#Data],$DD209,8),0)</f>
        <v/>
      </c>
      <c r="K209">
        <f>IFERROR(INDEX(PP_Grid[#Data],$DD209,9),0)</f>
        <v/>
      </c>
      <c r="L209">
        <f>IFERROR(INDEX(PP_Grid[#Data],$DD209,10),0)</f>
        <v/>
      </c>
      <c r="M209">
        <f>IFERROR(INDEX(PP_Grid[#Data],$DD209,11),0)</f>
        <v/>
      </c>
      <c r="N209">
        <f>IFERROR(INDEX(PP_Grid[#Data],$DD209,12),0)</f>
        <v/>
      </c>
      <c r="O209">
        <f>IFERROR(INDEX(PP_Grid[#Data],$DD209,13),0)</f>
        <v/>
      </c>
      <c r="P209">
        <f>IFERROR(INDEX(PP_Grid[#Data],$DD209,14),0)</f>
        <v/>
      </c>
      <c r="Q209">
        <f>IFERROR(INDEX(PP_Grid[#Data],$DD209,15),0)</f>
        <v/>
      </c>
      <c r="R209">
        <f>IFERROR(INDEX(PP_Grid[#Data],$DD209,16),0)</f>
        <v/>
      </c>
      <c r="S209">
        <f>IFERROR(INDEX(PP_Grid[#Data],$DD209,17),0)</f>
        <v/>
      </c>
      <c r="T209">
        <f>IFERROR(INDEX(PP_Grid[#Data],$DD209,18),0)</f>
        <v/>
      </c>
      <c r="U209">
        <f>IFERROR(INDEX(PP_Grid[#Data],$DD209,19),0)</f>
        <v/>
      </c>
      <c r="V209">
        <f>IFERROR(INDEX(PP_Grid[#Data],$DD209,20),0)</f>
        <v/>
      </c>
      <c r="W209">
        <f>IFERROR(INDEX(PP_Grid[#Data],$DD209,21),0)</f>
        <v/>
      </c>
      <c r="X209">
        <f>IFERROR(INDEX(PP_Grid[#Data],$DD209,22),0)</f>
        <v/>
      </c>
      <c r="Y209">
        <f>IFERROR(INDEX(PP_Grid[#Data],$DD209,23),0)</f>
        <v/>
      </c>
      <c r="Z209">
        <f>IFERROR(INDEX(PP_Grid[#Data],$DD209,24),0)</f>
        <v/>
      </c>
      <c r="AA209">
        <f>IFERROR(INDEX(PP_Grid[#Data],$DD209,25),0)</f>
        <v/>
      </c>
      <c r="AB209">
        <f>IFERROR(INDEX(PP_Grid[#Data],$DD209,26),0)</f>
        <v/>
      </c>
      <c r="AC209">
        <f>IFERROR(INDEX(PP_Grid[#Data],$DD209,27),0)</f>
        <v/>
      </c>
      <c r="AD209">
        <f>IFERROR(INDEX(PP_Grid[#Data],$DD209,28),0)</f>
        <v/>
      </c>
      <c r="AE209">
        <f>IFERROR(INDEX(PP_Grid[#Data],$DD209,29),0)</f>
        <v/>
      </c>
      <c r="AF209">
        <f>IFERROR(INDEX(PP_Grid[#Data],$DD209,30),0)</f>
        <v/>
      </c>
      <c r="AG209">
        <f>IFERROR(INDEX(PP_Grid[#Data],$DD209,31),0)</f>
        <v/>
      </c>
      <c r="AH209">
        <f>IFERROR(INDEX(PP_Grid[#Data],$DD209,32),0)</f>
        <v/>
      </c>
      <c r="AI209">
        <f>IFERROR(INDEX(PP_Grid[#Data],$DD209,33),0)</f>
        <v/>
      </c>
      <c r="AJ209">
        <f>IFERROR(INDEX(PP_Grid[#Data],$DD209,34),0)</f>
        <v/>
      </c>
      <c r="AK209">
        <f>IFERROR(INDEX(PP_Grid[#Data],$DD209,35),0)</f>
        <v/>
      </c>
      <c r="AL209">
        <f>IFERROR(INDEX(PP_Grid[#Data],$DD209,36),0)</f>
        <v/>
      </c>
      <c r="AM209">
        <f>IFERROR(INDEX(PP_Grid[#Data],$DD209,37),0)</f>
        <v/>
      </c>
      <c r="AN209">
        <f>IFERROR(INDEX(PP_Grid[#Data],$DD209,38),0)</f>
        <v/>
      </c>
      <c r="AO209">
        <f>IFERROR(INDEX(PP_Grid[#Data],$DD209,39),0)</f>
        <v/>
      </c>
      <c r="AP209">
        <f>IFERROR(INDEX(PP_Grid[#Data],$DD209,40),0)</f>
        <v/>
      </c>
      <c r="AQ209">
        <f>IFERROR(INDEX(PP_Grid[#Data],$DD209,41),0)</f>
        <v/>
      </c>
      <c r="AR209">
        <f>IFERROR(INDEX(PP_Grid[#Data],$DD209,42),0)</f>
        <v/>
      </c>
      <c r="AS209">
        <f>IFERROR(INDEX(PP_Grid[#Data],$DD209,43),0)</f>
        <v/>
      </c>
      <c r="AT209">
        <f>IFERROR(INDEX(PP_Grid[#Data],$DD209,44),0)</f>
        <v/>
      </c>
      <c r="AU209">
        <f>IFERROR(INDEX(PP_Grid[#Data],$DD209,45),0)</f>
        <v/>
      </c>
      <c r="AV209">
        <f>IFERROR(INDEX(PP_Grid[#Data],$DD209,46),0)</f>
        <v/>
      </c>
      <c r="AW209">
        <f>IFERROR(INDEX(PP_Grid[#Data],$DD209,47),0)</f>
        <v/>
      </c>
      <c r="AX209">
        <f>IFERROR(INDEX(PP_Grid[#Data],$DD209,48),0)</f>
        <v/>
      </c>
      <c r="AY209">
        <f>IFERROR(INDEX(PP_Grid[#Data],$DD209,49),0)</f>
        <v/>
      </c>
      <c r="AZ209">
        <f>IFERROR(INDEX(PP_Grid[#Data],$DD209,50),0)</f>
        <v/>
      </c>
      <c r="BA209">
        <f>IFERROR(INDEX(PP_Grid[#Data],$DD209,51),0)</f>
        <v/>
      </c>
      <c r="BB209">
        <f>IFERROR(INDEX(PP_Grid[#Data],$DD209,52),0)</f>
        <v/>
      </c>
      <c r="BC209">
        <f>IFERROR(INDEX(PP_Grid[#Data],$DD209,53),0)</f>
        <v/>
      </c>
      <c r="BD209">
        <f>IFERROR(INDEX(PP_Grid[#Data],$DD209,54),0)</f>
        <v/>
      </c>
      <c r="BE209">
        <f>IFERROR(INDEX(PP_Grid[#Data],$DD209,55),0)</f>
        <v/>
      </c>
      <c r="BF209">
        <f>IFERROR(INDEX(PP_Grid[#Data],$DD209,56),0)</f>
        <v/>
      </c>
      <c r="BG209">
        <f>IFERROR(INDEX(PP_Grid[#Data],$DD209,57),0)</f>
        <v/>
      </c>
      <c r="BH209">
        <f>IFERROR(INDEX(PP_Grid[#Data],$DD209,58),0)</f>
        <v/>
      </c>
      <c r="BI209">
        <f>IFERROR(INDEX(PP_Grid[#Data],$DD209,59),0)</f>
        <v/>
      </c>
      <c r="BJ209">
        <f>IFERROR(INDEX(PP_Grid[#Data],$DD209,60),0)</f>
        <v/>
      </c>
      <c r="BK209">
        <f>IFERROR(INDEX(PP_Grid[#Data],$DD209,61),0)</f>
        <v/>
      </c>
      <c r="BL209">
        <f>IFERROR(INDEX(PP_Grid[#Data],$DD209,62),0)</f>
        <v/>
      </c>
      <c r="BM209">
        <f>IFERROR(INDEX(PP_Grid[#Data],$DD209,63),0)</f>
        <v/>
      </c>
      <c r="BN209">
        <f>IFERROR(INDEX(PP_Grid[#Data],$DD209,64),0)</f>
        <v/>
      </c>
      <c r="BO209">
        <f>IFERROR(INDEX(PP_Grid[#Data],$DD209,65),0)</f>
        <v/>
      </c>
      <c r="BP209">
        <f>IFERROR(INDEX(PP_Grid[#Data],$DD209,66),0)</f>
        <v/>
      </c>
      <c r="BQ209">
        <f>IFERROR(INDEX(PP_Grid[#Data],$DD209,67),0)</f>
        <v/>
      </c>
      <c r="BR209">
        <f>IFERROR(INDEX(PP_Grid[#Data],$DD209,68),0)</f>
        <v/>
      </c>
      <c r="BS209">
        <f>IFERROR(INDEX(PP_Grid[#Data],$DD209,69),0)</f>
        <v/>
      </c>
      <c r="BT209">
        <f>IFERROR(INDEX(PP_Grid[#Data],$DD209,70),0)</f>
        <v/>
      </c>
      <c r="BU209">
        <f>IFERROR(INDEX(PP_Grid[#Data],$DD209,71),0)</f>
        <v/>
      </c>
      <c r="BV209">
        <f>IFERROR(INDEX(PP_Grid[#Data],$DD209,72),0)</f>
        <v/>
      </c>
      <c r="BW209">
        <f>IFERROR(INDEX(PP_Grid[#Data],$DD209,73),0)</f>
        <v/>
      </c>
      <c r="BX209">
        <f>IFERROR(INDEX(PP_Grid[#Data],$DD209,74),0)</f>
        <v/>
      </c>
      <c r="BY209">
        <f>IFERROR(INDEX(PP_Grid[#Data],$DD209,75),0)</f>
        <v/>
      </c>
      <c r="BZ209">
        <f>IFERROR(INDEX(PP_Grid[#Data],$DD209,76),0)</f>
        <v/>
      </c>
      <c r="CA209">
        <f>IFERROR(INDEX(PP_Grid[#Data],$DD209,77),0)</f>
        <v/>
      </c>
      <c r="CB209">
        <f>IFERROR(INDEX(PP_Grid[#Data],$DD209,78),0)</f>
        <v/>
      </c>
      <c r="CC209">
        <f>IFERROR(INDEX(PP_Grid[#Data],$DD209,79),0)</f>
        <v/>
      </c>
      <c r="CD209">
        <f>IFERROR(INDEX(PP_Grid[#Data],$DD209,80),0)</f>
        <v/>
      </c>
      <c r="CE209">
        <f>IFERROR(INDEX(PP_Grid[#Data],$DD209,81),0)</f>
        <v/>
      </c>
      <c r="CF209">
        <f>IFERROR(INDEX(PP_Grid[#Data],$DD209,82),0)</f>
        <v/>
      </c>
      <c r="CG209">
        <f>IFERROR(INDEX(PP_Grid[#Data],$DD209,83),0)</f>
        <v/>
      </c>
      <c r="CH209">
        <f>IFERROR(INDEX(PP_Grid[#Data],$DD209,84),0)</f>
        <v/>
      </c>
      <c r="CI209">
        <f>IFERROR(INDEX(PP_Grid[#Data],$DD209,85),0)</f>
        <v/>
      </c>
      <c r="CJ209">
        <f>IFERROR(INDEX(PP_Grid[#Data],$DD209,86),0)</f>
        <v/>
      </c>
      <c r="CK209">
        <f>IFERROR(INDEX(PP_Grid[#Data],$DD209,87),0)</f>
        <v/>
      </c>
      <c r="CL209">
        <f>IFERROR(INDEX(PP_Grid[#Data],$DD209,88),0)</f>
        <v/>
      </c>
      <c r="CM209">
        <f>IFERROR(INDEX(PP_Grid[#Data],$DD209,89),0)</f>
        <v/>
      </c>
      <c r="CN209">
        <f>IFERROR(INDEX(PP_Grid[#Data],$DD209,90),0)</f>
        <v/>
      </c>
      <c r="CO209">
        <f>IFERROR(INDEX(PP_Grid[#Data],$DD209,91),0)</f>
        <v/>
      </c>
      <c r="CP209">
        <f>IFERROR(INDEX(PP_Grid[#Data],$DD209,92),0)</f>
        <v/>
      </c>
      <c r="CQ209">
        <f>IFERROR(INDEX(PP_Grid[#Data],$DD209,93),0)</f>
        <v/>
      </c>
      <c r="CR209">
        <f>IFERROR(INDEX(PP_Grid[#Data],$DD209,94),0)</f>
        <v/>
      </c>
      <c r="CS209">
        <f>IFERROR(INDEX(PP_Grid[#Data],$DD209,95),0)</f>
        <v/>
      </c>
      <c r="CT209">
        <f>IFERROR(INDEX(PP_Grid[#Data],$DD209,96),0)</f>
        <v/>
      </c>
      <c r="CU209">
        <f>IFERROR(INDEX(PP_Grid[#Data],$DD209,97),0)</f>
        <v/>
      </c>
      <c r="CV209">
        <f>IFERROR(INDEX(PP_Grid[#Data],$DD209,98),0)</f>
        <v/>
      </c>
      <c r="CW209">
        <f>IFERROR(INDEX(PP_Grid[#Data],$DD209,99),0)</f>
        <v/>
      </c>
      <c r="CX209">
        <f>IFERROR(INDEX(PP_Grid[#Data],$DD209,100),0)</f>
        <v/>
      </c>
      <c r="CY209">
        <f>IFERROR(INDEX(PP_Grid[#Data],$DD209,101),0)</f>
        <v/>
      </c>
      <c r="CZ209">
        <f>IFERROR(INDEX(PP_Grid[#Data],$DD209,102),0)</f>
        <v/>
      </c>
      <c r="DA209">
        <f>IFERROR(INDEX(PP_Grid[#Data],$DD209,103),0)</f>
        <v/>
      </c>
      <c r="DB209">
        <f>IFERROR(INDEX(PP_Grid[#Data],$DD209,104),0)</f>
        <v/>
      </c>
      <c r="DC209">
        <f>IFERROR(INDEX(PP_Grid[#Data],$DD209,105),0)</f>
        <v/>
      </c>
      <c r="DD209" s="7">
        <f>IFERROR(MATCH($B209,PP_Grid[Intermediate],0),99999)</f>
        <v/>
      </c>
    </row>
    <row r="210">
      <c r="B210" t="inlineStr">
        <is>
          <t>使用量(kg)</t>
        </is>
      </c>
      <c r="C210">
        <f>SUMIFS(M_BOM[RM_Qty_Per_Batch],M_BOM[Intermediate],$B209,M_BOM[Part Name],$A44)</f>
        <v/>
      </c>
      <c r="D210">
        <f>$C210*D209</f>
        <v/>
      </c>
      <c r="E210">
        <f>$C210*E209</f>
        <v/>
      </c>
      <c r="F210">
        <f>$C210*F209</f>
        <v/>
      </c>
      <c r="G210">
        <f>$C210*G209</f>
        <v/>
      </c>
      <c r="H210">
        <f>$C210*H209</f>
        <v/>
      </c>
      <c r="I210">
        <f>$C210*I209</f>
        <v/>
      </c>
      <c r="J210">
        <f>$C210*J209</f>
        <v/>
      </c>
      <c r="K210">
        <f>$C210*K209</f>
        <v/>
      </c>
      <c r="L210">
        <f>$C210*L209</f>
        <v/>
      </c>
      <c r="M210">
        <f>$C210*M209</f>
        <v/>
      </c>
      <c r="N210">
        <f>$C210*N209</f>
        <v/>
      </c>
      <c r="O210">
        <f>$C210*O209</f>
        <v/>
      </c>
      <c r="P210">
        <f>$C210*P209</f>
        <v/>
      </c>
      <c r="Q210">
        <f>$C210*Q209</f>
        <v/>
      </c>
      <c r="R210">
        <f>$C210*R209</f>
        <v/>
      </c>
      <c r="S210">
        <f>$C210*S209</f>
        <v/>
      </c>
      <c r="T210">
        <f>$C210*T209</f>
        <v/>
      </c>
      <c r="U210">
        <f>$C210*U209</f>
        <v/>
      </c>
      <c r="V210">
        <f>$C210*V209</f>
        <v/>
      </c>
      <c r="W210">
        <f>$C210*W209</f>
        <v/>
      </c>
      <c r="X210">
        <f>$C210*X209</f>
        <v/>
      </c>
      <c r="Y210">
        <f>$C210*Y209</f>
        <v/>
      </c>
      <c r="Z210">
        <f>$C210*Z209</f>
        <v/>
      </c>
      <c r="AA210">
        <f>$C210*AA209</f>
        <v/>
      </c>
      <c r="AB210">
        <f>$C210*AB209</f>
        <v/>
      </c>
      <c r="AC210">
        <f>$C210*AC209</f>
        <v/>
      </c>
      <c r="AD210">
        <f>$C210*AD209</f>
        <v/>
      </c>
      <c r="AE210">
        <f>$C210*AE209</f>
        <v/>
      </c>
      <c r="AF210">
        <f>$C210*AF209</f>
        <v/>
      </c>
      <c r="AG210">
        <f>$C210*AG209</f>
        <v/>
      </c>
      <c r="AH210">
        <f>$C210*AH209</f>
        <v/>
      </c>
      <c r="AI210">
        <f>$C210*AI209</f>
        <v/>
      </c>
      <c r="AJ210">
        <f>$C210*AJ209</f>
        <v/>
      </c>
      <c r="AK210">
        <f>$C210*AK209</f>
        <v/>
      </c>
      <c r="AL210">
        <f>$C210*AL209</f>
        <v/>
      </c>
      <c r="AM210">
        <f>$C210*AM209</f>
        <v/>
      </c>
      <c r="AN210">
        <f>$C210*AN209</f>
        <v/>
      </c>
      <c r="AO210">
        <f>$C210*AO209</f>
        <v/>
      </c>
      <c r="AP210">
        <f>$C210*AP209</f>
        <v/>
      </c>
      <c r="AQ210">
        <f>$C210*AQ209</f>
        <v/>
      </c>
      <c r="AR210">
        <f>$C210*AR209</f>
        <v/>
      </c>
      <c r="AS210">
        <f>$C210*AS209</f>
        <v/>
      </c>
      <c r="AT210">
        <f>$C210*AT209</f>
        <v/>
      </c>
      <c r="AU210">
        <f>$C210*AU209</f>
        <v/>
      </c>
      <c r="AV210">
        <f>$C210*AV209</f>
        <v/>
      </c>
      <c r="AW210">
        <f>$C210*AW209</f>
        <v/>
      </c>
      <c r="AX210">
        <f>$C210*AX209</f>
        <v/>
      </c>
      <c r="AY210">
        <f>$C210*AY209</f>
        <v/>
      </c>
      <c r="AZ210">
        <f>$C210*AZ209</f>
        <v/>
      </c>
      <c r="BA210">
        <f>$C210*BA209</f>
        <v/>
      </c>
      <c r="BB210">
        <f>$C210*BB209</f>
        <v/>
      </c>
      <c r="BC210">
        <f>$C210*BC209</f>
        <v/>
      </c>
      <c r="BD210">
        <f>$C210*BD209</f>
        <v/>
      </c>
      <c r="BE210">
        <f>$C210*BE209</f>
        <v/>
      </c>
      <c r="BF210">
        <f>$C210*BF209</f>
        <v/>
      </c>
      <c r="BG210">
        <f>$C210*BG209</f>
        <v/>
      </c>
      <c r="BH210">
        <f>$C210*BH209</f>
        <v/>
      </c>
      <c r="BI210">
        <f>$C210*BI209</f>
        <v/>
      </c>
      <c r="BJ210">
        <f>$C210*BJ209</f>
        <v/>
      </c>
      <c r="BK210">
        <f>$C210*BK209</f>
        <v/>
      </c>
      <c r="BL210">
        <f>$C210*BL209</f>
        <v/>
      </c>
      <c r="BM210">
        <f>$C210*BM209</f>
        <v/>
      </c>
      <c r="BN210">
        <f>$C210*BN209</f>
        <v/>
      </c>
      <c r="BO210">
        <f>$C210*BO209</f>
        <v/>
      </c>
      <c r="BP210">
        <f>$C210*BP209</f>
        <v/>
      </c>
      <c r="BQ210">
        <f>$C210*BQ209</f>
        <v/>
      </c>
      <c r="BR210">
        <f>$C210*BR209</f>
        <v/>
      </c>
      <c r="BS210">
        <f>$C210*BS209</f>
        <v/>
      </c>
      <c r="BT210">
        <f>$C210*BT209</f>
        <v/>
      </c>
      <c r="BU210">
        <f>$C210*BU209</f>
        <v/>
      </c>
      <c r="BV210">
        <f>$C210*BV209</f>
        <v/>
      </c>
      <c r="BW210">
        <f>$C210*BW209</f>
        <v/>
      </c>
      <c r="BX210">
        <f>$C210*BX209</f>
        <v/>
      </c>
      <c r="BY210">
        <f>$C210*BY209</f>
        <v/>
      </c>
      <c r="BZ210">
        <f>$C210*BZ209</f>
        <v/>
      </c>
      <c r="CA210">
        <f>$C210*CA209</f>
        <v/>
      </c>
      <c r="CB210">
        <f>$C210*CB209</f>
        <v/>
      </c>
      <c r="CC210">
        <f>$C210*CC209</f>
        <v/>
      </c>
      <c r="CD210">
        <f>$C210*CD209</f>
        <v/>
      </c>
      <c r="CE210">
        <f>$C210*CE209</f>
        <v/>
      </c>
      <c r="CF210">
        <f>$C210*CF209</f>
        <v/>
      </c>
      <c r="CG210">
        <f>$C210*CG209</f>
        <v/>
      </c>
      <c r="CH210">
        <f>$C210*CH209</f>
        <v/>
      </c>
      <c r="CI210">
        <f>$C210*CI209</f>
        <v/>
      </c>
      <c r="CJ210">
        <f>$C210*CJ209</f>
        <v/>
      </c>
      <c r="CK210">
        <f>$C210*CK209</f>
        <v/>
      </c>
      <c r="CL210">
        <f>$C210*CL209</f>
        <v/>
      </c>
      <c r="CM210">
        <f>$C210*CM209</f>
        <v/>
      </c>
      <c r="CN210">
        <f>$C210*CN209</f>
        <v/>
      </c>
      <c r="CO210">
        <f>$C210*CO209</f>
        <v/>
      </c>
      <c r="CP210">
        <f>$C210*CP209</f>
        <v/>
      </c>
      <c r="CQ210">
        <f>$C210*CQ209</f>
        <v/>
      </c>
      <c r="CR210">
        <f>$C210*CR209</f>
        <v/>
      </c>
      <c r="CS210">
        <f>$C210*CS209</f>
        <v/>
      </c>
      <c r="CT210">
        <f>$C210*CT209</f>
        <v/>
      </c>
      <c r="CU210">
        <f>$C210*CU209</f>
        <v/>
      </c>
      <c r="CV210">
        <f>$C210*CV209</f>
        <v/>
      </c>
      <c r="CW210">
        <f>$C210*CW209</f>
        <v/>
      </c>
      <c r="CX210">
        <f>$C210*CX209</f>
        <v/>
      </c>
      <c r="CY210">
        <f>$C210*CY209</f>
        <v/>
      </c>
      <c r="CZ210">
        <f>$C210*CZ209</f>
        <v/>
      </c>
      <c r="DA210">
        <f>$C210*DA209</f>
        <v/>
      </c>
      <c r="DB210">
        <f>$C210*DB209</f>
        <v/>
      </c>
      <c r="DC210">
        <f>$C210*DC209</f>
        <v/>
      </c>
    </row>
    <row r="211">
      <c r="B211" t="inlineStr">
        <is>
          <t>TSP-1558</t>
        </is>
      </c>
      <c r="C211" t="inlineStr">
        <is>
          <t>No. of batches</t>
        </is>
      </c>
      <c r="D211">
        <f>IFERROR(INDEX(PP_Grid[#Data],$DD211,2),0)</f>
        <v/>
      </c>
      <c r="E211">
        <f>IFERROR(INDEX(PP_Grid[#Data],$DD211,3),0)</f>
        <v/>
      </c>
      <c r="F211">
        <f>IFERROR(INDEX(PP_Grid[#Data],$DD211,4),0)</f>
        <v/>
      </c>
      <c r="G211">
        <f>IFERROR(INDEX(PP_Grid[#Data],$DD211,5),0)</f>
        <v/>
      </c>
      <c r="H211">
        <f>IFERROR(INDEX(PP_Grid[#Data],$DD211,6),0)</f>
        <v/>
      </c>
      <c r="I211">
        <f>IFERROR(INDEX(PP_Grid[#Data],$DD211,7),0)</f>
        <v/>
      </c>
      <c r="J211">
        <f>IFERROR(INDEX(PP_Grid[#Data],$DD211,8),0)</f>
        <v/>
      </c>
      <c r="K211">
        <f>IFERROR(INDEX(PP_Grid[#Data],$DD211,9),0)</f>
        <v/>
      </c>
      <c r="L211">
        <f>IFERROR(INDEX(PP_Grid[#Data],$DD211,10),0)</f>
        <v/>
      </c>
      <c r="M211">
        <f>IFERROR(INDEX(PP_Grid[#Data],$DD211,11),0)</f>
        <v/>
      </c>
      <c r="N211">
        <f>IFERROR(INDEX(PP_Grid[#Data],$DD211,12),0)</f>
        <v/>
      </c>
      <c r="O211">
        <f>IFERROR(INDEX(PP_Grid[#Data],$DD211,13),0)</f>
        <v/>
      </c>
      <c r="P211">
        <f>IFERROR(INDEX(PP_Grid[#Data],$DD211,14),0)</f>
        <v/>
      </c>
      <c r="Q211">
        <f>IFERROR(INDEX(PP_Grid[#Data],$DD211,15),0)</f>
        <v/>
      </c>
      <c r="R211">
        <f>IFERROR(INDEX(PP_Grid[#Data],$DD211,16),0)</f>
        <v/>
      </c>
      <c r="S211">
        <f>IFERROR(INDEX(PP_Grid[#Data],$DD211,17),0)</f>
        <v/>
      </c>
      <c r="T211">
        <f>IFERROR(INDEX(PP_Grid[#Data],$DD211,18),0)</f>
        <v/>
      </c>
      <c r="U211">
        <f>IFERROR(INDEX(PP_Grid[#Data],$DD211,19),0)</f>
        <v/>
      </c>
      <c r="V211">
        <f>IFERROR(INDEX(PP_Grid[#Data],$DD211,20),0)</f>
        <v/>
      </c>
      <c r="W211">
        <f>IFERROR(INDEX(PP_Grid[#Data],$DD211,21),0)</f>
        <v/>
      </c>
      <c r="X211">
        <f>IFERROR(INDEX(PP_Grid[#Data],$DD211,22),0)</f>
        <v/>
      </c>
      <c r="Y211">
        <f>IFERROR(INDEX(PP_Grid[#Data],$DD211,23),0)</f>
        <v/>
      </c>
      <c r="Z211">
        <f>IFERROR(INDEX(PP_Grid[#Data],$DD211,24),0)</f>
        <v/>
      </c>
      <c r="AA211">
        <f>IFERROR(INDEX(PP_Grid[#Data],$DD211,25),0)</f>
        <v/>
      </c>
      <c r="AB211">
        <f>IFERROR(INDEX(PP_Grid[#Data],$DD211,26),0)</f>
        <v/>
      </c>
      <c r="AC211">
        <f>IFERROR(INDEX(PP_Grid[#Data],$DD211,27),0)</f>
        <v/>
      </c>
      <c r="AD211">
        <f>IFERROR(INDEX(PP_Grid[#Data],$DD211,28),0)</f>
        <v/>
      </c>
      <c r="AE211">
        <f>IFERROR(INDEX(PP_Grid[#Data],$DD211,29),0)</f>
        <v/>
      </c>
      <c r="AF211">
        <f>IFERROR(INDEX(PP_Grid[#Data],$DD211,30),0)</f>
        <v/>
      </c>
      <c r="AG211">
        <f>IFERROR(INDEX(PP_Grid[#Data],$DD211,31),0)</f>
        <v/>
      </c>
      <c r="AH211">
        <f>IFERROR(INDEX(PP_Grid[#Data],$DD211,32),0)</f>
        <v/>
      </c>
      <c r="AI211">
        <f>IFERROR(INDEX(PP_Grid[#Data],$DD211,33),0)</f>
        <v/>
      </c>
      <c r="AJ211">
        <f>IFERROR(INDEX(PP_Grid[#Data],$DD211,34),0)</f>
        <v/>
      </c>
      <c r="AK211">
        <f>IFERROR(INDEX(PP_Grid[#Data],$DD211,35),0)</f>
        <v/>
      </c>
      <c r="AL211">
        <f>IFERROR(INDEX(PP_Grid[#Data],$DD211,36),0)</f>
        <v/>
      </c>
      <c r="AM211">
        <f>IFERROR(INDEX(PP_Grid[#Data],$DD211,37),0)</f>
        <v/>
      </c>
      <c r="AN211">
        <f>IFERROR(INDEX(PP_Grid[#Data],$DD211,38),0)</f>
        <v/>
      </c>
      <c r="AO211">
        <f>IFERROR(INDEX(PP_Grid[#Data],$DD211,39),0)</f>
        <v/>
      </c>
      <c r="AP211">
        <f>IFERROR(INDEX(PP_Grid[#Data],$DD211,40),0)</f>
        <v/>
      </c>
      <c r="AQ211">
        <f>IFERROR(INDEX(PP_Grid[#Data],$DD211,41),0)</f>
        <v/>
      </c>
      <c r="AR211">
        <f>IFERROR(INDEX(PP_Grid[#Data],$DD211,42),0)</f>
        <v/>
      </c>
      <c r="AS211">
        <f>IFERROR(INDEX(PP_Grid[#Data],$DD211,43),0)</f>
        <v/>
      </c>
      <c r="AT211">
        <f>IFERROR(INDEX(PP_Grid[#Data],$DD211,44),0)</f>
        <v/>
      </c>
      <c r="AU211">
        <f>IFERROR(INDEX(PP_Grid[#Data],$DD211,45),0)</f>
        <v/>
      </c>
      <c r="AV211">
        <f>IFERROR(INDEX(PP_Grid[#Data],$DD211,46),0)</f>
        <v/>
      </c>
      <c r="AW211">
        <f>IFERROR(INDEX(PP_Grid[#Data],$DD211,47),0)</f>
        <v/>
      </c>
      <c r="AX211">
        <f>IFERROR(INDEX(PP_Grid[#Data],$DD211,48),0)</f>
        <v/>
      </c>
      <c r="AY211">
        <f>IFERROR(INDEX(PP_Grid[#Data],$DD211,49),0)</f>
        <v/>
      </c>
      <c r="AZ211">
        <f>IFERROR(INDEX(PP_Grid[#Data],$DD211,50),0)</f>
        <v/>
      </c>
      <c r="BA211">
        <f>IFERROR(INDEX(PP_Grid[#Data],$DD211,51),0)</f>
        <v/>
      </c>
      <c r="BB211">
        <f>IFERROR(INDEX(PP_Grid[#Data],$DD211,52),0)</f>
        <v/>
      </c>
      <c r="BC211">
        <f>IFERROR(INDEX(PP_Grid[#Data],$DD211,53),0)</f>
        <v/>
      </c>
      <c r="BD211">
        <f>IFERROR(INDEX(PP_Grid[#Data],$DD211,54),0)</f>
        <v/>
      </c>
      <c r="BE211">
        <f>IFERROR(INDEX(PP_Grid[#Data],$DD211,55),0)</f>
        <v/>
      </c>
      <c r="BF211">
        <f>IFERROR(INDEX(PP_Grid[#Data],$DD211,56),0)</f>
        <v/>
      </c>
      <c r="BG211">
        <f>IFERROR(INDEX(PP_Grid[#Data],$DD211,57),0)</f>
        <v/>
      </c>
      <c r="BH211">
        <f>IFERROR(INDEX(PP_Grid[#Data],$DD211,58),0)</f>
        <v/>
      </c>
      <c r="BI211">
        <f>IFERROR(INDEX(PP_Grid[#Data],$DD211,59),0)</f>
        <v/>
      </c>
      <c r="BJ211">
        <f>IFERROR(INDEX(PP_Grid[#Data],$DD211,60),0)</f>
        <v/>
      </c>
      <c r="BK211">
        <f>IFERROR(INDEX(PP_Grid[#Data],$DD211,61),0)</f>
        <v/>
      </c>
      <c r="BL211">
        <f>IFERROR(INDEX(PP_Grid[#Data],$DD211,62),0)</f>
        <v/>
      </c>
      <c r="BM211">
        <f>IFERROR(INDEX(PP_Grid[#Data],$DD211,63),0)</f>
        <v/>
      </c>
      <c r="BN211">
        <f>IFERROR(INDEX(PP_Grid[#Data],$DD211,64),0)</f>
        <v/>
      </c>
      <c r="BO211">
        <f>IFERROR(INDEX(PP_Grid[#Data],$DD211,65),0)</f>
        <v/>
      </c>
      <c r="BP211">
        <f>IFERROR(INDEX(PP_Grid[#Data],$DD211,66),0)</f>
        <v/>
      </c>
      <c r="BQ211">
        <f>IFERROR(INDEX(PP_Grid[#Data],$DD211,67),0)</f>
        <v/>
      </c>
      <c r="BR211">
        <f>IFERROR(INDEX(PP_Grid[#Data],$DD211,68),0)</f>
        <v/>
      </c>
      <c r="BS211">
        <f>IFERROR(INDEX(PP_Grid[#Data],$DD211,69),0)</f>
        <v/>
      </c>
      <c r="BT211">
        <f>IFERROR(INDEX(PP_Grid[#Data],$DD211,70),0)</f>
        <v/>
      </c>
      <c r="BU211">
        <f>IFERROR(INDEX(PP_Grid[#Data],$DD211,71),0)</f>
        <v/>
      </c>
      <c r="BV211">
        <f>IFERROR(INDEX(PP_Grid[#Data],$DD211,72),0)</f>
        <v/>
      </c>
      <c r="BW211">
        <f>IFERROR(INDEX(PP_Grid[#Data],$DD211,73),0)</f>
        <v/>
      </c>
      <c r="BX211">
        <f>IFERROR(INDEX(PP_Grid[#Data],$DD211,74),0)</f>
        <v/>
      </c>
      <c r="BY211">
        <f>IFERROR(INDEX(PP_Grid[#Data],$DD211,75),0)</f>
        <v/>
      </c>
      <c r="BZ211">
        <f>IFERROR(INDEX(PP_Grid[#Data],$DD211,76),0)</f>
        <v/>
      </c>
      <c r="CA211">
        <f>IFERROR(INDEX(PP_Grid[#Data],$DD211,77),0)</f>
        <v/>
      </c>
      <c r="CB211">
        <f>IFERROR(INDEX(PP_Grid[#Data],$DD211,78),0)</f>
        <v/>
      </c>
      <c r="CC211">
        <f>IFERROR(INDEX(PP_Grid[#Data],$DD211,79),0)</f>
        <v/>
      </c>
      <c r="CD211">
        <f>IFERROR(INDEX(PP_Grid[#Data],$DD211,80),0)</f>
        <v/>
      </c>
      <c r="CE211">
        <f>IFERROR(INDEX(PP_Grid[#Data],$DD211,81),0)</f>
        <v/>
      </c>
      <c r="CF211">
        <f>IFERROR(INDEX(PP_Grid[#Data],$DD211,82),0)</f>
        <v/>
      </c>
      <c r="CG211">
        <f>IFERROR(INDEX(PP_Grid[#Data],$DD211,83),0)</f>
        <v/>
      </c>
      <c r="CH211">
        <f>IFERROR(INDEX(PP_Grid[#Data],$DD211,84),0)</f>
        <v/>
      </c>
      <c r="CI211">
        <f>IFERROR(INDEX(PP_Grid[#Data],$DD211,85),0)</f>
        <v/>
      </c>
      <c r="CJ211">
        <f>IFERROR(INDEX(PP_Grid[#Data],$DD211,86),0)</f>
        <v/>
      </c>
      <c r="CK211">
        <f>IFERROR(INDEX(PP_Grid[#Data],$DD211,87),0)</f>
        <v/>
      </c>
      <c r="CL211">
        <f>IFERROR(INDEX(PP_Grid[#Data],$DD211,88),0)</f>
        <v/>
      </c>
      <c r="CM211">
        <f>IFERROR(INDEX(PP_Grid[#Data],$DD211,89),0)</f>
        <v/>
      </c>
      <c r="CN211">
        <f>IFERROR(INDEX(PP_Grid[#Data],$DD211,90),0)</f>
        <v/>
      </c>
      <c r="CO211">
        <f>IFERROR(INDEX(PP_Grid[#Data],$DD211,91),0)</f>
        <v/>
      </c>
      <c r="CP211">
        <f>IFERROR(INDEX(PP_Grid[#Data],$DD211,92),0)</f>
        <v/>
      </c>
      <c r="CQ211">
        <f>IFERROR(INDEX(PP_Grid[#Data],$DD211,93),0)</f>
        <v/>
      </c>
      <c r="CR211">
        <f>IFERROR(INDEX(PP_Grid[#Data],$DD211,94),0)</f>
        <v/>
      </c>
      <c r="CS211">
        <f>IFERROR(INDEX(PP_Grid[#Data],$DD211,95),0)</f>
        <v/>
      </c>
      <c r="CT211">
        <f>IFERROR(INDEX(PP_Grid[#Data],$DD211,96),0)</f>
        <v/>
      </c>
      <c r="CU211">
        <f>IFERROR(INDEX(PP_Grid[#Data],$DD211,97),0)</f>
        <v/>
      </c>
      <c r="CV211">
        <f>IFERROR(INDEX(PP_Grid[#Data],$DD211,98),0)</f>
        <v/>
      </c>
      <c r="CW211">
        <f>IFERROR(INDEX(PP_Grid[#Data],$DD211,99),0)</f>
        <v/>
      </c>
      <c r="CX211">
        <f>IFERROR(INDEX(PP_Grid[#Data],$DD211,100),0)</f>
        <v/>
      </c>
      <c r="CY211">
        <f>IFERROR(INDEX(PP_Grid[#Data],$DD211,101),0)</f>
        <v/>
      </c>
      <c r="CZ211">
        <f>IFERROR(INDEX(PP_Grid[#Data],$DD211,102),0)</f>
        <v/>
      </c>
      <c r="DA211">
        <f>IFERROR(INDEX(PP_Grid[#Data],$DD211,103),0)</f>
        <v/>
      </c>
      <c r="DB211">
        <f>IFERROR(INDEX(PP_Grid[#Data],$DD211,104),0)</f>
        <v/>
      </c>
      <c r="DC211">
        <f>IFERROR(INDEX(PP_Grid[#Data],$DD211,105),0)</f>
        <v/>
      </c>
      <c r="DD211" s="7">
        <f>IFERROR(MATCH($B211,PP_Grid[Intermediate],0),99999)</f>
        <v/>
      </c>
    </row>
    <row r="212">
      <c r="B212" t="inlineStr">
        <is>
          <t>使用量(kg)</t>
        </is>
      </c>
      <c r="C212">
        <f>SUMIFS(M_BOM[RM_Qty_Per_Batch],M_BOM[Intermediate],$B211,M_BOM[Part Name],$A44)</f>
        <v/>
      </c>
      <c r="D212">
        <f>$C212*D211</f>
        <v/>
      </c>
      <c r="E212">
        <f>$C212*E211</f>
        <v/>
      </c>
      <c r="F212">
        <f>$C212*F211</f>
        <v/>
      </c>
      <c r="G212">
        <f>$C212*G211</f>
        <v/>
      </c>
      <c r="H212">
        <f>$C212*H211</f>
        <v/>
      </c>
      <c r="I212">
        <f>$C212*I211</f>
        <v/>
      </c>
      <c r="J212">
        <f>$C212*J211</f>
        <v/>
      </c>
      <c r="K212">
        <f>$C212*K211</f>
        <v/>
      </c>
      <c r="L212">
        <f>$C212*L211</f>
        <v/>
      </c>
      <c r="M212">
        <f>$C212*M211</f>
        <v/>
      </c>
      <c r="N212">
        <f>$C212*N211</f>
        <v/>
      </c>
      <c r="O212">
        <f>$C212*O211</f>
        <v/>
      </c>
      <c r="P212">
        <f>$C212*P211</f>
        <v/>
      </c>
      <c r="Q212">
        <f>$C212*Q211</f>
        <v/>
      </c>
      <c r="R212">
        <f>$C212*R211</f>
        <v/>
      </c>
      <c r="S212">
        <f>$C212*S211</f>
        <v/>
      </c>
      <c r="T212">
        <f>$C212*T211</f>
        <v/>
      </c>
      <c r="U212">
        <f>$C212*U211</f>
        <v/>
      </c>
      <c r="V212">
        <f>$C212*V211</f>
        <v/>
      </c>
      <c r="W212">
        <f>$C212*W211</f>
        <v/>
      </c>
      <c r="X212">
        <f>$C212*X211</f>
        <v/>
      </c>
      <c r="Y212">
        <f>$C212*Y211</f>
        <v/>
      </c>
      <c r="Z212">
        <f>$C212*Z211</f>
        <v/>
      </c>
      <c r="AA212">
        <f>$C212*AA211</f>
        <v/>
      </c>
      <c r="AB212">
        <f>$C212*AB211</f>
        <v/>
      </c>
      <c r="AC212">
        <f>$C212*AC211</f>
        <v/>
      </c>
      <c r="AD212">
        <f>$C212*AD211</f>
        <v/>
      </c>
      <c r="AE212">
        <f>$C212*AE211</f>
        <v/>
      </c>
      <c r="AF212">
        <f>$C212*AF211</f>
        <v/>
      </c>
      <c r="AG212">
        <f>$C212*AG211</f>
        <v/>
      </c>
      <c r="AH212">
        <f>$C212*AH211</f>
        <v/>
      </c>
      <c r="AI212">
        <f>$C212*AI211</f>
        <v/>
      </c>
      <c r="AJ212">
        <f>$C212*AJ211</f>
        <v/>
      </c>
      <c r="AK212">
        <f>$C212*AK211</f>
        <v/>
      </c>
      <c r="AL212">
        <f>$C212*AL211</f>
        <v/>
      </c>
      <c r="AM212">
        <f>$C212*AM211</f>
        <v/>
      </c>
      <c r="AN212">
        <f>$C212*AN211</f>
        <v/>
      </c>
      <c r="AO212">
        <f>$C212*AO211</f>
        <v/>
      </c>
      <c r="AP212">
        <f>$C212*AP211</f>
        <v/>
      </c>
      <c r="AQ212">
        <f>$C212*AQ211</f>
        <v/>
      </c>
      <c r="AR212">
        <f>$C212*AR211</f>
        <v/>
      </c>
      <c r="AS212">
        <f>$C212*AS211</f>
        <v/>
      </c>
      <c r="AT212">
        <f>$C212*AT211</f>
        <v/>
      </c>
      <c r="AU212">
        <f>$C212*AU211</f>
        <v/>
      </c>
      <c r="AV212">
        <f>$C212*AV211</f>
        <v/>
      </c>
      <c r="AW212">
        <f>$C212*AW211</f>
        <v/>
      </c>
      <c r="AX212">
        <f>$C212*AX211</f>
        <v/>
      </c>
      <c r="AY212">
        <f>$C212*AY211</f>
        <v/>
      </c>
      <c r="AZ212">
        <f>$C212*AZ211</f>
        <v/>
      </c>
      <c r="BA212">
        <f>$C212*BA211</f>
        <v/>
      </c>
      <c r="BB212">
        <f>$C212*BB211</f>
        <v/>
      </c>
      <c r="BC212">
        <f>$C212*BC211</f>
        <v/>
      </c>
      <c r="BD212">
        <f>$C212*BD211</f>
        <v/>
      </c>
      <c r="BE212">
        <f>$C212*BE211</f>
        <v/>
      </c>
      <c r="BF212">
        <f>$C212*BF211</f>
        <v/>
      </c>
      <c r="BG212">
        <f>$C212*BG211</f>
        <v/>
      </c>
      <c r="BH212">
        <f>$C212*BH211</f>
        <v/>
      </c>
      <c r="BI212">
        <f>$C212*BI211</f>
        <v/>
      </c>
      <c r="BJ212">
        <f>$C212*BJ211</f>
        <v/>
      </c>
      <c r="BK212">
        <f>$C212*BK211</f>
        <v/>
      </c>
      <c r="BL212">
        <f>$C212*BL211</f>
        <v/>
      </c>
      <c r="BM212">
        <f>$C212*BM211</f>
        <v/>
      </c>
      <c r="BN212">
        <f>$C212*BN211</f>
        <v/>
      </c>
      <c r="BO212">
        <f>$C212*BO211</f>
        <v/>
      </c>
      <c r="BP212">
        <f>$C212*BP211</f>
        <v/>
      </c>
      <c r="BQ212">
        <f>$C212*BQ211</f>
        <v/>
      </c>
      <c r="BR212">
        <f>$C212*BR211</f>
        <v/>
      </c>
      <c r="BS212">
        <f>$C212*BS211</f>
        <v/>
      </c>
      <c r="BT212">
        <f>$C212*BT211</f>
        <v/>
      </c>
      <c r="BU212">
        <f>$C212*BU211</f>
        <v/>
      </c>
      <c r="BV212">
        <f>$C212*BV211</f>
        <v/>
      </c>
      <c r="BW212">
        <f>$C212*BW211</f>
        <v/>
      </c>
      <c r="BX212">
        <f>$C212*BX211</f>
        <v/>
      </c>
      <c r="BY212">
        <f>$C212*BY211</f>
        <v/>
      </c>
      <c r="BZ212">
        <f>$C212*BZ211</f>
        <v/>
      </c>
      <c r="CA212">
        <f>$C212*CA211</f>
        <v/>
      </c>
      <c r="CB212">
        <f>$C212*CB211</f>
        <v/>
      </c>
      <c r="CC212">
        <f>$C212*CC211</f>
        <v/>
      </c>
      <c r="CD212">
        <f>$C212*CD211</f>
        <v/>
      </c>
      <c r="CE212">
        <f>$C212*CE211</f>
        <v/>
      </c>
      <c r="CF212">
        <f>$C212*CF211</f>
        <v/>
      </c>
      <c r="CG212">
        <f>$C212*CG211</f>
        <v/>
      </c>
      <c r="CH212">
        <f>$C212*CH211</f>
        <v/>
      </c>
      <c r="CI212">
        <f>$C212*CI211</f>
        <v/>
      </c>
      <c r="CJ212">
        <f>$C212*CJ211</f>
        <v/>
      </c>
      <c r="CK212">
        <f>$C212*CK211</f>
        <v/>
      </c>
      <c r="CL212">
        <f>$C212*CL211</f>
        <v/>
      </c>
      <c r="CM212">
        <f>$C212*CM211</f>
        <v/>
      </c>
      <c r="CN212">
        <f>$C212*CN211</f>
        <v/>
      </c>
      <c r="CO212">
        <f>$C212*CO211</f>
        <v/>
      </c>
      <c r="CP212">
        <f>$C212*CP211</f>
        <v/>
      </c>
      <c r="CQ212">
        <f>$C212*CQ211</f>
        <v/>
      </c>
      <c r="CR212">
        <f>$C212*CR211</f>
        <v/>
      </c>
      <c r="CS212">
        <f>$C212*CS211</f>
        <v/>
      </c>
      <c r="CT212">
        <f>$C212*CT211</f>
        <v/>
      </c>
      <c r="CU212">
        <f>$C212*CU211</f>
        <v/>
      </c>
      <c r="CV212">
        <f>$C212*CV211</f>
        <v/>
      </c>
      <c r="CW212">
        <f>$C212*CW211</f>
        <v/>
      </c>
      <c r="CX212">
        <f>$C212*CX211</f>
        <v/>
      </c>
      <c r="CY212">
        <f>$C212*CY211</f>
        <v/>
      </c>
      <c r="CZ212">
        <f>$C212*CZ211</f>
        <v/>
      </c>
      <c r="DA212">
        <f>$C212*DA211</f>
        <v/>
      </c>
      <c r="DB212">
        <f>$C212*DB211</f>
        <v/>
      </c>
      <c r="DC212">
        <f>$C212*DC211</f>
        <v/>
      </c>
    </row>
    <row r="213">
      <c r="B213" s="4" t="inlineStr">
        <is>
          <t>合計使用量(kg)/週</t>
        </is>
      </c>
      <c r="D213">
        <f>'Grid_Requirement'!B5</f>
        <v/>
      </c>
      <c r="E213">
        <f>'Grid_Requirement'!C5</f>
        <v/>
      </c>
      <c r="F213">
        <f>'Grid_Requirement'!D5</f>
        <v/>
      </c>
      <c r="G213">
        <f>'Grid_Requirement'!E5</f>
        <v/>
      </c>
      <c r="H213">
        <f>'Grid_Requirement'!F5</f>
        <v/>
      </c>
      <c r="I213">
        <f>'Grid_Requirement'!G5</f>
        <v/>
      </c>
      <c r="J213">
        <f>'Grid_Requirement'!H5</f>
        <v/>
      </c>
      <c r="K213">
        <f>'Grid_Requirement'!I5</f>
        <v/>
      </c>
      <c r="L213">
        <f>'Grid_Requirement'!J5</f>
        <v/>
      </c>
      <c r="M213">
        <f>'Grid_Requirement'!K5</f>
        <v/>
      </c>
      <c r="N213">
        <f>'Grid_Requirement'!L5</f>
        <v/>
      </c>
      <c r="O213">
        <f>'Grid_Requirement'!M5</f>
        <v/>
      </c>
      <c r="P213">
        <f>'Grid_Requirement'!N5</f>
        <v/>
      </c>
      <c r="Q213">
        <f>'Grid_Requirement'!O5</f>
        <v/>
      </c>
      <c r="R213">
        <f>'Grid_Requirement'!P5</f>
        <v/>
      </c>
      <c r="S213">
        <f>'Grid_Requirement'!Q5</f>
        <v/>
      </c>
      <c r="T213">
        <f>'Grid_Requirement'!R5</f>
        <v/>
      </c>
      <c r="U213">
        <f>'Grid_Requirement'!S5</f>
        <v/>
      </c>
      <c r="V213">
        <f>'Grid_Requirement'!T5</f>
        <v/>
      </c>
      <c r="W213">
        <f>'Grid_Requirement'!U5</f>
        <v/>
      </c>
      <c r="X213">
        <f>'Grid_Requirement'!V5</f>
        <v/>
      </c>
      <c r="Y213">
        <f>'Grid_Requirement'!W5</f>
        <v/>
      </c>
      <c r="Z213">
        <f>'Grid_Requirement'!X5</f>
        <v/>
      </c>
      <c r="AA213">
        <f>'Grid_Requirement'!Y5</f>
        <v/>
      </c>
      <c r="AB213">
        <f>'Grid_Requirement'!Z5</f>
        <v/>
      </c>
      <c r="AC213">
        <f>'Grid_Requirement'!AA5</f>
        <v/>
      </c>
      <c r="AD213">
        <f>'Grid_Requirement'!AB5</f>
        <v/>
      </c>
      <c r="AE213">
        <f>'Grid_Requirement'!AC5</f>
        <v/>
      </c>
      <c r="AF213">
        <f>'Grid_Requirement'!AD5</f>
        <v/>
      </c>
      <c r="AG213">
        <f>'Grid_Requirement'!AE5</f>
        <v/>
      </c>
      <c r="AH213">
        <f>'Grid_Requirement'!AF5</f>
        <v/>
      </c>
      <c r="AI213">
        <f>'Grid_Requirement'!AG5</f>
        <v/>
      </c>
      <c r="AJ213">
        <f>'Grid_Requirement'!AH5</f>
        <v/>
      </c>
      <c r="AK213">
        <f>'Grid_Requirement'!AI5</f>
        <v/>
      </c>
      <c r="AL213">
        <f>'Grid_Requirement'!AJ5</f>
        <v/>
      </c>
      <c r="AM213">
        <f>'Grid_Requirement'!AK5</f>
        <v/>
      </c>
      <c r="AN213">
        <f>'Grid_Requirement'!AL5</f>
        <v/>
      </c>
      <c r="AO213">
        <f>'Grid_Requirement'!AM5</f>
        <v/>
      </c>
      <c r="AP213">
        <f>'Grid_Requirement'!AN5</f>
        <v/>
      </c>
      <c r="AQ213">
        <f>'Grid_Requirement'!AO5</f>
        <v/>
      </c>
      <c r="AR213">
        <f>'Grid_Requirement'!AP5</f>
        <v/>
      </c>
      <c r="AS213">
        <f>'Grid_Requirement'!AQ5</f>
        <v/>
      </c>
      <c r="AT213">
        <f>'Grid_Requirement'!AR5</f>
        <v/>
      </c>
      <c r="AU213">
        <f>'Grid_Requirement'!AS5</f>
        <v/>
      </c>
      <c r="AV213">
        <f>'Grid_Requirement'!AT5</f>
        <v/>
      </c>
      <c r="AW213">
        <f>'Grid_Requirement'!AU5</f>
        <v/>
      </c>
      <c r="AX213">
        <f>'Grid_Requirement'!AV5</f>
        <v/>
      </c>
      <c r="AY213">
        <f>'Grid_Requirement'!AW5</f>
        <v/>
      </c>
      <c r="AZ213">
        <f>'Grid_Requirement'!AX5</f>
        <v/>
      </c>
      <c r="BA213">
        <f>'Grid_Requirement'!AY5</f>
        <v/>
      </c>
      <c r="BB213">
        <f>'Grid_Requirement'!AZ5</f>
        <v/>
      </c>
      <c r="BC213">
        <f>'Grid_Requirement'!BA5</f>
        <v/>
      </c>
      <c r="BD213">
        <f>'Grid_Requirement'!BB5</f>
        <v/>
      </c>
      <c r="BE213">
        <f>'Grid_Requirement'!BC5</f>
        <v/>
      </c>
      <c r="BF213">
        <f>'Grid_Requirement'!BD5</f>
        <v/>
      </c>
      <c r="BG213">
        <f>'Grid_Requirement'!BE5</f>
        <v/>
      </c>
      <c r="BH213">
        <f>'Grid_Requirement'!BF5</f>
        <v/>
      </c>
      <c r="BI213">
        <f>'Grid_Requirement'!BG5</f>
        <v/>
      </c>
      <c r="BJ213">
        <f>'Grid_Requirement'!BH5</f>
        <v/>
      </c>
      <c r="BK213">
        <f>'Grid_Requirement'!BI5</f>
        <v/>
      </c>
      <c r="BL213">
        <f>'Grid_Requirement'!BJ5</f>
        <v/>
      </c>
      <c r="BM213">
        <f>'Grid_Requirement'!BK5</f>
        <v/>
      </c>
      <c r="BN213">
        <f>'Grid_Requirement'!BL5</f>
        <v/>
      </c>
      <c r="BO213">
        <f>'Grid_Requirement'!BM5</f>
        <v/>
      </c>
      <c r="BP213">
        <f>'Grid_Requirement'!BN5</f>
        <v/>
      </c>
      <c r="BQ213">
        <f>'Grid_Requirement'!BO5</f>
        <v/>
      </c>
      <c r="BR213">
        <f>'Grid_Requirement'!BP5</f>
        <v/>
      </c>
      <c r="BS213">
        <f>'Grid_Requirement'!BQ5</f>
        <v/>
      </c>
      <c r="BT213">
        <f>'Grid_Requirement'!BR5</f>
        <v/>
      </c>
      <c r="BU213">
        <f>'Grid_Requirement'!BS5</f>
        <v/>
      </c>
      <c r="BV213">
        <f>'Grid_Requirement'!BT5</f>
        <v/>
      </c>
      <c r="BW213">
        <f>'Grid_Requirement'!BU5</f>
        <v/>
      </c>
      <c r="BX213">
        <f>'Grid_Requirement'!BV5</f>
        <v/>
      </c>
      <c r="BY213">
        <f>'Grid_Requirement'!BW5</f>
        <v/>
      </c>
      <c r="BZ213">
        <f>'Grid_Requirement'!BX5</f>
        <v/>
      </c>
      <c r="CA213">
        <f>'Grid_Requirement'!BY5</f>
        <v/>
      </c>
      <c r="CB213">
        <f>'Grid_Requirement'!BZ5</f>
        <v/>
      </c>
      <c r="CC213">
        <f>'Grid_Requirement'!CA5</f>
        <v/>
      </c>
      <c r="CD213">
        <f>'Grid_Requirement'!CB5</f>
        <v/>
      </c>
      <c r="CE213">
        <f>'Grid_Requirement'!CC5</f>
        <v/>
      </c>
      <c r="CF213">
        <f>'Grid_Requirement'!CD5</f>
        <v/>
      </c>
      <c r="CG213">
        <f>'Grid_Requirement'!CE5</f>
        <v/>
      </c>
      <c r="CH213">
        <f>'Grid_Requirement'!CF5</f>
        <v/>
      </c>
      <c r="CI213">
        <f>'Grid_Requirement'!CG5</f>
        <v/>
      </c>
      <c r="CJ213">
        <f>'Grid_Requirement'!CH5</f>
        <v/>
      </c>
      <c r="CK213">
        <f>'Grid_Requirement'!CI5</f>
        <v/>
      </c>
      <c r="CL213">
        <f>'Grid_Requirement'!CJ5</f>
        <v/>
      </c>
      <c r="CM213">
        <f>'Grid_Requirement'!CK5</f>
        <v/>
      </c>
      <c r="CN213">
        <f>'Grid_Requirement'!CL5</f>
        <v/>
      </c>
      <c r="CO213">
        <f>'Grid_Requirement'!CM5</f>
        <v/>
      </c>
      <c r="CP213">
        <f>'Grid_Requirement'!CN5</f>
        <v/>
      </c>
      <c r="CQ213">
        <f>'Grid_Requirement'!CO5</f>
        <v/>
      </c>
      <c r="CR213">
        <f>'Grid_Requirement'!CP5</f>
        <v/>
      </c>
      <c r="CS213">
        <f>'Grid_Requirement'!CQ5</f>
        <v/>
      </c>
      <c r="CT213">
        <f>'Grid_Requirement'!CR5</f>
        <v/>
      </c>
      <c r="CU213">
        <f>'Grid_Requirement'!CS5</f>
        <v/>
      </c>
      <c r="CV213">
        <f>'Grid_Requirement'!CT5</f>
        <v/>
      </c>
      <c r="CW213">
        <f>'Grid_Requirement'!CU5</f>
        <v/>
      </c>
      <c r="CX213">
        <f>'Grid_Requirement'!CV5</f>
        <v/>
      </c>
      <c r="CY213">
        <f>'Grid_Requirement'!CW5</f>
        <v/>
      </c>
      <c r="CZ213">
        <f>'Grid_Requirement'!CX5</f>
        <v/>
      </c>
      <c r="DA213">
        <f>'Grid_Requirement'!CY5</f>
        <v/>
      </c>
      <c r="DB213">
        <f>'Grid_Requirement'!CZ5</f>
        <v/>
      </c>
      <c r="DC213">
        <f>'Grid_Requirement'!DA5</f>
        <v/>
      </c>
    </row>
    <row r="214">
      <c r="B214" t="inlineStr">
        <is>
          <t>TTAF在庫(実績,kg)</t>
        </is>
      </c>
      <c r="D214">
        <f>'T_TTAFStock'!B9</f>
        <v/>
      </c>
      <c r="E214">
        <f>'T_TTAFStock'!C9</f>
        <v/>
      </c>
      <c r="F214">
        <f>'T_TTAFStock'!D9</f>
        <v/>
      </c>
      <c r="G214">
        <f>'T_TTAFStock'!E9</f>
        <v/>
      </c>
      <c r="H214">
        <f>'T_TTAFStock'!F9</f>
        <v/>
      </c>
      <c r="I214">
        <f>'T_TTAFStock'!G9</f>
        <v/>
      </c>
      <c r="J214">
        <f>'T_TTAFStock'!H9</f>
        <v/>
      </c>
      <c r="K214">
        <f>'T_TTAFStock'!I9</f>
        <v/>
      </c>
      <c r="L214">
        <f>'T_TTAFStock'!J9</f>
        <v/>
      </c>
      <c r="M214">
        <f>'T_TTAFStock'!K9</f>
        <v/>
      </c>
      <c r="N214">
        <f>'T_TTAFStock'!L9</f>
        <v/>
      </c>
      <c r="O214">
        <f>'T_TTAFStock'!M9</f>
        <v/>
      </c>
      <c r="P214">
        <f>'T_TTAFStock'!N9</f>
        <v/>
      </c>
      <c r="Q214">
        <f>'T_TTAFStock'!O9</f>
        <v/>
      </c>
      <c r="R214">
        <f>'T_TTAFStock'!P9</f>
        <v/>
      </c>
      <c r="S214">
        <f>'T_TTAFStock'!Q9</f>
        <v/>
      </c>
      <c r="T214">
        <f>'T_TTAFStock'!R9</f>
        <v/>
      </c>
      <c r="U214">
        <f>'T_TTAFStock'!S9</f>
        <v/>
      </c>
      <c r="V214">
        <f>'T_TTAFStock'!T9</f>
        <v/>
      </c>
      <c r="W214">
        <f>'T_TTAFStock'!U9</f>
        <v/>
      </c>
      <c r="X214">
        <f>'T_TTAFStock'!V9</f>
        <v/>
      </c>
      <c r="Y214">
        <f>'T_TTAFStock'!W9</f>
        <v/>
      </c>
      <c r="Z214">
        <f>'T_TTAFStock'!X9</f>
        <v/>
      </c>
      <c r="AA214">
        <f>'T_TTAFStock'!Y9</f>
        <v/>
      </c>
      <c r="AB214">
        <f>'T_TTAFStock'!Z9</f>
        <v/>
      </c>
      <c r="AC214">
        <f>'T_TTAFStock'!AA9</f>
        <v/>
      </c>
      <c r="AD214">
        <f>'T_TTAFStock'!AB9</f>
        <v/>
      </c>
      <c r="AE214">
        <f>'T_TTAFStock'!AC9</f>
        <v/>
      </c>
      <c r="AF214">
        <f>'T_TTAFStock'!AD9</f>
        <v/>
      </c>
      <c r="AG214">
        <f>'T_TTAFStock'!AE9</f>
        <v/>
      </c>
      <c r="AH214">
        <f>'T_TTAFStock'!AF9</f>
        <v/>
      </c>
      <c r="AI214">
        <f>'T_TTAFStock'!AG9</f>
        <v/>
      </c>
      <c r="AJ214">
        <f>'T_TTAFStock'!AH9</f>
        <v/>
      </c>
      <c r="AK214">
        <f>'T_TTAFStock'!AI9</f>
        <v/>
      </c>
      <c r="AL214">
        <f>'T_TTAFStock'!AJ9</f>
        <v/>
      </c>
      <c r="AM214">
        <f>'T_TTAFStock'!AK9</f>
        <v/>
      </c>
      <c r="AN214">
        <f>'T_TTAFStock'!AL9</f>
        <v/>
      </c>
      <c r="AO214">
        <f>'T_TTAFStock'!AM9</f>
        <v/>
      </c>
      <c r="AP214">
        <f>'T_TTAFStock'!AN9</f>
        <v/>
      </c>
      <c r="AQ214">
        <f>'T_TTAFStock'!AO9</f>
        <v/>
      </c>
      <c r="AR214">
        <f>'T_TTAFStock'!AP9</f>
        <v/>
      </c>
      <c r="AS214">
        <f>'T_TTAFStock'!AQ9</f>
        <v/>
      </c>
      <c r="AT214">
        <f>'T_TTAFStock'!AR9</f>
        <v/>
      </c>
      <c r="AU214">
        <f>'T_TTAFStock'!AS9</f>
        <v/>
      </c>
      <c r="AV214">
        <f>'T_TTAFStock'!AT9</f>
        <v/>
      </c>
      <c r="AW214">
        <f>'T_TTAFStock'!AU9</f>
        <v/>
      </c>
      <c r="AX214">
        <f>'T_TTAFStock'!AV9</f>
        <v/>
      </c>
      <c r="AY214">
        <f>'T_TTAFStock'!AW9</f>
        <v/>
      </c>
      <c r="AZ214">
        <f>'T_TTAFStock'!AX9</f>
        <v/>
      </c>
      <c r="BA214">
        <f>'T_TTAFStock'!AY9</f>
        <v/>
      </c>
      <c r="BB214">
        <f>'T_TTAFStock'!AZ9</f>
        <v/>
      </c>
      <c r="BC214">
        <f>'T_TTAFStock'!BA9</f>
        <v/>
      </c>
      <c r="BD214">
        <f>'T_TTAFStock'!BB9</f>
        <v/>
      </c>
      <c r="BE214">
        <f>'T_TTAFStock'!BC9</f>
        <v/>
      </c>
      <c r="BF214">
        <f>'T_TTAFStock'!BD9</f>
        <v/>
      </c>
      <c r="BG214">
        <f>'T_TTAFStock'!BE9</f>
        <v/>
      </c>
      <c r="BH214">
        <f>'T_TTAFStock'!BF9</f>
        <v/>
      </c>
      <c r="BI214">
        <f>'T_TTAFStock'!BG9</f>
        <v/>
      </c>
      <c r="BJ214">
        <f>'T_TTAFStock'!BH9</f>
        <v/>
      </c>
      <c r="BK214">
        <f>'T_TTAFStock'!BI9</f>
        <v/>
      </c>
      <c r="BL214">
        <f>'T_TTAFStock'!BJ9</f>
        <v/>
      </c>
      <c r="BM214">
        <f>'T_TTAFStock'!BK9</f>
        <v/>
      </c>
      <c r="BN214">
        <f>'T_TTAFStock'!BL9</f>
        <v/>
      </c>
      <c r="BO214">
        <f>'T_TTAFStock'!BM9</f>
        <v/>
      </c>
      <c r="BP214">
        <f>'T_TTAFStock'!BN9</f>
        <v/>
      </c>
      <c r="BQ214">
        <f>'T_TTAFStock'!BO9</f>
        <v/>
      </c>
      <c r="BR214">
        <f>'T_TTAFStock'!BP9</f>
        <v/>
      </c>
      <c r="BS214">
        <f>'T_TTAFStock'!BQ9</f>
        <v/>
      </c>
      <c r="BT214">
        <f>'T_TTAFStock'!BR9</f>
        <v/>
      </c>
      <c r="BU214">
        <f>'T_TTAFStock'!BS9</f>
        <v/>
      </c>
      <c r="BV214">
        <f>'T_TTAFStock'!BT9</f>
        <v/>
      </c>
      <c r="BW214">
        <f>'T_TTAFStock'!BU9</f>
        <v/>
      </c>
      <c r="BX214">
        <f>'T_TTAFStock'!BV9</f>
        <v/>
      </c>
      <c r="BY214">
        <f>'T_TTAFStock'!BW9</f>
        <v/>
      </c>
      <c r="BZ214">
        <f>'T_TTAFStock'!BX9</f>
        <v/>
      </c>
      <c r="CA214">
        <f>'T_TTAFStock'!BY9</f>
        <v/>
      </c>
      <c r="CB214">
        <f>'T_TTAFStock'!BZ9</f>
        <v/>
      </c>
      <c r="CC214">
        <f>'T_TTAFStock'!CA9</f>
        <v/>
      </c>
      <c r="CD214">
        <f>'T_TTAFStock'!CB9</f>
        <v/>
      </c>
      <c r="CE214">
        <f>'T_TTAFStock'!CC9</f>
        <v/>
      </c>
      <c r="CF214">
        <f>'T_TTAFStock'!CD9</f>
        <v/>
      </c>
      <c r="CG214">
        <f>'T_TTAFStock'!CE9</f>
        <v/>
      </c>
      <c r="CH214">
        <f>'T_TTAFStock'!CF9</f>
        <v/>
      </c>
      <c r="CI214">
        <f>'T_TTAFStock'!CG9</f>
        <v/>
      </c>
      <c r="CJ214">
        <f>'T_TTAFStock'!CH9</f>
        <v/>
      </c>
      <c r="CK214">
        <f>'T_TTAFStock'!CI9</f>
        <v/>
      </c>
      <c r="CL214">
        <f>'T_TTAFStock'!CJ9</f>
        <v/>
      </c>
      <c r="CM214">
        <f>'T_TTAFStock'!CK9</f>
        <v/>
      </c>
      <c r="CN214">
        <f>'T_TTAFStock'!CL9</f>
        <v/>
      </c>
      <c r="CO214">
        <f>'T_TTAFStock'!CM9</f>
        <v/>
      </c>
      <c r="CP214">
        <f>'T_TTAFStock'!CN9</f>
        <v/>
      </c>
      <c r="CQ214">
        <f>'T_TTAFStock'!CO9</f>
        <v/>
      </c>
      <c r="CR214">
        <f>'T_TTAFStock'!CP9</f>
        <v/>
      </c>
      <c r="CS214">
        <f>'T_TTAFStock'!CQ9</f>
        <v/>
      </c>
      <c r="CT214">
        <f>'T_TTAFStock'!CR9</f>
        <v/>
      </c>
      <c r="CU214">
        <f>'T_TTAFStock'!CS9</f>
        <v/>
      </c>
      <c r="CV214">
        <f>'T_TTAFStock'!CT9</f>
        <v/>
      </c>
      <c r="CW214">
        <f>'T_TTAFStock'!CU9</f>
        <v/>
      </c>
      <c r="CX214">
        <f>'T_TTAFStock'!CV9</f>
        <v/>
      </c>
      <c r="CY214">
        <f>'T_TTAFStock'!CW9</f>
        <v/>
      </c>
      <c r="CZ214">
        <f>'T_TTAFStock'!CX9</f>
        <v/>
      </c>
      <c r="DA214">
        <f>'T_TTAFStock'!CY9</f>
        <v/>
      </c>
      <c r="DB214">
        <f>'T_TTAFStock'!CZ9</f>
        <v/>
      </c>
      <c r="DC214">
        <f>'T_TTAFStock'!DA9</f>
        <v/>
      </c>
    </row>
    <row r="215">
      <c r="B215" t="inlineStr">
        <is>
          <t>自社在庫(実績,kg)</t>
        </is>
      </c>
      <c r="D215">
        <f>'T_SelfStock'!B9</f>
        <v/>
      </c>
      <c r="E215">
        <f>'T_SelfStock'!C9</f>
        <v/>
      </c>
      <c r="F215">
        <f>'T_SelfStock'!D9</f>
        <v/>
      </c>
      <c r="G215">
        <f>'T_SelfStock'!E9</f>
        <v/>
      </c>
      <c r="H215">
        <f>'T_SelfStock'!F9</f>
        <v/>
      </c>
      <c r="I215">
        <f>'T_SelfStock'!G9</f>
        <v/>
      </c>
      <c r="J215">
        <f>'T_SelfStock'!H9</f>
        <v/>
      </c>
      <c r="K215">
        <f>'T_SelfStock'!I9</f>
        <v/>
      </c>
      <c r="L215">
        <f>'T_SelfStock'!J9</f>
        <v/>
      </c>
      <c r="M215">
        <f>'T_SelfStock'!K9</f>
        <v/>
      </c>
      <c r="N215">
        <f>'T_SelfStock'!L9</f>
        <v/>
      </c>
      <c r="O215">
        <f>'T_SelfStock'!M9</f>
        <v/>
      </c>
      <c r="P215">
        <f>'T_SelfStock'!N9</f>
        <v/>
      </c>
      <c r="Q215">
        <f>'T_SelfStock'!O9</f>
        <v/>
      </c>
      <c r="R215">
        <f>'T_SelfStock'!P9</f>
        <v/>
      </c>
      <c r="S215">
        <f>'T_SelfStock'!Q9</f>
        <v/>
      </c>
      <c r="T215">
        <f>'T_SelfStock'!R9</f>
        <v/>
      </c>
      <c r="U215">
        <f>'T_SelfStock'!S9</f>
        <v/>
      </c>
      <c r="V215">
        <f>'T_SelfStock'!T9</f>
        <v/>
      </c>
      <c r="W215">
        <f>'T_SelfStock'!U9</f>
        <v/>
      </c>
      <c r="X215">
        <f>'T_SelfStock'!V9</f>
        <v/>
      </c>
      <c r="Y215">
        <f>'T_SelfStock'!W9</f>
        <v/>
      </c>
      <c r="Z215">
        <f>'T_SelfStock'!X9</f>
        <v/>
      </c>
      <c r="AA215">
        <f>'T_SelfStock'!Y9</f>
        <v/>
      </c>
      <c r="AB215">
        <f>'T_SelfStock'!Z9</f>
        <v/>
      </c>
      <c r="AC215">
        <f>'T_SelfStock'!AA9</f>
        <v/>
      </c>
      <c r="AD215">
        <f>'T_SelfStock'!AB9</f>
        <v/>
      </c>
      <c r="AE215">
        <f>'T_SelfStock'!AC9</f>
        <v/>
      </c>
      <c r="AF215">
        <f>'T_SelfStock'!AD9</f>
        <v/>
      </c>
      <c r="AG215">
        <f>'T_SelfStock'!AE9</f>
        <v/>
      </c>
      <c r="AH215">
        <f>'T_SelfStock'!AF9</f>
        <v/>
      </c>
      <c r="AI215">
        <f>'T_SelfStock'!AG9</f>
        <v/>
      </c>
      <c r="AJ215">
        <f>'T_SelfStock'!AH9</f>
        <v/>
      </c>
      <c r="AK215">
        <f>'T_SelfStock'!AI9</f>
        <v/>
      </c>
      <c r="AL215">
        <f>'T_SelfStock'!AJ9</f>
        <v/>
      </c>
      <c r="AM215">
        <f>'T_SelfStock'!AK9</f>
        <v/>
      </c>
      <c r="AN215">
        <f>'T_SelfStock'!AL9</f>
        <v/>
      </c>
      <c r="AO215">
        <f>'T_SelfStock'!AM9</f>
        <v/>
      </c>
      <c r="AP215">
        <f>'T_SelfStock'!AN9</f>
        <v/>
      </c>
      <c r="AQ215">
        <f>'T_SelfStock'!AO9</f>
        <v/>
      </c>
      <c r="AR215">
        <f>'T_SelfStock'!AP9</f>
        <v/>
      </c>
      <c r="AS215">
        <f>'T_SelfStock'!AQ9</f>
        <v/>
      </c>
      <c r="AT215">
        <f>'T_SelfStock'!AR9</f>
        <v/>
      </c>
      <c r="AU215">
        <f>'T_SelfStock'!AS9</f>
        <v/>
      </c>
      <c r="AV215">
        <f>'T_SelfStock'!AT9</f>
        <v/>
      </c>
      <c r="AW215">
        <f>'T_SelfStock'!AU9</f>
        <v/>
      </c>
      <c r="AX215">
        <f>'T_SelfStock'!AV9</f>
        <v/>
      </c>
      <c r="AY215">
        <f>'T_SelfStock'!AW9</f>
        <v/>
      </c>
      <c r="AZ215">
        <f>'T_SelfStock'!AX9</f>
        <v/>
      </c>
      <c r="BA215">
        <f>'T_SelfStock'!AY9</f>
        <v/>
      </c>
      <c r="BB215">
        <f>'T_SelfStock'!AZ9</f>
        <v/>
      </c>
      <c r="BC215">
        <f>'T_SelfStock'!BA9</f>
        <v/>
      </c>
      <c r="BD215">
        <f>'T_SelfStock'!BB9</f>
        <v/>
      </c>
      <c r="BE215">
        <f>'T_SelfStock'!BC9</f>
        <v/>
      </c>
      <c r="BF215">
        <f>'T_SelfStock'!BD9</f>
        <v/>
      </c>
      <c r="BG215">
        <f>'T_SelfStock'!BE9</f>
        <v/>
      </c>
      <c r="BH215">
        <f>'T_SelfStock'!BF9</f>
        <v/>
      </c>
      <c r="BI215">
        <f>'T_SelfStock'!BG9</f>
        <v/>
      </c>
      <c r="BJ215">
        <f>'T_SelfStock'!BH9</f>
        <v/>
      </c>
      <c r="BK215">
        <f>'T_SelfStock'!BI9</f>
        <v/>
      </c>
      <c r="BL215">
        <f>'T_SelfStock'!BJ9</f>
        <v/>
      </c>
      <c r="BM215">
        <f>'T_SelfStock'!BK9</f>
        <v/>
      </c>
      <c r="BN215">
        <f>'T_SelfStock'!BL9</f>
        <v/>
      </c>
      <c r="BO215">
        <f>'T_SelfStock'!BM9</f>
        <v/>
      </c>
      <c r="BP215">
        <f>'T_SelfStock'!BN9</f>
        <v/>
      </c>
      <c r="BQ215">
        <f>'T_SelfStock'!BO9</f>
        <v/>
      </c>
      <c r="BR215">
        <f>'T_SelfStock'!BP9</f>
        <v/>
      </c>
      <c r="BS215">
        <f>'T_SelfStock'!BQ9</f>
        <v/>
      </c>
      <c r="BT215">
        <f>'T_SelfStock'!BR9</f>
        <v/>
      </c>
      <c r="BU215">
        <f>'T_SelfStock'!BS9</f>
        <v/>
      </c>
      <c r="BV215">
        <f>'T_SelfStock'!BT9</f>
        <v/>
      </c>
      <c r="BW215">
        <f>'T_SelfStock'!BU9</f>
        <v/>
      </c>
      <c r="BX215">
        <f>'T_SelfStock'!BV9</f>
        <v/>
      </c>
      <c r="BY215">
        <f>'T_SelfStock'!BW9</f>
        <v/>
      </c>
      <c r="BZ215">
        <f>'T_SelfStock'!BX9</f>
        <v/>
      </c>
      <c r="CA215">
        <f>'T_SelfStock'!BY9</f>
        <v/>
      </c>
      <c r="CB215">
        <f>'T_SelfStock'!BZ9</f>
        <v/>
      </c>
      <c r="CC215">
        <f>'T_SelfStock'!CA9</f>
        <v/>
      </c>
      <c r="CD215">
        <f>'T_SelfStock'!CB9</f>
        <v/>
      </c>
      <c r="CE215">
        <f>'T_SelfStock'!CC9</f>
        <v/>
      </c>
      <c r="CF215">
        <f>'T_SelfStock'!CD9</f>
        <v/>
      </c>
      <c r="CG215">
        <f>'T_SelfStock'!CE9</f>
        <v/>
      </c>
      <c r="CH215">
        <f>'T_SelfStock'!CF9</f>
        <v/>
      </c>
      <c r="CI215">
        <f>'T_SelfStock'!CG9</f>
        <v/>
      </c>
      <c r="CJ215">
        <f>'T_SelfStock'!CH9</f>
        <v/>
      </c>
      <c r="CK215">
        <f>'T_SelfStock'!CI9</f>
        <v/>
      </c>
      <c r="CL215">
        <f>'T_SelfStock'!CJ9</f>
        <v/>
      </c>
      <c r="CM215">
        <f>'T_SelfStock'!CK9</f>
        <v/>
      </c>
      <c r="CN215">
        <f>'T_SelfStock'!CL9</f>
        <v/>
      </c>
      <c r="CO215">
        <f>'T_SelfStock'!CM9</f>
        <v/>
      </c>
      <c r="CP215">
        <f>'T_SelfStock'!CN9</f>
        <v/>
      </c>
      <c r="CQ215">
        <f>'T_SelfStock'!CO9</f>
        <v/>
      </c>
      <c r="CR215">
        <f>'T_SelfStock'!CP9</f>
        <v/>
      </c>
      <c r="CS215">
        <f>'T_SelfStock'!CQ9</f>
        <v/>
      </c>
      <c r="CT215">
        <f>'T_SelfStock'!CR9</f>
        <v/>
      </c>
      <c r="CU215">
        <f>'T_SelfStock'!CS9</f>
        <v/>
      </c>
      <c r="CV215">
        <f>'T_SelfStock'!CT9</f>
        <v/>
      </c>
      <c r="CW215">
        <f>'T_SelfStock'!CU9</f>
        <v/>
      </c>
      <c r="CX215">
        <f>'T_SelfStock'!CV9</f>
        <v/>
      </c>
      <c r="CY215">
        <f>'T_SelfStock'!CW9</f>
        <v/>
      </c>
      <c r="CZ215">
        <f>'T_SelfStock'!CX9</f>
        <v/>
      </c>
      <c r="DA215">
        <f>'T_SelfStock'!CY9</f>
        <v/>
      </c>
      <c r="DB215">
        <f>'T_SelfStock'!CZ9</f>
        <v/>
      </c>
      <c r="DC215">
        <f>'T_SelfStock'!DA9</f>
        <v/>
      </c>
    </row>
    <row r="216">
      <c r="B216" s="4" t="inlineStr">
        <is>
          <t>合計在庫(週末時点,kg)</t>
        </is>
      </c>
      <c r="D216">
        <f>'Grid_Stock'!B5</f>
        <v/>
      </c>
      <c r="E216">
        <f>'Grid_Stock'!C5</f>
        <v/>
      </c>
      <c r="F216">
        <f>'Grid_Stock'!D5</f>
        <v/>
      </c>
      <c r="G216">
        <f>'Grid_Stock'!E5</f>
        <v/>
      </c>
      <c r="H216">
        <f>'Grid_Stock'!F5</f>
        <v/>
      </c>
      <c r="I216">
        <f>'Grid_Stock'!G5</f>
        <v/>
      </c>
      <c r="J216">
        <f>'Grid_Stock'!H5</f>
        <v/>
      </c>
      <c r="K216">
        <f>'Grid_Stock'!I5</f>
        <v/>
      </c>
      <c r="L216">
        <f>'Grid_Stock'!J5</f>
        <v/>
      </c>
      <c r="M216">
        <f>'Grid_Stock'!K5</f>
        <v/>
      </c>
      <c r="N216">
        <f>'Grid_Stock'!L5</f>
        <v/>
      </c>
      <c r="O216">
        <f>'Grid_Stock'!M5</f>
        <v/>
      </c>
      <c r="P216">
        <f>'Grid_Stock'!N5</f>
        <v/>
      </c>
      <c r="Q216">
        <f>'Grid_Stock'!O5</f>
        <v/>
      </c>
      <c r="R216">
        <f>'Grid_Stock'!P5</f>
        <v/>
      </c>
      <c r="S216">
        <f>'Grid_Stock'!Q5</f>
        <v/>
      </c>
      <c r="T216">
        <f>'Grid_Stock'!R5</f>
        <v/>
      </c>
      <c r="U216">
        <f>'Grid_Stock'!S5</f>
        <v/>
      </c>
      <c r="V216">
        <f>'Grid_Stock'!T5</f>
        <v/>
      </c>
      <c r="W216">
        <f>'Grid_Stock'!U5</f>
        <v/>
      </c>
      <c r="X216">
        <f>'Grid_Stock'!V5</f>
        <v/>
      </c>
      <c r="Y216">
        <f>'Grid_Stock'!W5</f>
        <v/>
      </c>
      <c r="Z216">
        <f>'Grid_Stock'!X5</f>
        <v/>
      </c>
      <c r="AA216">
        <f>'Grid_Stock'!Y5</f>
        <v/>
      </c>
      <c r="AB216">
        <f>'Grid_Stock'!Z5</f>
        <v/>
      </c>
      <c r="AC216">
        <f>'Grid_Stock'!AA5</f>
        <v/>
      </c>
      <c r="AD216">
        <f>'Grid_Stock'!AB5</f>
        <v/>
      </c>
      <c r="AE216">
        <f>'Grid_Stock'!AC5</f>
        <v/>
      </c>
      <c r="AF216">
        <f>'Grid_Stock'!AD5</f>
        <v/>
      </c>
      <c r="AG216">
        <f>'Grid_Stock'!AE5</f>
        <v/>
      </c>
      <c r="AH216">
        <f>'Grid_Stock'!AF5</f>
        <v/>
      </c>
      <c r="AI216">
        <f>'Grid_Stock'!AG5</f>
        <v/>
      </c>
      <c r="AJ216">
        <f>'Grid_Stock'!AH5</f>
        <v/>
      </c>
      <c r="AK216">
        <f>'Grid_Stock'!AI5</f>
        <v/>
      </c>
      <c r="AL216">
        <f>'Grid_Stock'!AJ5</f>
        <v/>
      </c>
      <c r="AM216">
        <f>'Grid_Stock'!AK5</f>
        <v/>
      </c>
      <c r="AN216">
        <f>'Grid_Stock'!AL5</f>
        <v/>
      </c>
      <c r="AO216">
        <f>'Grid_Stock'!AM5</f>
        <v/>
      </c>
      <c r="AP216">
        <f>'Grid_Stock'!AN5</f>
        <v/>
      </c>
      <c r="AQ216">
        <f>'Grid_Stock'!AO5</f>
        <v/>
      </c>
      <c r="AR216">
        <f>'Grid_Stock'!AP5</f>
        <v/>
      </c>
      <c r="AS216">
        <f>'Grid_Stock'!AQ5</f>
        <v/>
      </c>
      <c r="AT216">
        <f>'Grid_Stock'!AR5</f>
        <v/>
      </c>
      <c r="AU216">
        <f>'Grid_Stock'!AS5</f>
        <v/>
      </c>
      <c r="AV216">
        <f>'Grid_Stock'!AT5</f>
        <v/>
      </c>
      <c r="AW216">
        <f>'Grid_Stock'!AU5</f>
        <v/>
      </c>
      <c r="AX216">
        <f>'Grid_Stock'!AV5</f>
        <v/>
      </c>
      <c r="AY216">
        <f>'Grid_Stock'!AW5</f>
        <v/>
      </c>
      <c r="AZ216">
        <f>'Grid_Stock'!AX5</f>
        <v/>
      </c>
      <c r="BA216">
        <f>'Grid_Stock'!AY5</f>
        <v/>
      </c>
      <c r="BB216">
        <f>'Grid_Stock'!AZ5</f>
        <v/>
      </c>
      <c r="BC216">
        <f>'Grid_Stock'!BA5</f>
        <v/>
      </c>
      <c r="BD216">
        <f>'Grid_Stock'!BB5</f>
        <v/>
      </c>
      <c r="BE216">
        <f>'Grid_Stock'!BC5</f>
        <v/>
      </c>
      <c r="BF216">
        <f>'Grid_Stock'!BD5</f>
        <v/>
      </c>
      <c r="BG216">
        <f>'Grid_Stock'!BE5</f>
        <v/>
      </c>
      <c r="BH216">
        <f>'Grid_Stock'!BF5</f>
        <v/>
      </c>
      <c r="BI216">
        <f>'Grid_Stock'!BG5</f>
        <v/>
      </c>
      <c r="BJ216">
        <f>'Grid_Stock'!BH5</f>
        <v/>
      </c>
      <c r="BK216">
        <f>'Grid_Stock'!BI5</f>
        <v/>
      </c>
      <c r="BL216">
        <f>'Grid_Stock'!BJ5</f>
        <v/>
      </c>
      <c r="BM216">
        <f>'Grid_Stock'!BK5</f>
        <v/>
      </c>
      <c r="BN216">
        <f>'Grid_Stock'!BL5</f>
        <v/>
      </c>
      <c r="BO216">
        <f>'Grid_Stock'!BM5</f>
        <v/>
      </c>
      <c r="BP216">
        <f>'Grid_Stock'!BN5</f>
        <v/>
      </c>
      <c r="BQ216">
        <f>'Grid_Stock'!BO5</f>
        <v/>
      </c>
      <c r="BR216">
        <f>'Grid_Stock'!BP5</f>
        <v/>
      </c>
      <c r="BS216">
        <f>'Grid_Stock'!BQ5</f>
        <v/>
      </c>
      <c r="BT216">
        <f>'Grid_Stock'!BR5</f>
        <v/>
      </c>
      <c r="BU216">
        <f>'Grid_Stock'!BS5</f>
        <v/>
      </c>
      <c r="BV216">
        <f>'Grid_Stock'!BT5</f>
        <v/>
      </c>
      <c r="BW216">
        <f>'Grid_Stock'!BU5</f>
        <v/>
      </c>
      <c r="BX216">
        <f>'Grid_Stock'!BV5</f>
        <v/>
      </c>
      <c r="BY216">
        <f>'Grid_Stock'!BW5</f>
        <v/>
      </c>
      <c r="BZ216">
        <f>'Grid_Stock'!BX5</f>
        <v/>
      </c>
      <c r="CA216">
        <f>'Grid_Stock'!BY5</f>
        <v/>
      </c>
      <c r="CB216">
        <f>'Grid_Stock'!BZ5</f>
        <v/>
      </c>
      <c r="CC216">
        <f>'Grid_Stock'!CA5</f>
        <v/>
      </c>
      <c r="CD216">
        <f>'Grid_Stock'!CB5</f>
        <v/>
      </c>
      <c r="CE216">
        <f>'Grid_Stock'!CC5</f>
        <v/>
      </c>
      <c r="CF216">
        <f>'Grid_Stock'!CD5</f>
        <v/>
      </c>
      <c r="CG216">
        <f>'Grid_Stock'!CE5</f>
        <v/>
      </c>
      <c r="CH216">
        <f>'Grid_Stock'!CF5</f>
        <v/>
      </c>
      <c r="CI216">
        <f>'Grid_Stock'!CG5</f>
        <v/>
      </c>
      <c r="CJ216">
        <f>'Grid_Stock'!CH5</f>
        <v/>
      </c>
      <c r="CK216">
        <f>'Grid_Stock'!CI5</f>
        <v/>
      </c>
      <c r="CL216">
        <f>'Grid_Stock'!CJ5</f>
        <v/>
      </c>
      <c r="CM216">
        <f>'Grid_Stock'!CK5</f>
        <v/>
      </c>
      <c r="CN216">
        <f>'Grid_Stock'!CL5</f>
        <v/>
      </c>
      <c r="CO216">
        <f>'Grid_Stock'!CM5</f>
        <v/>
      </c>
      <c r="CP216">
        <f>'Grid_Stock'!CN5</f>
        <v/>
      </c>
      <c r="CQ216">
        <f>'Grid_Stock'!CO5</f>
        <v/>
      </c>
      <c r="CR216">
        <f>'Grid_Stock'!CP5</f>
        <v/>
      </c>
      <c r="CS216">
        <f>'Grid_Stock'!CQ5</f>
        <v/>
      </c>
      <c r="CT216">
        <f>'Grid_Stock'!CR5</f>
        <v/>
      </c>
      <c r="CU216">
        <f>'Grid_Stock'!CS5</f>
        <v/>
      </c>
      <c r="CV216">
        <f>'Grid_Stock'!CT5</f>
        <v/>
      </c>
      <c r="CW216">
        <f>'Grid_Stock'!CU5</f>
        <v/>
      </c>
      <c r="CX216">
        <f>'Grid_Stock'!CV5</f>
        <v/>
      </c>
      <c r="CY216">
        <f>'Grid_Stock'!CW5</f>
        <v/>
      </c>
      <c r="CZ216">
        <f>'Grid_Stock'!CX5</f>
        <v/>
      </c>
      <c r="DA216">
        <f>'Grid_Stock'!CY5</f>
        <v/>
      </c>
      <c r="DB216">
        <f>'Grid_Stock'!CZ5</f>
        <v/>
      </c>
      <c r="DC216">
        <f>'Grid_Stock'!DA5</f>
        <v/>
      </c>
    </row>
    <row r="217">
      <c r="B217" s="16" t="inlineStr">
        <is>
          <t>（発注の目安はDashboardの基準在庫[下限/上限]と色分けを参照）</t>
        </is>
      </c>
    </row>
    <row r="219">
      <c r="A219" s="14" t="inlineStr">
        <is>
          <t>CHEM-1440</t>
        </is>
      </c>
      <c r="B219" s="14" t="inlineStr">
        <is>
          <t>CITRIC ACID</t>
        </is>
      </c>
      <c r="C219" s="15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14" t="n"/>
      <c r="AC219" s="14" t="n"/>
      <c r="AD219" s="14" t="n"/>
      <c r="AE219" s="14" t="n"/>
      <c r="AF219" s="14" t="n"/>
      <c r="AG219" s="14" t="n"/>
      <c r="AH219" s="14" t="n"/>
      <c r="AI219" s="14" t="n"/>
      <c r="AJ219" s="14" t="n"/>
      <c r="AK219" s="14" t="n"/>
      <c r="AL219" s="14" t="n"/>
      <c r="AM219" s="14" t="n"/>
      <c r="AN219" s="14" t="n"/>
      <c r="AO219" s="14" t="n"/>
      <c r="AP219" s="14" t="n"/>
      <c r="AQ219" s="14" t="n"/>
      <c r="AR219" s="14" t="n"/>
      <c r="AS219" s="14" t="n"/>
      <c r="AT219" s="14" t="n"/>
      <c r="AU219" s="14" t="n"/>
      <c r="AV219" s="14" t="n"/>
      <c r="AW219" s="14" t="n"/>
      <c r="AX219" s="14" t="n"/>
      <c r="AY219" s="14" t="n"/>
      <c r="AZ219" s="14" t="n"/>
      <c r="BA219" s="14" t="n"/>
      <c r="BB219" s="14" t="n"/>
      <c r="BC219" s="14" t="n"/>
      <c r="BD219" s="14" t="n"/>
      <c r="BE219" s="14" t="n"/>
      <c r="BF219" s="14" t="n"/>
      <c r="BG219" s="14" t="n"/>
      <c r="BH219" s="14" t="n"/>
      <c r="BI219" s="14" t="n"/>
      <c r="BJ219" s="14" t="n"/>
      <c r="BK219" s="14" t="n"/>
      <c r="BL219" s="14" t="n"/>
      <c r="BM219" s="14" t="n"/>
      <c r="BN219" s="14" t="n"/>
      <c r="BO219" s="14" t="n"/>
      <c r="BP219" s="14" t="n"/>
      <c r="BQ219" s="14" t="n"/>
      <c r="BR219" s="14" t="n"/>
      <c r="BS219" s="14" t="n"/>
      <c r="BT219" s="14" t="n"/>
      <c r="BU219" s="14" t="n"/>
      <c r="BV219" s="14" t="n"/>
      <c r="BW219" s="14" t="n"/>
      <c r="BX219" s="14" t="n"/>
      <c r="BY219" s="14" t="n"/>
      <c r="BZ219" s="14" t="n"/>
      <c r="CA219" s="14" t="n"/>
      <c r="CB219" s="14" t="n"/>
      <c r="CC219" s="14" t="n"/>
      <c r="CD219" s="14" t="n"/>
      <c r="CE219" s="14" t="n"/>
      <c r="CF219" s="14" t="n"/>
      <c r="CG219" s="14" t="n"/>
      <c r="CH219" s="14" t="n"/>
      <c r="CI219" s="14" t="n"/>
      <c r="CJ219" s="14" t="n"/>
      <c r="CK219" s="14" t="n"/>
      <c r="CL219" s="14" t="n"/>
      <c r="CM219" s="14" t="n"/>
      <c r="CN219" s="14" t="n"/>
      <c r="CO219" s="14" t="n"/>
      <c r="CP219" s="14" t="n"/>
      <c r="CQ219" s="14" t="n"/>
      <c r="CR219" s="14" t="n"/>
      <c r="CS219" s="14" t="n"/>
      <c r="CT219" s="14" t="n"/>
      <c r="CU219" s="14" t="n"/>
      <c r="CV219" s="14" t="n"/>
      <c r="CW219" s="14" t="n"/>
      <c r="CX219" s="14" t="n"/>
      <c r="CY219" s="14" t="n"/>
      <c r="CZ219" s="14" t="n"/>
      <c r="DA219" s="14" t="n"/>
      <c r="DB219" s="14" t="n"/>
      <c r="DC219" s="14" t="n"/>
    </row>
    <row r="220">
      <c r="B220" t="inlineStr">
        <is>
          <t>TSP-049</t>
        </is>
      </c>
      <c r="C220" t="inlineStr">
        <is>
          <t>No. of batches</t>
        </is>
      </c>
      <c r="D220">
        <f>IFERROR(INDEX(PP_Grid[#Data],$DD220,2),0)</f>
        <v/>
      </c>
      <c r="E220">
        <f>IFERROR(INDEX(PP_Grid[#Data],$DD220,3),0)</f>
        <v/>
      </c>
      <c r="F220">
        <f>IFERROR(INDEX(PP_Grid[#Data],$DD220,4),0)</f>
        <v/>
      </c>
      <c r="G220">
        <f>IFERROR(INDEX(PP_Grid[#Data],$DD220,5),0)</f>
        <v/>
      </c>
      <c r="H220">
        <f>IFERROR(INDEX(PP_Grid[#Data],$DD220,6),0)</f>
        <v/>
      </c>
      <c r="I220">
        <f>IFERROR(INDEX(PP_Grid[#Data],$DD220,7),0)</f>
        <v/>
      </c>
      <c r="J220">
        <f>IFERROR(INDEX(PP_Grid[#Data],$DD220,8),0)</f>
        <v/>
      </c>
      <c r="K220">
        <f>IFERROR(INDEX(PP_Grid[#Data],$DD220,9),0)</f>
        <v/>
      </c>
      <c r="L220">
        <f>IFERROR(INDEX(PP_Grid[#Data],$DD220,10),0)</f>
        <v/>
      </c>
      <c r="M220">
        <f>IFERROR(INDEX(PP_Grid[#Data],$DD220,11),0)</f>
        <v/>
      </c>
      <c r="N220">
        <f>IFERROR(INDEX(PP_Grid[#Data],$DD220,12),0)</f>
        <v/>
      </c>
      <c r="O220">
        <f>IFERROR(INDEX(PP_Grid[#Data],$DD220,13),0)</f>
        <v/>
      </c>
      <c r="P220">
        <f>IFERROR(INDEX(PP_Grid[#Data],$DD220,14),0)</f>
        <v/>
      </c>
      <c r="Q220">
        <f>IFERROR(INDEX(PP_Grid[#Data],$DD220,15),0)</f>
        <v/>
      </c>
      <c r="R220">
        <f>IFERROR(INDEX(PP_Grid[#Data],$DD220,16),0)</f>
        <v/>
      </c>
      <c r="S220">
        <f>IFERROR(INDEX(PP_Grid[#Data],$DD220,17),0)</f>
        <v/>
      </c>
      <c r="T220">
        <f>IFERROR(INDEX(PP_Grid[#Data],$DD220,18),0)</f>
        <v/>
      </c>
      <c r="U220">
        <f>IFERROR(INDEX(PP_Grid[#Data],$DD220,19),0)</f>
        <v/>
      </c>
      <c r="V220">
        <f>IFERROR(INDEX(PP_Grid[#Data],$DD220,20),0)</f>
        <v/>
      </c>
      <c r="W220">
        <f>IFERROR(INDEX(PP_Grid[#Data],$DD220,21),0)</f>
        <v/>
      </c>
      <c r="X220">
        <f>IFERROR(INDEX(PP_Grid[#Data],$DD220,22),0)</f>
        <v/>
      </c>
      <c r="Y220">
        <f>IFERROR(INDEX(PP_Grid[#Data],$DD220,23),0)</f>
        <v/>
      </c>
      <c r="Z220">
        <f>IFERROR(INDEX(PP_Grid[#Data],$DD220,24),0)</f>
        <v/>
      </c>
      <c r="AA220">
        <f>IFERROR(INDEX(PP_Grid[#Data],$DD220,25),0)</f>
        <v/>
      </c>
      <c r="AB220">
        <f>IFERROR(INDEX(PP_Grid[#Data],$DD220,26),0)</f>
        <v/>
      </c>
      <c r="AC220">
        <f>IFERROR(INDEX(PP_Grid[#Data],$DD220,27),0)</f>
        <v/>
      </c>
      <c r="AD220">
        <f>IFERROR(INDEX(PP_Grid[#Data],$DD220,28),0)</f>
        <v/>
      </c>
      <c r="AE220">
        <f>IFERROR(INDEX(PP_Grid[#Data],$DD220,29),0)</f>
        <v/>
      </c>
      <c r="AF220">
        <f>IFERROR(INDEX(PP_Grid[#Data],$DD220,30),0)</f>
        <v/>
      </c>
      <c r="AG220">
        <f>IFERROR(INDEX(PP_Grid[#Data],$DD220,31),0)</f>
        <v/>
      </c>
      <c r="AH220">
        <f>IFERROR(INDEX(PP_Grid[#Data],$DD220,32),0)</f>
        <v/>
      </c>
      <c r="AI220">
        <f>IFERROR(INDEX(PP_Grid[#Data],$DD220,33),0)</f>
        <v/>
      </c>
      <c r="AJ220">
        <f>IFERROR(INDEX(PP_Grid[#Data],$DD220,34),0)</f>
        <v/>
      </c>
      <c r="AK220">
        <f>IFERROR(INDEX(PP_Grid[#Data],$DD220,35),0)</f>
        <v/>
      </c>
      <c r="AL220">
        <f>IFERROR(INDEX(PP_Grid[#Data],$DD220,36),0)</f>
        <v/>
      </c>
      <c r="AM220">
        <f>IFERROR(INDEX(PP_Grid[#Data],$DD220,37),0)</f>
        <v/>
      </c>
      <c r="AN220">
        <f>IFERROR(INDEX(PP_Grid[#Data],$DD220,38),0)</f>
        <v/>
      </c>
      <c r="AO220">
        <f>IFERROR(INDEX(PP_Grid[#Data],$DD220,39),0)</f>
        <v/>
      </c>
      <c r="AP220">
        <f>IFERROR(INDEX(PP_Grid[#Data],$DD220,40),0)</f>
        <v/>
      </c>
      <c r="AQ220">
        <f>IFERROR(INDEX(PP_Grid[#Data],$DD220,41),0)</f>
        <v/>
      </c>
      <c r="AR220">
        <f>IFERROR(INDEX(PP_Grid[#Data],$DD220,42),0)</f>
        <v/>
      </c>
      <c r="AS220">
        <f>IFERROR(INDEX(PP_Grid[#Data],$DD220,43),0)</f>
        <v/>
      </c>
      <c r="AT220">
        <f>IFERROR(INDEX(PP_Grid[#Data],$DD220,44),0)</f>
        <v/>
      </c>
      <c r="AU220">
        <f>IFERROR(INDEX(PP_Grid[#Data],$DD220,45),0)</f>
        <v/>
      </c>
      <c r="AV220">
        <f>IFERROR(INDEX(PP_Grid[#Data],$DD220,46),0)</f>
        <v/>
      </c>
      <c r="AW220">
        <f>IFERROR(INDEX(PP_Grid[#Data],$DD220,47),0)</f>
        <v/>
      </c>
      <c r="AX220">
        <f>IFERROR(INDEX(PP_Grid[#Data],$DD220,48),0)</f>
        <v/>
      </c>
      <c r="AY220">
        <f>IFERROR(INDEX(PP_Grid[#Data],$DD220,49),0)</f>
        <v/>
      </c>
      <c r="AZ220">
        <f>IFERROR(INDEX(PP_Grid[#Data],$DD220,50),0)</f>
        <v/>
      </c>
      <c r="BA220">
        <f>IFERROR(INDEX(PP_Grid[#Data],$DD220,51),0)</f>
        <v/>
      </c>
      <c r="BB220">
        <f>IFERROR(INDEX(PP_Grid[#Data],$DD220,52),0)</f>
        <v/>
      </c>
      <c r="BC220">
        <f>IFERROR(INDEX(PP_Grid[#Data],$DD220,53),0)</f>
        <v/>
      </c>
      <c r="BD220">
        <f>IFERROR(INDEX(PP_Grid[#Data],$DD220,54),0)</f>
        <v/>
      </c>
      <c r="BE220">
        <f>IFERROR(INDEX(PP_Grid[#Data],$DD220,55),0)</f>
        <v/>
      </c>
      <c r="BF220">
        <f>IFERROR(INDEX(PP_Grid[#Data],$DD220,56),0)</f>
        <v/>
      </c>
      <c r="BG220">
        <f>IFERROR(INDEX(PP_Grid[#Data],$DD220,57),0)</f>
        <v/>
      </c>
      <c r="BH220">
        <f>IFERROR(INDEX(PP_Grid[#Data],$DD220,58),0)</f>
        <v/>
      </c>
      <c r="BI220">
        <f>IFERROR(INDEX(PP_Grid[#Data],$DD220,59),0)</f>
        <v/>
      </c>
      <c r="BJ220">
        <f>IFERROR(INDEX(PP_Grid[#Data],$DD220,60),0)</f>
        <v/>
      </c>
      <c r="BK220">
        <f>IFERROR(INDEX(PP_Grid[#Data],$DD220,61),0)</f>
        <v/>
      </c>
      <c r="BL220">
        <f>IFERROR(INDEX(PP_Grid[#Data],$DD220,62),0)</f>
        <v/>
      </c>
      <c r="BM220">
        <f>IFERROR(INDEX(PP_Grid[#Data],$DD220,63),0)</f>
        <v/>
      </c>
      <c r="BN220">
        <f>IFERROR(INDEX(PP_Grid[#Data],$DD220,64),0)</f>
        <v/>
      </c>
      <c r="BO220">
        <f>IFERROR(INDEX(PP_Grid[#Data],$DD220,65),0)</f>
        <v/>
      </c>
      <c r="BP220">
        <f>IFERROR(INDEX(PP_Grid[#Data],$DD220,66),0)</f>
        <v/>
      </c>
      <c r="BQ220">
        <f>IFERROR(INDEX(PP_Grid[#Data],$DD220,67),0)</f>
        <v/>
      </c>
      <c r="BR220">
        <f>IFERROR(INDEX(PP_Grid[#Data],$DD220,68),0)</f>
        <v/>
      </c>
      <c r="BS220">
        <f>IFERROR(INDEX(PP_Grid[#Data],$DD220,69),0)</f>
        <v/>
      </c>
      <c r="BT220">
        <f>IFERROR(INDEX(PP_Grid[#Data],$DD220,70),0)</f>
        <v/>
      </c>
      <c r="BU220">
        <f>IFERROR(INDEX(PP_Grid[#Data],$DD220,71),0)</f>
        <v/>
      </c>
      <c r="BV220">
        <f>IFERROR(INDEX(PP_Grid[#Data],$DD220,72),0)</f>
        <v/>
      </c>
      <c r="BW220">
        <f>IFERROR(INDEX(PP_Grid[#Data],$DD220,73),0)</f>
        <v/>
      </c>
      <c r="BX220">
        <f>IFERROR(INDEX(PP_Grid[#Data],$DD220,74),0)</f>
        <v/>
      </c>
      <c r="BY220">
        <f>IFERROR(INDEX(PP_Grid[#Data],$DD220,75),0)</f>
        <v/>
      </c>
      <c r="BZ220">
        <f>IFERROR(INDEX(PP_Grid[#Data],$DD220,76),0)</f>
        <v/>
      </c>
      <c r="CA220">
        <f>IFERROR(INDEX(PP_Grid[#Data],$DD220,77),0)</f>
        <v/>
      </c>
      <c r="CB220">
        <f>IFERROR(INDEX(PP_Grid[#Data],$DD220,78),0)</f>
        <v/>
      </c>
      <c r="CC220">
        <f>IFERROR(INDEX(PP_Grid[#Data],$DD220,79),0)</f>
        <v/>
      </c>
      <c r="CD220">
        <f>IFERROR(INDEX(PP_Grid[#Data],$DD220,80),0)</f>
        <v/>
      </c>
      <c r="CE220">
        <f>IFERROR(INDEX(PP_Grid[#Data],$DD220,81),0)</f>
        <v/>
      </c>
      <c r="CF220">
        <f>IFERROR(INDEX(PP_Grid[#Data],$DD220,82),0)</f>
        <v/>
      </c>
      <c r="CG220">
        <f>IFERROR(INDEX(PP_Grid[#Data],$DD220,83),0)</f>
        <v/>
      </c>
      <c r="CH220">
        <f>IFERROR(INDEX(PP_Grid[#Data],$DD220,84),0)</f>
        <v/>
      </c>
      <c r="CI220">
        <f>IFERROR(INDEX(PP_Grid[#Data],$DD220,85),0)</f>
        <v/>
      </c>
      <c r="CJ220">
        <f>IFERROR(INDEX(PP_Grid[#Data],$DD220,86),0)</f>
        <v/>
      </c>
      <c r="CK220">
        <f>IFERROR(INDEX(PP_Grid[#Data],$DD220,87),0)</f>
        <v/>
      </c>
      <c r="CL220">
        <f>IFERROR(INDEX(PP_Grid[#Data],$DD220,88),0)</f>
        <v/>
      </c>
      <c r="CM220">
        <f>IFERROR(INDEX(PP_Grid[#Data],$DD220,89),0)</f>
        <v/>
      </c>
      <c r="CN220">
        <f>IFERROR(INDEX(PP_Grid[#Data],$DD220,90),0)</f>
        <v/>
      </c>
      <c r="CO220">
        <f>IFERROR(INDEX(PP_Grid[#Data],$DD220,91),0)</f>
        <v/>
      </c>
      <c r="CP220">
        <f>IFERROR(INDEX(PP_Grid[#Data],$DD220,92),0)</f>
        <v/>
      </c>
      <c r="CQ220">
        <f>IFERROR(INDEX(PP_Grid[#Data],$DD220,93),0)</f>
        <v/>
      </c>
      <c r="CR220">
        <f>IFERROR(INDEX(PP_Grid[#Data],$DD220,94),0)</f>
        <v/>
      </c>
      <c r="CS220">
        <f>IFERROR(INDEX(PP_Grid[#Data],$DD220,95),0)</f>
        <v/>
      </c>
      <c r="CT220">
        <f>IFERROR(INDEX(PP_Grid[#Data],$DD220,96),0)</f>
        <v/>
      </c>
      <c r="CU220">
        <f>IFERROR(INDEX(PP_Grid[#Data],$DD220,97),0)</f>
        <v/>
      </c>
      <c r="CV220">
        <f>IFERROR(INDEX(PP_Grid[#Data],$DD220,98),0)</f>
        <v/>
      </c>
      <c r="CW220">
        <f>IFERROR(INDEX(PP_Grid[#Data],$DD220,99),0)</f>
        <v/>
      </c>
      <c r="CX220">
        <f>IFERROR(INDEX(PP_Grid[#Data],$DD220,100),0)</f>
        <v/>
      </c>
      <c r="CY220">
        <f>IFERROR(INDEX(PP_Grid[#Data],$DD220,101),0)</f>
        <v/>
      </c>
      <c r="CZ220">
        <f>IFERROR(INDEX(PP_Grid[#Data],$DD220,102),0)</f>
        <v/>
      </c>
      <c r="DA220">
        <f>IFERROR(INDEX(PP_Grid[#Data],$DD220,103),0)</f>
        <v/>
      </c>
      <c r="DB220">
        <f>IFERROR(INDEX(PP_Grid[#Data],$DD220,104),0)</f>
        <v/>
      </c>
      <c r="DC220">
        <f>IFERROR(INDEX(PP_Grid[#Data],$DD220,105),0)</f>
        <v/>
      </c>
      <c r="DD220" s="7">
        <f>IFERROR(MATCH($B220,PP_Grid[Intermediate],0),99999)</f>
        <v/>
      </c>
    </row>
    <row r="221">
      <c r="B221" t="inlineStr">
        <is>
          <t>使用量(kg)</t>
        </is>
      </c>
      <c r="C221">
        <f>SUMIFS(M_BOM[RM_Qty_Per_Batch],M_BOM[Intermediate],$B220,M_BOM[Part Name],$A219)</f>
        <v/>
      </c>
      <c r="D221">
        <f>$C221*D220</f>
        <v/>
      </c>
      <c r="E221">
        <f>$C221*E220</f>
        <v/>
      </c>
      <c r="F221">
        <f>$C221*F220</f>
        <v/>
      </c>
      <c r="G221">
        <f>$C221*G220</f>
        <v/>
      </c>
      <c r="H221">
        <f>$C221*H220</f>
        <v/>
      </c>
      <c r="I221">
        <f>$C221*I220</f>
        <v/>
      </c>
      <c r="J221">
        <f>$C221*J220</f>
        <v/>
      </c>
      <c r="K221">
        <f>$C221*K220</f>
        <v/>
      </c>
      <c r="L221">
        <f>$C221*L220</f>
        <v/>
      </c>
      <c r="M221">
        <f>$C221*M220</f>
        <v/>
      </c>
      <c r="N221">
        <f>$C221*N220</f>
        <v/>
      </c>
      <c r="O221">
        <f>$C221*O220</f>
        <v/>
      </c>
      <c r="P221">
        <f>$C221*P220</f>
        <v/>
      </c>
      <c r="Q221">
        <f>$C221*Q220</f>
        <v/>
      </c>
      <c r="R221">
        <f>$C221*R220</f>
        <v/>
      </c>
      <c r="S221">
        <f>$C221*S220</f>
        <v/>
      </c>
      <c r="T221">
        <f>$C221*T220</f>
        <v/>
      </c>
      <c r="U221">
        <f>$C221*U220</f>
        <v/>
      </c>
      <c r="V221">
        <f>$C221*V220</f>
        <v/>
      </c>
      <c r="W221">
        <f>$C221*W220</f>
        <v/>
      </c>
      <c r="X221">
        <f>$C221*X220</f>
        <v/>
      </c>
      <c r="Y221">
        <f>$C221*Y220</f>
        <v/>
      </c>
      <c r="Z221">
        <f>$C221*Z220</f>
        <v/>
      </c>
      <c r="AA221">
        <f>$C221*AA220</f>
        <v/>
      </c>
      <c r="AB221">
        <f>$C221*AB220</f>
        <v/>
      </c>
      <c r="AC221">
        <f>$C221*AC220</f>
        <v/>
      </c>
      <c r="AD221">
        <f>$C221*AD220</f>
        <v/>
      </c>
      <c r="AE221">
        <f>$C221*AE220</f>
        <v/>
      </c>
      <c r="AF221">
        <f>$C221*AF220</f>
        <v/>
      </c>
      <c r="AG221">
        <f>$C221*AG220</f>
        <v/>
      </c>
      <c r="AH221">
        <f>$C221*AH220</f>
        <v/>
      </c>
      <c r="AI221">
        <f>$C221*AI220</f>
        <v/>
      </c>
      <c r="AJ221">
        <f>$C221*AJ220</f>
        <v/>
      </c>
      <c r="AK221">
        <f>$C221*AK220</f>
        <v/>
      </c>
      <c r="AL221">
        <f>$C221*AL220</f>
        <v/>
      </c>
      <c r="AM221">
        <f>$C221*AM220</f>
        <v/>
      </c>
      <c r="AN221">
        <f>$C221*AN220</f>
        <v/>
      </c>
      <c r="AO221">
        <f>$C221*AO220</f>
        <v/>
      </c>
      <c r="AP221">
        <f>$C221*AP220</f>
        <v/>
      </c>
      <c r="AQ221">
        <f>$C221*AQ220</f>
        <v/>
      </c>
      <c r="AR221">
        <f>$C221*AR220</f>
        <v/>
      </c>
      <c r="AS221">
        <f>$C221*AS220</f>
        <v/>
      </c>
      <c r="AT221">
        <f>$C221*AT220</f>
        <v/>
      </c>
      <c r="AU221">
        <f>$C221*AU220</f>
        <v/>
      </c>
      <c r="AV221">
        <f>$C221*AV220</f>
        <v/>
      </c>
      <c r="AW221">
        <f>$C221*AW220</f>
        <v/>
      </c>
      <c r="AX221">
        <f>$C221*AX220</f>
        <v/>
      </c>
      <c r="AY221">
        <f>$C221*AY220</f>
        <v/>
      </c>
      <c r="AZ221">
        <f>$C221*AZ220</f>
        <v/>
      </c>
      <c r="BA221">
        <f>$C221*BA220</f>
        <v/>
      </c>
      <c r="BB221">
        <f>$C221*BB220</f>
        <v/>
      </c>
      <c r="BC221">
        <f>$C221*BC220</f>
        <v/>
      </c>
      <c r="BD221">
        <f>$C221*BD220</f>
        <v/>
      </c>
      <c r="BE221">
        <f>$C221*BE220</f>
        <v/>
      </c>
      <c r="BF221">
        <f>$C221*BF220</f>
        <v/>
      </c>
      <c r="BG221">
        <f>$C221*BG220</f>
        <v/>
      </c>
      <c r="BH221">
        <f>$C221*BH220</f>
        <v/>
      </c>
      <c r="BI221">
        <f>$C221*BI220</f>
        <v/>
      </c>
      <c r="BJ221">
        <f>$C221*BJ220</f>
        <v/>
      </c>
      <c r="BK221">
        <f>$C221*BK220</f>
        <v/>
      </c>
      <c r="BL221">
        <f>$C221*BL220</f>
        <v/>
      </c>
      <c r="BM221">
        <f>$C221*BM220</f>
        <v/>
      </c>
      <c r="BN221">
        <f>$C221*BN220</f>
        <v/>
      </c>
      <c r="BO221">
        <f>$C221*BO220</f>
        <v/>
      </c>
      <c r="BP221">
        <f>$C221*BP220</f>
        <v/>
      </c>
      <c r="BQ221">
        <f>$C221*BQ220</f>
        <v/>
      </c>
      <c r="BR221">
        <f>$C221*BR220</f>
        <v/>
      </c>
      <c r="BS221">
        <f>$C221*BS220</f>
        <v/>
      </c>
      <c r="BT221">
        <f>$C221*BT220</f>
        <v/>
      </c>
      <c r="BU221">
        <f>$C221*BU220</f>
        <v/>
      </c>
      <c r="BV221">
        <f>$C221*BV220</f>
        <v/>
      </c>
      <c r="BW221">
        <f>$C221*BW220</f>
        <v/>
      </c>
      <c r="BX221">
        <f>$C221*BX220</f>
        <v/>
      </c>
      <c r="BY221">
        <f>$C221*BY220</f>
        <v/>
      </c>
      <c r="BZ221">
        <f>$C221*BZ220</f>
        <v/>
      </c>
      <c r="CA221">
        <f>$C221*CA220</f>
        <v/>
      </c>
      <c r="CB221">
        <f>$C221*CB220</f>
        <v/>
      </c>
      <c r="CC221">
        <f>$C221*CC220</f>
        <v/>
      </c>
      <c r="CD221">
        <f>$C221*CD220</f>
        <v/>
      </c>
      <c r="CE221">
        <f>$C221*CE220</f>
        <v/>
      </c>
      <c r="CF221">
        <f>$C221*CF220</f>
        <v/>
      </c>
      <c r="CG221">
        <f>$C221*CG220</f>
        <v/>
      </c>
      <c r="CH221">
        <f>$C221*CH220</f>
        <v/>
      </c>
      <c r="CI221">
        <f>$C221*CI220</f>
        <v/>
      </c>
      <c r="CJ221">
        <f>$C221*CJ220</f>
        <v/>
      </c>
      <c r="CK221">
        <f>$C221*CK220</f>
        <v/>
      </c>
      <c r="CL221">
        <f>$C221*CL220</f>
        <v/>
      </c>
      <c r="CM221">
        <f>$C221*CM220</f>
        <v/>
      </c>
      <c r="CN221">
        <f>$C221*CN220</f>
        <v/>
      </c>
      <c r="CO221">
        <f>$C221*CO220</f>
        <v/>
      </c>
      <c r="CP221">
        <f>$C221*CP220</f>
        <v/>
      </c>
      <c r="CQ221">
        <f>$C221*CQ220</f>
        <v/>
      </c>
      <c r="CR221">
        <f>$C221*CR220</f>
        <v/>
      </c>
      <c r="CS221">
        <f>$C221*CS220</f>
        <v/>
      </c>
      <c r="CT221">
        <f>$C221*CT220</f>
        <v/>
      </c>
      <c r="CU221">
        <f>$C221*CU220</f>
        <v/>
      </c>
      <c r="CV221">
        <f>$C221*CV220</f>
        <v/>
      </c>
      <c r="CW221">
        <f>$C221*CW220</f>
        <v/>
      </c>
      <c r="CX221">
        <f>$C221*CX220</f>
        <v/>
      </c>
      <c r="CY221">
        <f>$C221*CY220</f>
        <v/>
      </c>
      <c r="CZ221">
        <f>$C221*CZ220</f>
        <v/>
      </c>
      <c r="DA221">
        <f>$C221*DA220</f>
        <v/>
      </c>
      <c r="DB221">
        <f>$C221*DB220</f>
        <v/>
      </c>
      <c r="DC221">
        <f>$C221*DC220</f>
        <v/>
      </c>
    </row>
    <row r="222">
      <c r="B222" t="inlineStr">
        <is>
          <t>TSP-067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Name],$A219)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TSP-069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Name],$A219)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TSP-077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Name],$A219)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TSP-104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Name],$A219)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TSP-199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Name],$A219)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TSP-205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Name],$A219)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TSP-206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Name],$A219)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TSP-224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Name],$A219)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TSP-367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Name],$A219)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TSP-369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Name],$A219)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TSP-390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Name],$A219)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TSP-399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Name],$A219)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TSP-544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Name],$A219)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TSP-618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Name],$A219)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TSP-620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Name],$A219)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TSP-623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Name],$A219)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TSP-668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Name],$A219)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TSP-669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Name],$A219)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TSP-670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Name],$A219)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TSP-699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Name],$A219)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TSP-710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Name],$A219)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TSP-828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Name],$A219)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TSP-903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Name],$A219)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TSP-924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Name],$A219)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TSP-925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Name],$A219)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TSP-927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Name],$A219)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TSP-928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Name],$A219)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TSP-929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Name],$A219)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TSP-930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Name],$A219)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TSP-934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Name],$A219)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TSP-935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Name],$A219)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TSP-936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Name],$A219)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TSP-937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Name],$A219)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TSP-1388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Name],$A219)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TSP-1444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Name],$A219)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TSP-1448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Name],$A219)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TSP-1445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Name],$A219)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TSP-1446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Name],$A219)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Name],$A219)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VSP-567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Name],$A219)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VSP-600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Name],$A219)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VSP-602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Name],$A219)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VSP-603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Name],$A219)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VSP-605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Name],$A219)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VSP-606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Name],$A219)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VSP-607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Name],$A219)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VSP-739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Name],$A219)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VSP-740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Name],$A219)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VSP-746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Name],$A219)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VSP-822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Name],$A219)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VSP-870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Name],$A219)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VSP-910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Name],$A219)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VSP-989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Name],$A219)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VSP-990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Name],$A219)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VSZ-745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Name],$A219)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TSP-1558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Name],$A219)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s="4" t="inlineStr">
        <is>
          <t>合計使用量(kg)/週</t>
        </is>
      </c>
      <c r="D334">
        <f>'Grid_Requirement'!B10</f>
        <v/>
      </c>
      <c r="E334">
        <f>'Grid_Requirement'!C10</f>
        <v/>
      </c>
      <c r="F334">
        <f>'Grid_Requirement'!D10</f>
        <v/>
      </c>
      <c r="G334">
        <f>'Grid_Requirement'!E10</f>
        <v/>
      </c>
      <c r="H334">
        <f>'Grid_Requirement'!F10</f>
        <v/>
      </c>
      <c r="I334">
        <f>'Grid_Requirement'!G10</f>
        <v/>
      </c>
      <c r="J334">
        <f>'Grid_Requirement'!H10</f>
        <v/>
      </c>
      <c r="K334">
        <f>'Grid_Requirement'!I10</f>
        <v/>
      </c>
      <c r="L334">
        <f>'Grid_Requirement'!J10</f>
        <v/>
      </c>
      <c r="M334">
        <f>'Grid_Requirement'!K10</f>
        <v/>
      </c>
      <c r="N334">
        <f>'Grid_Requirement'!L10</f>
        <v/>
      </c>
      <c r="O334">
        <f>'Grid_Requirement'!M10</f>
        <v/>
      </c>
      <c r="P334">
        <f>'Grid_Requirement'!N10</f>
        <v/>
      </c>
      <c r="Q334">
        <f>'Grid_Requirement'!O10</f>
        <v/>
      </c>
      <c r="R334">
        <f>'Grid_Requirement'!P10</f>
        <v/>
      </c>
      <c r="S334">
        <f>'Grid_Requirement'!Q10</f>
        <v/>
      </c>
      <c r="T334">
        <f>'Grid_Requirement'!R10</f>
        <v/>
      </c>
      <c r="U334">
        <f>'Grid_Requirement'!S10</f>
        <v/>
      </c>
      <c r="V334">
        <f>'Grid_Requirement'!T10</f>
        <v/>
      </c>
      <c r="W334">
        <f>'Grid_Requirement'!U10</f>
        <v/>
      </c>
      <c r="X334">
        <f>'Grid_Requirement'!V10</f>
        <v/>
      </c>
      <c r="Y334">
        <f>'Grid_Requirement'!W10</f>
        <v/>
      </c>
      <c r="Z334">
        <f>'Grid_Requirement'!X10</f>
        <v/>
      </c>
      <c r="AA334">
        <f>'Grid_Requirement'!Y10</f>
        <v/>
      </c>
      <c r="AB334">
        <f>'Grid_Requirement'!Z10</f>
        <v/>
      </c>
      <c r="AC334">
        <f>'Grid_Requirement'!AA10</f>
        <v/>
      </c>
      <c r="AD334">
        <f>'Grid_Requirement'!AB10</f>
        <v/>
      </c>
      <c r="AE334">
        <f>'Grid_Requirement'!AC10</f>
        <v/>
      </c>
      <c r="AF334">
        <f>'Grid_Requirement'!AD10</f>
        <v/>
      </c>
      <c r="AG334">
        <f>'Grid_Requirement'!AE10</f>
        <v/>
      </c>
      <c r="AH334">
        <f>'Grid_Requirement'!AF10</f>
        <v/>
      </c>
      <c r="AI334">
        <f>'Grid_Requirement'!AG10</f>
        <v/>
      </c>
      <c r="AJ334">
        <f>'Grid_Requirement'!AH10</f>
        <v/>
      </c>
      <c r="AK334">
        <f>'Grid_Requirement'!AI10</f>
        <v/>
      </c>
      <c r="AL334">
        <f>'Grid_Requirement'!AJ10</f>
        <v/>
      </c>
      <c r="AM334">
        <f>'Grid_Requirement'!AK10</f>
        <v/>
      </c>
      <c r="AN334">
        <f>'Grid_Requirement'!AL10</f>
        <v/>
      </c>
      <c r="AO334">
        <f>'Grid_Requirement'!AM10</f>
        <v/>
      </c>
      <c r="AP334">
        <f>'Grid_Requirement'!AN10</f>
        <v/>
      </c>
      <c r="AQ334">
        <f>'Grid_Requirement'!AO10</f>
        <v/>
      </c>
      <c r="AR334">
        <f>'Grid_Requirement'!AP10</f>
        <v/>
      </c>
      <c r="AS334">
        <f>'Grid_Requirement'!AQ10</f>
        <v/>
      </c>
      <c r="AT334">
        <f>'Grid_Requirement'!AR10</f>
        <v/>
      </c>
      <c r="AU334">
        <f>'Grid_Requirement'!AS10</f>
        <v/>
      </c>
      <c r="AV334">
        <f>'Grid_Requirement'!AT10</f>
        <v/>
      </c>
      <c r="AW334">
        <f>'Grid_Requirement'!AU10</f>
        <v/>
      </c>
      <c r="AX334">
        <f>'Grid_Requirement'!AV10</f>
        <v/>
      </c>
      <c r="AY334">
        <f>'Grid_Requirement'!AW10</f>
        <v/>
      </c>
      <c r="AZ334">
        <f>'Grid_Requirement'!AX10</f>
        <v/>
      </c>
      <c r="BA334">
        <f>'Grid_Requirement'!AY10</f>
        <v/>
      </c>
      <c r="BB334">
        <f>'Grid_Requirement'!AZ10</f>
        <v/>
      </c>
      <c r="BC334">
        <f>'Grid_Requirement'!BA10</f>
        <v/>
      </c>
      <c r="BD334">
        <f>'Grid_Requirement'!BB10</f>
        <v/>
      </c>
      <c r="BE334">
        <f>'Grid_Requirement'!BC10</f>
        <v/>
      </c>
      <c r="BF334">
        <f>'Grid_Requirement'!BD10</f>
        <v/>
      </c>
      <c r="BG334">
        <f>'Grid_Requirement'!BE10</f>
        <v/>
      </c>
      <c r="BH334">
        <f>'Grid_Requirement'!BF10</f>
        <v/>
      </c>
      <c r="BI334">
        <f>'Grid_Requirement'!BG10</f>
        <v/>
      </c>
      <c r="BJ334">
        <f>'Grid_Requirement'!BH10</f>
        <v/>
      </c>
      <c r="BK334">
        <f>'Grid_Requirement'!BI10</f>
        <v/>
      </c>
      <c r="BL334">
        <f>'Grid_Requirement'!BJ10</f>
        <v/>
      </c>
      <c r="BM334">
        <f>'Grid_Requirement'!BK10</f>
        <v/>
      </c>
      <c r="BN334">
        <f>'Grid_Requirement'!BL10</f>
        <v/>
      </c>
      <c r="BO334">
        <f>'Grid_Requirement'!BM10</f>
        <v/>
      </c>
      <c r="BP334">
        <f>'Grid_Requirement'!BN10</f>
        <v/>
      </c>
      <c r="BQ334">
        <f>'Grid_Requirement'!BO10</f>
        <v/>
      </c>
      <c r="BR334">
        <f>'Grid_Requirement'!BP10</f>
        <v/>
      </c>
      <c r="BS334">
        <f>'Grid_Requirement'!BQ10</f>
        <v/>
      </c>
      <c r="BT334">
        <f>'Grid_Requirement'!BR10</f>
        <v/>
      </c>
      <c r="BU334">
        <f>'Grid_Requirement'!BS10</f>
        <v/>
      </c>
      <c r="BV334">
        <f>'Grid_Requirement'!BT10</f>
        <v/>
      </c>
      <c r="BW334">
        <f>'Grid_Requirement'!BU10</f>
        <v/>
      </c>
      <c r="BX334">
        <f>'Grid_Requirement'!BV10</f>
        <v/>
      </c>
      <c r="BY334">
        <f>'Grid_Requirement'!BW10</f>
        <v/>
      </c>
      <c r="BZ334">
        <f>'Grid_Requirement'!BX10</f>
        <v/>
      </c>
      <c r="CA334">
        <f>'Grid_Requirement'!BY10</f>
        <v/>
      </c>
      <c r="CB334">
        <f>'Grid_Requirement'!BZ10</f>
        <v/>
      </c>
      <c r="CC334">
        <f>'Grid_Requirement'!CA10</f>
        <v/>
      </c>
      <c r="CD334">
        <f>'Grid_Requirement'!CB10</f>
        <v/>
      </c>
      <c r="CE334">
        <f>'Grid_Requirement'!CC10</f>
        <v/>
      </c>
      <c r="CF334">
        <f>'Grid_Requirement'!CD10</f>
        <v/>
      </c>
      <c r="CG334">
        <f>'Grid_Requirement'!CE10</f>
        <v/>
      </c>
      <c r="CH334">
        <f>'Grid_Requirement'!CF10</f>
        <v/>
      </c>
      <c r="CI334">
        <f>'Grid_Requirement'!CG10</f>
        <v/>
      </c>
      <c r="CJ334">
        <f>'Grid_Requirement'!CH10</f>
        <v/>
      </c>
      <c r="CK334">
        <f>'Grid_Requirement'!CI10</f>
        <v/>
      </c>
      <c r="CL334">
        <f>'Grid_Requirement'!CJ10</f>
        <v/>
      </c>
      <c r="CM334">
        <f>'Grid_Requirement'!CK10</f>
        <v/>
      </c>
      <c r="CN334">
        <f>'Grid_Requirement'!CL10</f>
        <v/>
      </c>
      <c r="CO334">
        <f>'Grid_Requirement'!CM10</f>
        <v/>
      </c>
      <c r="CP334">
        <f>'Grid_Requirement'!CN10</f>
        <v/>
      </c>
      <c r="CQ334">
        <f>'Grid_Requirement'!CO10</f>
        <v/>
      </c>
      <c r="CR334">
        <f>'Grid_Requirement'!CP10</f>
        <v/>
      </c>
      <c r="CS334">
        <f>'Grid_Requirement'!CQ10</f>
        <v/>
      </c>
      <c r="CT334">
        <f>'Grid_Requirement'!CR10</f>
        <v/>
      </c>
      <c r="CU334">
        <f>'Grid_Requirement'!CS10</f>
        <v/>
      </c>
      <c r="CV334">
        <f>'Grid_Requirement'!CT10</f>
        <v/>
      </c>
      <c r="CW334">
        <f>'Grid_Requirement'!CU10</f>
        <v/>
      </c>
      <c r="CX334">
        <f>'Grid_Requirement'!CV10</f>
        <v/>
      </c>
      <c r="CY334">
        <f>'Grid_Requirement'!CW10</f>
        <v/>
      </c>
      <c r="CZ334">
        <f>'Grid_Requirement'!CX10</f>
        <v/>
      </c>
      <c r="DA334">
        <f>'Grid_Requirement'!CY10</f>
        <v/>
      </c>
      <c r="DB334">
        <f>'Grid_Requirement'!CZ10</f>
        <v/>
      </c>
      <c r="DC334">
        <f>'Grid_Requirement'!DA10</f>
        <v/>
      </c>
    </row>
    <row r="335">
      <c r="B335" t="inlineStr">
        <is>
          <t>TTAF在庫(実績,kg)</t>
        </is>
      </c>
      <c r="D335">
        <f>'T_TTAFStock'!B14</f>
        <v/>
      </c>
      <c r="E335">
        <f>'T_TTAFStock'!C14</f>
        <v/>
      </c>
      <c r="F335">
        <f>'T_TTAFStock'!D14</f>
        <v/>
      </c>
      <c r="G335">
        <f>'T_TTAFStock'!E14</f>
        <v/>
      </c>
      <c r="H335">
        <f>'T_TTAFStock'!F14</f>
        <v/>
      </c>
      <c r="I335">
        <f>'T_TTAFStock'!G14</f>
        <v/>
      </c>
      <c r="J335">
        <f>'T_TTAFStock'!H14</f>
        <v/>
      </c>
      <c r="K335">
        <f>'T_TTAFStock'!I14</f>
        <v/>
      </c>
      <c r="L335">
        <f>'T_TTAFStock'!J14</f>
        <v/>
      </c>
      <c r="M335">
        <f>'T_TTAFStock'!K14</f>
        <v/>
      </c>
      <c r="N335">
        <f>'T_TTAFStock'!L14</f>
        <v/>
      </c>
      <c r="O335">
        <f>'T_TTAFStock'!M14</f>
        <v/>
      </c>
      <c r="P335">
        <f>'T_TTAFStock'!N14</f>
        <v/>
      </c>
      <c r="Q335">
        <f>'T_TTAFStock'!O14</f>
        <v/>
      </c>
      <c r="R335">
        <f>'T_TTAFStock'!P14</f>
        <v/>
      </c>
      <c r="S335">
        <f>'T_TTAFStock'!Q14</f>
        <v/>
      </c>
      <c r="T335">
        <f>'T_TTAFStock'!R14</f>
        <v/>
      </c>
      <c r="U335">
        <f>'T_TTAFStock'!S14</f>
        <v/>
      </c>
      <c r="V335">
        <f>'T_TTAFStock'!T14</f>
        <v/>
      </c>
      <c r="W335">
        <f>'T_TTAFStock'!U14</f>
        <v/>
      </c>
      <c r="X335">
        <f>'T_TTAFStock'!V14</f>
        <v/>
      </c>
      <c r="Y335">
        <f>'T_TTAFStock'!W14</f>
        <v/>
      </c>
      <c r="Z335">
        <f>'T_TTAFStock'!X14</f>
        <v/>
      </c>
      <c r="AA335">
        <f>'T_TTAFStock'!Y14</f>
        <v/>
      </c>
      <c r="AB335">
        <f>'T_TTAFStock'!Z14</f>
        <v/>
      </c>
      <c r="AC335">
        <f>'T_TTAFStock'!AA14</f>
        <v/>
      </c>
      <c r="AD335">
        <f>'T_TTAFStock'!AB14</f>
        <v/>
      </c>
      <c r="AE335">
        <f>'T_TTAFStock'!AC14</f>
        <v/>
      </c>
      <c r="AF335">
        <f>'T_TTAFStock'!AD14</f>
        <v/>
      </c>
      <c r="AG335">
        <f>'T_TTAFStock'!AE14</f>
        <v/>
      </c>
      <c r="AH335">
        <f>'T_TTAFStock'!AF14</f>
        <v/>
      </c>
      <c r="AI335">
        <f>'T_TTAFStock'!AG14</f>
        <v/>
      </c>
      <c r="AJ335">
        <f>'T_TTAFStock'!AH14</f>
        <v/>
      </c>
      <c r="AK335">
        <f>'T_TTAFStock'!AI14</f>
        <v/>
      </c>
      <c r="AL335">
        <f>'T_TTAFStock'!AJ14</f>
        <v/>
      </c>
      <c r="AM335">
        <f>'T_TTAFStock'!AK14</f>
        <v/>
      </c>
      <c r="AN335">
        <f>'T_TTAFStock'!AL14</f>
        <v/>
      </c>
      <c r="AO335">
        <f>'T_TTAFStock'!AM14</f>
        <v/>
      </c>
      <c r="AP335">
        <f>'T_TTAFStock'!AN14</f>
        <v/>
      </c>
      <c r="AQ335">
        <f>'T_TTAFStock'!AO14</f>
        <v/>
      </c>
      <c r="AR335">
        <f>'T_TTAFStock'!AP14</f>
        <v/>
      </c>
      <c r="AS335">
        <f>'T_TTAFStock'!AQ14</f>
        <v/>
      </c>
      <c r="AT335">
        <f>'T_TTAFStock'!AR14</f>
        <v/>
      </c>
      <c r="AU335">
        <f>'T_TTAFStock'!AS14</f>
        <v/>
      </c>
      <c r="AV335">
        <f>'T_TTAFStock'!AT14</f>
        <v/>
      </c>
      <c r="AW335">
        <f>'T_TTAFStock'!AU14</f>
        <v/>
      </c>
      <c r="AX335">
        <f>'T_TTAFStock'!AV14</f>
        <v/>
      </c>
      <c r="AY335">
        <f>'T_TTAFStock'!AW14</f>
        <v/>
      </c>
      <c r="AZ335">
        <f>'T_TTAFStock'!AX14</f>
        <v/>
      </c>
      <c r="BA335">
        <f>'T_TTAFStock'!AY14</f>
        <v/>
      </c>
      <c r="BB335">
        <f>'T_TTAFStock'!AZ14</f>
        <v/>
      </c>
      <c r="BC335">
        <f>'T_TTAFStock'!BA14</f>
        <v/>
      </c>
      <c r="BD335">
        <f>'T_TTAFStock'!BB14</f>
        <v/>
      </c>
      <c r="BE335">
        <f>'T_TTAFStock'!BC14</f>
        <v/>
      </c>
      <c r="BF335">
        <f>'T_TTAFStock'!BD14</f>
        <v/>
      </c>
      <c r="BG335">
        <f>'T_TTAFStock'!BE14</f>
        <v/>
      </c>
      <c r="BH335">
        <f>'T_TTAFStock'!BF14</f>
        <v/>
      </c>
      <c r="BI335">
        <f>'T_TTAFStock'!BG14</f>
        <v/>
      </c>
      <c r="BJ335">
        <f>'T_TTAFStock'!BH14</f>
        <v/>
      </c>
      <c r="BK335">
        <f>'T_TTAFStock'!BI14</f>
        <v/>
      </c>
      <c r="BL335">
        <f>'T_TTAFStock'!BJ14</f>
        <v/>
      </c>
      <c r="BM335">
        <f>'T_TTAFStock'!BK14</f>
        <v/>
      </c>
      <c r="BN335">
        <f>'T_TTAFStock'!BL14</f>
        <v/>
      </c>
      <c r="BO335">
        <f>'T_TTAFStock'!BM14</f>
        <v/>
      </c>
      <c r="BP335">
        <f>'T_TTAFStock'!BN14</f>
        <v/>
      </c>
      <c r="BQ335">
        <f>'T_TTAFStock'!BO14</f>
        <v/>
      </c>
      <c r="BR335">
        <f>'T_TTAFStock'!BP14</f>
        <v/>
      </c>
      <c r="BS335">
        <f>'T_TTAFStock'!BQ14</f>
        <v/>
      </c>
      <c r="BT335">
        <f>'T_TTAFStock'!BR14</f>
        <v/>
      </c>
      <c r="BU335">
        <f>'T_TTAFStock'!BS14</f>
        <v/>
      </c>
      <c r="BV335">
        <f>'T_TTAFStock'!BT14</f>
        <v/>
      </c>
      <c r="BW335">
        <f>'T_TTAFStock'!BU14</f>
        <v/>
      </c>
      <c r="BX335">
        <f>'T_TTAFStock'!BV14</f>
        <v/>
      </c>
      <c r="BY335">
        <f>'T_TTAFStock'!BW14</f>
        <v/>
      </c>
      <c r="BZ335">
        <f>'T_TTAFStock'!BX14</f>
        <v/>
      </c>
      <c r="CA335">
        <f>'T_TTAFStock'!BY14</f>
        <v/>
      </c>
      <c r="CB335">
        <f>'T_TTAFStock'!BZ14</f>
        <v/>
      </c>
      <c r="CC335">
        <f>'T_TTAFStock'!CA14</f>
        <v/>
      </c>
      <c r="CD335">
        <f>'T_TTAFStock'!CB14</f>
        <v/>
      </c>
      <c r="CE335">
        <f>'T_TTAFStock'!CC14</f>
        <v/>
      </c>
      <c r="CF335">
        <f>'T_TTAFStock'!CD14</f>
        <v/>
      </c>
      <c r="CG335">
        <f>'T_TTAFStock'!CE14</f>
        <v/>
      </c>
      <c r="CH335">
        <f>'T_TTAFStock'!CF14</f>
        <v/>
      </c>
      <c r="CI335">
        <f>'T_TTAFStock'!CG14</f>
        <v/>
      </c>
      <c r="CJ335">
        <f>'T_TTAFStock'!CH14</f>
        <v/>
      </c>
      <c r="CK335">
        <f>'T_TTAFStock'!CI14</f>
        <v/>
      </c>
      <c r="CL335">
        <f>'T_TTAFStock'!CJ14</f>
        <v/>
      </c>
      <c r="CM335">
        <f>'T_TTAFStock'!CK14</f>
        <v/>
      </c>
      <c r="CN335">
        <f>'T_TTAFStock'!CL14</f>
        <v/>
      </c>
      <c r="CO335">
        <f>'T_TTAFStock'!CM14</f>
        <v/>
      </c>
      <c r="CP335">
        <f>'T_TTAFStock'!CN14</f>
        <v/>
      </c>
      <c r="CQ335">
        <f>'T_TTAFStock'!CO14</f>
        <v/>
      </c>
      <c r="CR335">
        <f>'T_TTAFStock'!CP14</f>
        <v/>
      </c>
      <c r="CS335">
        <f>'T_TTAFStock'!CQ14</f>
        <v/>
      </c>
      <c r="CT335">
        <f>'T_TTAFStock'!CR14</f>
        <v/>
      </c>
      <c r="CU335">
        <f>'T_TTAFStock'!CS14</f>
        <v/>
      </c>
      <c r="CV335">
        <f>'T_TTAFStock'!CT14</f>
        <v/>
      </c>
      <c r="CW335">
        <f>'T_TTAFStock'!CU14</f>
        <v/>
      </c>
      <c r="CX335">
        <f>'T_TTAFStock'!CV14</f>
        <v/>
      </c>
      <c r="CY335">
        <f>'T_TTAFStock'!CW14</f>
        <v/>
      </c>
      <c r="CZ335">
        <f>'T_TTAFStock'!CX14</f>
        <v/>
      </c>
      <c r="DA335">
        <f>'T_TTAFStock'!CY14</f>
        <v/>
      </c>
      <c r="DB335">
        <f>'T_TTAFStock'!CZ14</f>
        <v/>
      </c>
      <c r="DC335">
        <f>'T_TTAFStock'!DA14</f>
        <v/>
      </c>
    </row>
    <row r="336">
      <c r="B336" t="inlineStr">
        <is>
          <t>自社在庫(実績,kg)</t>
        </is>
      </c>
      <c r="D336">
        <f>'T_SelfStock'!B14</f>
        <v/>
      </c>
      <c r="E336">
        <f>'T_SelfStock'!C14</f>
        <v/>
      </c>
      <c r="F336">
        <f>'T_SelfStock'!D14</f>
        <v/>
      </c>
      <c r="G336">
        <f>'T_SelfStock'!E14</f>
        <v/>
      </c>
      <c r="H336">
        <f>'T_SelfStock'!F14</f>
        <v/>
      </c>
      <c r="I336">
        <f>'T_SelfStock'!G14</f>
        <v/>
      </c>
      <c r="J336">
        <f>'T_SelfStock'!H14</f>
        <v/>
      </c>
      <c r="K336">
        <f>'T_SelfStock'!I14</f>
        <v/>
      </c>
      <c r="L336">
        <f>'T_SelfStock'!J14</f>
        <v/>
      </c>
      <c r="M336">
        <f>'T_SelfStock'!K14</f>
        <v/>
      </c>
      <c r="N336">
        <f>'T_SelfStock'!L14</f>
        <v/>
      </c>
      <c r="O336">
        <f>'T_SelfStock'!M14</f>
        <v/>
      </c>
      <c r="P336">
        <f>'T_SelfStock'!N14</f>
        <v/>
      </c>
      <c r="Q336">
        <f>'T_SelfStock'!O14</f>
        <v/>
      </c>
      <c r="R336">
        <f>'T_SelfStock'!P14</f>
        <v/>
      </c>
      <c r="S336">
        <f>'T_SelfStock'!Q14</f>
        <v/>
      </c>
      <c r="T336">
        <f>'T_SelfStock'!R14</f>
        <v/>
      </c>
      <c r="U336">
        <f>'T_SelfStock'!S14</f>
        <v/>
      </c>
      <c r="V336">
        <f>'T_SelfStock'!T14</f>
        <v/>
      </c>
      <c r="W336">
        <f>'T_SelfStock'!U14</f>
        <v/>
      </c>
      <c r="X336">
        <f>'T_SelfStock'!V14</f>
        <v/>
      </c>
      <c r="Y336">
        <f>'T_SelfStock'!W14</f>
        <v/>
      </c>
      <c r="Z336">
        <f>'T_SelfStock'!X14</f>
        <v/>
      </c>
      <c r="AA336">
        <f>'T_SelfStock'!Y14</f>
        <v/>
      </c>
      <c r="AB336">
        <f>'T_SelfStock'!Z14</f>
        <v/>
      </c>
      <c r="AC336">
        <f>'T_SelfStock'!AA14</f>
        <v/>
      </c>
      <c r="AD336">
        <f>'T_SelfStock'!AB14</f>
        <v/>
      </c>
      <c r="AE336">
        <f>'T_SelfStock'!AC14</f>
        <v/>
      </c>
      <c r="AF336">
        <f>'T_SelfStock'!AD14</f>
        <v/>
      </c>
      <c r="AG336">
        <f>'T_SelfStock'!AE14</f>
        <v/>
      </c>
      <c r="AH336">
        <f>'T_SelfStock'!AF14</f>
        <v/>
      </c>
      <c r="AI336">
        <f>'T_SelfStock'!AG14</f>
        <v/>
      </c>
      <c r="AJ336">
        <f>'T_SelfStock'!AH14</f>
        <v/>
      </c>
      <c r="AK336">
        <f>'T_SelfStock'!AI14</f>
        <v/>
      </c>
      <c r="AL336">
        <f>'T_SelfStock'!AJ14</f>
        <v/>
      </c>
      <c r="AM336">
        <f>'T_SelfStock'!AK14</f>
        <v/>
      </c>
      <c r="AN336">
        <f>'T_SelfStock'!AL14</f>
        <v/>
      </c>
      <c r="AO336">
        <f>'T_SelfStock'!AM14</f>
        <v/>
      </c>
      <c r="AP336">
        <f>'T_SelfStock'!AN14</f>
        <v/>
      </c>
      <c r="AQ336">
        <f>'T_SelfStock'!AO14</f>
        <v/>
      </c>
      <c r="AR336">
        <f>'T_SelfStock'!AP14</f>
        <v/>
      </c>
      <c r="AS336">
        <f>'T_SelfStock'!AQ14</f>
        <v/>
      </c>
      <c r="AT336">
        <f>'T_SelfStock'!AR14</f>
        <v/>
      </c>
      <c r="AU336">
        <f>'T_SelfStock'!AS14</f>
        <v/>
      </c>
      <c r="AV336">
        <f>'T_SelfStock'!AT14</f>
        <v/>
      </c>
      <c r="AW336">
        <f>'T_SelfStock'!AU14</f>
        <v/>
      </c>
      <c r="AX336">
        <f>'T_SelfStock'!AV14</f>
        <v/>
      </c>
      <c r="AY336">
        <f>'T_SelfStock'!AW14</f>
        <v/>
      </c>
      <c r="AZ336">
        <f>'T_SelfStock'!AX14</f>
        <v/>
      </c>
      <c r="BA336">
        <f>'T_SelfStock'!AY14</f>
        <v/>
      </c>
      <c r="BB336">
        <f>'T_SelfStock'!AZ14</f>
        <v/>
      </c>
      <c r="BC336">
        <f>'T_SelfStock'!BA14</f>
        <v/>
      </c>
      <c r="BD336">
        <f>'T_SelfStock'!BB14</f>
        <v/>
      </c>
      <c r="BE336">
        <f>'T_SelfStock'!BC14</f>
        <v/>
      </c>
      <c r="BF336">
        <f>'T_SelfStock'!BD14</f>
        <v/>
      </c>
      <c r="BG336">
        <f>'T_SelfStock'!BE14</f>
        <v/>
      </c>
      <c r="BH336">
        <f>'T_SelfStock'!BF14</f>
        <v/>
      </c>
      <c r="BI336">
        <f>'T_SelfStock'!BG14</f>
        <v/>
      </c>
      <c r="BJ336">
        <f>'T_SelfStock'!BH14</f>
        <v/>
      </c>
      <c r="BK336">
        <f>'T_SelfStock'!BI14</f>
        <v/>
      </c>
      <c r="BL336">
        <f>'T_SelfStock'!BJ14</f>
        <v/>
      </c>
      <c r="BM336">
        <f>'T_SelfStock'!BK14</f>
        <v/>
      </c>
      <c r="BN336">
        <f>'T_SelfStock'!BL14</f>
        <v/>
      </c>
      <c r="BO336">
        <f>'T_SelfStock'!BM14</f>
        <v/>
      </c>
      <c r="BP336">
        <f>'T_SelfStock'!BN14</f>
        <v/>
      </c>
      <c r="BQ336">
        <f>'T_SelfStock'!BO14</f>
        <v/>
      </c>
      <c r="BR336">
        <f>'T_SelfStock'!BP14</f>
        <v/>
      </c>
      <c r="BS336">
        <f>'T_SelfStock'!BQ14</f>
        <v/>
      </c>
      <c r="BT336">
        <f>'T_SelfStock'!BR14</f>
        <v/>
      </c>
      <c r="BU336">
        <f>'T_SelfStock'!BS14</f>
        <v/>
      </c>
      <c r="BV336">
        <f>'T_SelfStock'!BT14</f>
        <v/>
      </c>
      <c r="BW336">
        <f>'T_SelfStock'!BU14</f>
        <v/>
      </c>
      <c r="BX336">
        <f>'T_SelfStock'!BV14</f>
        <v/>
      </c>
      <c r="BY336">
        <f>'T_SelfStock'!BW14</f>
        <v/>
      </c>
      <c r="BZ336">
        <f>'T_SelfStock'!BX14</f>
        <v/>
      </c>
      <c r="CA336">
        <f>'T_SelfStock'!BY14</f>
        <v/>
      </c>
      <c r="CB336">
        <f>'T_SelfStock'!BZ14</f>
        <v/>
      </c>
      <c r="CC336">
        <f>'T_SelfStock'!CA14</f>
        <v/>
      </c>
      <c r="CD336">
        <f>'T_SelfStock'!CB14</f>
        <v/>
      </c>
      <c r="CE336">
        <f>'T_SelfStock'!CC14</f>
        <v/>
      </c>
      <c r="CF336">
        <f>'T_SelfStock'!CD14</f>
        <v/>
      </c>
      <c r="CG336">
        <f>'T_SelfStock'!CE14</f>
        <v/>
      </c>
      <c r="CH336">
        <f>'T_SelfStock'!CF14</f>
        <v/>
      </c>
      <c r="CI336">
        <f>'T_SelfStock'!CG14</f>
        <v/>
      </c>
      <c r="CJ336">
        <f>'T_SelfStock'!CH14</f>
        <v/>
      </c>
      <c r="CK336">
        <f>'T_SelfStock'!CI14</f>
        <v/>
      </c>
      <c r="CL336">
        <f>'T_SelfStock'!CJ14</f>
        <v/>
      </c>
      <c r="CM336">
        <f>'T_SelfStock'!CK14</f>
        <v/>
      </c>
      <c r="CN336">
        <f>'T_SelfStock'!CL14</f>
        <v/>
      </c>
      <c r="CO336">
        <f>'T_SelfStock'!CM14</f>
        <v/>
      </c>
      <c r="CP336">
        <f>'T_SelfStock'!CN14</f>
        <v/>
      </c>
      <c r="CQ336">
        <f>'T_SelfStock'!CO14</f>
        <v/>
      </c>
      <c r="CR336">
        <f>'T_SelfStock'!CP14</f>
        <v/>
      </c>
      <c r="CS336">
        <f>'T_SelfStock'!CQ14</f>
        <v/>
      </c>
      <c r="CT336">
        <f>'T_SelfStock'!CR14</f>
        <v/>
      </c>
      <c r="CU336">
        <f>'T_SelfStock'!CS14</f>
        <v/>
      </c>
      <c r="CV336">
        <f>'T_SelfStock'!CT14</f>
        <v/>
      </c>
      <c r="CW336">
        <f>'T_SelfStock'!CU14</f>
        <v/>
      </c>
      <c r="CX336">
        <f>'T_SelfStock'!CV14</f>
        <v/>
      </c>
      <c r="CY336">
        <f>'T_SelfStock'!CW14</f>
        <v/>
      </c>
      <c r="CZ336">
        <f>'T_SelfStock'!CX14</f>
        <v/>
      </c>
      <c r="DA336">
        <f>'T_SelfStock'!CY14</f>
        <v/>
      </c>
      <c r="DB336">
        <f>'T_SelfStock'!CZ14</f>
        <v/>
      </c>
      <c r="DC336">
        <f>'T_SelfStock'!DA14</f>
        <v/>
      </c>
    </row>
    <row r="337">
      <c r="B337" s="4" t="inlineStr">
        <is>
          <t>合計在庫(週末時点,kg)</t>
        </is>
      </c>
      <c r="D337">
        <f>'Grid_Stock'!B10</f>
        <v/>
      </c>
      <c r="E337">
        <f>'Grid_Stock'!C10</f>
        <v/>
      </c>
      <c r="F337">
        <f>'Grid_Stock'!D10</f>
        <v/>
      </c>
      <c r="G337">
        <f>'Grid_Stock'!E10</f>
        <v/>
      </c>
      <c r="H337">
        <f>'Grid_Stock'!F10</f>
        <v/>
      </c>
      <c r="I337">
        <f>'Grid_Stock'!G10</f>
        <v/>
      </c>
      <c r="J337">
        <f>'Grid_Stock'!H10</f>
        <v/>
      </c>
      <c r="K337">
        <f>'Grid_Stock'!I10</f>
        <v/>
      </c>
      <c r="L337">
        <f>'Grid_Stock'!J10</f>
        <v/>
      </c>
      <c r="M337">
        <f>'Grid_Stock'!K10</f>
        <v/>
      </c>
      <c r="N337">
        <f>'Grid_Stock'!L10</f>
        <v/>
      </c>
      <c r="O337">
        <f>'Grid_Stock'!M10</f>
        <v/>
      </c>
      <c r="P337">
        <f>'Grid_Stock'!N10</f>
        <v/>
      </c>
      <c r="Q337">
        <f>'Grid_Stock'!O10</f>
        <v/>
      </c>
      <c r="R337">
        <f>'Grid_Stock'!P10</f>
        <v/>
      </c>
      <c r="S337">
        <f>'Grid_Stock'!Q10</f>
        <v/>
      </c>
      <c r="T337">
        <f>'Grid_Stock'!R10</f>
        <v/>
      </c>
      <c r="U337">
        <f>'Grid_Stock'!S10</f>
        <v/>
      </c>
      <c r="V337">
        <f>'Grid_Stock'!T10</f>
        <v/>
      </c>
      <c r="W337">
        <f>'Grid_Stock'!U10</f>
        <v/>
      </c>
      <c r="X337">
        <f>'Grid_Stock'!V10</f>
        <v/>
      </c>
      <c r="Y337">
        <f>'Grid_Stock'!W10</f>
        <v/>
      </c>
      <c r="Z337">
        <f>'Grid_Stock'!X10</f>
        <v/>
      </c>
      <c r="AA337">
        <f>'Grid_Stock'!Y10</f>
        <v/>
      </c>
      <c r="AB337">
        <f>'Grid_Stock'!Z10</f>
        <v/>
      </c>
      <c r="AC337">
        <f>'Grid_Stock'!AA10</f>
        <v/>
      </c>
      <c r="AD337">
        <f>'Grid_Stock'!AB10</f>
        <v/>
      </c>
      <c r="AE337">
        <f>'Grid_Stock'!AC10</f>
        <v/>
      </c>
      <c r="AF337">
        <f>'Grid_Stock'!AD10</f>
        <v/>
      </c>
      <c r="AG337">
        <f>'Grid_Stock'!AE10</f>
        <v/>
      </c>
      <c r="AH337">
        <f>'Grid_Stock'!AF10</f>
        <v/>
      </c>
      <c r="AI337">
        <f>'Grid_Stock'!AG10</f>
        <v/>
      </c>
      <c r="AJ337">
        <f>'Grid_Stock'!AH10</f>
        <v/>
      </c>
      <c r="AK337">
        <f>'Grid_Stock'!AI10</f>
        <v/>
      </c>
      <c r="AL337">
        <f>'Grid_Stock'!AJ10</f>
        <v/>
      </c>
      <c r="AM337">
        <f>'Grid_Stock'!AK10</f>
        <v/>
      </c>
      <c r="AN337">
        <f>'Grid_Stock'!AL10</f>
        <v/>
      </c>
      <c r="AO337">
        <f>'Grid_Stock'!AM10</f>
        <v/>
      </c>
      <c r="AP337">
        <f>'Grid_Stock'!AN10</f>
        <v/>
      </c>
      <c r="AQ337">
        <f>'Grid_Stock'!AO10</f>
        <v/>
      </c>
      <c r="AR337">
        <f>'Grid_Stock'!AP10</f>
        <v/>
      </c>
      <c r="AS337">
        <f>'Grid_Stock'!AQ10</f>
        <v/>
      </c>
      <c r="AT337">
        <f>'Grid_Stock'!AR10</f>
        <v/>
      </c>
      <c r="AU337">
        <f>'Grid_Stock'!AS10</f>
        <v/>
      </c>
      <c r="AV337">
        <f>'Grid_Stock'!AT10</f>
        <v/>
      </c>
      <c r="AW337">
        <f>'Grid_Stock'!AU10</f>
        <v/>
      </c>
      <c r="AX337">
        <f>'Grid_Stock'!AV10</f>
        <v/>
      </c>
      <c r="AY337">
        <f>'Grid_Stock'!AW10</f>
        <v/>
      </c>
      <c r="AZ337">
        <f>'Grid_Stock'!AX10</f>
        <v/>
      </c>
      <c r="BA337">
        <f>'Grid_Stock'!AY10</f>
        <v/>
      </c>
      <c r="BB337">
        <f>'Grid_Stock'!AZ10</f>
        <v/>
      </c>
      <c r="BC337">
        <f>'Grid_Stock'!BA10</f>
        <v/>
      </c>
      <c r="BD337">
        <f>'Grid_Stock'!BB10</f>
        <v/>
      </c>
      <c r="BE337">
        <f>'Grid_Stock'!BC10</f>
        <v/>
      </c>
      <c r="BF337">
        <f>'Grid_Stock'!BD10</f>
        <v/>
      </c>
      <c r="BG337">
        <f>'Grid_Stock'!BE10</f>
        <v/>
      </c>
      <c r="BH337">
        <f>'Grid_Stock'!BF10</f>
        <v/>
      </c>
      <c r="BI337">
        <f>'Grid_Stock'!BG10</f>
        <v/>
      </c>
      <c r="BJ337">
        <f>'Grid_Stock'!BH10</f>
        <v/>
      </c>
      <c r="BK337">
        <f>'Grid_Stock'!BI10</f>
        <v/>
      </c>
      <c r="BL337">
        <f>'Grid_Stock'!BJ10</f>
        <v/>
      </c>
      <c r="BM337">
        <f>'Grid_Stock'!BK10</f>
        <v/>
      </c>
      <c r="BN337">
        <f>'Grid_Stock'!BL10</f>
        <v/>
      </c>
      <c r="BO337">
        <f>'Grid_Stock'!BM10</f>
        <v/>
      </c>
      <c r="BP337">
        <f>'Grid_Stock'!BN10</f>
        <v/>
      </c>
      <c r="BQ337">
        <f>'Grid_Stock'!BO10</f>
        <v/>
      </c>
      <c r="BR337">
        <f>'Grid_Stock'!BP10</f>
        <v/>
      </c>
      <c r="BS337">
        <f>'Grid_Stock'!BQ10</f>
        <v/>
      </c>
      <c r="BT337">
        <f>'Grid_Stock'!BR10</f>
        <v/>
      </c>
      <c r="BU337">
        <f>'Grid_Stock'!BS10</f>
        <v/>
      </c>
      <c r="BV337">
        <f>'Grid_Stock'!BT10</f>
        <v/>
      </c>
      <c r="BW337">
        <f>'Grid_Stock'!BU10</f>
        <v/>
      </c>
      <c r="BX337">
        <f>'Grid_Stock'!BV10</f>
        <v/>
      </c>
      <c r="BY337">
        <f>'Grid_Stock'!BW10</f>
        <v/>
      </c>
      <c r="BZ337">
        <f>'Grid_Stock'!BX10</f>
        <v/>
      </c>
      <c r="CA337">
        <f>'Grid_Stock'!BY10</f>
        <v/>
      </c>
      <c r="CB337">
        <f>'Grid_Stock'!BZ10</f>
        <v/>
      </c>
      <c r="CC337">
        <f>'Grid_Stock'!CA10</f>
        <v/>
      </c>
      <c r="CD337">
        <f>'Grid_Stock'!CB10</f>
        <v/>
      </c>
      <c r="CE337">
        <f>'Grid_Stock'!CC10</f>
        <v/>
      </c>
      <c r="CF337">
        <f>'Grid_Stock'!CD10</f>
        <v/>
      </c>
      <c r="CG337">
        <f>'Grid_Stock'!CE10</f>
        <v/>
      </c>
      <c r="CH337">
        <f>'Grid_Stock'!CF10</f>
        <v/>
      </c>
      <c r="CI337">
        <f>'Grid_Stock'!CG10</f>
        <v/>
      </c>
      <c r="CJ337">
        <f>'Grid_Stock'!CH10</f>
        <v/>
      </c>
      <c r="CK337">
        <f>'Grid_Stock'!CI10</f>
        <v/>
      </c>
      <c r="CL337">
        <f>'Grid_Stock'!CJ10</f>
        <v/>
      </c>
      <c r="CM337">
        <f>'Grid_Stock'!CK10</f>
        <v/>
      </c>
      <c r="CN337">
        <f>'Grid_Stock'!CL10</f>
        <v/>
      </c>
      <c r="CO337">
        <f>'Grid_Stock'!CM10</f>
        <v/>
      </c>
      <c r="CP337">
        <f>'Grid_Stock'!CN10</f>
        <v/>
      </c>
      <c r="CQ337">
        <f>'Grid_Stock'!CO10</f>
        <v/>
      </c>
      <c r="CR337">
        <f>'Grid_Stock'!CP10</f>
        <v/>
      </c>
      <c r="CS337">
        <f>'Grid_Stock'!CQ10</f>
        <v/>
      </c>
      <c r="CT337">
        <f>'Grid_Stock'!CR10</f>
        <v/>
      </c>
      <c r="CU337">
        <f>'Grid_Stock'!CS10</f>
        <v/>
      </c>
      <c r="CV337">
        <f>'Grid_Stock'!CT10</f>
        <v/>
      </c>
      <c r="CW337">
        <f>'Grid_Stock'!CU10</f>
        <v/>
      </c>
      <c r="CX337">
        <f>'Grid_Stock'!CV10</f>
        <v/>
      </c>
      <c r="CY337">
        <f>'Grid_Stock'!CW10</f>
        <v/>
      </c>
      <c r="CZ337">
        <f>'Grid_Stock'!CX10</f>
        <v/>
      </c>
      <c r="DA337">
        <f>'Grid_Stock'!CY10</f>
        <v/>
      </c>
      <c r="DB337">
        <f>'Grid_Stock'!CZ10</f>
        <v/>
      </c>
      <c r="DC337">
        <f>'Grid_Stock'!DA10</f>
        <v/>
      </c>
    </row>
    <row r="338">
      <c r="B338" s="16" t="inlineStr">
        <is>
          <t>（発注の目安はDashboardの基準在庫[下限/上限]と色分けを参照）</t>
        </is>
      </c>
    </row>
    <row r="340">
      <c r="A340" s="14" t="inlineStr">
        <is>
          <t>CHEM-1400</t>
        </is>
      </c>
      <c r="B340" s="14" t="inlineStr">
        <is>
          <t>DISPAL 23N4-80</t>
        </is>
      </c>
      <c r="C340" s="15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14" t="n"/>
      <c r="AH340" s="14" t="n"/>
      <c r="AI340" s="14" t="n"/>
      <c r="AJ340" s="14" t="n"/>
      <c r="AK340" s="14" t="n"/>
      <c r="AL340" s="14" t="n"/>
      <c r="AM340" s="14" t="n"/>
      <c r="AN340" s="14" t="n"/>
      <c r="AO340" s="14" t="n"/>
      <c r="AP340" s="14" t="n"/>
      <c r="AQ340" s="14" t="n"/>
      <c r="AR340" s="14" t="n"/>
      <c r="AS340" s="14" t="n"/>
      <c r="AT340" s="14" t="n"/>
      <c r="AU340" s="14" t="n"/>
      <c r="AV340" s="14" t="n"/>
      <c r="AW340" s="14" t="n"/>
      <c r="AX340" s="14" t="n"/>
      <c r="AY340" s="14" t="n"/>
      <c r="AZ340" s="14" t="n"/>
      <c r="BA340" s="14" t="n"/>
      <c r="BB340" s="14" t="n"/>
      <c r="BC340" s="14" t="n"/>
      <c r="BD340" s="14" t="n"/>
      <c r="BE340" s="14" t="n"/>
      <c r="BF340" s="14" t="n"/>
      <c r="BG340" s="14" t="n"/>
      <c r="BH340" s="14" t="n"/>
      <c r="BI340" s="14" t="n"/>
      <c r="BJ340" s="14" t="n"/>
      <c r="BK340" s="14" t="n"/>
      <c r="BL340" s="14" t="n"/>
      <c r="BM340" s="14" t="n"/>
      <c r="BN340" s="14" t="n"/>
      <c r="BO340" s="14" t="n"/>
      <c r="BP340" s="14" t="n"/>
      <c r="BQ340" s="14" t="n"/>
      <c r="BR340" s="14" t="n"/>
      <c r="BS340" s="14" t="n"/>
      <c r="BT340" s="14" t="n"/>
      <c r="BU340" s="14" t="n"/>
      <c r="BV340" s="14" t="n"/>
      <c r="BW340" s="14" t="n"/>
      <c r="BX340" s="14" t="n"/>
      <c r="BY340" s="14" t="n"/>
      <c r="BZ340" s="14" t="n"/>
      <c r="CA340" s="14" t="n"/>
      <c r="CB340" s="14" t="n"/>
      <c r="CC340" s="14" t="n"/>
      <c r="CD340" s="14" t="n"/>
      <c r="CE340" s="14" t="n"/>
      <c r="CF340" s="14" t="n"/>
      <c r="CG340" s="14" t="n"/>
      <c r="CH340" s="14" t="n"/>
      <c r="CI340" s="14" t="n"/>
      <c r="CJ340" s="14" t="n"/>
      <c r="CK340" s="14" t="n"/>
      <c r="CL340" s="14" t="n"/>
      <c r="CM340" s="14" t="n"/>
      <c r="CN340" s="14" t="n"/>
      <c r="CO340" s="14" t="n"/>
      <c r="CP340" s="14" t="n"/>
      <c r="CQ340" s="14" t="n"/>
      <c r="CR340" s="14" t="n"/>
      <c r="CS340" s="14" t="n"/>
      <c r="CT340" s="14" t="n"/>
      <c r="CU340" s="14" t="n"/>
      <c r="CV340" s="14" t="n"/>
      <c r="CW340" s="14" t="n"/>
      <c r="CX340" s="14" t="n"/>
      <c r="CY340" s="14" t="n"/>
      <c r="CZ340" s="14" t="n"/>
      <c r="DA340" s="14" t="n"/>
      <c r="DB340" s="14" t="n"/>
      <c r="DC340" s="14" t="n"/>
    </row>
    <row r="341">
      <c r="B341" t="inlineStr">
        <is>
          <t>TSP-050</t>
        </is>
      </c>
      <c r="C341" t="inlineStr">
        <is>
          <t>No. of batches</t>
        </is>
      </c>
      <c r="D341">
        <f>IFERROR(INDEX(PP_Grid[#Data],$DD341,2),0)</f>
        <v/>
      </c>
      <c r="E341">
        <f>IFERROR(INDEX(PP_Grid[#Data],$DD341,3),0)</f>
        <v/>
      </c>
      <c r="F341">
        <f>IFERROR(INDEX(PP_Grid[#Data],$DD341,4),0)</f>
        <v/>
      </c>
      <c r="G341">
        <f>IFERROR(INDEX(PP_Grid[#Data],$DD341,5),0)</f>
        <v/>
      </c>
      <c r="H341">
        <f>IFERROR(INDEX(PP_Grid[#Data],$DD341,6),0)</f>
        <v/>
      </c>
      <c r="I341">
        <f>IFERROR(INDEX(PP_Grid[#Data],$DD341,7),0)</f>
        <v/>
      </c>
      <c r="J341">
        <f>IFERROR(INDEX(PP_Grid[#Data],$DD341,8),0)</f>
        <v/>
      </c>
      <c r="K341">
        <f>IFERROR(INDEX(PP_Grid[#Data],$DD341,9),0)</f>
        <v/>
      </c>
      <c r="L341">
        <f>IFERROR(INDEX(PP_Grid[#Data],$DD341,10),0)</f>
        <v/>
      </c>
      <c r="M341">
        <f>IFERROR(INDEX(PP_Grid[#Data],$DD341,11),0)</f>
        <v/>
      </c>
      <c r="N341">
        <f>IFERROR(INDEX(PP_Grid[#Data],$DD341,12),0)</f>
        <v/>
      </c>
      <c r="O341">
        <f>IFERROR(INDEX(PP_Grid[#Data],$DD341,13),0)</f>
        <v/>
      </c>
      <c r="P341">
        <f>IFERROR(INDEX(PP_Grid[#Data],$DD341,14),0)</f>
        <v/>
      </c>
      <c r="Q341">
        <f>IFERROR(INDEX(PP_Grid[#Data],$DD341,15),0)</f>
        <v/>
      </c>
      <c r="R341">
        <f>IFERROR(INDEX(PP_Grid[#Data],$DD341,16),0)</f>
        <v/>
      </c>
      <c r="S341">
        <f>IFERROR(INDEX(PP_Grid[#Data],$DD341,17),0)</f>
        <v/>
      </c>
      <c r="T341">
        <f>IFERROR(INDEX(PP_Grid[#Data],$DD341,18),0)</f>
        <v/>
      </c>
      <c r="U341">
        <f>IFERROR(INDEX(PP_Grid[#Data],$DD341,19),0)</f>
        <v/>
      </c>
      <c r="V341">
        <f>IFERROR(INDEX(PP_Grid[#Data],$DD341,20),0)</f>
        <v/>
      </c>
      <c r="W341">
        <f>IFERROR(INDEX(PP_Grid[#Data],$DD341,21),0)</f>
        <v/>
      </c>
      <c r="X341">
        <f>IFERROR(INDEX(PP_Grid[#Data],$DD341,22),0)</f>
        <v/>
      </c>
      <c r="Y341">
        <f>IFERROR(INDEX(PP_Grid[#Data],$DD341,23),0)</f>
        <v/>
      </c>
      <c r="Z341">
        <f>IFERROR(INDEX(PP_Grid[#Data],$DD341,24),0)</f>
        <v/>
      </c>
      <c r="AA341">
        <f>IFERROR(INDEX(PP_Grid[#Data],$DD341,25),0)</f>
        <v/>
      </c>
      <c r="AB341">
        <f>IFERROR(INDEX(PP_Grid[#Data],$DD341,26),0)</f>
        <v/>
      </c>
      <c r="AC341">
        <f>IFERROR(INDEX(PP_Grid[#Data],$DD341,27),0)</f>
        <v/>
      </c>
      <c r="AD341">
        <f>IFERROR(INDEX(PP_Grid[#Data],$DD341,28),0)</f>
        <v/>
      </c>
      <c r="AE341">
        <f>IFERROR(INDEX(PP_Grid[#Data],$DD341,29),0)</f>
        <v/>
      </c>
      <c r="AF341">
        <f>IFERROR(INDEX(PP_Grid[#Data],$DD341,30),0)</f>
        <v/>
      </c>
      <c r="AG341">
        <f>IFERROR(INDEX(PP_Grid[#Data],$DD341,31),0)</f>
        <v/>
      </c>
      <c r="AH341">
        <f>IFERROR(INDEX(PP_Grid[#Data],$DD341,32),0)</f>
        <v/>
      </c>
      <c r="AI341">
        <f>IFERROR(INDEX(PP_Grid[#Data],$DD341,33),0)</f>
        <v/>
      </c>
      <c r="AJ341">
        <f>IFERROR(INDEX(PP_Grid[#Data],$DD341,34),0)</f>
        <v/>
      </c>
      <c r="AK341">
        <f>IFERROR(INDEX(PP_Grid[#Data],$DD341,35),0)</f>
        <v/>
      </c>
      <c r="AL341">
        <f>IFERROR(INDEX(PP_Grid[#Data],$DD341,36),0)</f>
        <v/>
      </c>
      <c r="AM341">
        <f>IFERROR(INDEX(PP_Grid[#Data],$DD341,37),0)</f>
        <v/>
      </c>
      <c r="AN341">
        <f>IFERROR(INDEX(PP_Grid[#Data],$DD341,38),0)</f>
        <v/>
      </c>
      <c r="AO341">
        <f>IFERROR(INDEX(PP_Grid[#Data],$DD341,39),0)</f>
        <v/>
      </c>
      <c r="AP341">
        <f>IFERROR(INDEX(PP_Grid[#Data],$DD341,40),0)</f>
        <v/>
      </c>
      <c r="AQ341">
        <f>IFERROR(INDEX(PP_Grid[#Data],$DD341,41),0)</f>
        <v/>
      </c>
      <c r="AR341">
        <f>IFERROR(INDEX(PP_Grid[#Data],$DD341,42),0)</f>
        <v/>
      </c>
      <c r="AS341">
        <f>IFERROR(INDEX(PP_Grid[#Data],$DD341,43),0)</f>
        <v/>
      </c>
      <c r="AT341">
        <f>IFERROR(INDEX(PP_Grid[#Data],$DD341,44),0)</f>
        <v/>
      </c>
      <c r="AU341">
        <f>IFERROR(INDEX(PP_Grid[#Data],$DD341,45),0)</f>
        <v/>
      </c>
      <c r="AV341">
        <f>IFERROR(INDEX(PP_Grid[#Data],$DD341,46),0)</f>
        <v/>
      </c>
      <c r="AW341">
        <f>IFERROR(INDEX(PP_Grid[#Data],$DD341,47),0)</f>
        <v/>
      </c>
      <c r="AX341">
        <f>IFERROR(INDEX(PP_Grid[#Data],$DD341,48),0)</f>
        <v/>
      </c>
      <c r="AY341">
        <f>IFERROR(INDEX(PP_Grid[#Data],$DD341,49),0)</f>
        <v/>
      </c>
      <c r="AZ341">
        <f>IFERROR(INDEX(PP_Grid[#Data],$DD341,50),0)</f>
        <v/>
      </c>
      <c r="BA341">
        <f>IFERROR(INDEX(PP_Grid[#Data],$DD341,51),0)</f>
        <v/>
      </c>
      <c r="BB341">
        <f>IFERROR(INDEX(PP_Grid[#Data],$DD341,52),0)</f>
        <v/>
      </c>
      <c r="BC341">
        <f>IFERROR(INDEX(PP_Grid[#Data],$DD341,53),0)</f>
        <v/>
      </c>
      <c r="BD341">
        <f>IFERROR(INDEX(PP_Grid[#Data],$DD341,54),0)</f>
        <v/>
      </c>
      <c r="BE341">
        <f>IFERROR(INDEX(PP_Grid[#Data],$DD341,55),0)</f>
        <v/>
      </c>
      <c r="BF341">
        <f>IFERROR(INDEX(PP_Grid[#Data],$DD341,56),0)</f>
        <v/>
      </c>
      <c r="BG341">
        <f>IFERROR(INDEX(PP_Grid[#Data],$DD341,57),0)</f>
        <v/>
      </c>
      <c r="BH341">
        <f>IFERROR(INDEX(PP_Grid[#Data],$DD341,58),0)</f>
        <v/>
      </c>
      <c r="BI341">
        <f>IFERROR(INDEX(PP_Grid[#Data],$DD341,59),0)</f>
        <v/>
      </c>
      <c r="BJ341">
        <f>IFERROR(INDEX(PP_Grid[#Data],$DD341,60),0)</f>
        <v/>
      </c>
      <c r="BK341">
        <f>IFERROR(INDEX(PP_Grid[#Data],$DD341,61),0)</f>
        <v/>
      </c>
      <c r="BL341">
        <f>IFERROR(INDEX(PP_Grid[#Data],$DD341,62),0)</f>
        <v/>
      </c>
      <c r="BM341">
        <f>IFERROR(INDEX(PP_Grid[#Data],$DD341,63),0)</f>
        <v/>
      </c>
      <c r="BN341">
        <f>IFERROR(INDEX(PP_Grid[#Data],$DD341,64),0)</f>
        <v/>
      </c>
      <c r="BO341">
        <f>IFERROR(INDEX(PP_Grid[#Data],$DD341,65),0)</f>
        <v/>
      </c>
      <c r="BP341">
        <f>IFERROR(INDEX(PP_Grid[#Data],$DD341,66),0)</f>
        <v/>
      </c>
      <c r="BQ341">
        <f>IFERROR(INDEX(PP_Grid[#Data],$DD341,67),0)</f>
        <v/>
      </c>
      <c r="BR341">
        <f>IFERROR(INDEX(PP_Grid[#Data],$DD341,68),0)</f>
        <v/>
      </c>
      <c r="BS341">
        <f>IFERROR(INDEX(PP_Grid[#Data],$DD341,69),0)</f>
        <v/>
      </c>
      <c r="BT341">
        <f>IFERROR(INDEX(PP_Grid[#Data],$DD341,70),0)</f>
        <v/>
      </c>
      <c r="BU341">
        <f>IFERROR(INDEX(PP_Grid[#Data],$DD341,71),0)</f>
        <v/>
      </c>
      <c r="BV341">
        <f>IFERROR(INDEX(PP_Grid[#Data],$DD341,72),0)</f>
        <v/>
      </c>
      <c r="BW341">
        <f>IFERROR(INDEX(PP_Grid[#Data],$DD341,73),0)</f>
        <v/>
      </c>
      <c r="BX341">
        <f>IFERROR(INDEX(PP_Grid[#Data],$DD341,74),0)</f>
        <v/>
      </c>
      <c r="BY341">
        <f>IFERROR(INDEX(PP_Grid[#Data],$DD341,75),0)</f>
        <v/>
      </c>
      <c r="BZ341">
        <f>IFERROR(INDEX(PP_Grid[#Data],$DD341,76),0)</f>
        <v/>
      </c>
      <c r="CA341">
        <f>IFERROR(INDEX(PP_Grid[#Data],$DD341,77),0)</f>
        <v/>
      </c>
      <c r="CB341">
        <f>IFERROR(INDEX(PP_Grid[#Data],$DD341,78),0)</f>
        <v/>
      </c>
      <c r="CC341">
        <f>IFERROR(INDEX(PP_Grid[#Data],$DD341,79),0)</f>
        <v/>
      </c>
      <c r="CD341">
        <f>IFERROR(INDEX(PP_Grid[#Data],$DD341,80),0)</f>
        <v/>
      </c>
      <c r="CE341">
        <f>IFERROR(INDEX(PP_Grid[#Data],$DD341,81),0)</f>
        <v/>
      </c>
      <c r="CF341">
        <f>IFERROR(INDEX(PP_Grid[#Data],$DD341,82),0)</f>
        <v/>
      </c>
      <c r="CG341">
        <f>IFERROR(INDEX(PP_Grid[#Data],$DD341,83),0)</f>
        <v/>
      </c>
      <c r="CH341">
        <f>IFERROR(INDEX(PP_Grid[#Data],$DD341,84),0)</f>
        <v/>
      </c>
      <c r="CI341">
        <f>IFERROR(INDEX(PP_Grid[#Data],$DD341,85),0)</f>
        <v/>
      </c>
      <c r="CJ341">
        <f>IFERROR(INDEX(PP_Grid[#Data],$DD341,86),0)</f>
        <v/>
      </c>
      <c r="CK341">
        <f>IFERROR(INDEX(PP_Grid[#Data],$DD341,87),0)</f>
        <v/>
      </c>
      <c r="CL341">
        <f>IFERROR(INDEX(PP_Grid[#Data],$DD341,88),0)</f>
        <v/>
      </c>
      <c r="CM341">
        <f>IFERROR(INDEX(PP_Grid[#Data],$DD341,89),0)</f>
        <v/>
      </c>
      <c r="CN341">
        <f>IFERROR(INDEX(PP_Grid[#Data],$DD341,90),0)</f>
        <v/>
      </c>
      <c r="CO341">
        <f>IFERROR(INDEX(PP_Grid[#Data],$DD341,91),0)</f>
        <v/>
      </c>
      <c r="CP341">
        <f>IFERROR(INDEX(PP_Grid[#Data],$DD341,92),0)</f>
        <v/>
      </c>
      <c r="CQ341">
        <f>IFERROR(INDEX(PP_Grid[#Data],$DD341,93),0)</f>
        <v/>
      </c>
      <c r="CR341">
        <f>IFERROR(INDEX(PP_Grid[#Data],$DD341,94),0)</f>
        <v/>
      </c>
      <c r="CS341">
        <f>IFERROR(INDEX(PP_Grid[#Data],$DD341,95),0)</f>
        <v/>
      </c>
      <c r="CT341">
        <f>IFERROR(INDEX(PP_Grid[#Data],$DD341,96),0)</f>
        <v/>
      </c>
      <c r="CU341">
        <f>IFERROR(INDEX(PP_Grid[#Data],$DD341,97),0)</f>
        <v/>
      </c>
      <c r="CV341">
        <f>IFERROR(INDEX(PP_Grid[#Data],$DD341,98),0)</f>
        <v/>
      </c>
      <c r="CW341">
        <f>IFERROR(INDEX(PP_Grid[#Data],$DD341,99),0)</f>
        <v/>
      </c>
      <c r="CX341">
        <f>IFERROR(INDEX(PP_Grid[#Data],$DD341,100),0)</f>
        <v/>
      </c>
      <c r="CY341">
        <f>IFERROR(INDEX(PP_Grid[#Data],$DD341,101),0)</f>
        <v/>
      </c>
      <c r="CZ341">
        <f>IFERROR(INDEX(PP_Grid[#Data],$DD341,102),0)</f>
        <v/>
      </c>
      <c r="DA341">
        <f>IFERROR(INDEX(PP_Grid[#Data],$DD341,103),0)</f>
        <v/>
      </c>
      <c r="DB341">
        <f>IFERROR(INDEX(PP_Grid[#Data],$DD341,104),0)</f>
        <v/>
      </c>
      <c r="DC341">
        <f>IFERROR(INDEX(PP_Grid[#Data],$DD341,105),0)</f>
        <v/>
      </c>
      <c r="DD341" s="7">
        <f>IFERROR(MATCH($B341,PP_Grid[Intermediate],0),99999)</f>
        <v/>
      </c>
    </row>
    <row r="342">
      <c r="B342" t="inlineStr">
        <is>
          <t>使用量(kg)</t>
        </is>
      </c>
      <c r="C342">
        <f>SUMIFS(M_BOM[RM_Qty_Per_Batch],M_BOM[Intermediate],$B341,M_BOM[Part Name],$A340)</f>
        <v/>
      </c>
      <c r="D342">
        <f>$C342*D341</f>
        <v/>
      </c>
      <c r="E342">
        <f>$C342*E341</f>
        <v/>
      </c>
      <c r="F342">
        <f>$C342*F341</f>
        <v/>
      </c>
      <c r="G342">
        <f>$C342*G341</f>
        <v/>
      </c>
      <c r="H342">
        <f>$C342*H341</f>
        <v/>
      </c>
      <c r="I342">
        <f>$C342*I341</f>
        <v/>
      </c>
      <c r="J342">
        <f>$C342*J341</f>
        <v/>
      </c>
      <c r="K342">
        <f>$C342*K341</f>
        <v/>
      </c>
      <c r="L342">
        <f>$C342*L341</f>
        <v/>
      </c>
      <c r="M342">
        <f>$C342*M341</f>
        <v/>
      </c>
      <c r="N342">
        <f>$C342*N341</f>
        <v/>
      </c>
      <c r="O342">
        <f>$C342*O341</f>
        <v/>
      </c>
      <c r="P342">
        <f>$C342*P341</f>
        <v/>
      </c>
      <c r="Q342">
        <f>$C342*Q341</f>
        <v/>
      </c>
      <c r="R342">
        <f>$C342*R341</f>
        <v/>
      </c>
      <c r="S342">
        <f>$C342*S341</f>
        <v/>
      </c>
      <c r="T342">
        <f>$C342*T341</f>
        <v/>
      </c>
      <c r="U342">
        <f>$C342*U341</f>
        <v/>
      </c>
      <c r="V342">
        <f>$C342*V341</f>
        <v/>
      </c>
      <c r="W342">
        <f>$C342*W341</f>
        <v/>
      </c>
      <c r="X342">
        <f>$C342*X341</f>
        <v/>
      </c>
      <c r="Y342">
        <f>$C342*Y341</f>
        <v/>
      </c>
      <c r="Z342">
        <f>$C342*Z341</f>
        <v/>
      </c>
      <c r="AA342">
        <f>$C342*AA341</f>
        <v/>
      </c>
      <c r="AB342">
        <f>$C342*AB341</f>
        <v/>
      </c>
      <c r="AC342">
        <f>$C342*AC341</f>
        <v/>
      </c>
      <c r="AD342">
        <f>$C342*AD341</f>
        <v/>
      </c>
      <c r="AE342">
        <f>$C342*AE341</f>
        <v/>
      </c>
      <c r="AF342">
        <f>$C342*AF341</f>
        <v/>
      </c>
      <c r="AG342">
        <f>$C342*AG341</f>
        <v/>
      </c>
      <c r="AH342">
        <f>$C342*AH341</f>
        <v/>
      </c>
      <c r="AI342">
        <f>$C342*AI341</f>
        <v/>
      </c>
      <c r="AJ342">
        <f>$C342*AJ341</f>
        <v/>
      </c>
      <c r="AK342">
        <f>$C342*AK341</f>
        <v/>
      </c>
      <c r="AL342">
        <f>$C342*AL341</f>
        <v/>
      </c>
      <c r="AM342">
        <f>$C342*AM341</f>
        <v/>
      </c>
      <c r="AN342">
        <f>$C342*AN341</f>
        <v/>
      </c>
      <c r="AO342">
        <f>$C342*AO341</f>
        <v/>
      </c>
      <c r="AP342">
        <f>$C342*AP341</f>
        <v/>
      </c>
      <c r="AQ342">
        <f>$C342*AQ341</f>
        <v/>
      </c>
      <c r="AR342">
        <f>$C342*AR341</f>
        <v/>
      </c>
      <c r="AS342">
        <f>$C342*AS341</f>
        <v/>
      </c>
      <c r="AT342">
        <f>$C342*AT341</f>
        <v/>
      </c>
      <c r="AU342">
        <f>$C342*AU341</f>
        <v/>
      </c>
      <c r="AV342">
        <f>$C342*AV341</f>
        <v/>
      </c>
      <c r="AW342">
        <f>$C342*AW341</f>
        <v/>
      </c>
      <c r="AX342">
        <f>$C342*AX341</f>
        <v/>
      </c>
      <c r="AY342">
        <f>$C342*AY341</f>
        <v/>
      </c>
      <c r="AZ342">
        <f>$C342*AZ341</f>
        <v/>
      </c>
      <c r="BA342">
        <f>$C342*BA341</f>
        <v/>
      </c>
      <c r="BB342">
        <f>$C342*BB341</f>
        <v/>
      </c>
      <c r="BC342">
        <f>$C342*BC341</f>
        <v/>
      </c>
      <c r="BD342">
        <f>$C342*BD341</f>
        <v/>
      </c>
      <c r="BE342">
        <f>$C342*BE341</f>
        <v/>
      </c>
      <c r="BF342">
        <f>$C342*BF341</f>
        <v/>
      </c>
      <c r="BG342">
        <f>$C342*BG341</f>
        <v/>
      </c>
      <c r="BH342">
        <f>$C342*BH341</f>
        <v/>
      </c>
      <c r="BI342">
        <f>$C342*BI341</f>
        <v/>
      </c>
      <c r="BJ342">
        <f>$C342*BJ341</f>
        <v/>
      </c>
      <c r="BK342">
        <f>$C342*BK341</f>
        <v/>
      </c>
      <c r="BL342">
        <f>$C342*BL341</f>
        <v/>
      </c>
      <c r="BM342">
        <f>$C342*BM341</f>
        <v/>
      </c>
      <c r="BN342">
        <f>$C342*BN341</f>
        <v/>
      </c>
      <c r="BO342">
        <f>$C342*BO341</f>
        <v/>
      </c>
      <c r="BP342">
        <f>$C342*BP341</f>
        <v/>
      </c>
      <c r="BQ342">
        <f>$C342*BQ341</f>
        <v/>
      </c>
      <c r="BR342">
        <f>$C342*BR341</f>
        <v/>
      </c>
      <c r="BS342">
        <f>$C342*BS341</f>
        <v/>
      </c>
      <c r="BT342">
        <f>$C342*BT341</f>
        <v/>
      </c>
      <c r="BU342">
        <f>$C342*BU341</f>
        <v/>
      </c>
      <c r="BV342">
        <f>$C342*BV341</f>
        <v/>
      </c>
      <c r="BW342">
        <f>$C342*BW341</f>
        <v/>
      </c>
      <c r="BX342">
        <f>$C342*BX341</f>
        <v/>
      </c>
      <c r="BY342">
        <f>$C342*BY341</f>
        <v/>
      </c>
      <c r="BZ342">
        <f>$C342*BZ341</f>
        <v/>
      </c>
      <c r="CA342">
        <f>$C342*CA341</f>
        <v/>
      </c>
      <c r="CB342">
        <f>$C342*CB341</f>
        <v/>
      </c>
      <c r="CC342">
        <f>$C342*CC341</f>
        <v/>
      </c>
      <c r="CD342">
        <f>$C342*CD341</f>
        <v/>
      </c>
      <c r="CE342">
        <f>$C342*CE341</f>
        <v/>
      </c>
      <c r="CF342">
        <f>$C342*CF341</f>
        <v/>
      </c>
      <c r="CG342">
        <f>$C342*CG341</f>
        <v/>
      </c>
      <c r="CH342">
        <f>$C342*CH341</f>
        <v/>
      </c>
      <c r="CI342">
        <f>$C342*CI341</f>
        <v/>
      </c>
      <c r="CJ342">
        <f>$C342*CJ341</f>
        <v/>
      </c>
      <c r="CK342">
        <f>$C342*CK341</f>
        <v/>
      </c>
      <c r="CL342">
        <f>$C342*CL341</f>
        <v/>
      </c>
      <c r="CM342">
        <f>$C342*CM341</f>
        <v/>
      </c>
      <c r="CN342">
        <f>$C342*CN341</f>
        <v/>
      </c>
      <c r="CO342">
        <f>$C342*CO341</f>
        <v/>
      </c>
      <c r="CP342">
        <f>$C342*CP341</f>
        <v/>
      </c>
      <c r="CQ342">
        <f>$C342*CQ341</f>
        <v/>
      </c>
      <c r="CR342">
        <f>$C342*CR341</f>
        <v/>
      </c>
      <c r="CS342">
        <f>$C342*CS341</f>
        <v/>
      </c>
      <c r="CT342">
        <f>$C342*CT341</f>
        <v/>
      </c>
      <c r="CU342">
        <f>$C342*CU341</f>
        <v/>
      </c>
      <c r="CV342">
        <f>$C342*CV341</f>
        <v/>
      </c>
      <c r="CW342">
        <f>$C342*CW341</f>
        <v/>
      </c>
      <c r="CX342">
        <f>$C342*CX341</f>
        <v/>
      </c>
      <c r="CY342">
        <f>$C342*CY341</f>
        <v/>
      </c>
      <c r="CZ342">
        <f>$C342*CZ341</f>
        <v/>
      </c>
      <c r="DA342">
        <f>$C342*DA341</f>
        <v/>
      </c>
      <c r="DB342">
        <f>$C342*DB341</f>
        <v/>
      </c>
      <c r="DC342">
        <f>$C342*DC341</f>
        <v/>
      </c>
    </row>
    <row r="343">
      <c r="B343" t="inlineStr">
        <is>
          <t>TSP-078</t>
        </is>
      </c>
      <c r="C343" t="inlineStr">
        <is>
          <t>No. of batches</t>
        </is>
      </c>
      <c r="D343">
        <f>IFERROR(INDEX(PP_Grid[#Data],$DD343,2),0)</f>
        <v/>
      </c>
      <c r="E343">
        <f>IFERROR(INDEX(PP_Grid[#Data],$DD343,3),0)</f>
        <v/>
      </c>
      <c r="F343">
        <f>IFERROR(INDEX(PP_Grid[#Data],$DD343,4),0)</f>
        <v/>
      </c>
      <c r="G343">
        <f>IFERROR(INDEX(PP_Grid[#Data],$DD343,5),0)</f>
        <v/>
      </c>
      <c r="H343">
        <f>IFERROR(INDEX(PP_Grid[#Data],$DD343,6),0)</f>
        <v/>
      </c>
      <c r="I343">
        <f>IFERROR(INDEX(PP_Grid[#Data],$DD343,7),0)</f>
        <v/>
      </c>
      <c r="J343">
        <f>IFERROR(INDEX(PP_Grid[#Data],$DD343,8),0)</f>
        <v/>
      </c>
      <c r="K343">
        <f>IFERROR(INDEX(PP_Grid[#Data],$DD343,9),0)</f>
        <v/>
      </c>
      <c r="L343">
        <f>IFERROR(INDEX(PP_Grid[#Data],$DD343,10),0)</f>
        <v/>
      </c>
      <c r="M343">
        <f>IFERROR(INDEX(PP_Grid[#Data],$DD343,11),0)</f>
        <v/>
      </c>
      <c r="N343">
        <f>IFERROR(INDEX(PP_Grid[#Data],$DD343,12),0)</f>
        <v/>
      </c>
      <c r="O343">
        <f>IFERROR(INDEX(PP_Grid[#Data],$DD343,13),0)</f>
        <v/>
      </c>
      <c r="P343">
        <f>IFERROR(INDEX(PP_Grid[#Data],$DD343,14),0)</f>
        <v/>
      </c>
      <c r="Q343">
        <f>IFERROR(INDEX(PP_Grid[#Data],$DD343,15),0)</f>
        <v/>
      </c>
      <c r="R343">
        <f>IFERROR(INDEX(PP_Grid[#Data],$DD343,16),0)</f>
        <v/>
      </c>
      <c r="S343">
        <f>IFERROR(INDEX(PP_Grid[#Data],$DD343,17),0)</f>
        <v/>
      </c>
      <c r="T343">
        <f>IFERROR(INDEX(PP_Grid[#Data],$DD343,18),0)</f>
        <v/>
      </c>
      <c r="U343">
        <f>IFERROR(INDEX(PP_Grid[#Data],$DD343,19),0)</f>
        <v/>
      </c>
      <c r="V343">
        <f>IFERROR(INDEX(PP_Grid[#Data],$DD343,20),0)</f>
        <v/>
      </c>
      <c r="W343">
        <f>IFERROR(INDEX(PP_Grid[#Data],$DD343,21),0)</f>
        <v/>
      </c>
      <c r="X343">
        <f>IFERROR(INDEX(PP_Grid[#Data],$DD343,22),0)</f>
        <v/>
      </c>
      <c r="Y343">
        <f>IFERROR(INDEX(PP_Grid[#Data],$DD343,23),0)</f>
        <v/>
      </c>
      <c r="Z343">
        <f>IFERROR(INDEX(PP_Grid[#Data],$DD343,24),0)</f>
        <v/>
      </c>
      <c r="AA343">
        <f>IFERROR(INDEX(PP_Grid[#Data],$DD343,25),0)</f>
        <v/>
      </c>
      <c r="AB343">
        <f>IFERROR(INDEX(PP_Grid[#Data],$DD343,26),0)</f>
        <v/>
      </c>
      <c r="AC343">
        <f>IFERROR(INDEX(PP_Grid[#Data],$DD343,27),0)</f>
        <v/>
      </c>
      <c r="AD343">
        <f>IFERROR(INDEX(PP_Grid[#Data],$DD343,28),0)</f>
        <v/>
      </c>
      <c r="AE343">
        <f>IFERROR(INDEX(PP_Grid[#Data],$DD343,29),0)</f>
        <v/>
      </c>
      <c r="AF343">
        <f>IFERROR(INDEX(PP_Grid[#Data],$DD343,30),0)</f>
        <v/>
      </c>
      <c r="AG343">
        <f>IFERROR(INDEX(PP_Grid[#Data],$DD343,31),0)</f>
        <v/>
      </c>
      <c r="AH343">
        <f>IFERROR(INDEX(PP_Grid[#Data],$DD343,32),0)</f>
        <v/>
      </c>
      <c r="AI343">
        <f>IFERROR(INDEX(PP_Grid[#Data],$DD343,33),0)</f>
        <v/>
      </c>
      <c r="AJ343">
        <f>IFERROR(INDEX(PP_Grid[#Data],$DD343,34),0)</f>
        <v/>
      </c>
      <c r="AK343">
        <f>IFERROR(INDEX(PP_Grid[#Data],$DD343,35),0)</f>
        <v/>
      </c>
      <c r="AL343">
        <f>IFERROR(INDEX(PP_Grid[#Data],$DD343,36),0)</f>
        <v/>
      </c>
      <c r="AM343">
        <f>IFERROR(INDEX(PP_Grid[#Data],$DD343,37),0)</f>
        <v/>
      </c>
      <c r="AN343">
        <f>IFERROR(INDEX(PP_Grid[#Data],$DD343,38),0)</f>
        <v/>
      </c>
      <c r="AO343">
        <f>IFERROR(INDEX(PP_Grid[#Data],$DD343,39),0)</f>
        <v/>
      </c>
      <c r="AP343">
        <f>IFERROR(INDEX(PP_Grid[#Data],$DD343,40),0)</f>
        <v/>
      </c>
      <c r="AQ343">
        <f>IFERROR(INDEX(PP_Grid[#Data],$DD343,41),0)</f>
        <v/>
      </c>
      <c r="AR343">
        <f>IFERROR(INDEX(PP_Grid[#Data],$DD343,42),0)</f>
        <v/>
      </c>
      <c r="AS343">
        <f>IFERROR(INDEX(PP_Grid[#Data],$DD343,43),0)</f>
        <v/>
      </c>
      <c r="AT343">
        <f>IFERROR(INDEX(PP_Grid[#Data],$DD343,44),0)</f>
        <v/>
      </c>
      <c r="AU343">
        <f>IFERROR(INDEX(PP_Grid[#Data],$DD343,45),0)</f>
        <v/>
      </c>
      <c r="AV343">
        <f>IFERROR(INDEX(PP_Grid[#Data],$DD343,46),0)</f>
        <v/>
      </c>
      <c r="AW343">
        <f>IFERROR(INDEX(PP_Grid[#Data],$DD343,47),0)</f>
        <v/>
      </c>
      <c r="AX343">
        <f>IFERROR(INDEX(PP_Grid[#Data],$DD343,48),0)</f>
        <v/>
      </c>
      <c r="AY343">
        <f>IFERROR(INDEX(PP_Grid[#Data],$DD343,49),0)</f>
        <v/>
      </c>
      <c r="AZ343">
        <f>IFERROR(INDEX(PP_Grid[#Data],$DD343,50),0)</f>
        <v/>
      </c>
      <c r="BA343">
        <f>IFERROR(INDEX(PP_Grid[#Data],$DD343,51),0)</f>
        <v/>
      </c>
      <c r="BB343">
        <f>IFERROR(INDEX(PP_Grid[#Data],$DD343,52),0)</f>
        <v/>
      </c>
      <c r="BC343">
        <f>IFERROR(INDEX(PP_Grid[#Data],$DD343,53),0)</f>
        <v/>
      </c>
      <c r="BD343">
        <f>IFERROR(INDEX(PP_Grid[#Data],$DD343,54),0)</f>
        <v/>
      </c>
      <c r="BE343">
        <f>IFERROR(INDEX(PP_Grid[#Data],$DD343,55),0)</f>
        <v/>
      </c>
      <c r="BF343">
        <f>IFERROR(INDEX(PP_Grid[#Data],$DD343,56),0)</f>
        <v/>
      </c>
      <c r="BG343">
        <f>IFERROR(INDEX(PP_Grid[#Data],$DD343,57),0)</f>
        <v/>
      </c>
      <c r="BH343">
        <f>IFERROR(INDEX(PP_Grid[#Data],$DD343,58),0)</f>
        <v/>
      </c>
      <c r="BI343">
        <f>IFERROR(INDEX(PP_Grid[#Data],$DD343,59),0)</f>
        <v/>
      </c>
      <c r="BJ343">
        <f>IFERROR(INDEX(PP_Grid[#Data],$DD343,60),0)</f>
        <v/>
      </c>
      <c r="BK343">
        <f>IFERROR(INDEX(PP_Grid[#Data],$DD343,61),0)</f>
        <v/>
      </c>
      <c r="BL343">
        <f>IFERROR(INDEX(PP_Grid[#Data],$DD343,62),0)</f>
        <v/>
      </c>
      <c r="BM343">
        <f>IFERROR(INDEX(PP_Grid[#Data],$DD343,63),0)</f>
        <v/>
      </c>
      <c r="BN343">
        <f>IFERROR(INDEX(PP_Grid[#Data],$DD343,64),0)</f>
        <v/>
      </c>
      <c r="BO343">
        <f>IFERROR(INDEX(PP_Grid[#Data],$DD343,65),0)</f>
        <v/>
      </c>
      <c r="BP343">
        <f>IFERROR(INDEX(PP_Grid[#Data],$DD343,66),0)</f>
        <v/>
      </c>
      <c r="BQ343">
        <f>IFERROR(INDEX(PP_Grid[#Data],$DD343,67),0)</f>
        <v/>
      </c>
      <c r="BR343">
        <f>IFERROR(INDEX(PP_Grid[#Data],$DD343,68),0)</f>
        <v/>
      </c>
      <c r="BS343">
        <f>IFERROR(INDEX(PP_Grid[#Data],$DD343,69),0)</f>
        <v/>
      </c>
      <c r="BT343">
        <f>IFERROR(INDEX(PP_Grid[#Data],$DD343,70),0)</f>
        <v/>
      </c>
      <c r="BU343">
        <f>IFERROR(INDEX(PP_Grid[#Data],$DD343,71),0)</f>
        <v/>
      </c>
      <c r="BV343">
        <f>IFERROR(INDEX(PP_Grid[#Data],$DD343,72),0)</f>
        <v/>
      </c>
      <c r="BW343">
        <f>IFERROR(INDEX(PP_Grid[#Data],$DD343,73),0)</f>
        <v/>
      </c>
      <c r="BX343">
        <f>IFERROR(INDEX(PP_Grid[#Data],$DD343,74),0)</f>
        <v/>
      </c>
      <c r="BY343">
        <f>IFERROR(INDEX(PP_Grid[#Data],$DD343,75),0)</f>
        <v/>
      </c>
      <c r="BZ343">
        <f>IFERROR(INDEX(PP_Grid[#Data],$DD343,76),0)</f>
        <v/>
      </c>
      <c r="CA343">
        <f>IFERROR(INDEX(PP_Grid[#Data],$DD343,77),0)</f>
        <v/>
      </c>
      <c r="CB343">
        <f>IFERROR(INDEX(PP_Grid[#Data],$DD343,78),0)</f>
        <v/>
      </c>
      <c r="CC343">
        <f>IFERROR(INDEX(PP_Grid[#Data],$DD343,79),0)</f>
        <v/>
      </c>
      <c r="CD343">
        <f>IFERROR(INDEX(PP_Grid[#Data],$DD343,80),0)</f>
        <v/>
      </c>
      <c r="CE343">
        <f>IFERROR(INDEX(PP_Grid[#Data],$DD343,81),0)</f>
        <v/>
      </c>
      <c r="CF343">
        <f>IFERROR(INDEX(PP_Grid[#Data],$DD343,82),0)</f>
        <v/>
      </c>
      <c r="CG343">
        <f>IFERROR(INDEX(PP_Grid[#Data],$DD343,83),0)</f>
        <v/>
      </c>
      <c r="CH343">
        <f>IFERROR(INDEX(PP_Grid[#Data],$DD343,84),0)</f>
        <v/>
      </c>
      <c r="CI343">
        <f>IFERROR(INDEX(PP_Grid[#Data],$DD343,85),0)</f>
        <v/>
      </c>
      <c r="CJ343">
        <f>IFERROR(INDEX(PP_Grid[#Data],$DD343,86),0)</f>
        <v/>
      </c>
      <c r="CK343">
        <f>IFERROR(INDEX(PP_Grid[#Data],$DD343,87),0)</f>
        <v/>
      </c>
      <c r="CL343">
        <f>IFERROR(INDEX(PP_Grid[#Data],$DD343,88),0)</f>
        <v/>
      </c>
      <c r="CM343">
        <f>IFERROR(INDEX(PP_Grid[#Data],$DD343,89),0)</f>
        <v/>
      </c>
      <c r="CN343">
        <f>IFERROR(INDEX(PP_Grid[#Data],$DD343,90),0)</f>
        <v/>
      </c>
      <c r="CO343">
        <f>IFERROR(INDEX(PP_Grid[#Data],$DD343,91),0)</f>
        <v/>
      </c>
      <c r="CP343">
        <f>IFERROR(INDEX(PP_Grid[#Data],$DD343,92),0)</f>
        <v/>
      </c>
      <c r="CQ343">
        <f>IFERROR(INDEX(PP_Grid[#Data],$DD343,93),0)</f>
        <v/>
      </c>
      <c r="CR343">
        <f>IFERROR(INDEX(PP_Grid[#Data],$DD343,94),0)</f>
        <v/>
      </c>
      <c r="CS343">
        <f>IFERROR(INDEX(PP_Grid[#Data],$DD343,95),0)</f>
        <v/>
      </c>
      <c r="CT343">
        <f>IFERROR(INDEX(PP_Grid[#Data],$DD343,96),0)</f>
        <v/>
      </c>
      <c r="CU343">
        <f>IFERROR(INDEX(PP_Grid[#Data],$DD343,97),0)</f>
        <v/>
      </c>
      <c r="CV343">
        <f>IFERROR(INDEX(PP_Grid[#Data],$DD343,98),0)</f>
        <v/>
      </c>
      <c r="CW343">
        <f>IFERROR(INDEX(PP_Grid[#Data],$DD343,99),0)</f>
        <v/>
      </c>
      <c r="CX343">
        <f>IFERROR(INDEX(PP_Grid[#Data],$DD343,100),0)</f>
        <v/>
      </c>
      <c r="CY343">
        <f>IFERROR(INDEX(PP_Grid[#Data],$DD343,101),0)</f>
        <v/>
      </c>
      <c r="CZ343">
        <f>IFERROR(INDEX(PP_Grid[#Data],$DD343,102),0)</f>
        <v/>
      </c>
      <c r="DA343">
        <f>IFERROR(INDEX(PP_Grid[#Data],$DD343,103),0)</f>
        <v/>
      </c>
      <c r="DB343">
        <f>IFERROR(INDEX(PP_Grid[#Data],$DD343,104),0)</f>
        <v/>
      </c>
      <c r="DC343">
        <f>IFERROR(INDEX(PP_Grid[#Data],$DD343,105),0)</f>
        <v/>
      </c>
      <c r="DD343" s="7">
        <f>IFERROR(MATCH($B343,PP_Grid[Intermediate],0),99999)</f>
        <v/>
      </c>
    </row>
    <row r="344">
      <c r="B344" t="inlineStr">
        <is>
          <t>使用量(kg)</t>
        </is>
      </c>
      <c r="C344">
        <f>SUMIFS(M_BOM[RM_Qty_Per_Batch],M_BOM[Intermediate],$B343,M_BOM[Part Name],$A340)</f>
        <v/>
      </c>
      <c r="D344">
        <f>$C344*D343</f>
        <v/>
      </c>
      <c r="E344">
        <f>$C344*E343</f>
        <v/>
      </c>
      <c r="F344">
        <f>$C344*F343</f>
        <v/>
      </c>
      <c r="G344">
        <f>$C344*G343</f>
        <v/>
      </c>
      <c r="H344">
        <f>$C344*H343</f>
        <v/>
      </c>
      <c r="I344">
        <f>$C344*I343</f>
        <v/>
      </c>
      <c r="J344">
        <f>$C344*J343</f>
        <v/>
      </c>
      <c r="K344">
        <f>$C344*K343</f>
        <v/>
      </c>
      <c r="L344">
        <f>$C344*L343</f>
        <v/>
      </c>
      <c r="M344">
        <f>$C344*M343</f>
        <v/>
      </c>
      <c r="N344">
        <f>$C344*N343</f>
        <v/>
      </c>
      <c r="O344">
        <f>$C344*O343</f>
        <v/>
      </c>
      <c r="P344">
        <f>$C344*P343</f>
        <v/>
      </c>
      <c r="Q344">
        <f>$C344*Q343</f>
        <v/>
      </c>
      <c r="R344">
        <f>$C344*R343</f>
        <v/>
      </c>
      <c r="S344">
        <f>$C344*S343</f>
        <v/>
      </c>
      <c r="T344">
        <f>$C344*T343</f>
        <v/>
      </c>
      <c r="U344">
        <f>$C344*U343</f>
        <v/>
      </c>
      <c r="V344">
        <f>$C344*V343</f>
        <v/>
      </c>
      <c r="W344">
        <f>$C344*W343</f>
        <v/>
      </c>
      <c r="X344">
        <f>$C344*X343</f>
        <v/>
      </c>
      <c r="Y344">
        <f>$C344*Y343</f>
        <v/>
      </c>
      <c r="Z344">
        <f>$C344*Z343</f>
        <v/>
      </c>
      <c r="AA344">
        <f>$C344*AA343</f>
        <v/>
      </c>
      <c r="AB344">
        <f>$C344*AB343</f>
        <v/>
      </c>
      <c r="AC344">
        <f>$C344*AC343</f>
        <v/>
      </c>
      <c r="AD344">
        <f>$C344*AD343</f>
        <v/>
      </c>
      <c r="AE344">
        <f>$C344*AE343</f>
        <v/>
      </c>
      <c r="AF344">
        <f>$C344*AF343</f>
        <v/>
      </c>
      <c r="AG344">
        <f>$C344*AG343</f>
        <v/>
      </c>
      <c r="AH344">
        <f>$C344*AH343</f>
        <v/>
      </c>
      <c r="AI344">
        <f>$C344*AI343</f>
        <v/>
      </c>
      <c r="AJ344">
        <f>$C344*AJ343</f>
        <v/>
      </c>
      <c r="AK344">
        <f>$C344*AK343</f>
        <v/>
      </c>
      <c r="AL344">
        <f>$C344*AL343</f>
        <v/>
      </c>
      <c r="AM344">
        <f>$C344*AM343</f>
        <v/>
      </c>
      <c r="AN344">
        <f>$C344*AN343</f>
        <v/>
      </c>
      <c r="AO344">
        <f>$C344*AO343</f>
        <v/>
      </c>
      <c r="AP344">
        <f>$C344*AP343</f>
        <v/>
      </c>
      <c r="AQ344">
        <f>$C344*AQ343</f>
        <v/>
      </c>
      <c r="AR344">
        <f>$C344*AR343</f>
        <v/>
      </c>
      <c r="AS344">
        <f>$C344*AS343</f>
        <v/>
      </c>
      <c r="AT344">
        <f>$C344*AT343</f>
        <v/>
      </c>
      <c r="AU344">
        <f>$C344*AU343</f>
        <v/>
      </c>
      <c r="AV344">
        <f>$C344*AV343</f>
        <v/>
      </c>
      <c r="AW344">
        <f>$C344*AW343</f>
        <v/>
      </c>
      <c r="AX344">
        <f>$C344*AX343</f>
        <v/>
      </c>
      <c r="AY344">
        <f>$C344*AY343</f>
        <v/>
      </c>
      <c r="AZ344">
        <f>$C344*AZ343</f>
        <v/>
      </c>
      <c r="BA344">
        <f>$C344*BA343</f>
        <v/>
      </c>
      <c r="BB344">
        <f>$C344*BB343</f>
        <v/>
      </c>
      <c r="BC344">
        <f>$C344*BC343</f>
        <v/>
      </c>
      <c r="BD344">
        <f>$C344*BD343</f>
        <v/>
      </c>
      <c r="BE344">
        <f>$C344*BE343</f>
        <v/>
      </c>
      <c r="BF344">
        <f>$C344*BF343</f>
        <v/>
      </c>
      <c r="BG344">
        <f>$C344*BG343</f>
        <v/>
      </c>
      <c r="BH344">
        <f>$C344*BH343</f>
        <v/>
      </c>
      <c r="BI344">
        <f>$C344*BI343</f>
        <v/>
      </c>
      <c r="BJ344">
        <f>$C344*BJ343</f>
        <v/>
      </c>
      <c r="BK344">
        <f>$C344*BK343</f>
        <v/>
      </c>
      <c r="BL344">
        <f>$C344*BL343</f>
        <v/>
      </c>
      <c r="BM344">
        <f>$C344*BM343</f>
        <v/>
      </c>
      <c r="BN344">
        <f>$C344*BN343</f>
        <v/>
      </c>
      <c r="BO344">
        <f>$C344*BO343</f>
        <v/>
      </c>
      <c r="BP344">
        <f>$C344*BP343</f>
        <v/>
      </c>
      <c r="BQ344">
        <f>$C344*BQ343</f>
        <v/>
      </c>
      <c r="BR344">
        <f>$C344*BR343</f>
        <v/>
      </c>
      <c r="BS344">
        <f>$C344*BS343</f>
        <v/>
      </c>
      <c r="BT344">
        <f>$C344*BT343</f>
        <v/>
      </c>
      <c r="BU344">
        <f>$C344*BU343</f>
        <v/>
      </c>
      <c r="BV344">
        <f>$C344*BV343</f>
        <v/>
      </c>
      <c r="BW344">
        <f>$C344*BW343</f>
        <v/>
      </c>
      <c r="BX344">
        <f>$C344*BX343</f>
        <v/>
      </c>
      <c r="BY344">
        <f>$C344*BY343</f>
        <v/>
      </c>
      <c r="BZ344">
        <f>$C344*BZ343</f>
        <v/>
      </c>
      <c r="CA344">
        <f>$C344*CA343</f>
        <v/>
      </c>
      <c r="CB344">
        <f>$C344*CB343</f>
        <v/>
      </c>
      <c r="CC344">
        <f>$C344*CC343</f>
        <v/>
      </c>
      <c r="CD344">
        <f>$C344*CD343</f>
        <v/>
      </c>
      <c r="CE344">
        <f>$C344*CE343</f>
        <v/>
      </c>
      <c r="CF344">
        <f>$C344*CF343</f>
        <v/>
      </c>
      <c r="CG344">
        <f>$C344*CG343</f>
        <v/>
      </c>
      <c r="CH344">
        <f>$C344*CH343</f>
        <v/>
      </c>
      <c r="CI344">
        <f>$C344*CI343</f>
        <v/>
      </c>
      <c r="CJ344">
        <f>$C344*CJ343</f>
        <v/>
      </c>
      <c r="CK344">
        <f>$C344*CK343</f>
        <v/>
      </c>
      <c r="CL344">
        <f>$C344*CL343</f>
        <v/>
      </c>
      <c r="CM344">
        <f>$C344*CM343</f>
        <v/>
      </c>
      <c r="CN344">
        <f>$C344*CN343</f>
        <v/>
      </c>
      <c r="CO344">
        <f>$C344*CO343</f>
        <v/>
      </c>
      <c r="CP344">
        <f>$C344*CP343</f>
        <v/>
      </c>
      <c r="CQ344">
        <f>$C344*CQ343</f>
        <v/>
      </c>
      <c r="CR344">
        <f>$C344*CR343</f>
        <v/>
      </c>
      <c r="CS344">
        <f>$C344*CS343</f>
        <v/>
      </c>
      <c r="CT344">
        <f>$C344*CT343</f>
        <v/>
      </c>
      <c r="CU344">
        <f>$C344*CU343</f>
        <v/>
      </c>
      <c r="CV344">
        <f>$C344*CV343</f>
        <v/>
      </c>
      <c r="CW344">
        <f>$C344*CW343</f>
        <v/>
      </c>
      <c r="CX344">
        <f>$C344*CX343</f>
        <v/>
      </c>
      <c r="CY344">
        <f>$C344*CY343</f>
        <v/>
      </c>
      <c r="CZ344">
        <f>$C344*CZ343</f>
        <v/>
      </c>
      <c r="DA344">
        <f>$C344*DA343</f>
        <v/>
      </c>
      <c r="DB344">
        <f>$C344*DB343</f>
        <v/>
      </c>
      <c r="DC344">
        <f>$C344*DC343</f>
        <v/>
      </c>
    </row>
    <row r="345">
      <c r="B345" t="inlineStr">
        <is>
          <t>TSP-105</t>
        </is>
      </c>
      <c r="C345" t="inlineStr">
        <is>
          <t>No. of batches</t>
        </is>
      </c>
      <c r="D345">
        <f>IFERROR(INDEX(PP_Grid[#Data],$DD345,2),0)</f>
        <v/>
      </c>
      <c r="E345">
        <f>IFERROR(INDEX(PP_Grid[#Data],$DD345,3),0)</f>
        <v/>
      </c>
      <c r="F345">
        <f>IFERROR(INDEX(PP_Grid[#Data],$DD345,4),0)</f>
        <v/>
      </c>
      <c r="G345">
        <f>IFERROR(INDEX(PP_Grid[#Data],$DD345,5),0)</f>
        <v/>
      </c>
      <c r="H345">
        <f>IFERROR(INDEX(PP_Grid[#Data],$DD345,6),0)</f>
        <v/>
      </c>
      <c r="I345">
        <f>IFERROR(INDEX(PP_Grid[#Data],$DD345,7),0)</f>
        <v/>
      </c>
      <c r="J345">
        <f>IFERROR(INDEX(PP_Grid[#Data],$DD345,8),0)</f>
        <v/>
      </c>
      <c r="K345">
        <f>IFERROR(INDEX(PP_Grid[#Data],$DD345,9),0)</f>
        <v/>
      </c>
      <c r="L345">
        <f>IFERROR(INDEX(PP_Grid[#Data],$DD345,10),0)</f>
        <v/>
      </c>
      <c r="M345">
        <f>IFERROR(INDEX(PP_Grid[#Data],$DD345,11),0)</f>
        <v/>
      </c>
      <c r="N345">
        <f>IFERROR(INDEX(PP_Grid[#Data],$DD345,12),0)</f>
        <v/>
      </c>
      <c r="O345">
        <f>IFERROR(INDEX(PP_Grid[#Data],$DD345,13),0)</f>
        <v/>
      </c>
      <c r="P345">
        <f>IFERROR(INDEX(PP_Grid[#Data],$DD345,14),0)</f>
        <v/>
      </c>
      <c r="Q345">
        <f>IFERROR(INDEX(PP_Grid[#Data],$DD345,15),0)</f>
        <v/>
      </c>
      <c r="R345">
        <f>IFERROR(INDEX(PP_Grid[#Data],$DD345,16),0)</f>
        <v/>
      </c>
      <c r="S345">
        <f>IFERROR(INDEX(PP_Grid[#Data],$DD345,17),0)</f>
        <v/>
      </c>
      <c r="T345">
        <f>IFERROR(INDEX(PP_Grid[#Data],$DD345,18),0)</f>
        <v/>
      </c>
      <c r="U345">
        <f>IFERROR(INDEX(PP_Grid[#Data],$DD345,19),0)</f>
        <v/>
      </c>
      <c r="V345">
        <f>IFERROR(INDEX(PP_Grid[#Data],$DD345,20),0)</f>
        <v/>
      </c>
      <c r="W345">
        <f>IFERROR(INDEX(PP_Grid[#Data],$DD345,21),0)</f>
        <v/>
      </c>
      <c r="X345">
        <f>IFERROR(INDEX(PP_Grid[#Data],$DD345,22),0)</f>
        <v/>
      </c>
      <c r="Y345">
        <f>IFERROR(INDEX(PP_Grid[#Data],$DD345,23),0)</f>
        <v/>
      </c>
      <c r="Z345">
        <f>IFERROR(INDEX(PP_Grid[#Data],$DD345,24),0)</f>
        <v/>
      </c>
      <c r="AA345">
        <f>IFERROR(INDEX(PP_Grid[#Data],$DD345,25),0)</f>
        <v/>
      </c>
      <c r="AB345">
        <f>IFERROR(INDEX(PP_Grid[#Data],$DD345,26),0)</f>
        <v/>
      </c>
      <c r="AC345">
        <f>IFERROR(INDEX(PP_Grid[#Data],$DD345,27),0)</f>
        <v/>
      </c>
      <c r="AD345">
        <f>IFERROR(INDEX(PP_Grid[#Data],$DD345,28),0)</f>
        <v/>
      </c>
      <c r="AE345">
        <f>IFERROR(INDEX(PP_Grid[#Data],$DD345,29),0)</f>
        <v/>
      </c>
      <c r="AF345">
        <f>IFERROR(INDEX(PP_Grid[#Data],$DD345,30),0)</f>
        <v/>
      </c>
      <c r="AG345">
        <f>IFERROR(INDEX(PP_Grid[#Data],$DD345,31),0)</f>
        <v/>
      </c>
      <c r="AH345">
        <f>IFERROR(INDEX(PP_Grid[#Data],$DD345,32),0)</f>
        <v/>
      </c>
      <c r="AI345">
        <f>IFERROR(INDEX(PP_Grid[#Data],$DD345,33),0)</f>
        <v/>
      </c>
      <c r="AJ345">
        <f>IFERROR(INDEX(PP_Grid[#Data],$DD345,34),0)</f>
        <v/>
      </c>
      <c r="AK345">
        <f>IFERROR(INDEX(PP_Grid[#Data],$DD345,35),0)</f>
        <v/>
      </c>
      <c r="AL345">
        <f>IFERROR(INDEX(PP_Grid[#Data],$DD345,36),0)</f>
        <v/>
      </c>
      <c r="AM345">
        <f>IFERROR(INDEX(PP_Grid[#Data],$DD345,37),0)</f>
        <v/>
      </c>
      <c r="AN345">
        <f>IFERROR(INDEX(PP_Grid[#Data],$DD345,38),0)</f>
        <v/>
      </c>
      <c r="AO345">
        <f>IFERROR(INDEX(PP_Grid[#Data],$DD345,39),0)</f>
        <v/>
      </c>
      <c r="AP345">
        <f>IFERROR(INDEX(PP_Grid[#Data],$DD345,40),0)</f>
        <v/>
      </c>
      <c r="AQ345">
        <f>IFERROR(INDEX(PP_Grid[#Data],$DD345,41),0)</f>
        <v/>
      </c>
      <c r="AR345">
        <f>IFERROR(INDEX(PP_Grid[#Data],$DD345,42),0)</f>
        <v/>
      </c>
      <c r="AS345">
        <f>IFERROR(INDEX(PP_Grid[#Data],$DD345,43),0)</f>
        <v/>
      </c>
      <c r="AT345">
        <f>IFERROR(INDEX(PP_Grid[#Data],$DD345,44),0)</f>
        <v/>
      </c>
      <c r="AU345">
        <f>IFERROR(INDEX(PP_Grid[#Data],$DD345,45),0)</f>
        <v/>
      </c>
      <c r="AV345">
        <f>IFERROR(INDEX(PP_Grid[#Data],$DD345,46),0)</f>
        <v/>
      </c>
      <c r="AW345">
        <f>IFERROR(INDEX(PP_Grid[#Data],$DD345,47),0)</f>
        <v/>
      </c>
      <c r="AX345">
        <f>IFERROR(INDEX(PP_Grid[#Data],$DD345,48),0)</f>
        <v/>
      </c>
      <c r="AY345">
        <f>IFERROR(INDEX(PP_Grid[#Data],$DD345,49),0)</f>
        <v/>
      </c>
      <c r="AZ345">
        <f>IFERROR(INDEX(PP_Grid[#Data],$DD345,50),0)</f>
        <v/>
      </c>
      <c r="BA345">
        <f>IFERROR(INDEX(PP_Grid[#Data],$DD345,51),0)</f>
        <v/>
      </c>
      <c r="BB345">
        <f>IFERROR(INDEX(PP_Grid[#Data],$DD345,52),0)</f>
        <v/>
      </c>
      <c r="BC345">
        <f>IFERROR(INDEX(PP_Grid[#Data],$DD345,53),0)</f>
        <v/>
      </c>
      <c r="BD345">
        <f>IFERROR(INDEX(PP_Grid[#Data],$DD345,54),0)</f>
        <v/>
      </c>
      <c r="BE345">
        <f>IFERROR(INDEX(PP_Grid[#Data],$DD345,55),0)</f>
        <v/>
      </c>
      <c r="BF345">
        <f>IFERROR(INDEX(PP_Grid[#Data],$DD345,56),0)</f>
        <v/>
      </c>
      <c r="BG345">
        <f>IFERROR(INDEX(PP_Grid[#Data],$DD345,57),0)</f>
        <v/>
      </c>
      <c r="BH345">
        <f>IFERROR(INDEX(PP_Grid[#Data],$DD345,58),0)</f>
        <v/>
      </c>
      <c r="BI345">
        <f>IFERROR(INDEX(PP_Grid[#Data],$DD345,59),0)</f>
        <v/>
      </c>
      <c r="BJ345">
        <f>IFERROR(INDEX(PP_Grid[#Data],$DD345,60),0)</f>
        <v/>
      </c>
      <c r="BK345">
        <f>IFERROR(INDEX(PP_Grid[#Data],$DD345,61),0)</f>
        <v/>
      </c>
      <c r="BL345">
        <f>IFERROR(INDEX(PP_Grid[#Data],$DD345,62),0)</f>
        <v/>
      </c>
      <c r="BM345">
        <f>IFERROR(INDEX(PP_Grid[#Data],$DD345,63),0)</f>
        <v/>
      </c>
      <c r="BN345">
        <f>IFERROR(INDEX(PP_Grid[#Data],$DD345,64),0)</f>
        <v/>
      </c>
      <c r="BO345">
        <f>IFERROR(INDEX(PP_Grid[#Data],$DD345,65),0)</f>
        <v/>
      </c>
      <c r="BP345">
        <f>IFERROR(INDEX(PP_Grid[#Data],$DD345,66),0)</f>
        <v/>
      </c>
      <c r="BQ345">
        <f>IFERROR(INDEX(PP_Grid[#Data],$DD345,67),0)</f>
        <v/>
      </c>
      <c r="BR345">
        <f>IFERROR(INDEX(PP_Grid[#Data],$DD345,68),0)</f>
        <v/>
      </c>
      <c r="BS345">
        <f>IFERROR(INDEX(PP_Grid[#Data],$DD345,69),0)</f>
        <v/>
      </c>
      <c r="BT345">
        <f>IFERROR(INDEX(PP_Grid[#Data],$DD345,70),0)</f>
        <v/>
      </c>
      <c r="BU345">
        <f>IFERROR(INDEX(PP_Grid[#Data],$DD345,71),0)</f>
        <v/>
      </c>
      <c r="BV345">
        <f>IFERROR(INDEX(PP_Grid[#Data],$DD345,72),0)</f>
        <v/>
      </c>
      <c r="BW345">
        <f>IFERROR(INDEX(PP_Grid[#Data],$DD345,73),0)</f>
        <v/>
      </c>
      <c r="BX345">
        <f>IFERROR(INDEX(PP_Grid[#Data],$DD345,74),0)</f>
        <v/>
      </c>
      <c r="BY345">
        <f>IFERROR(INDEX(PP_Grid[#Data],$DD345,75),0)</f>
        <v/>
      </c>
      <c r="BZ345">
        <f>IFERROR(INDEX(PP_Grid[#Data],$DD345,76),0)</f>
        <v/>
      </c>
      <c r="CA345">
        <f>IFERROR(INDEX(PP_Grid[#Data],$DD345,77),0)</f>
        <v/>
      </c>
      <c r="CB345">
        <f>IFERROR(INDEX(PP_Grid[#Data],$DD345,78),0)</f>
        <v/>
      </c>
      <c r="CC345">
        <f>IFERROR(INDEX(PP_Grid[#Data],$DD345,79),0)</f>
        <v/>
      </c>
      <c r="CD345">
        <f>IFERROR(INDEX(PP_Grid[#Data],$DD345,80),0)</f>
        <v/>
      </c>
      <c r="CE345">
        <f>IFERROR(INDEX(PP_Grid[#Data],$DD345,81),0)</f>
        <v/>
      </c>
      <c r="CF345">
        <f>IFERROR(INDEX(PP_Grid[#Data],$DD345,82),0)</f>
        <v/>
      </c>
      <c r="CG345">
        <f>IFERROR(INDEX(PP_Grid[#Data],$DD345,83),0)</f>
        <v/>
      </c>
      <c r="CH345">
        <f>IFERROR(INDEX(PP_Grid[#Data],$DD345,84),0)</f>
        <v/>
      </c>
      <c r="CI345">
        <f>IFERROR(INDEX(PP_Grid[#Data],$DD345,85),0)</f>
        <v/>
      </c>
      <c r="CJ345">
        <f>IFERROR(INDEX(PP_Grid[#Data],$DD345,86),0)</f>
        <v/>
      </c>
      <c r="CK345">
        <f>IFERROR(INDEX(PP_Grid[#Data],$DD345,87),0)</f>
        <v/>
      </c>
      <c r="CL345">
        <f>IFERROR(INDEX(PP_Grid[#Data],$DD345,88),0)</f>
        <v/>
      </c>
      <c r="CM345">
        <f>IFERROR(INDEX(PP_Grid[#Data],$DD345,89),0)</f>
        <v/>
      </c>
      <c r="CN345">
        <f>IFERROR(INDEX(PP_Grid[#Data],$DD345,90),0)</f>
        <v/>
      </c>
      <c r="CO345">
        <f>IFERROR(INDEX(PP_Grid[#Data],$DD345,91),0)</f>
        <v/>
      </c>
      <c r="CP345">
        <f>IFERROR(INDEX(PP_Grid[#Data],$DD345,92),0)</f>
        <v/>
      </c>
      <c r="CQ345">
        <f>IFERROR(INDEX(PP_Grid[#Data],$DD345,93),0)</f>
        <v/>
      </c>
      <c r="CR345">
        <f>IFERROR(INDEX(PP_Grid[#Data],$DD345,94),0)</f>
        <v/>
      </c>
      <c r="CS345">
        <f>IFERROR(INDEX(PP_Grid[#Data],$DD345,95),0)</f>
        <v/>
      </c>
      <c r="CT345">
        <f>IFERROR(INDEX(PP_Grid[#Data],$DD345,96),0)</f>
        <v/>
      </c>
      <c r="CU345">
        <f>IFERROR(INDEX(PP_Grid[#Data],$DD345,97),0)</f>
        <v/>
      </c>
      <c r="CV345">
        <f>IFERROR(INDEX(PP_Grid[#Data],$DD345,98),0)</f>
        <v/>
      </c>
      <c r="CW345">
        <f>IFERROR(INDEX(PP_Grid[#Data],$DD345,99),0)</f>
        <v/>
      </c>
      <c r="CX345">
        <f>IFERROR(INDEX(PP_Grid[#Data],$DD345,100),0)</f>
        <v/>
      </c>
      <c r="CY345">
        <f>IFERROR(INDEX(PP_Grid[#Data],$DD345,101),0)</f>
        <v/>
      </c>
      <c r="CZ345">
        <f>IFERROR(INDEX(PP_Grid[#Data],$DD345,102),0)</f>
        <v/>
      </c>
      <c r="DA345">
        <f>IFERROR(INDEX(PP_Grid[#Data],$DD345,103),0)</f>
        <v/>
      </c>
      <c r="DB345">
        <f>IFERROR(INDEX(PP_Grid[#Data],$DD345,104),0)</f>
        <v/>
      </c>
      <c r="DC345">
        <f>IFERROR(INDEX(PP_Grid[#Data],$DD345,105),0)</f>
        <v/>
      </c>
      <c r="DD345" s="7">
        <f>IFERROR(MATCH($B345,PP_Grid[Intermediate],0),99999)</f>
        <v/>
      </c>
    </row>
    <row r="346">
      <c r="B346" t="inlineStr">
        <is>
          <t>使用量(kg)</t>
        </is>
      </c>
      <c r="C346">
        <f>SUMIFS(M_BOM[RM_Qty_Per_Batch],M_BOM[Intermediate],$B345,M_BOM[Part Name],$A340)</f>
        <v/>
      </c>
      <c r="D346">
        <f>$C346*D345</f>
        <v/>
      </c>
      <c r="E346">
        <f>$C346*E345</f>
        <v/>
      </c>
      <c r="F346">
        <f>$C346*F345</f>
        <v/>
      </c>
      <c r="G346">
        <f>$C346*G345</f>
        <v/>
      </c>
      <c r="H346">
        <f>$C346*H345</f>
        <v/>
      </c>
      <c r="I346">
        <f>$C346*I345</f>
        <v/>
      </c>
      <c r="J346">
        <f>$C346*J345</f>
        <v/>
      </c>
      <c r="K346">
        <f>$C346*K345</f>
        <v/>
      </c>
      <c r="L346">
        <f>$C346*L345</f>
        <v/>
      </c>
      <c r="M346">
        <f>$C346*M345</f>
        <v/>
      </c>
      <c r="N346">
        <f>$C346*N345</f>
        <v/>
      </c>
      <c r="O346">
        <f>$C346*O345</f>
        <v/>
      </c>
      <c r="P346">
        <f>$C346*P345</f>
        <v/>
      </c>
      <c r="Q346">
        <f>$C346*Q345</f>
        <v/>
      </c>
      <c r="R346">
        <f>$C346*R345</f>
        <v/>
      </c>
      <c r="S346">
        <f>$C346*S345</f>
        <v/>
      </c>
      <c r="T346">
        <f>$C346*T345</f>
        <v/>
      </c>
      <c r="U346">
        <f>$C346*U345</f>
        <v/>
      </c>
      <c r="V346">
        <f>$C346*V345</f>
        <v/>
      </c>
      <c r="W346">
        <f>$C346*W345</f>
        <v/>
      </c>
      <c r="X346">
        <f>$C346*X345</f>
        <v/>
      </c>
      <c r="Y346">
        <f>$C346*Y345</f>
        <v/>
      </c>
      <c r="Z346">
        <f>$C346*Z345</f>
        <v/>
      </c>
      <c r="AA346">
        <f>$C346*AA345</f>
        <v/>
      </c>
      <c r="AB346">
        <f>$C346*AB345</f>
        <v/>
      </c>
      <c r="AC346">
        <f>$C346*AC345</f>
        <v/>
      </c>
      <c r="AD346">
        <f>$C346*AD345</f>
        <v/>
      </c>
      <c r="AE346">
        <f>$C346*AE345</f>
        <v/>
      </c>
      <c r="AF346">
        <f>$C346*AF345</f>
        <v/>
      </c>
      <c r="AG346">
        <f>$C346*AG345</f>
        <v/>
      </c>
      <c r="AH346">
        <f>$C346*AH345</f>
        <v/>
      </c>
      <c r="AI346">
        <f>$C346*AI345</f>
        <v/>
      </c>
      <c r="AJ346">
        <f>$C346*AJ345</f>
        <v/>
      </c>
      <c r="AK346">
        <f>$C346*AK345</f>
        <v/>
      </c>
      <c r="AL346">
        <f>$C346*AL345</f>
        <v/>
      </c>
      <c r="AM346">
        <f>$C346*AM345</f>
        <v/>
      </c>
      <c r="AN346">
        <f>$C346*AN345</f>
        <v/>
      </c>
      <c r="AO346">
        <f>$C346*AO345</f>
        <v/>
      </c>
      <c r="AP346">
        <f>$C346*AP345</f>
        <v/>
      </c>
      <c r="AQ346">
        <f>$C346*AQ345</f>
        <v/>
      </c>
      <c r="AR346">
        <f>$C346*AR345</f>
        <v/>
      </c>
      <c r="AS346">
        <f>$C346*AS345</f>
        <v/>
      </c>
      <c r="AT346">
        <f>$C346*AT345</f>
        <v/>
      </c>
      <c r="AU346">
        <f>$C346*AU345</f>
        <v/>
      </c>
      <c r="AV346">
        <f>$C346*AV345</f>
        <v/>
      </c>
      <c r="AW346">
        <f>$C346*AW345</f>
        <v/>
      </c>
      <c r="AX346">
        <f>$C346*AX345</f>
        <v/>
      </c>
      <c r="AY346">
        <f>$C346*AY345</f>
        <v/>
      </c>
      <c r="AZ346">
        <f>$C346*AZ345</f>
        <v/>
      </c>
      <c r="BA346">
        <f>$C346*BA345</f>
        <v/>
      </c>
      <c r="BB346">
        <f>$C346*BB345</f>
        <v/>
      </c>
      <c r="BC346">
        <f>$C346*BC345</f>
        <v/>
      </c>
      <c r="BD346">
        <f>$C346*BD345</f>
        <v/>
      </c>
      <c r="BE346">
        <f>$C346*BE345</f>
        <v/>
      </c>
      <c r="BF346">
        <f>$C346*BF345</f>
        <v/>
      </c>
      <c r="BG346">
        <f>$C346*BG345</f>
        <v/>
      </c>
      <c r="BH346">
        <f>$C346*BH345</f>
        <v/>
      </c>
      <c r="BI346">
        <f>$C346*BI345</f>
        <v/>
      </c>
      <c r="BJ346">
        <f>$C346*BJ345</f>
        <v/>
      </c>
      <c r="BK346">
        <f>$C346*BK345</f>
        <v/>
      </c>
      <c r="BL346">
        <f>$C346*BL345</f>
        <v/>
      </c>
      <c r="BM346">
        <f>$C346*BM345</f>
        <v/>
      </c>
      <c r="BN346">
        <f>$C346*BN345</f>
        <v/>
      </c>
      <c r="BO346">
        <f>$C346*BO345</f>
        <v/>
      </c>
      <c r="BP346">
        <f>$C346*BP345</f>
        <v/>
      </c>
      <c r="BQ346">
        <f>$C346*BQ345</f>
        <v/>
      </c>
      <c r="BR346">
        <f>$C346*BR345</f>
        <v/>
      </c>
      <c r="BS346">
        <f>$C346*BS345</f>
        <v/>
      </c>
      <c r="BT346">
        <f>$C346*BT345</f>
        <v/>
      </c>
      <c r="BU346">
        <f>$C346*BU345</f>
        <v/>
      </c>
      <c r="BV346">
        <f>$C346*BV345</f>
        <v/>
      </c>
      <c r="BW346">
        <f>$C346*BW345</f>
        <v/>
      </c>
      <c r="BX346">
        <f>$C346*BX345</f>
        <v/>
      </c>
      <c r="BY346">
        <f>$C346*BY345</f>
        <v/>
      </c>
      <c r="BZ346">
        <f>$C346*BZ345</f>
        <v/>
      </c>
      <c r="CA346">
        <f>$C346*CA345</f>
        <v/>
      </c>
      <c r="CB346">
        <f>$C346*CB345</f>
        <v/>
      </c>
      <c r="CC346">
        <f>$C346*CC345</f>
        <v/>
      </c>
      <c r="CD346">
        <f>$C346*CD345</f>
        <v/>
      </c>
      <c r="CE346">
        <f>$C346*CE345</f>
        <v/>
      </c>
      <c r="CF346">
        <f>$C346*CF345</f>
        <v/>
      </c>
      <c r="CG346">
        <f>$C346*CG345</f>
        <v/>
      </c>
      <c r="CH346">
        <f>$C346*CH345</f>
        <v/>
      </c>
      <c r="CI346">
        <f>$C346*CI345</f>
        <v/>
      </c>
      <c r="CJ346">
        <f>$C346*CJ345</f>
        <v/>
      </c>
      <c r="CK346">
        <f>$C346*CK345</f>
        <v/>
      </c>
      <c r="CL346">
        <f>$C346*CL345</f>
        <v/>
      </c>
      <c r="CM346">
        <f>$C346*CM345</f>
        <v/>
      </c>
      <c r="CN346">
        <f>$C346*CN345</f>
        <v/>
      </c>
      <c r="CO346">
        <f>$C346*CO345</f>
        <v/>
      </c>
      <c r="CP346">
        <f>$C346*CP345</f>
        <v/>
      </c>
      <c r="CQ346">
        <f>$C346*CQ345</f>
        <v/>
      </c>
      <c r="CR346">
        <f>$C346*CR345</f>
        <v/>
      </c>
      <c r="CS346">
        <f>$C346*CS345</f>
        <v/>
      </c>
      <c r="CT346">
        <f>$C346*CT345</f>
        <v/>
      </c>
      <c r="CU346">
        <f>$C346*CU345</f>
        <v/>
      </c>
      <c r="CV346">
        <f>$C346*CV345</f>
        <v/>
      </c>
      <c r="CW346">
        <f>$C346*CW345</f>
        <v/>
      </c>
      <c r="CX346">
        <f>$C346*CX345</f>
        <v/>
      </c>
      <c r="CY346">
        <f>$C346*CY345</f>
        <v/>
      </c>
      <c r="CZ346">
        <f>$C346*CZ345</f>
        <v/>
      </c>
      <c r="DA346">
        <f>$C346*DA345</f>
        <v/>
      </c>
      <c r="DB346">
        <f>$C346*DB345</f>
        <v/>
      </c>
      <c r="DC346">
        <f>$C346*DC345</f>
        <v/>
      </c>
    </row>
    <row r="347">
      <c r="B347" t="inlineStr">
        <is>
          <t>TSP-199</t>
        </is>
      </c>
      <c r="C347" t="inlineStr">
        <is>
          <t>No. of batches</t>
        </is>
      </c>
      <c r="D347">
        <f>IFERROR(INDEX(PP_Grid[#Data],$DD347,2),0)</f>
        <v/>
      </c>
      <c r="E347">
        <f>IFERROR(INDEX(PP_Grid[#Data],$DD347,3),0)</f>
        <v/>
      </c>
      <c r="F347">
        <f>IFERROR(INDEX(PP_Grid[#Data],$DD347,4),0)</f>
        <v/>
      </c>
      <c r="G347">
        <f>IFERROR(INDEX(PP_Grid[#Data],$DD347,5),0)</f>
        <v/>
      </c>
      <c r="H347">
        <f>IFERROR(INDEX(PP_Grid[#Data],$DD347,6),0)</f>
        <v/>
      </c>
      <c r="I347">
        <f>IFERROR(INDEX(PP_Grid[#Data],$DD347,7),0)</f>
        <v/>
      </c>
      <c r="J347">
        <f>IFERROR(INDEX(PP_Grid[#Data],$DD347,8),0)</f>
        <v/>
      </c>
      <c r="K347">
        <f>IFERROR(INDEX(PP_Grid[#Data],$DD347,9),0)</f>
        <v/>
      </c>
      <c r="L347">
        <f>IFERROR(INDEX(PP_Grid[#Data],$DD347,10),0)</f>
        <v/>
      </c>
      <c r="M347">
        <f>IFERROR(INDEX(PP_Grid[#Data],$DD347,11),0)</f>
        <v/>
      </c>
      <c r="N347">
        <f>IFERROR(INDEX(PP_Grid[#Data],$DD347,12),0)</f>
        <v/>
      </c>
      <c r="O347">
        <f>IFERROR(INDEX(PP_Grid[#Data],$DD347,13),0)</f>
        <v/>
      </c>
      <c r="P347">
        <f>IFERROR(INDEX(PP_Grid[#Data],$DD347,14),0)</f>
        <v/>
      </c>
      <c r="Q347">
        <f>IFERROR(INDEX(PP_Grid[#Data],$DD347,15),0)</f>
        <v/>
      </c>
      <c r="R347">
        <f>IFERROR(INDEX(PP_Grid[#Data],$DD347,16),0)</f>
        <v/>
      </c>
      <c r="S347">
        <f>IFERROR(INDEX(PP_Grid[#Data],$DD347,17),0)</f>
        <v/>
      </c>
      <c r="T347">
        <f>IFERROR(INDEX(PP_Grid[#Data],$DD347,18),0)</f>
        <v/>
      </c>
      <c r="U347">
        <f>IFERROR(INDEX(PP_Grid[#Data],$DD347,19),0)</f>
        <v/>
      </c>
      <c r="V347">
        <f>IFERROR(INDEX(PP_Grid[#Data],$DD347,20),0)</f>
        <v/>
      </c>
      <c r="W347">
        <f>IFERROR(INDEX(PP_Grid[#Data],$DD347,21),0)</f>
        <v/>
      </c>
      <c r="X347">
        <f>IFERROR(INDEX(PP_Grid[#Data],$DD347,22),0)</f>
        <v/>
      </c>
      <c r="Y347">
        <f>IFERROR(INDEX(PP_Grid[#Data],$DD347,23),0)</f>
        <v/>
      </c>
      <c r="Z347">
        <f>IFERROR(INDEX(PP_Grid[#Data],$DD347,24),0)</f>
        <v/>
      </c>
      <c r="AA347">
        <f>IFERROR(INDEX(PP_Grid[#Data],$DD347,25),0)</f>
        <v/>
      </c>
      <c r="AB347">
        <f>IFERROR(INDEX(PP_Grid[#Data],$DD347,26),0)</f>
        <v/>
      </c>
      <c r="AC347">
        <f>IFERROR(INDEX(PP_Grid[#Data],$DD347,27),0)</f>
        <v/>
      </c>
      <c r="AD347">
        <f>IFERROR(INDEX(PP_Grid[#Data],$DD347,28),0)</f>
        <v/>
      </c>
      <c r="AE347">
        <f>IFERROR(INDEX(PP_Grid[#Data],$DD347,29),0)</f>
        <v/>
      </c>
      <c r="AF347">
        <f>IFERROR(INDEX(PP_Grid[#Data],$DD347,30),0)</f>
        <v/>
      </c>
      <c r="AG347">
        <f>IFERROR(INDEX(PP_Grid[#Data],$DD347,31),0)</f>
        <v/>
      </c>
      <c r="AH347">
        <f>IFERROR(INDEX(PP_Grid[#Data],$DD347,32),0)</f>
        <v/>
      </c>
      <c r="AI347">
        <f>IFERROR(INDEX(PP_Grid[#Data],$DD347,33),0)</f>
        <v/>
      </c>
      <c r="AJ347">
        <f>IFERROR(INDEX(PP_Grid[#Data],$DD347,34),0)</f>
        <v/>
      </c>
      <c r="AK347">
        <f>IFERROR(INDEX(PP_Grid[#Data],$DD347,35),0)</f>
        <v/>
      </c>
      <c r="AL347">
        <f>IFERROR(INDEX(PP_Grid[#Data],$DD347,36),0)</f>
        <v/>
      </c>
      <c r="AM347">
        <f>IFERROR(INDEX(PP_Grid[#Data],$DD347,37),0)</f>
        <v/>
      </c>
      <c r="AN347">
        <f>IFERROR(INDEX(PP_Grid[#Data],$DD347,38),0)</f>
        <v/>
      </c>
      <c r="AO347">
        <f>IFERROR(INDEX(PP_Grid[#Data],$DD347,39),0)</f>
        <v/>
      </c>
      <c r="AP347">
        <f>IFERROR(INDEX(PP_Grid[#Data],$DD347,40),0)</f>
        <v/>
      </c>
      <c r="AQ347">
        <f>IFERROR(INDEX(PP_Grid[#Data],$DD347,41),0)</f>
        <v/>
      </c>
      <c r="AR347">
        <f>IFERROR(INDEX(PP_Grid[#Data],$DD347,42),0)</f>
        <v/>
      </c>
      <c r="AS347">
        <f>IFERROR(INDEX(PP_Grid[#Data],$DD347,43),0)</f>
        <v/>
      </c>
      <c r="AT347">
        <f>IFERROR(INDEX(PP_Grid[#Data],$DD347,44),0)</f>
        <v/>
      </c>
      <c r="AU347">
        <f>IFERROR(INDEX(PP_Grid[#Data],$DD347,45),0)</f>
        <v/>
      </c>
      <c r="AV347">
        <f>IFERROR(INDEX(PP_Grid[#Data],$DD347,46),0)</f>
        <v/>
      </c>
      <c r="AW347">
        <f>IFERROR(INDEX(PP_Grid[#Data],$DD347,47),0)</f>
        <v/>
      </c>
      <c r="AX347">
        <f>IFERROR(INDEX(PP_Grid[#Data],$DD347,48),0)</f>
        <v/>
      </c>
      <c r="AY347">
        <f>IFERROR(INDEX(PP_Grid[#Data],$DD347,49),0)</f>
        <v/>
      </c>
      <c r="AZ347">
        <f>IFERROR(INDEX(PP_Grid[#Data],$DD347,50),0)</f>
        <v/>
      </c>
      <c r="BA347">
        <f>IFERROR(INDEX(PP_Grid[#Data],$DD347,51),0)</f>
        <v/>
      </c>
      <c r="BB347">
        <f>IFERROR(INDEX(PP_Grid[#Data],$DD347,52),0)</f>
        <v/>
      </c>
      <c r="BC347">
        <f>IFERROR(INDEX(PP_Grid[#Data],$DD347,53),0)</f>
        <v/>
      </c>
      <c r="BD347">
        <f>IFERROR(INDEX(PP_Grid[#Data],$DD347,54),0)</f>
        <v/>
      </c>
      <c r="BE347">
        <f>IFERROR(INDEX(PP_Grid[#Data],$DD347,55),0)</f>
        <v/>
      </c>
      <c r="BF347">
        <f>IFERROR(INDEX(PP_Grid[#Data],$DD347,56),0)</f>
        <v/>
      </c>
      <c r="BG347">
        <f>IFERROR(INDEX(PP_Grid[#Data],$DD347,57),0)</f>
        <v/>
      </c>
      <c r="BH347">
        <f>IFERROR(INDEX(PP_Grid[#Data],$DD347,58),0)</f>
        <v/>
      </c>
      <c r="BI347">
        <f>IFERROR(INDEX(PP_Grid[#Data],$DD347,59),0)</f>
        <v/>
      </c>
      <c r="BJ347">
        <f>IFERROR(INDEX(PP_Grid[#Data],$DD347,60),0)</f>
        <v/>
      </c>
      <c r="BK347">
        <f>IFERROR(INDEX(PP_Grid[#Data],$DD347,61),0)</f>
        <v/>
      </c>
      <c r="BL347">
        <f>IFERROR(INDEX(PP_Grid[#Data],$DD347,62),0)</f>
        <v/>
      </c>
      <c r="BM347">
        <f>IFERROR(INDEX(PP_Grid[#Data],$DD347,63),0)</f>
        <v/>
      </c>
      <c r="BN347">
        <f>IFERROR(INDEX(PP_Grid[#Data],$DD347,64),0)</f>
        <v/>
      </c>
      <c r="BO347">
        <f>IFERROR(INDEX(PP_Grid[#Data],$DD347,65),0)</f>
        <v/>
      </c>
      <c r="BP347">
        <f>IFERROR(INDEX(PP_Grid[#Data],$DD347,66),0)</f>
        <v/>
      </c>
      <c r="BQ347">
        <f>IFERROR(INDEX(PP_Grid[#Data],$DD347,67),0)</f>
        <v/>
      </c>
      <c r="BR347">
        <f>IFERROR(INDEX(PP_Grid[#Data],$DD347,68),0)</f>
        <v/>
      </c>
      <c r="BS347">
        <f>IFERROR(INDEX(PP_Grid[#Data],$DD347,69),0)</f>
        <v/>
      </c>
      <c r="BT347">
        <f>IFERROR(INDEX(PP_Grid[#Data],$DD347,70),0)</f>
        <v/>
      </c>
      <c r="BU347">
        <f>IFERROR(INDEX(PP_Grid[#Data],$DD347,71),0)</f>
        <v/>
      </c>
      <c r="BV347">
        <f>IFERROR(INDEX(PP_Grid[#Data],$DD347,72),0)</f>
        <v/>
      </c>
      <c r="BW347">
        <f>IFERROR(INDEX(PP_Grid[#Data],$DD347,73),0)</f>
        <v/>
      </c>
      <c r="BX347">
        <f>IFERROR(INDEX(PP_Grid[#Data],$DD347,74),0)</f>
        <v/>
      </c>
      <c r="BY347">
        <f>IFERROR(INDEX(PP_Grid[#Data],$DD347,75),0)</f>
        <v/>
      </c>
      <c r="BZ347">
        <f>IFERROR(INDEX(PP_Grid[#Data],$DD347,76),0)</f>
        <v/>
      </c>
      <c r="CA347">
        <f>IFERROR(INDEX(PP_Grid[#Data],$DD347,77),0)</f>
        <v/>
      </c>
      <c r="CB347">
        <f>IFERROR(INDEX(PP_Grid[#Data],$DD347,78),0)</f>
        <v/>
      </c>
      <c r="CC347">
        <f>IFERROR(INDEX(PP_Grid[#Data],$DD347,79),0)</f>
        <v/>
      </c>
      <c r="CD347">
        <f>IFERROR(INDEX(PP_Grid[#Data],$DD347,80),0)</f>
        <v/>
      </c>
      <c r="CE347">
        <f>IFERROR(INDEX(PP_Grid[#Data],$DD347,81),0)</f>
        <v/>
      </c>
      <c r="CF347">
        <f>IFERROR(INDEX(PP_Grid[#Data],$DD347,82),0)</f>
        <v/>
      </c>
      <c r="CG347">
        <f>IFERROR(INDEX(PP_Grid[#Data],$DD347,83),0)</f>
        <v/>
      </c>
      <c r="CH347">
        <f>IFERROR(INDEX(PP_Grid[#Data],$DD347,84),0)</f>
        <v/>
      </c>
      <c r="CI347">
        <f>IFERROR(INDEX(PP_Grid[#Data],$DD347,85),0)</f>
        <v/>
      </c>
      <c r="CJ347">
        <f>IFERROR(INDEX(PP_Grid[#Data],$DD347,86),0)</f>
        <v/>
      </c>
      <c r="CK347">
        <f>IFERROR(INDEX(PP_Grid[#Data],$DD347,87),0)</f>
        <v/>
      </c>
      <c r="CL347">
        <f>IFERROR(INDEX(PP_Grid[#Data],$DD347,88),0)</f>
        <v/>
      </c>
      <c r="CM347">
        <f>IFERROR(INDEX(PP_Grid[#Data],$DD347,89),0)</f>
        <v/>
      </c>
      <c r="CN347">
        <f>IFERROR(INDEX(PP_Grid[#Data],$DD347,90),0)</f>
        <v/>
      </c>
      <c r="CO347">
        <f>IFERROR(INDEX(PP_Grid[#Data],$DD347,91),0)</f>
        <v/>
      </c>
      <c r="CP347">
        <f>IFERROR(INDEX(PP_Grid[#Data],$DD347,92),0)</f>
        <v/>
      </c>
      <c r="CQ347">
        <f>IFERROR(INDEX(PP_Grid[#Data],$DD347,93),0)</f>
        <v/>
      </c>
      <c r="CR347">
        <f>IFERROR(INDEX(PP_Grid[#Data],$DD347,94),0)</f>
        <v/>
      </c>
      <c r="CS347">
        <f>IFERROR(INDEX(PP_Grid[#Data],$DD347,95),0)</f>
        <v/>
      </c>
      <c r="CT347">
        <f>IFERROR(INDEX(PP_Grid[#Data],$DD347,96),0)</f>
        <v/>
      </c>
      <c r="CU347">
        <f>IFERROR(INDEX(PP_Grid[#Data],$DD347,97),0)</f>
        <v/>
      </c>
      <c r="CV347">
        <f>IFERROR(INDEX(PP_Grid[#Data],$DD347,98),0)</f>
        <v/>
      </c>
      <c r="CW347">
        <f>IFERROR(INDEX(PP_Grid[#Data],$DD347,99),0)</f>
        <v/>
      </c>
      <c r="CX347">
        <f>IFERROR(INDEX(PP_Grid[#Data],$DD347,100),0)</f>
        <v/>
      </c>
      <c r="CY347">
        <f>IFERROR(INDEX(PP_Grid[#Data],$DD347,101),0)</f>
        <v/>
      </c>
      <c r="CZ347">
        <f>IFERROR(INDEX(PP_Grid[#Data],$DD347,102),0)</f>
        <v/>
      </c>
      <c r="DA347">
        <f>IFERROR(INDEX(PP_Grid[#Data],$DD347,103),0)</f>
        <v/>
      </c>
      <c r="DB347">
        <f>IFERROR(INDEX(PP_Grid[#Data],$DD347,104),0)</f>
        <v/>
      </c>
      <c r="DC347">
        <f>IFERROR(INDEX(PP_Grid[#Data],$DD347,105),0)</f>
        <v/>
      </c>
      <c r="DD347" s="7">
        <f>IFERROR(MATCH($B347,PP_Grid[Intermediate],0),99999)</f>
        <v/>
      </c>
    </row>
    <row r="348">
      <c r="B348" t="inlineStr">
        <is>
          <t>使用量(kg)</t>
        </is>
      </c>
      <c r="C348">
        <f>SUMIFS(M_BOM[RM_Qty_Per_Batch],M_BOM[Intermediate],$B347,M_BOM[Part Name],$A340)</f>
        <v/>
      </c>
      <c r="D348">
        <f>$C348*D347</f>
        <v/>
      </c>
      <c r="E348">
        <f>$C348*E347</f>
        <v/>
      </c>
      <c r="F348">
        <f>$C348*F347</f>
        <v/>
      </c>
      <c r="G348">
        <f>$C348*G347</f>
        <v/>
      </c>
      <c r="H348">
        <f>$C348*H347</f>
        <v/>
      </c>
      <c r="I348">
        <f>$C348*I347</f>
        <v/>
      </c>
      <c r="J348">
        <f>$C348*J347</f>
        <v/>
      </c>
      <c r="K348">
        <f>$C348*K347</f>
        <v/>
      </c>
      <c r="L348">
        <f>$C348*L347</f>
        <v/>
      </c>
      <c r="M348">
        <f>$C348*M347</f>
        <v/>
      </c>
      <c r="N348">
        <f>$C348*N347</f>
        <v/>
      </c>
      <c r="O348">
        <f>$C348*O347</f>
        <v/>
      </c>
      <c r="P348">
        <f>$C348*P347</f>
        <v/>
      </c>
      <c r="Q348">
        <f>$C348*Q347</f>
        <v/>
      </c>
      <c r="R348">
        <f>$C348*R347</f>
        <v/>
      </c>
      <c r="S348">
        <f>$C348*S347</f>
        <v/>
      </c>
      <c r="T348">
        <f>$C348*T347</f>
        <v/>
      </c>
      <c r="U348">
        <f>$C348*U347</f>
        <v/>
      </c>
      <c r="V348">
        <f>$C348*V347</f>
        <v/>
      </c>
      <c r="W348">
        <f>$C348*W347</f>
        <v/>
      </c>
      <c r="X348">
        <f>$C348*X347</f>
        <v/>
      </c>
      <c r="Y348">
        <f>$C348*Y347</f>
        <v/>
      </c>
      <c r="Z348">
        <f>$C348*Z347</f>
        <v/>
      </c>
      <c r="AA348">
        <f>$C348*AA347</f>
        <v/>
      </c>
      <c r="AB348">
        <f>$C348*AB347</f>
        <v/>
      </c>
      <c r="AC348">
        <f>$C348*AC347</f>
        <v/>
      </c>
      <c r="AD348">
        <f>$C348*AD347</f>
        <v/>
      </c>
      <c r="AE348">
        <f>$C348*AE347</f>
        <v/>
      </c>
      <c r="AF348">
        <f>$C348*AF347</f>
        <v/>
      </c>
      <c r="AG348">
        <f>$C348*AG347</f>
        <v/>
      </c>
      <c r="AH348">
        <f>$C348*AH347</f>
        <v/>
      </c>
      <c r="AI348">
        <f>$C348*AI347</f>
        <v/>
      </c>
      <c r="AJ348">
        <f>$C348*AJ347</f>
        <v/>
      </c>
      <c r="AK348">
        <f>$C348*AK347</f>
        <v/>
      </c>
      <c r="AL348">
        <f>$C348*AL347</f>
        <v/>
      </c>
      <c r="AM348">
        <f>$C348*AM347</f>
        <v/>
      </c>
      <c r="AN348">
        <f>$C348*AN347</f>
        <v/>
      </c>
      <c r="AO348">
        <f>$C348*AO347</f>
        <v/>
      </c>
      <c r="AP348">
        <f>$C348*AP347</f>
        <v/>
      </c>
      <c r="AQ348">
        <f>$C348*AQ347</f>
        <v/>
      </c>
      <c r="AR348">
        <f>$C348*AR347</f>
        <v/>
      </c>
      <c r="AS348">
        <f>$C348*AS347</f>
        <v/>
      </c>
      <c r="AT348">
        <f>$C348*AT347</f>
        <v/>
      </c>
      <c r="AU348">
        <f>$C348*AU347</f>
        <v/>
      </c>
      <c r="AV348">
        <f>$C348*AV347</f>
        <v/>
      </c>
      <c r="AW348">
        <f>$C348*AW347</f>
        <v/>
      </c>
      <c r="AX348">
        <f>$C348*AX347</f>
        <v/>
      </c>
      <c r="AY348">
        <f>$C348*AY347</f>
        <v/>
      </c>
      <c r="AZ348">
        <f>$C348*AZ347</f>
        <v/>
      </c>
      <c r="BA348">
        <f>$C348*BA347</f>
        <v/>
      </c>
      <c r="BB348">
        <f>$C348*BB347</f>
        <v/>
      </c>
      <c r="BC348">
        <f>$C348*BC347</f>
        <v/>
      </c>
      <c r="BD348">
        <f>$C348*BD347</f>
        <v/>
      </c>
      <c r="BE348">
        <f>$C348*BE347</f>
        <v/>
      </c>
      <c r="BF348">
        <f>$C348*BF347</f>
        <v/>
      </c>
      <c r="BG348">
        <f>$C348*BG347</f>
        <v/>
      </c>
      <c r="BH348">
        <f>$C348*BH347</f>
        <v/>
      </c>
      <c r="BI348">
        <f>$C348*BI347</f>
        <v/>
      </c>
      <c r="BJ348">
        <f>$C348*BJ347</f>
        <v/>
      </c>
      <c r="BK348">
        <f>$C348*BK347</f>
        <v/>
      </c>
      <c r="BL348">
        <f>$C348*BL347</f>
        <v/>
      </c>
      <c r="BM348">
        <f>$C348*BM347</f>
        <v/>
      </c>
      <c r="BN348">
        <f>$C348*BN347</f>
        <v/>
      </c>
      <c r="BO348">
        <f>$C348*BO347</f>
        <v/>
      </c>
      <c r="BP348">
        <f>$C348*BP347</f>
        <v/>
      </c>
      <c r="BQ348">
        <f>$C348*BQ347</f>
        <v/>
      </c>
      <c r="BR348">
        <f>$C348*BR347</f>
        <v/>
      </c>
      <c r="BS348">
        <f>$C348*BS347</f>
        <v/>
      </c>
      <c r="BT348">
        <f>$C348*BT347</f>
        <v/>
      </c>
      <c r="BU348">
        <f>$C348*BU347</f>
        <v/>
      </c>
      <c r="BV348">
        <f>$C348*BV347</f>
        <v/>
      </c>
      <c r="BW348">
        <f>$C348*BW347</f>
        <v/>
      </c>
      <c r="BX348">
        <f>$C348*BX347</f>
        <v/>
      </c>
      <c r="BY348">
        <f>$C348*BY347</f>
        <v/>
      </c>
      <c r="BZ348">
        <f>$C348*BZ347</f>
        <v/>
      </c>
      <c r="CA348">
        <f>$C348*CA347</f>
        <v/>
      </c>
      <c r="CB348">
        <f>$C348*CB347</f>
        <v/>
      </c>
      <c r="CC348">
        <f>$C348*CC347</f>
        <v/>
      </c>
      <c r="CD348">
        <f>$C348*CD347</f>
        <v/>
      </c>
      <c r="CE348">
        <f>$C348*CE347</f>
        <v/>
      </c>
      <c r="CF348">
        <f>$C348*CF347</f>
        <v/>
      </c>
      <c r="CG348">
        <f>$C348*CG347</f>
        <v/>
      </c>
      <c r="CH348">
        <f>$C348*CH347</f>
        <v/>
      </c>
      <c r="CI348">
        <f>$C348*CI347</f>
        <v/>
      </c>
      <c r="CJ348">
        <f>$C348*CJ347</f>
        <v/>
      </c>
      <c r="CK348">
        <f>$C348*CK347</f>
        <v/>
      </c>
      <c r="CL348">
        <f>$C348*CL347</f>
        <v/>
      </c>
      <c r="CM348">
        <f>$C348*CM347</f>
        <v/>
      </c>
      <c r="CN348">
        <f>$C348*CN347</f>
        <v/>
      </c>
      <c r="CO348">
        <f>$C348*CO347</f>
        <v/>
      </c>
      <c r="CP348">
        <f>$C348*CP347</f>
        <v/>
      </c>
      <c r="CQ348">
        <f>$C348*CQ347</f>
        <v/>
      </c>
      <c r="CR348">
        <f>$C348*CR347</f>
        <v/>
      </c>
      <c r="CS348">
        <f>$C348*CS347</f>
        <v/>
      </c>
      <c r="CT348">
        <f>$C348*CT347</f>
        <v/>
      </c>
      <c r="CU348">
        <f>$C348*CU347</f>
        <v/>
      </c>
      <c r="CV348">
        <f>$C348*CV347</f>
        <v/>
      </c>
      <c r="CW348">
        <f>$C348*CW347</f>
        <v/>
      </c>
      <c r="CX348">
        <f>$C348*CX347</f>
        <v/>
      </c>
      <c r="CY348">
        <f>$C348*CY347</f>
        <v/>
      </c>
      <c r="CZ348">
        <f>$C348*CZ347</f>
        <v/>
      </c>
      <c r="DA348">
        <f>$C348*DA347</f>
        <v/>
      </c>
      <c r="DB348">
        <f>$C348*DB347</f>
        <v/>
      </c>
      <c r="DC348">
        <f>$C348*DC347</f>
        <v/>
      </c>
    </row>
    <row r="349">
      <c r="B349" t="inlineStr">
        <is>
          <t>TSP-205</t>
        </is>
      </c>
      <c r="C349" t="inlineStr">
        <is>
          <t>No. of batches</t>
        </is>
      </c>
      <c r="D349">
        <f>IFERROR(INDEX(PP_Grid[#Data],$DD349,2),0)</f>
        <v/>
      </c>
      <c r="E349">
        <f>IFERROR(INDEX(PP_Grid[#Data],$DD349,3),0)</f>
        <v/>
      </c>
      <c r="F349">
        <f>IFERROR(INDEX(PP_Grid[#Data],$DD349,4),0)</f>
        <v/>
      </c>
      <c r="G349">
        <f>IFERROR(INDEX(PP_Grid[#Data],$DD349,5),0)</f>
        <v/>
      </c>
      <c r="H349">
        <f>IFERROR(INDEX(PP_Grid[#Data],$DD349,6),0)</f>
        <v/>
      </c>
      <c r="I349">
        <f>IFERROR(INDEX(PP_Grid[#Data],$DD349,7),0)</f>
        <v/>
      </c>
      <c r="J349">
        <f>IFERROR(INDEX(PP_Grid[#Data],$DD349,8),0)</f>
        <v/>
      </c>
      <c r="K349">
        <f>IFERROR(INDEX(PP_Grid[#Data],$DD349,9),0)</f>
        <v/>
      </c>
      <c r="L349">
        <f>IFERROR(INDEX(PP_Grid[#Data],$DD349,10),0)</f>
        <v/>
      </c>
      <c r="M349">
        <f>IFERROR(INDEX(PP_Grid[#Data],$DD349,11),0)</f>
        <v/>
      </c>
      <c r="N349">
        <f>IFERROR(INDEX(PP_Grid[#Data],$DD349,12),0)</f>
        <v/>
      </c>
      <c r="O349">
        <f>IFERROR(INDEX(PP_Grid[#Data],$DD349,13),0)</f>
        <v/>
      </c>
      <c r="P349">
        <f>IFERROR(INDEX(PP_Grid[#Data],$DD349,14),0)</f>
        <v/>
      </c>
      <c r="Q349">
        <f>IFERROR(INDEX(PP_Grid[#Data],$DD349,15),0)</f>
        <v/>
      </c>
      <c r="R349">
        <f>IFERROR(INDEX(PP_Grid[#Data],$DD349,16),0)</f>
        <v/>
      </c>
      <c r="S349">
        <f>IFERROR(INDEX(PP_Grid[#Data],$DD349,17),0)</f>
        <v/>
      </c>
      <c r="T349">
        <f>IFERROR(INDEX(PP_Grid[#Data],$DD349,18),0)</f>
        <v/>
      </c>
      <c r="U349">
        <f>IFERROR(INDEX(PP_Grid[#Data],$DD349,19),0)</f>
        <v/>
      </c>
      <c r="V349">
        <f>IFERROR(INDEX(PP_Grid[#Data],$DD349,20),0)</f>
        <v/>
      </c>
      <c r="W349">
        <f>IFERROR(INDEX(PP_Grid[#Data],$DD349,21),0)</f>
        <v/>
      </c>
      <c r="X349">
        <f>IFERROR(INDEX(PP_Grid[#Data],$DD349,22),0)</f>
        <v/>
      </c>
      <c r="Y349">
        <f>IFERROR(INDEX(PP_Grid[#Data],$DD349,23),0)</f>
        <v/>
      </c>
      <c r="Z349">
        <f>IFERROR(INDEX(PP_Grid[#Data],$DD349,24),0)</f>
        <v/>
      </c>
      <c r="AA349">
        <f>IFERROR(INDEX(PP_Grid[#Data],$DD349,25),0)</f>
        <v/>
      </c>
      <c r="AB349">
        <f>IFERROR(INDEX(PP_Grid[#Data],$DD349,26),0)</f>
        <v/>
      </c>
      <c r="AC349">
        <f>IFERROR(INDEX(PP_Grid[#Data],$DD349,27),0)</f>
        <v/>
      </c>
      <c r="AD349">
        <f>IFERROR(INDEX(PP_Grid[#Data],$DD349,28),0)</f>
        <v/>
      </c>
      <c r="AE349">
        <f>IFERROR(INDEX(PP_Grid[#Data],$DD349,29),0)</f>
        <v/>
      </c>
      <c r="AF349">
        <f>IFERROR(INDEX(PP_Grid[#Data],$DD349,30),0)</f>
        <v/>
      </c>
      <c r="AG349">
        <f>IFERROR(INDEX(PP_Grid[#Data],$DD349,31),0)</f>
        <v/>
      </c>
      <c r="AH349">
        <f>IFERROR(INDEX(PP_Grid[#Data],$DD349,32),0)</f>
        <v/>
      </c>
      <c r="AI349">
        <f>IFERROR(INDEX(PP_Grid[#Data],$DD349,33),0)</f>
        <v/>
      </c>
      <c r="AJ349">
        <f>IFERROR(INDEX(PP_Grid[#Data],$DD349,34),0)</f>
        <v/>
      </c>
      <c r="AK349">
        <f>IFERROR(INDEX(PP_Grid[#Data],$DD349,35),0)</f>
        <v/>
      </c>
      <c r="AL349">
        <f>IFERROR(INDEX(PP_Grid[#Data],$DD349,36),0)</f>
        <v/>
      </c>
      <c r="AM349">
        <f>IFERROR(INDEX(PP_Grid[#Data],$DD349,37),0)</f>
        <v/>
      </c>
      <c r="AN349">
        <f>IFERROR(INDEX(PP_Grid[#Data],$DD349,38),0)</f>
        <v/>
      </c>
      <c r="AO349">
        <f>IFERROR(INDEX(PP_Grid[#Data],$DD349,39),0)</f>
        <v/>
      </c>
      <c r="AP349">
        <f>IFERROR(INDEX(PP_Grid[#Data],$DD349,40),0)</f>
        <v/>
      </c>
      <c r="AQ349">
        <f>IFERROR(INDEX(PP_Grid[#Data],$DD349,41),0)</f>
        <v/>
      </c>
      <c r="AR349">
        <f>IFERROR(INDEX(PP_Grid[#Data],$DD349,42),0)</f>
        <v/>
      </c>
      <c r="AS349">
        <f>IFERROR(INDEX(PP_Grid[#Data],$DD349,43),0)</f>
        <v/>
      </c>
      <c r="AT349">
        <f>IFERROR(INDEX(PP_Grid[#Data],$DD349,44),0)</f>
        <v/>
      </c>
      <c r="AU349">
        <f>IFERROR(INDEX(PP_Grid[#Data],$DD349,45),0)</f>
        <v/>
      </c>
      <c r="AV349">
        <f>IFERROR(INDEX(PP_Grid[#Data],$DD349,46),0)</f>
        <v/>
      </c>
      <c r="AW349">
        <f>IFERROR(INDEX(PP_Grid[#Data],$DD349,47),0)</f>
        <v/>
      </c>
      <c r="AX349">
        <f>IFERROR(INDEX(PP_Grid[#Data],$DD349,48),0)</f>
        <v/>
      </c>
      <c r="AY349">
        <f>IFERROR(INDEX(PP_Grid[#Data],$DD349,49),0)</f>
        <v/>
      </c>
      <c r="AZ349">
        <f>IFERROR(INDEX(PP_Grid[#Data],$DD349,50),0)</f>
        <v/>
      </c>
      <c r="BA349">
        <f>IFERROR(INDEX(PP_Grid[#Data],$DD349,51),0)</f>
        <v/>
      </c>
      <c r="BB349">
        <f>IFERROR(INDEX(PP_Grid[#Data],$DD349,52),0)</f>
        <v/>
      </c>
      <c r="BC349">
        <f>IFERROR(INDEX(PP_Grid[#Data],$DD349,53),0)</f>
        <v/>
      </c>
      <c r="BD349">
        <f>IFERROR(INDEX(PP_Grid[#Data],$DD349,54),0)</f>
        <v/>
      </c>
      <c r="BE349">
        <f>IFERROR(INDEX(PP_Grid[#Data],$DD349,55),0)</f>
        <v/>
      </c>
      <c r="BF349">
        <f>IFERROR(INDEX(PP_Grid[#Data],$DD349,56),0)</f>
        <v/>
      </c>
      <c r="BG349">
        <f>IFERROR(INDEX(PP_Grid[#Data],$DD349,57),0)</f>
        <v/>
      </c>
      <c r="BH349">
        <f>IFERROR(INDEX(PP_Grid[#Data],$DD349,58),0)</f>
        <v/>
      </c>
      <c r="BI349">
        <f>IFERROR(INDEX(PP_Grid[#Data],$DD349,59),0)</f>
        <v/>
      </c>
      <c r="BJ349">
        <f>IFERROR(INDEX(PP_Grid[#Data],$DD349,60),0)</f>
        <v/>
      </c>
      <c r="BK349">
        <f>IFERROR(INDEX(PP_Grid[#Data],$DD349,61),0)</f>
        <v/>
      </c>
      <c r="BL349">
        <f>IFERROR(INDEX(PP_Grid[#Data],$DD349,62),0)</f>
        <v/>
      </c>
      <c r="BM349">
        <f>IFERROR(INDEX(PP_Grid[#Data],$DD349,63),0)</f>
        <v/>
      </c>
      <c r="BN349">
        <f>IFERROR(INDEX(PP_Grid[#Data],$DD349,64),0)</f>
        <v/>
      </c>
      <c r="BO349">
        <f>IFERROR(INDEX(PP_Grid[#Data],$DD349,65),0)</f>
        <v/>
      </c>
      <c r="BP349">
        <f>IFERROR(INDEX(PP_Grid[#Data],$DD349,66),0)</f>
        <v/>
      </c>
      <c r="BQ349">
        <f>IFERROR(INDEX(PP_Grid[#Data],$DD349,67),0)</f>
        <v/>
      </c>
      <c r="BR349">
        <f>IFERROR(INDEX(PP_Grid[#Data],$DD349,68),0)</f>
        <v/>
      </c>
      <c r="BS349">
        <f>IFERROR(INDEX(PP_Grid[#Data],$DD349,69),0)</f>
        <v/>
      </c>
      <c r="BT349">
        <f>IFERROR(INDEX(PP_Grid[#Data],$DD349,70),0)</f>
        <v/>
      </c>
      <c r="BU349">
        <f>IFERROR(INDEX(PP_Grid[#Data],$DD349,71),0)</f>
        <v/>
      </c>
      <c r="BV349">
        <f>IFERROR(INDEX(PP_Grid[#Data],$DD349,72),0)</f>
        <v/>
      </c>
      <c r="BW349">
        <f>IFERROR(INDEX(PP_Grid[#Data],$DD349,73),0)</f>
        <v/>
      </c>
      <c r="BX349">
        <f>IFERROR(INDEX(PP_Grid[#Data],$DD349,74),0)</f>
        <v/>
      </c>
      <c r="BY349">
        <f>IFERROR(INDEX(PP_Grid[#Data],$DD349,75),0)</f>
        <v/>
      </c>
      <c r="BZ349">
        <f>IFERROR(INDEX(PP_Grid[#Data],$DD349,76),0)</f>
        <v/>
      </c>
      <c r="CA349">
        <f>IFERROR(INDEX(PP_Grid[#Data],$DD349,77),0)</f>
        <v/>
      </c>
      <c r="CB349">
        <f>IFERROR(INDEX(PP_Grid[#Data],$DD349,78),0)</f>
        <v/>
      </c>
      <c r="CC349">
        <f>IFERROR(INDEX(PP_Grid[#Data],$DD349,79),0)</f>
        <v/>
      </c>
      <c r="CD349">
        <f>IFERROR(INDEX(PP_Grid[#Data],$DD349,80),0)</f>
        <v/>
      </c>
      <c r="CE349">
        <f>IFERROR(INDEX(PP_Grid[#Data],$DD349,81),0)</f>
        <v/>
      </c>
      <c r="CF349">
        <f>IFERROR(INDEX(PP_Grid[#Data],$DD349,82),0)</f>
        <v/>
      </c>
      <c r="CG349">
        <f>IFERROR(INDEX(PP_Grid[#Data],$DD349,83),0)</f>
        <v/>
      </c>
      <c r="CH349">
        <f>IFERROR(INDEX(PP_Grid[#Data],$DD349,84),0)</f>
        <v/>
      </c>
      <c r="CI349">
        <f>IFERROR(INDEX(PP_Grid[#Data],$DD349,85),0)</f>
        <v/>
      </c>
      <c r="CJ349">
        <f>IFERROR(INDEX(PP_Grid[#Data],$DD349,86),0)</f>
        <v/>
      </c>
      <c r="CK349">
        <f>IFERROR(INDEX(PP_Grid[#Data],$DD349,87),0)</f>
        <v/>
      </c>
      <c r="CL349">
        <f>IFERROR(INDEX(PP_Grid[#Data],$DD349,88),0)</f>
        <v/>
      </c>
      <c r="CM349">
        <f>IFERROR(INDEX(PP_Grid[#Data],$DD349,89),0)</f>
        <v/>
      </c>
      <c r="CN349">
        <f>IFERROR(INDEX(PP_Grid[#Data],$DD349,90),0)</f>
        <v/>
      </c>
      <c r="CO349">
        <f>IFERROR(INDEX(PP_Grid[#Data],$DD349,91),0)</f>
        <v/>
      </c>
      <c r="CP349">
        <f>IFERROR(INDEX(PP_Grid[#Data],$DD349,92),0)</f>
        <v/>
      </c>
      <c r="CQ349">
        <f>IFERROR(INDEX(PP_Grid[#Data],$DD349,93),0)</f>
        <v/>
      </c>
      <c r="CR349">
        <f>IFERROR(INDEX(PP_Grid[#Data],$DD349,94),0)</f>
        <v/>
      </c>
      <c r="CS349">
        <f>IFERROR(INDEX(PP_Grid[#Data],$DD349,95),0)</f>
        <v/>
      </c>
      <c r="CT349">
        <f>IFERROR(INDEX(PP_Grid[#Data],$DD349,96),0)</f>
        <v/>
      </c>
      <c r="CU349">
        <f>IFERROR(INDEX(PP_Grid[#Data],$DD349,97),0)</f>
        <v/>
      </c>
      <c r="CV349">
        <f>IFERROR(INDEX(PP_Grid[#Data],$DD349,98),0)</f>
        <v/>
      </c>
      <c r="CW349">
        <f>IFERROR(INDEX(PP_Grid[#Data],$DD349,99),0)</f>
        <v/>
      </c>
      <c r="CX349">
        <f>IFERROR(INDEX(PP_Grid[#Data],$DD349,100),0)</f>
        <v/>
      </c>
      <c r="CY349">
        <f>IFERROR(INDEX(PP_Grid[#Data],$DD349,101),0)</f>
        <v/>
      </c>
      <c r="CZ349">
        <f>IFERROR(INDEX(PP_Grid[#Data],$DD349,102),0)</f>
        <v/>
      </c>
      <c r="DA349">
        <f>IFERROR(INDEX(PP_Grid[#Data],$DD349,103),0)</f>
        <v/>
      </c>
      <c r="DB349">
        <f>IFERROR(INDEX(PP_Grid[#Data],$DD349,104),0)</f>
        <v/>
      </c>
      <c r="DC349">
        <f>IFERROR(INDEX(PP_Grid[#Data],$DD349,105),0)</f>
        <v/>
      </c>
      <c r="DD349" s="7">
        <f>IFERROR(MATCH($B349,PP_Grid[Intermediate],0),99999)</f>
        <v/>
      </c>
    </row>
    <row r="350">
      <c r="B350" t="inlineStr">
        <is>
          <t>使用量(kg)</t>
        </is>
      </c>
      <c r="C350">
        <f>SUMIFS(M_BOM[RM_Qty_Per_Batch],M_BOM[Intermediate],$B349,M_BOM[Part Name],$A340)</f>
        <v/>
      </c>
      <c r="D350">
        <f>$C350*D349</f>
        <v/>
      </c>
      <c r="E350">
        <f>$C350*E349</f>
        <v/>
      </c>
      <c r="F350">
        <f>$C350*F349</f>
        <v/>
      </c>
      <c r="G350">
        <f>$C350*G349</f>
        <v/>
      </c>
      <c r="H350">
        <f>$C350*H349</f>
        <v/>
      </c>
      <c r="I350">
        <f>$C350*I349</f>
        <v/>
      </c>
      <c r="J350">
        <f>$C350*J349</f>
        <v/>
      </c>
      <c r="K350">
        <f>$C350*K349</f>
        <v/>
      </c>
      <c r="L350">
        <f>$C350*L349</f>
        <v/>
      </c>
      <c r="M350">
        <f>$C350*M349</f>
        <v/>
      </c>
      <c r="N350">
        <f>$C350*N349</f>
        <v/>
      </c>
      <c r="O350">
        <f>$C350*O349</f>
        <v/>
      </c>
      <c r="P350">
        <f>$C350*P349</f>
        <v/>
      </c>
      <c r="Q350">
        <f>$C350*Q349</f>
        <v/>
      </c>
      <c r="R350">
        <f>$C350*R349</f>
        <v/>
      </c>
      <c r="S350">
        <f>$C350*S349</f>
        <v/>
      </c>
      <c r="T350">
        <f>$C350*T349</f>
        <v/>
      </c>
      <c r="U350">
        <f>$C350*U349</f>
        <v/>
      </c>
      <c r="V350">
        <f>$C350*V349</f>
        <v/>
      </c>
      <c r="W350">
        <f>$C350*W349</f>
        <v/>
      </c>
      <c r="X350">
        <f>$C350*X349</f>
        <v/>
      </c>
      <c r="Y350">
        <f>$C350*Y349</f>
        <v/>
      </c>
      <c r="Z350">
        <f>$C350*Z349</f>
        <v/>
      </c>
      <c r="AA350">
        <f>$C350*AA349</f>
        <v/>
      </c>
      <c r="AB350">
        <f>$C350*AB349</f>
        <v/>
      </c>
      <c r="AC350">
        <f>$C350*AC349</f>
        <v/>
      </c>
      <c r="AD350">
        <f>$C350*AD349</f>
        <v/>
      </c>
      <c r="AE350">
        <f>$C350*AE349</f>
        <v/>
      </c>
      <c r="AF350">
        <f>$C350*AF349</f>
        <v/>
      </c>
      <c r="AG350">
        <f>$C350*AG349</f>
        <v/>
      </c>
      <c r="AH350">
        <f>$C350*AH349</f>
        <v/>
      </c>
      <c r="AI350">
        <f>$C350*AI349</f>
        <v/>
      </c>
      <c r="AJ350">
        <f>$C350*AJ349</f>
        <v/>
      </c>
      <c r="AK350">
        <f>$C350*AK349</f>
        <v/>
      </c>
      <c r="AL350">
        <f>$C350*AL349</f>
        <v/>
      </c>
      <c r="AM350">
        <f>$C350*AM349</f>
        <v/>
      </c>
      <c r="AN350">
        <f>$C350*AN349</f>
        <v/>
      </c>
      <c r="AO350">
        <f>$C350*AO349</f>
        <v/>
      </c>
      <c r="AP350">
        <f>$C350*AP349</f>
        <v/>
      </c>
      <c r="AQ350">
        <f>$C350*AQ349</f>
        <v/>
      </c>
      <c r="AR350">
        <f>$C350*AR349</f>
        <v/>
      </c>
      <c r="AS350">
        <f>$C350*AS349</f>
        <v/>
      </c>
      <c r="AT350">
        <f>$C350*AT349</f>
        <v/>
      </c>
      <c r="AU350">
        <f>$C350*AU349</f>
        <v/>
      </c>
      <c r="AV350">
        <f>$C350*AV349</f>
        <v/>
      </c>
      <c r="AW350">
        <f>$C350*AW349</f>
        <v/>
      </c>
      <c r="AX350">
        <f>$C350*AX349</f>
        <v/>
      </c>
      <c r="AY350">
        <f>$C350*AY349</f>
        <v/>
      </c>
      <c r="AZ350">
        <f>$C350*AZ349</f>
        <v/>
      </c>
      <c r="BA350">
        <f>$C350*BA349</f>
        <v/>
      </c>
      <c r="BB350">
        <f>$C350*BB349</f>
        <v/>
      </c>
      <c r="BC350">
        <f>$C350*BC349</f>
        <v/>
      </c>
      <c r="BD350">
        <f>$C350*BD349</f>
        <v/>
      </c>
      <c r="BE350">
        <f>$C350*BE349</f>
        <v/>
      </c>
      <c r="BF350">
        <f>$C350*BF349</f>
        <v/>
      </c>
      <c r="BG350">
        <f>$C350*BG349</f>
        <v/>
      </c>
      <c r="BH350">
        <f>$C350*BH349</f>
        <v/>
      </c>
      <c r="BI350">
        <f>$C350*BI349</f>
        <v/>
      </c>
      <c r="BJ350">
        <f>$C350*BJ349</f>
        <v/>
      </c>
      <c r="BK350">
        <f>$C350*BK349</f>
        <v/>
      </c>
      <c r="BL350">
        <f>$C350*BL349</f>
        <v/>
      </c>
      <c r="BM350">
        <f>$C350*BM349</f>
        <v/>
      </c>
      <c r="BN350">
        <f>$C350*BN349</f>
        <v/>
      </c>
      <c r="BO350">
        <f>$C350*BO349</f>
        <v/>
      </c>
      <c r="BP350">
        <f>$C350*BP349</f>
        <v/>
      </c>
      <c r="BQ350">
        <f>$C350*BQ349</f>
        <v/>
      </c>
      <c r="BR350">
        <f>$C350*BR349</f>
        <v/>
      </c>
      <c r="BS350">
        <f>$C350*BS349</f>
        <v/>
      </c>
      <c r="BT350">
        <f>$C350*BT349</f>
        <v/>
      </c>
      <c r="BU350">
        <f>$C350*BU349</f>
        <v/>
      </c>
      <c r="BV350">
        <f>$C350*BV349</f>
        <v/>
      </c>
      <c r="BW350">
        <f>$C350*BW349</f>
        <v/>
      </c>
      <c r="BX350">
        <f>$C350*BX349</f>
        <v/>
      </c>
      <c r="BY350">
        <f>$C350*BY349</f>
        <v/>
      </c>
      <c r="BZ350">
        <f>$C350*BZ349</f>
        <v/>
      </c>
      <c r="CA350">
        <f>$C350*CA349</f>
        <v/>
      </c>
      <c r="CB350">
        <f>$C350*CB349</f>
        <v/>
      </c>
      <c r="CC350">
        <f>$C350*CC349</f>
        <v/>
      </c>
      <c r="CD350">
        <f>$C350*CD349</f>
        <v/>
      </c>
      <c r="CE350">
        <f>$C350*CE349</f>
        <v/>
      </c>
      <c r="CF350">
        <f>$C350*CF349</f>
        <v/>
      </c>
      <c r="CG350">
        <f>$C350*CG349</f>
        <v/>
      </c>
      <c r="CH350">
        <f>$C350*CH349</f>
        <v/>
      </c>
      <c r="CI350">
        <f>$C350*CI349</f>
        <v/>
      </c>
      <c r="CJ350">
        <f>$C350*CJ349</f>
        <v/>
      </c>
      <c r="CK350">
        <f>$C350*CK349</f>
        <v/>
      </c>
      <c r="CL350">
        <f>$C350*CL349</f>
        <v/>
      </c>
      <c r="CM350">
        <f>$C350*CM349</f>
        <v/>
      </c>
      <c r="CN350">
        <f>$C350*CN349</f>
        <v/>
      </c>
      <c r="CO350">
        <f>$C350*CO349</f>
        <v/>
      </c>
      <c r="CP350">
        <f>$C350*CP349</f>
        <v/>
      </c>
      <c r="CQ350">
        <f>$C350*CQ349</f>
        <v/>
      </c>
      <c r="CR350">
        <f>$C350*CR349</f>
        <v/>
      </c>
      <c r="CS350">
        <f>$C350*CS349</f>
        <v/>
      </c>
      <c r="CT350">
        <f>$C350*CT349</f>
        <v/>
      </c>
      <c r="CU350">
        <f>$C350*CU349</f>
        <v/>
      </c>
      <c r="CV350">
        <f>$C350*CV349</f>
        <v/>
      </c>
      <c r="CW350">
        <f>$C350*CW349</f>
        <v/>
      </c>
      <c r="CX350">
        <f>$C350*CX349</f>
        <v/>
      </c>
      <c r="CY350">
        <f>$C350*CY349</f>
        <v/>
      </c>
      <c r="CZ350">
        <f>$C350*CZ349</f>
        <v/>
      </c>
      <c r="DA350">
        <f>$C350*DA349</f>
        <v/>
      </c>
      <c r="DB350">
        <f>$C350*DB349</f>
        <v/>
      </c>
      <c r="DC350">
        <f>$C350*DC349</f>
        <v/>
      </c>
    </row>
    <row r="351">
      <c r="B351" t="inlineStr">
        <is>
          <t>TSP-206</t>
        </is>
      </c>
      <c r="C351" t="inlineStr">
        <is>
          <t>No. of batches</t>
        </is>
      </c>
      <c r="D351">
        <f>IFERROR(INDEX(PP_Grid[#Data],$DD351,2),0)</f>
        <v/>
      </c>
      <c r="E351">
        <f>IFERROR(INDEX(PP_Grid[#Data],$DD351,3),0)</f>
        <v/>
      </c>
      <c r="F351">
        <f>IFERROR(INDEX(PP_Grid[#Data],$DD351,4),0)</f>
        <v/>
      </c>
      <c r="G351">
        <f>IFERROR(INDEX(PP_Grid[#Data],$DD351,5),0)</f>
        <v/>
      </c>
      <c r="H351">
        <f>IFERROR(INDEX(PP_Grid[#Data],$DD351,6),0)</f>
        <v/>
      </c>
      <c r="I351">
        <f>IFERROR(INDEX(PP_Grid[#Data],$DD351,7),0)</f>
        <v/>
      </c>
      <c r="J351">
        <f>IFERROR(INDEX(PP_Grid[#Data],$DD351,8),0)</f>
        <v/>
      </c>
      <c r="K351">
        <f>IFERROR(INDEX(PP_Grid[#Data],$DD351,9),0)</f>
        <v/>
      </c>
      <c r="L351">
        <f>IFERROR(INDEX(PP_Grid[#Data],$DD351,10),0)</f>
        <v/>
      </c>
      <c r="M351">
        <f>IFERROR(INDEX(PP_Grid[#Data],$DD351,11),0)</f>
        <v/>
      </c>
      <c r="N351">
        <f>IFERROR(INDEX(PP_Grid[#Data],$DD351,12),0)</f>
        <v/>
      </c>
      <c r="O351">
        <f>IFERROR(INDEX(PP_Grid[#Data],$DD351,13),0)</f>
        <v/>
      </c>
      <c r="P351">
        <f>IFERROR(INDEX(PP_Grid[#Data],$DD351,14),0)</f>
        <v/>
      </c>
      <c r="Q351">
        <f>IFERROR(INDEX(PP_Grid[#Data],$DD351,15),0)</f>
        <v/>
      </c>
      <c r="R351">
        <f>IFERROR(INDEX(PP_Grid[#Data],$DD351,16),0)</f>
        <v/>
      </c>
      <c r="S351">
        <f>IFERROR(INDEX(PP_Grid[#Data],$DD351,17),0)</f>
        <v/>
      </c>
      <c r="T351">
        <f>IFERROR(INDEX(PP_Grid[#Data],$DD351,18),0)</f>
        <v/>
      </c>
      <c r="U351">
        <f>IFERROR(INDEX(PP_Grid[#Data],$DD351,19),0)</f>
        <v/>
      </c>
      <c r="V351">
        <f>IFERROR(INDEX(PP_Grid[#Data],$DD351,20),0)</f>
        <v/>
      </c>
      <c r="W351">
        <f>IFERROR(INDEX(PP_Grid[#Data],$DD351,21),0)</f>
        <v/>
      </c>
      <c r="X351">
        <f>IFERROR(INDEX(PP_Grid[#Data],$DD351,22),0)</f>
        <v/>
      </c>
      <c r="Y351">
        <f>IFERROR(INDEX(PP_Grid[#Data],$DD351,23),0)</f>
        <v/>
      </c>
      <c r="Z351">
        <f>IFERROR(INDEX(PP_Grid[#Data],$DD351,24),0)</f>
        <v/>
      </c>
      <c r="AA351">
        <f>IFERROR(INDEX(PP_Grid[#Data],$DD351,25),0)</f>
        <v/>
      </c>
      <c r="AB351">
        <f>IFERROR(INDEX(PP_Grid[#Data],$DD351,26),0)</f>
        <v/>
      </c>
      <c r="AC351">
        <f>IFERROR(INDEX(PP_Grid[#Data],$DD351,27),0)</f>
        <v/>
      </c>
      <c r="AD351">
        <f>IFERROR(INDEX(PP_Grid[#Data],$DD351,28),0)</f>
        <v/>
      </c>
      <c r="AE351">
        <f>IFERROR(INDEX(PP_Grid[#Data],$DD351,29),0)</f>
        <v/>
      </c>
      <c r="AF351">
        <f>IFERROR(INDEX(PP_Grid[#Data],$DD351,30),0)</f>
        <v/>
      </c>
      <c r="AG351">
        <f>IFERROR(INDEX(PP_Grid[#Data],$DD351,31),0)</f>
        <v/>
      </c>
      <c r="AH351">
        <f>IFERROR(INDEX(PP_Grid[#Data],$DD351,32),0)</f>
        <v/>
      </c>
      <c r="AI351">
        <f>IFERROR(INDEX(PP_Grid[#Data],$DD351,33),0)</f>
        <v/>
      </c>
      <c r="AJ351">
        <f>IFERROR(INDEX(PP_Grid[#Data],$DD351,34),0)</f>
        <v/>
      </c>
      <c r="AK351">
        <f>IFERROR(INDEX(PP_Grid[#Data],$DD351,35),0)</f>
        <v/>
      </c>
      <c r="AL351">
        <f>IFERROR(INDEX(PP_Grid[#Data],$DD351,36),0)</f>
        <v/>
      </c>
      <c r="AM351">
        <f>IFERROR(INDEX(PP_Grid[#Data],$DD351,37),0)</f>
        <v/>
      </c>
      <c r="AN351">
        <f>IFERROR(INDEX(PP_Grid[#Data],$DD351,38),0)</f>
        <v/>
      </c>
      <c r="AO351">
        <f>IFERROR(INDEX(PP_Grid[#Data],$DD351,39),0)</f>
        <v/>
      </c>
      <c r="AP351">
        <f>IFERROR(INDEX(PP_Grid[#Data],$DD351,40),0)</f>
        <v/>
      </c>
      <c r="AQ351">
        <f>IFERROR(INDEX(PP_Grid[#Data],$DD351,41),0)</f>
        <v/>
      </c>
      <c r="AR351">
        <f>IFERROR(INDEX(PP_Grid[#Data],$DD351,42),0)</f>
        <v/>
      </c>
      <c r="AS351">
        <f>IFERROR(INDEX(PP_Grid[#Data],$DD351,43),0)</f>
        <v/>
      </c>
      <c r="AT351">
        <f>IFERROR(INDEX(PP_Grid[#Data],$DD351,44),0)</f>
        <v/>
      </c>
      <c r="AU351">
        <f>IFERROR(INDEX(PP_Grid[#Data],$DD351,45),0)</f>
        <v/>
      </c>
      <c r="AV351">
        <f>IFERROR(INDEX(PP_Grid[#Data],$DD351,46),0)</f>
        <v/>
      </c>
      <c r="AW351">
        <f>IFERROR(INDEX(PP_Grid[#Data],$DD351,47),0)</f>
        <v/>
      </c>
      <c r="AX351">
        <f>IFERROR(INDEX(PP_Grid[#Data],$DD351,48),0)</f>
        <v/>
      </c>
      <c r="AY351">
        <f>IFERROR(INDEX(PP_Grid[#Data],$DD351,49),0)</f>
        <v/>
      </c>
      <c r="AZ351">
        <f>IFERROR(INDEX(PP_Grid[#Data],$DD351,50),0)</f>
        <v/>
      </c>
      <c r="BA351">
        <f>IFERROR(INDEX(PP_Grid[#Data],$DD351,51),0)</f>
        <v/>
      </c>
      <c r="BB351">
        <f>IFERROR(INDEX(PP_Grid[#Data],$DD351,52),0)</f>
        <v/>
      </c>
      <c r="BC351">
        <f>IFERROR(INDEX(PP_Grid[#Data],$DD351,53),0)</f>
        <v/>
      </c>
      <c r="BD351">
        <f>IFERROR(INDEX(PP_Grid[#Data],$DD351,54),0)</f>
        <v/>
      </c>
      <c r="BE351">
        <f>IFERROR(INDEX(PP_Grid[#Data],$DD351,55),0)</f>
        <v/>
      </c>
      <c r="BF351">
        <f>IFERROR(INDEX(PP_Grid[#Data],$DD351,56),0)</f>
        <v/>
      </c>
      <c r="BG351">
        <f>IFERROR(INDEX(PP_Grid[#Data],$DD351,57),0)</f>
        <v/>
      </c>
      <c r="BH351">
        <f>IFERROR(INDEX(PP_Grid[#Data],$DD351,58),0)</f>
        <v/>
      </c>
      <c r="BI351">
        <f>IFERROR(INDEX(PP_Grid[#Data],$DD351,59),0)</f>
        <v/>
      </c>
      <c r="BJ351">
        <f>IFERROR(INDEX(PP_Grid[#Data],$DD351,60),0)</f>
        <v/>
      </c>
      <c r="BK351">
        <f>IFERROR(INDEX(PP_Grid[#Data],$DD351,61),0)</f>
        <v/>
      </c>
      <c r="BL351">
        <f>IFERROR(INDEX(PP_Grid[#Data],$DD351,62),0)</f>
        <v/>
      </c>
      <c r="BM351">
        <f>IFERROR(INDEX(PP_Grid[#Data],$DD351,63),0)</f>
        <v/>
      </c>
      <c r="BN351">
        <f>IFERROR(INDEX(PP_Grid[#Data],$DD351,64),0)</f>
        <v/>
      </c>
      <c r="BO351">
        <f>IFERROR(INDEX(PP_Grid[#Data],$DD351,65),0)</f>
        <v/>
      </c>
      <c r="BP351">
        <f>IFERROR(INDEX(PP_Grid[#Data],$DD351,66),0)</f>
        <v/>
      </c>
      <c r="BQ351">
        <f>IFERROR(INDEX(PP_Grid[#Data],$DD351,67),0)</f>
        <v/>
      </c>
      <c r="BR351">
        <f>IFERROR(INDEX(PP_Grid[#Data],$DD351,68),0)</f>
        <v/>
      </c>
      <c r="BS351">
        <f>IFERROR(INDEX(PP_Grid[#Data],$DD351,69),0)</f>
        <v/>
      </c>
      <c r="BT351">
        <f>IFERROR(INDEX(PP_Grid[#Data],$DD351,70),0)</f>
        <v/>
      </c>
      <c r="BU351">
        <f>IFERROR(INDEX(PP_Grid[#Data],$DD351,71),0)</f>
        <v/>
      </c>
      <c r="BV351">
        <f>IFERROR(INDEX(PP_Grid[#Data],$DD351,72),0)</f>
        <v/>
      </c>
      <c r="BW351">
        <f>IFERROR(INDEX(PP_Grid[#Data],$DD351,73),0)</f>
        <v/>
      </c>
      <c r="BX351">
        <f>IFERROR(INDEX(PP_Grid[#Data],$DD351,74),0)</f>
        <v/>
      </c>
      <c r="BY351">
        <f>IFERROR(INDEX(PP_Grid[#Data],$DD351,75),0)</f>
        <v/>
      </c>
      <c r="BZ351">
        <f>IFERROR(INDEX(PP_Grid[#Data],$DD351,76),0)</f>
        <v/>
      </c>
      <c r="CA351">
        <f>IFERROR(INDEX(PP_Grid[#Data],$DD351,77),0)</f>
        <v/>
      </c>
      <c r="CB351">
        <f>IFERROR(INDEX(PP_Grid[#Data],$DD351,78),0)</f>
        <v/>
      </c>
      <c r="CC351">
        <f>IFERROR(INDEX(PP_Grid[#Data],$DD351,79),0)</f>
        <v/>
      </c>
      <c r="CD351">
        <f>IFERROR(INDEX(PP_Grid[#Data],$DD351,80),0)</f>
        <v/>
      </c>
      <c r="CE351">
        <f>IFERROR(INDEX(PP_Grid[#Data],$DD351,81),0)</f>
        <v/>
      </c>
      <c r="CF351">
        <f>IFERROR(INDEX(PP_Grid[#Data],$DD351,82),0)</f>
        <v/>
      </c>
      <c r="CG351">
        <f>IFERROR(INDEX(PP_Grid[#Data],$DD351,83),0)</f>
        <v/>
      </c>
      <c r="CH351">
        <f>IFERROR(INDEX(PP_Grid[#Data],$DD351,84),0)</f>
        <v/>
      </c>
      <c r="CI351">
        <f>IFERROR(INDEX(PP_Grid[#Data],$DD351,85),0)</f>
        <v/>
      </c>
      <c r="CJ351">
        <f>IFERROR(INDEX(PP_Grid[#Data],$DD351,86),0)</f>
        <v/>
      </c>
      <c r="CK351">
        <f>IFERROR(INDEX(PP_Grid[#Data],$DD351,87),0)</f>
        <v/>
      </c>
      <c r="CL351">
        <f>IFERROR(INDEX(PP_Grid[#Data],$DD351,88),0)</f>
        <v/>
      </c>
      <c r="CM351">
        <f>IFERROR(INDEX(PP_Grid[#Data],$DD351,89),0)</f>
        <v/>
      </c>
      <c r="CN351">
        <f>IFERROR(INDEX(PP_Grid[#Data],$DD351,90),0)</f>
        <v/>
      </c>
      <c r="CO351">
        <f>IFERROR(INDEX(PP_Grid[#Data],$DD351,91),0)</f>
        <v/>
      </c>
      <c r="CP351">
        <f>IFERROR(INDEX(PP_Grid[#Data],$DD351,92),0)</f>
        <v/>
      </c>
      <c r="CQ351">
        <f>IFERROR(INDEX(PP_Grid[#Data],$DD351,93),0)</f>
        <v/>
      </c>
      <c r="CR351">
        <f>IFERROR(INDEX(PP_Grid[#Data],$DD351,94),0)</f>
        <v/>
      </c>
      <c r="CS351">
        <f>IFERROR(INDEX(PP_Grid[#Data],$DD351,95),0)</f>
        <v/>
      </c>
      <c r="CT351">
        <f>IFERROR(INDEX(PP_Grid[#Data],$DD351,96),0)</f>
        <v/>
      </c>
      <c r="CU351">
        <f>IFERROR(INDEX(PP_Grid[#Data],$DD351,97),0)</f>
        <v/>
      </c>
      <c r="CV351">
        <f>IFERROR(INDEX(PP_Grid[#Data],$DD351,98),0)</f>
        <v/>
      </c>
      <c r="CW351">
        <f>IFERROR(INDEX(PP_Grid[#Data],$DD351,99),0)</f>
        <v/>
      </c>
      <c r="CX351">
        <f>IFERROR(INDEX(PP_Grid[#Data],$DD351,100),0)</f>
        <v/>
      </c>
      <c r="CY351">
        <f>IFERROR(INDEX(PP_Grid[#Data],$DD351,101),0)</f>
        <v/>
      </c>
      <c r="CZ351">
        <f>IFERROR(INDEX(PP_Grid[#Data],$DD351,102),0)</f>
        <v/>
      </c>
      <c r="DA351">
        <f>IFERROR(INDEX(PP_Grid[#Data],$DD351,103),0)</f>
        <v/>
      </c>
      <c r="DB351">
        <f>IFERROR(INDEX(PP_Grid[#Data],$DD351,104),0)</f>
        <v/>
      </c>
      <c r="DC351">
        <f>IFERROR(INDEX(PP_Grid[#Data],$DD351,105),0)</f>
        <v/>
      </c>
      <c r="DD351" s="7">
        <f>IFERROR(MATCH($B351,PP_Grid[Intermediate],0),99999)</f>
        <v/>
      </c>
    </row>
    <row r="352">
      <c r="B352" t="inlineStr">
        <is>
          <t>使用量(kg)</t>
        </is>
      </c>
      <c r="C352">
        <f>SUMIFS(M_BOM[RM_Qty_Per_Batch],M_BOM[Intermediate],$B351,M_BOM[Part Name],$A340)</f>
        <v/>
      </c>
      <c r="D352">
        <f>$C352*D351</f>
        <v/>
      </c>
      <c r="E352">
        <f>$C352*E351</f>
        <v/>
      </c>
      <c r="F352">
        <f>$C352*F351</f>
        <v/>
      </c>
      <c r="G352">
        <f>$C352*G351</f>
        <v/>
      </c>
      <c r="H352">
        <f>$C352*H351</f>
        <v/>
      </c>
      <c r="I352">
        <f>$C352*I351</f>
        <v/>
      </c>
      <c r="J352">
        <f>$C352*J351</f>
        <v/>
      </c>
      <c r="K352">
        <f>$C352*K351</f>
        <v/>
      </c>
      <c r="L352">
        <f>$C352*L351</f>
        <v/>
      </c>
      <c r="M352">
        <f>$C352*M351</f>
        <v/>
      </c>
      <c r="N352">
        <f>$C352*N351</f>
        <v/>
      </c>
      <c r="O352">
        <f>$C352*O351</f>
        <v/>
      </c>
      <c r="P352">
        <f>$C352*P351</f>
        <v/>
      </c>
      <c r="Q352">
        <f>$C352*Q351</f>
        <v/>
      </c>
      <c r="R352">
        <f>$C352*R351</f>
        <v/>
      </c>
      <c r="S352">
        <f>$C352*S351</f>
        <v/>
      </c>
      <c r="T352">
        <f>$C352*T351</f>
        <v/>
      </c>
      <c r="U352">
        <f>$C352*U351</f>
        <v/>
      </c>
      <c r="V352">
        <f>$C352*V351</f>
        <v/>
      </c>
      <c r="W352">
        <f>$C352*W351</f>
        <v/>
      </c>
      <c r="X352">
        <f>$C352*X351</f>
        <v/>
      </c>
      <c r="Y352">
        <f>$C352*Y351</f>
        <v/>
      </c>
      <c r="Z352">
        <f>$C352*Z351</f>
        <v/>
      </c>
      <c r="AA352">
        <f>$C352*AA351</f>
        <v/>
      </c>
      <c r="AB352">
        <f>$C352*AB351</f>
        <v/>
      </c>
      <c r="AC352">
        <f>$C352*AC351</f>
        <v/>
      </c>
      <c r="AD352">
        <f>$C352*AD351</f>
        <v/>
      </c>
      <c r="AE352">
        <f>$C352*AE351</f>
        <v/>
      </c>
      <c r="AF352">
        <f>$C352*AF351</f>
        <v/>
      </c>
      <c r="AG352">
        <f>$C352*AG351</f>
        <v/>
      </c>
      <c r="AH352">
        <f>$C352*AH351</f>
        <v/>
      </c>
      <c r="AI352">
        <f>$C352*AI351</f>
        <v/>
      </c>
      <c r="AJ352">
        <f>$C352*AJ351</f>
        <v/>
      </c>
      <c r="AK352">
        <f>$C352*AK351</f>
        <v/>
      </c>
      <c r="AL352">
        <f>$C352*AL351</f>
        <v/>
      </c>
      <c r="AM352">
        <f>$C352*AM351</f>
        <v/>
      </c>
      <c r="AN352">
        <f>$C352*AN351</f>
        <v/>
      </c>
      <c r="AO352">
        <f>$C352*AO351</f>
        <v/>
      </c>
      <c r="AP352">
        <f>$C352*AP351</f>
        <v/>
      </c>
      <c r="AQ352">
        <f>$C352*AQ351</f>
        <v/>
      </c>
      <c r="AR352">
        <f>$C352*AR351</f>
        <v/>
      </c>
      <c r="AS352">
        <f>$C352*AS351</f>
        <v/>
      </c>
      <c r="AT352">
        <f>$C352*AT351</f>
        <v/>
      </c>
      <c r="AU352">
        <f>$C352*AU351</f>
        <v/>
      </c>
      <c r="AV352">
        <f>$C352*AV351</f>
        <v/>
      </c>
      <c r="AW352">
        <f>$C352*AW351</f>
        <v/>
      </c>
      <c r="AX352">
        <f>$C352*AX351</f>
        <v/>
      </c>
      <c r="AY352">
        <f>$C352*AY351</f>
        <v/>
      </c>
      <c r="AZ352">
        <f>$C352*AZ351</f>
        <v/>
      </c>
      <c r="BA352">
        <f>$C352*BA351</f>
        <v/>
      </c>
      <c r="BB352">
        <f>$C352*BB351</f>
        <v/>
      </c>
      <c r="BC352">
        <f>$C352*BC351</f>
        <v/>
      </c>
      <c r="BD352">
        <f>$C352*BD351</f>
        <v/>
      </c>
      <c r="BE352">
        <f>$C352*BE351</f>
        <v/>
      </c>
      <c r="BF352">
        <f>$C352*BF351</f>
        <v/>
      </c>
      <c r="BG352">
        <f>$C352*BG351</f>
        <v/>
      </c>
      <c r="BH352">
        <f>$C352*BH351</f>
        <v/>
      </c>
      <c r="BI352">
        <f>$C352*BI351</f>
        <v/>
      </c>
      <c r="BJ352">
        <f>$C352*BJ351</f>
        <v/>
      </c>
      <c r="BK352">
        <f>$C352*BK351</f>
        <v/>
      </c>
      <c r="BL352">
        <f>$C352*BL351</f>
        <v/>
      </c>
      <c r="BM352">
        <f>$C352*BM351</f>
        <v/>
      </c>
      <c r="BN352">
        <f>$C352*BN351</f>
        <v/>
      </c>
      <c r="BO352">
        <f>$C352*BO351</f>
        <v/>
      </c>
      <c r="BP352">
        <f>$C352*BP351</f>
        <v/>
      </c>
      <c r="BQ352">
        <f>$C352*BQ351</f>
        <v/>
      </c>
      <c r="BR352">
        <f>$C352*BR351</f>
        <v/>
      </c>
      <c r="BS352">
        <f>$C352*BS351</f>
        <v/>
      </c>
      <c r="BT352">
        <f>$C352*BT351</f>
        <v/>
      </c>
      <c r="BU352">
        <f>$C352*BU351</f>
        <v/>
      </c>
      <c r="BV352">
        <f>$C352*BV351</f>
        <v/>
      </c>
      <c r="BW352">
        <f>$C352*BW351</f>
        <v/>
      </c>
      <c r="BX352">
        <f>$C352*BX351</f>
        <v/>
      </c>
      <c r="BY352">
        <f>$C352*BY351</f>
        <v/>
      </c>
      <c r="BZ352">
        <f>$C352*BZ351</f>
        <v/>
      </c>
      <c r="CA352">
        <f>$C352*CA351</f>
        <v/>
      </c>
      <c r="CB352">
        <f>$C352*CB351</f>
        <v/>
      </c>
      <c r="CC352">
        <f>$C352*CC351</f>
        <v/>
      </c>
      <c r="CD352">
        <f>$C352*CD351</f>
        <v/>
      </c>
      <c r="CE352">
        <f>$C352*CE351</f>
        <v/>
      </c>
      <c r="CF352">
        <f>$C352*CF351</f>
        <v/>
      </c>
      <c r="CG352">
        <f>$C352*CG351</f>
        <v/>
      </c>
      <c r="CH352">
        <f>$C352*CH351</f>
        <v/>
      </c>
      <c r="CI352">
        <f>$C352*CI351</f>
        <v/>
      </c>
      <c r="CJ352">
        <f>$C352*CJ351</f>
        <v/>
      </c>
      <c r="CK352">
        <f>$C352*CK351</f>
        <v/>
      </c>
      <c r="CL352">
        <f>$C352*CL351</f>
        <v/>
      </c>
      <c r="CM352">
        <f>$C352*CM351</f>
        <v/>
      </c>
      <c r="CN352">
        <f>$C352*CN351</f>
        <v/>
      </c>
      <c r="CO352">
        <f>$C352*CO351</f>
        <v/>
      </c>
      <c r="CP352">
        <f>$C352*CP351</f>
        <v/>
      </c>
      <c r="CQ352">
        <f>$C352*CQ351</f>
        <v/>
      </c>
      <c r="CR352">
        <f>$C352*CR351</f>
        <v/>
      </c>
      <c r="CS352">
        <f>$C352*CS351</f>
        <v/>
      </c>
      <c r="CT352">
        <f>$C352*CT351</f>
        <v/>
      </c>
      <c r="CU352">
        <f>$C352*CU351</f>
        <v/>
      </c>
      <c r="CV352">
        <f>$C352*CV351</f>
        <v/>
      </c>
      <c r="CW352">
        <f>$C352*CW351</f>
        <v/>
      </c>
      <c r="CX352">
        <f>$C352*CX351</f>
        <v/>
      </c>
      <c r="CY352">
        <f>$C352*CY351</f>
        <v/>
      </c>
      <c r="CZ352">
        <f>$C352*CZ351</f>
        <v/>
      </c>
      <c r="DA352">
        <f>$C352*DA351</f>
        <v/>
      </c>
      <c r="DB352">
        <f>$C352*DB351</f>
        <v/>
      </c>
      <c r="DC352">
        <f>$C352*DC351</f>
        <v/>
      </c>
    </row>
    <row r="353">
      <c r="B353" t="inlineStr">
        <is>
          <t>TSP-218</t>
        </is>
      </c>
      <c r="C353" t="inlineStr">
        <is>
          <t>No. of batches</t>
        </is>
      </c>
      <c r="D353">
        <f>IFERROR(INDEX(PP_Grid[#Data],$DD353,2),0)</f>
        <v/>
      </c>
      <c r="E353">
        <f>IFERROR(INDEX(PP_Grid[#Data],$DD353,3),0)</f>
        <v/>
      </c>
      <c r="F353">
        <f>IFERROR(INDEX(PP_Grid[#Data],$DD353,4),0)</f>
        <v/>
      </c>
      <c r="G353">
        <f>IFERROR(INDEX(PP_Grid[#Data],$DD353,5),0)</f>
        <v/>
      </c>
      <c r="H353">
        <f>IFERROR(INDEX(PP_Grid[#Data],$DD353,6),0)</f>
        <v/>
      </c>
      <c r="I353">
        <f>IFERROR(INDEX(PP_Grid[#Data],$DD353,7),0)</f>
        <v/>
      </c>
      <c r="J353">
        <f>IFERROR(INDEX(PP_Grid[#Data],$DD353,8),0)</f>
        <v/>
      </c>
      <c r="K353">
        <f>IFERROR(INDEX(PP_Grid[#Data],$DD353,9),0)</f>
        <v/>
      </c>
      <c r="L353">
        <f>IFERROR(INDEX(PP_Grid[#Data],$DD353,10),0)</f>
        <v/>
      </c>
      <c r="M353">
        <f>IFERROR(INDEX(PP_Grid[#Data],$DD353,11),0)</f>
        <v/>
      </c>
      <c r="N353">
        <f>IFERROR(INDEX(PP_Grid[#Data],$DD353,12),0)</f>
        <v/>
      </c>
      <c r="O353">
        <f>IFERROR(INDEX(PP_Grid[#Data],$DD353,13),0)</f>
        <v/>
      </c>
      <c r="P353">
        <f>IFERROR(INDEX(PP_Grid[#Data],$DD353,14),0)</f>
        <v/>
      </c>
      <c r="Q353">
        <f>IFERROR(INDEX(PP_Grid[#Data],$DD353,15),0)</f>
        <v/>
      </c>
      <c r="R353">
        <f>IFERROR(INDEX(PP_Grid[#Data],$DD353,16),0)</f>
        <v/>
      </c>
      <c r="S353">
        <f>IFERROR(INDEX(PP_Grid[#Data],$DD353,17),0)</f>
        <v/>
      </c>
      <c r="T353">
        <f>IFERROR(INDEX(PP_Grid[#Data],$DD353,18),0)</f>
        <v/>
      </c>
      <c r="U353">
        <f>IFERROR(INDEX(PP_Grid[#Data],$DD353,19),0)</f>
        <v/>
      </c>
      <c r="V353">
        <f>IFERROR(INDEX(PP_Grid[#Data],$DD353,20),0)</f>
        <v/>
      </c>
      <c r="W353">
        <f>IFERROR(INDEX(PP_Grid[#Data],$DD353,21),0)</f>
        <v/>
      </c>
      <c r="X353">
        <f>IFERROR(INDEX(PP_Grid[#Data],$DD353,22),0)</f>
        <v/>
      </c>
      <c r="Y353">
        <f>IFERROR(INDEX(PP_Grid[#Data],$DD353,23),0)</f>
        <v/>
      </c>
      <c r="Z353">
        <f>IFERROR(INDEX(PP_Grid[#Data],$DD353,24),0)</f>
        <v/>
      </c>
      <c r="AA353">
        <f>IFERROR(INDEX(PP_Grid[#Data],$DD353,25),0)</f>
        <v/>
      </c>
      <c r="AB353">
        <f>IFERROR(INDEX(PP_Grid[#Data],$DD353,26),0)</f>
        <v/>
      </c>
      <c r="AC353">
        <f>IFERROR(INDEX(PP_Grid[#Data],$DD353,27),0)</f>
        <v/>
      </c>
      <c r="AD353">
        <f>IFERROR(INDEX(PP_Grid[#Data],$DD353,28),0)</f>
        <v/>
      </c>
      <c r="AE353">
        <f>IFERROR(INDEX(PP_Grid[#Data],$DD353,29),0)</f>
        <v/>
      </c>
      <c r="AF353">
        <f>IFERROR(INDEX(PP_Grid[#Data],$DD353,30),0)</f>
        <v/>
      </c>
      <c r="AG353">
        <f>IFERROR(INDEX(PP_Grid[#Data],$DD353,31),0)</f>
        <v/>
      </c>
      <c r="AH353">
        <f>IFERROR(INDEX(PP_Grid[#Data],$DD353,32),0)</f>
        <v/>
      </c>
      <c r="AI353">
        <f>IFERROR(INDEX(PP_Grid[#Data],$DD353,33),0)</f>
        <v/>
      </c>
      <c r="AJ353">
        <f>IFERROR(INDEX(PP_Grid[#Data],$DD353,34),0)</f>
        <v/>
      </c>
      <c r="AK353">
        <f>IFERROR(INDEX(PP_Grid[#Data],$DD353,35),0)</f>
        <v/>
      </c>
      <c r="AL353">
        <f>IFERROR(INDEX(PP_Grid[#Data],$DD353,36),0)</f>
        <v/>
      </c>
      <c r="AM353">
        <f>IFERROR(INDEX(PP_Grid[#Data],$DD353,37),0)</f>
        <v/>
      </c>
      <c r="AN353">
        <f>IFERROR(INDEX(PP_Grid[#Data],$DD353,38),0)</f>
        <v/>
      </c>
      <c r="AO353">
        <f>IFERROR(INDEX(PP_Grid[#Data],$DD353,39),0)</f>
        <v/>
      </c>
      <c r="AP353">
        <f>IFERROR(INDEX(PP_Grid[#Data],$DD353,40),0)</f>
        <v/>
      </c>
      <c r="AQ353">
        <f>IFERROR(INDEX(PP_Grid[#Data],$DD353,41),0)</f>
        <v/>
      </c>
      <c r="AR353">
        <f>IFERROR(INDEX(PP_Grid[#Data],$DD353,42),0)</f>
        <v/>
      </c>
      <c r="AS353">
        <f>IFERROR(INDEX(PP_Grid[#Data],$DD353,43),0)</f>
        <v/>
      </c>
      <c r="AT353">
        <f>IFERROR(INDEX(PP_Grid[#Data],$DD353,44),0)</f>
        <v/>
      </c>
      <c r="AU353">
        <f>IFERROR(INDEX(PP_Grid[#Data],$DD353,45),0)</f>
        <v/>
      </c>
      <c r="AV353">
        <f>IFERROR(INDEX(PP_Grid[#Data],$DD353,46),0)</f>
        <v/>
      </c>
      <c r="AW353">
        <f>IFERROR(INDEX(PP_Grid[#Data],$DD353,47),0)</f>
        <v/>
      </c>
      <c r="AX353">
        <f>IFERROR(INDEX(PP_Grid[#Data],$DD353,48),0)</f>
        <v/>
      </c>
      <c r="AY353">
        <f>IFERROR(INDEX(PP_Grid[#Data],$DD353,49),0)</f>
        <v/>
      </c>
      <c r="AZ353">
        <f>IFERROR(INDEX(PP_Grid[#Data],$DD353,50),0)</f>
        <v/>
      </c>
      <c r="BA353">
        <f>IFERROR(INDEX(PP_Grid[#Data],$DD353,51),0)</f>
        <v/>
      </c>
      <c r="BB353">
        <f>IFERROR(INDEX(PP_Grid[#Data],$DD353,52),0)</f>
        <v/>
      </c>
      <c r="BC353">
        <f>IFERROR(INDEX(PP_Grid[#Data],$DD353,53),0)</f>
        <v/>
      </c>
      <c r="BD353">
        <f>IFERROR(INDEX(PP_Grid[#Data],$DD353,54),0)</f>
        <v/>
      </c>
      <c r="BE353">
        <f>IFERROR(INDEX(PP_Grid[#Data],$DD353,55),0)</f>
        <v/>
      </c>
      <c r="BF353">
        <f>IFERROR(INDEX(PP_Grid[#Data],$DD353,56),0)</f>
        <v/>
      </c>
      <c r="BG353">
        <f>IFERROR(INDEX(PP_Grid[#Data],$DD353,57),0)</f>
        <v/>
      </c>
      <c r="BH353">
        <f>IFERROR(INDEX(PP_Grid[#Data],$DD353,58),0)</f>
        <v/>
      </c>
      <c r="BI353">
        <f>IFERROR(INDEX(PP_Grid[#Data],$DD353,59),0)</f>
        <v/>
      </c>
      <c r="BJ353">
        <f>IFERROR(INDEX(PP_Grid[#Data],$DD353,60),0)</f>
        <v/>
      </c>
      <c r="BK353">
        <f>IFERROR(INDEX(PP_Grid[#Data],$DD353,61),0)</f>
        <v/>
      </c>
      <c r="BL353">
        <f>IFERROR(INDEX(PP_Grid[#Data],$DD353,62),0)</f>
        <v/>
      </c>
      <c r="BM353">
        <f>IFERROR(INDEX(PP_Grid[#Data],$DD353,63),0)</f>
        <v/>
      </c>
      <c r="BN353">
        <f>IFERROR(INDEX(PP_Grid[#Data],$DD353,64),0)</f>
        <v/>
      </c>
      <c r="BO353">
        <f>IFERROR(INDEX(PP_Grid[#Data],$DD353,65),0)</f>
        <v/>
      </c>
      <c r="BP353">
        <f>IFERROR(INDEX(PP_Grid[#Data],$DD353,66),0)</f>
        <v/>
      </c>
      <c r="BQ353">
        <f>IFERROR(INDEX(PP_Grid[#Data],$DD353,67),0)</f>
        <v/>
      </c>
      <c r="BR353">
        <f>IFERROR(INDEX(PP_Grid[#Data],$DD353,68),0)</f>
        <v/>
      </c>
      <c r="BS353">
        <f>IFERROR(INDEX(PP_Grid[#Data],$DD353,69),0)</f>
        <v/>
      </c>
      <c r="BT353">
        <f>IFERROR(INDEX(PP_Grid[#Data],$DD353,70),0)</f>
        <v/>
      </c>
      <c r="BU353">
        <f>IFERROR(INDEX(PP_Grid[#Data],$DD353,71),0)</f>
        <v/>
      </c>
      <c r="BV353">
        <f>IFERROR(INDEX(PP_Grid[#Data],$DD353,72),0)</f>
        <v/>
      </c>
      <c r="BW353">
        <f>IFERROR(INDEX(PP_Grid[#Data],$DD353,73),0)</f>
        <v/>
      </c>
      <c r="BX353">
        <f>IFERROR(INDEX(PP_Grid[#Data],$DD353,74),0)</f>
        <v/>
      </c>
      <c r="BY353">
        <f>IFERROR(INDEX(PP_Grid[#Data],$DD353,75),0)</f>
        <v/>
      </c>
      <c r="BZ353">
        <f>IFERROR(INDEX(PP_Grid[#Data],$DD353,76),0)</f>
        <v/>
      </c>
      <c r="CA353">
        <f>IFERROR(INDEX(PP_Grid[#Data],$DD353,77),0)</f>
        <v/>
      </c>
      <c r="CB353">
        <f>IFERROR(INDEX(PP_Grid[#Data],$DD353,78),0)</f>
        <v/>
      </c>
      <c r="CC353">
        <f>IFERROR(INDEX(PP_Grid[#Data],$DD353,79),0)</f>
        <v/>
      </c>
      <c r="CD353">
        <f>IFERROR(INDEX(PP_Grid[#Data],$DD353,80),0)</f>
        <v/>
      </c>
      <c r="CE353">
        <f>IFERROR(INDEX(PP_Grid[#Data],$DD353,81),0)</f>
        <v/>
      </c>
      <c r="CF353">
        <f>IFERROR(INDEX(PP_Grid[#Data],$DD353,82),0)</f>
        <v/>
      </c>
      <c r="CG353">
        <f>IFERROR(INDEX(PP_Grid[#Data],$DD353,83),0)</f>
        <v/>
      </c>
      <c r="CH353">
        <f>IFERROR(INDEX(PP_Grid[#Data],$DD353,84),0)</f>
        <v/>
      </c>
      <c r="CI353">
        <f>IFERROR(INDEX(PP_Grid[#Data],$DD353,85),0)</f>
        <v/>
      </c>
      <c r="CJ353">
        <f>IFERROR(INDEX(PP_Grid[#Data],$DD353,86),0)</f>
        <v/>
      </c>
      <c r="CK353">
        <f>IFERROR(INDEX(PP_Grid[#Data],$DD353,87),0)</f>
        <v/>
      </c>
      <c r="CL353">
        <f>IFERROR(INDEX(PP_Grid[#Data],$DD353,88),0)</f>
        <v/>
      </c>
      <c r="CM353">
        <f>IFERROR(INDEX(PP_Grid[#Data],$DD353,89),0)</f>
        <v/>
      </c>
      <c r="CN353">
        <f>IFERROR(INDEX(PP_Grid[#Data],$DD353,90),0)</f>
        <v/>
      </c>
      <c r="CO353">
        <f>IFERROR(INDEX(PP_Grid[#Data],$DD353,91),0)</f>
        <v/>
      </c>
      <c r="CP353">
        <f>IFERROR(INDEX(PP_Grid[#Data],$DD353,92),0)</f>
        <v/>
      </c>
      <c r="CQ353">
        <f>IFERROR(INDEX(PP_Grid[#Data],$DD353,93),0)</f>
        <v/>
      </c>
      <c r="CR353">
        <f>IFERROR(INDEX(PP_Grid[#Data],$DD353,94),0)</f>
        <v/>
      </c>
      <c r="CS353">
        <f>IFERROR(INDEX(PP_Grid[#Data],$DD353,95),0)</f>
        <v/>
      </c>
      <c r="CT353">
        <f>IFERROR(INDEX(PP_Grid[#Data],$DD353,96),0)</f>
        <v/>
      </c>
      <c r="CU353">
        <f>IFERROR(INDEX(PP_Grid[#Data],$DD353,97),0)</f>
        <v/>
      </c>
      <c r="CV353">
        <f>IFERROR(INDEX(PP_Grid[#Data],$DD353,98),0)</f>
        <v/>
      </c>
      <c r="CW353">
        <f>IFERROR(INDEX(PP_Grid[#Data],$DD353,99),0)</f>
        <v/>
      </c>
      <c r="CX353">
        <f>IFERROR(INDEX(PP_Grid[#Data],$DD353,100),0)</f>
        <v/>
      </c>
      <c r="CY353">
        <f>IFERROR(INDEX(PP_Grid[#Data],$DD353,101),0)</f>
        <v/>
      </c>
      <c r="CZ353">
        <f>IFERROR(INDEX(PP_Grid[#Data],$DD353,102),0)</f>
        <v/>
      </c>
      <c r="DA353">
        <f>IFERROR(INDEX(PP_Grid[#Data],$DD353,103),0)</f>
        <v/>
      </c>
      <c r="DB353">
        <f>IFERROR(INDEX(PP_Grid[#Data],$DD353,104),0)</f>
        <v/>
      </c>
      <c r="DC353">
        <f>IFERROR(INDEX(PP_Grid[#Data],$DD353,105),0)</f>
        <v/>
      </c>
      <c r="DD353" s="7">
        <f>IFERROR(MATCH($B353,PP_Grid[Intermediate],0),99999)</f>
        <v/>
      </c>
    </row>
    <row r="354">
      <c r="B354" t="inlineStr">
        <is>
          <t>使用量(kg)</t>
        </is>
      </c>
      <c r="C354">
        <f>SUMIFS(M_BOM[RM_Qty_Per_Batch],M_BOM[Intermediate],$B353,M_BOM[Part Name],$A340)</f>
        <v/>
      </c>
      <c r="D354">
        <f>$C354*D353</f>
        <v/>
      </c>
      <c r="E354">
        <f>$C354*E353</f>
        <v/>
      </c>
      <c r="F354">
        <f>$C354*F353</f>
        <v/>
      </c>
      <c r="G354">
        <f>$C354*G353</f>
        <v/>
      </c>
      <c r="H354">
        <f>$C354*H353</f>
        <v/>
      </c>
      <c r="I354">
        <f>$C354*I353</f>
        <v/>
      </c>
      <c r="J354">
        <f>$C354*J353</f>
        <v/>
      </c>
      <c r="K354">
        <f>$C354*K353</f>
        <v/>
      </c>
      <c r="L354">
        <f>$C354*L353</f>
        <v/>
      </c>
      <c r="M354">
        <f>$C354*M353</f>
        <v/>
      </c>
      <c r="N354">
        <f>$C354*N353</f>
        <v/>
      </c>
      <c r="O354">
        <f>$C354*O353</f>
        <v/>
      </c>
      <c r="P354">
        <f>$C354*P353</f>
        <v/>
      </c>
      <c r="Q354">
        <f>$C354*Q353</f>
        <v/>
      </c>
      <c r="R354">
        <f>$C354*R353</f>
        <v/>
      </c>
      <c r="S354">
        <f>$C354*S353</f>
        <v/>
      </c>
      <c r="T354">
        <f>$C354*T353</f>
        <v/>
      </c>
      <c r="U354">
        <f>$C354*U353</f>
        <v/>
      </c>
      <c r="V354">
        <f>$C354*V353</f>
        <v/>
      </c>
      <c r="W354">
        <f>$C354*W353</f>
        <v/>
      </c>
      <c r="X354">
        <f>$C354*X353</f>
        <v/>
      </c>
      <c r="Y354">
        <f>$C354*Y353</f>
        <v/>
      </c>
      <c r="Z354">
        <f>$C354*Z353</f>
        <v/>
      </c>
      <c r="AA354">
        <f>$C354*AA353</f>
        <v/>
      </c>
      <c r="AB354">
        <f>$C354*AB353</f>
        <v/>
      </c>
      <c r="AC354">
        <f>$C354*AC353</f>
        <v/>
      </c>
      <c r="AD354">
        <f>$C354*AD353</f>
        <v/>
      </c>
      <c r="AE354">
        <f>$C354*AE353</f>
        <v/>
      </c>
      <c r="AF354">
        <f>$C354*AF353</f>
        <v/>
      </c>
      <c r="AG354">
        <f>$C354*AG353</f>
        <v/>
      </c>
      <c r="AH354">
        <f>$C354*AH353</f>
        <v/>
      </c>
      <c r="AI354">
        <f>$C354*AI353</f>
        <v/>
      </c>
      <c r="AJ354">
        <f>$C354*AJ353</f>
        <v/>
      </c>
      <c r="AK354">
        <f>$C354*AK353</f>
        <v/>
      </c>
      <c r="AL354">
        <f>$C354*AL353</f>
        <v/>
      </c>
      <c r="AM354">
        <f>$C354*AM353</f>
        <v/>
      </c>
      <c r="AN354">
        <f>$C354*AN353</f>
        <v/>
      </c>
      <c r="AO354">
        <f>$C354*AO353</f>
        <v/>
      </c>
      <c r="AP354">
        <f>$C354*AP353</f>
        <v/>
      </c>
      <c r="AQ354">
        <f>$C354*AQ353</f>
        <v/>
      </c>
      <c r="AR354">
        <f>$C354*AR353</f>
        <v/>
      </c>
      <c r="AS354">
        <f>$C354*AS353</f>
        <v/>
      </c>
      <c r="AT354">
        <f>$C354*AT353</f>
        <v/>
      </c>
      <c r="AU354">
        <f>$C354*AU353</f>
        <v/>
      </c>
      <c r="AV354">
        <f>$C354*AV353</f>
        <v/>
      </c>
      <c r="AW354">
        <f>$C354*AW353</f>
        <v/>
      </c>
      <c r="AX354">
        <f>$C354*AX353</f>
        <v/>
      </c>
      <c r="AY354">
        <f>$C354*AY353</f>
        <v/>
      </c>
      <c r="AZ354">
        <f>$C354*AZ353</f>
        <v/>
      </c>
      <c r="BA354">
        <f>$C354*BA353</f>
        <v/>
      </c>
      <c r="BB354">
        <f>$C354*BB353</f>
        <v/>
      </c>
      <c r="BC354">
        <f>$C354*BC353</f>
        <v/>
      </c>
      <c r="BD354">
        <f>$C354*BD353</f>
        <v/>
      </c>
      <c r="BE354">
        <f>$C354*BE353</f>
        <v/>
      </c>
      <c r="BF354">
        <f>$C354*BF353</f>
        <v/>
      </c>
      <c r="BG354">
        <f>$C354*BG353</f>
        <v/>
      </c>
      <c r="BH354">
        <f>$C354*BH353</f>
        <v/>
      </c>
      <c r="BI354">
        <f>$C354*BI353</f>
        <v/>
      </c>
      <c r="BJ354">
        <f>$C354*BJ353</f>
        <v/>
      </c>
      <c r="BK354">
        <f>$C354*BK353</f>
        <v/>
      </c>
      <c r="BL354">
        <f>$C354*BL353</f>
        <v/>
      </c>
      <c r="BM354">
        <f>$C354*BM353</f>
        <v/>
      </c>
      <c r="BN354">
        <f>$C354*BN353</f>
        <v/>
      </c>
      <c r="BO354">
        <f>$C354*BO353</f>
        <v/>
      </c>
      <c r="BP354">
        <f>$C354*BP353</f>
        <v/>
      </c>
      <c r="BQ354">
        <f>$C354*BQ353</f>
        <v/>
      </c>
      <c r="BR354">
        <f>$C354*BR353</f>
        <v/>
      </c>
      <c r="BS354">
        <f>$C354*BS353</f>
        <v/>
      </c>
      <c r="BT354">
        <f>$C354*BT353</f>
        <v/>
      </c>
      <c r="BU354">
        <f>$C354*BU353</f>
        <v/>
      </c>
      <c r="BV354">
        <f>$C354*BV353</f>
        <v/>
      </c>
      <c r="BW354">
        <f>$C354*BW353</f>
        <v/>
      </c>
      <c r="BX354">
        <f>$C354*BX353</f>
        <v/>
      </c>
      <c r="BY354">
        <f>$C354*BY353</f>
        <v/>
      </c>
      <c r="BZ354">
        <f>$C354*BZ353</f>
        <v/>
      </c>
      <c r="CA354">
        <f>$C354*CA353</f>
        <v/>
      </c>
      <c r="CB354">
        <f>$C354*CB353</f>
        <v/>
      </c>
      <c r="CC354">
        <f>$C354*CC353</f>
        <v/>
      </c>
      <c r="CD354">
        <f>$C354*CD353</f>
        <v/>
      </c>
      <c r="CE354">
        <f>$C354*CE353</f>
        <v/>
      </c>
      <c r="CF354">
        <f>$C354*CF353</f>
        <v/>
      </c>
      <c r="CG354">
        <f>$C354*CG353</f>
        <v/>
      </c>
      <c r="CH354">
        <f>$C354*CH353</f>
        <v/>
      </c>
      <c r="CI354">
        <f>$C354*CI353</f>
        <v/>
      </c>
      <c r="CJ354">
        <f>$C354*CJ353</f>
        <v/>
      </c>
      <c r="CK354">
        <f>$C354*CK353</f>
        <v/>
      </c>
      <c r="CL354">
        <f>$C354*CL353</f>
        <v/>
      </c>
      <c r="CM354">
        <f>$C354*CM353</f>
        <v/>
      </c>
      <c r="CN354">
        <f>$C354*CN353</f>
        <v/>
      </c>
      <c r="CO354">
        <f>$C354*CO353</f>
        <v/>
      </c>
      <c r="CP354">
        <f>$C354*CP353</f>
        <v/>
      </c>
      <c r="CQ354">
        <f>$C354*CQ353</f>
        <v/>
      </c>
      <c r="CR354">
        <f>$C354*CR353</f>
        <v/>
      </c>
      <c r="CS354">
        <f>$C354*CS353</f>
        <v/>
      </c>
      <c r="CT354">
        <f>$C354*CT353</f>
        <v/>
      </c>
      <c r="CU354">
        <f>$C354*CU353</f>
        <v/>
      </c>
      <c r="CV354">
        <f>$C354*CV353</f>
        <v/>
      </c>
      <c r="CW354">
        <f>$C354*CW353</f>
        <v/>
      </c>
      <c r="CX354">
        <f>$C354*CX353</f>
        <v/>
      </c>
      <c r="CY354">
        <f>$C354*CY353</f>
        <v/>
      </c>
      <c r="CZ354">
        <f>$C354*CZ353</f>
        <v/>
      </c>
      <c r="DA354">
        <f>$C354*DA353</f>
        <v/>
      </c>
      <c r="DB354">
        <f>$C354*DB353</f>
        <v/>
      </c>
      <c r="DC354">
        <f>$C354*DC353</f>
        <v/>
      </c>
    </row>
    <row r="355">
      <c r="B355" t="inlineStr">
        <is>
          <t>TSP-219</t>
        </is>
      </c>
      <c r="C355" t="inlineStr">
        <is>
          <t>No. of batches</t>
        </is>
      </c>
      <c r="D355">
        <f>IFERROR(INDEX(PP_Grid[#Data],$DD355,2),0)</f>
        <v/>
      </c>
      <c r="E355">
        <f>IFERROR(INDEX(PP_Grid[#Data],$DD355,3),0)</f>
        <v/>
      </c>
      <c r="F355">
        <f>IFERROR(INDEX(PP_Grid[#Data],$DD355,4),0)</f>
        <v/>
      </c>
      <c r="G355">
        <f>IFERROR(INDEX(PP_Grid[#Data],$DD355,5),0)</f>
        <v/>
      </c>
      <c r="H355">
        <f>IFERROR(INDEX(PP_Grid[#Data],$DD355,6),0)</f>
        <v/>
      </c>
      <c r="I355">
        <f>IFERROR(INDEX(PP_Grid[#Data],$DD355,7),0)</f>
        <v/>
      </c>
      <c r="J355">
        <f>IFERROR(INDEX(PP_Grid[#Data],$DD355,8),0)</f>
        <v/>
      </c>
      <c r="K355">
        <f>IFERROR(INDEX(PP_Grid[#Data],$DD355,9),0)</f>
        <v/>
      </c>
      <c r="L355">
        <f>IFERROR(INDEX(PP_Grid[#Data],$DD355,10),0)</f>
        <v/>
      </c>
      <c r="M355">
        <f>IFERROR(INDEX(PP_Grid[#Data],$DD355,11),0)</f>
        <v/>
      </c>
      <c r="N355">
        <f>IFERROR(INDEX(PP_Grid[#Data],$DD355,12),0)</f>
        <v/>
      </c>
      <c r="O355">
        <f>IFERROR(INDEX(PP_Grid[#Data],$DD355,13),0)</f>
        <v/>
      </c>
      <c r="P355">
        <f>IFERROR(INDEX(PP_Grid[#Data],$DD355,14),0)</f>
        <v/>
      </c>
      <c r="Q355">
        <f>IFERROR(INDEX(PP_Grid[#Data],$DD355,15),0)</f>
        <v/>
      </c>
      <c r="R355">
        <f>IFERROR(INDEX(PP_Grid[#Data],$DD355,16),0)</f>
        <v/>
      </c>
      <c r="S355">
        <f>IFERROR(INDEX(PP_Grid[#Data],$DD355,17),0)</f>
        <v/>
      </c>
      <c r="T355">
        <f>IFERROR(INDEX(PP_Grid[#Data],$DD355,18),0)</f>
        <v/>
      </c>
      <c r="U355">
        <f>IFERROR(INDEX(PP_Grid[#Data],$DD355,19),0)</f>
        <v/>
      </c>
      <c r="V355">
        <f>IFERROR(INDEX(PP_Grid[#Data],$DD355,20),0)</f>
        <v/>
      </c>
      <c r="W355">
        <f>IFERROR(INDEX(PP_Grid[#Data],$DD355,21),0)</f>
        <v/>
      </c>
      <c r="X355">
        <f>IFERROR(INDEX(PP_Grid[#Data],$DD355,22),0)</f>
        <v/>
      </c>
      <c r="Y355">
        <f>IFERROR(INDEX(PP_Grid[#Data],$DD355,23),0)</f>
        <v/>
      </c>
      <c r="Z355">
        <f>IFERROR(INDEX(PP_Grid[#Data],$DD355,24),0)</f>
        <v/>
      </c>
      <c r="AA355">
        <f>IFERROR(INDEX(PP_Grid[#Data],$DD355,25),0)</f>
        <v/>
      </c>
      <c r="AB355">
        <f>IFERROR(INDEX(PP_Grid[#Data],$DD355,26),0)</f>
        <v/>
      </c>
      <c r="AC355">
        <f>IFERROR(INDEX(PP_Grid[#Data],$DD355,27),0)</f>
        <v/>
      </c>
      <c r="AD355">
        <f>IFERROR(INDEX(PP_Grid[#Data],$DD355,28),0)</f>
        <v/>
      </c>
      <c r="AE355">
        <f>IFERROR(INDEX(PP_Grid[#Data],$DD355,29),0)</f>
        <v/>
      </c>
      <c r="AF355">
        <f>IFERROR(INDEX(PP_Grid[#Data],$DD355,30),0)</f>
        <v/>
      </c>
      <c r="AG355">
        <f>IFERROR(INDEX(PP_Grid[#Data],$DD355,31),0)</f>
        <v/>
      </c>
      <c r="AH355">
        <f>IFERROR(INDEX(PP_Grid[#Data],$DD355,32),0)</f>
        <v/>
      </c>
      <c r="AI355">
        <f>IFERROR(INDEX(PP_Grid[#Data],$DD355,33),0)</f>
        <v/>
      </c>
      <c r="AJ355">
        <f>IFERROR(INDEX(PP_Grid[#Data],$DD355,34),0)</f>
        <v/>
      </c>
      <c r="AK355">
        <f>IFERROR(INDEX(PP_Grid[#Data],$DD355,35),0)</f>
        <v/>
      </c>
      <c r="AL355">
        <f>IFERROR(INDEX(PP_Grid[#Data],$DD355,36),0)</f>
        <v/>
      </c>
      <c r="AM355">
        <f>IFERROR(INDEX(PP_Grid[#Data],$DD355,37),0)</f>
        <v/>
      </c>
      <c r="AN355">
        <f>IFERROR(INDEX(PP_Grid[#Data],$DD355,38),0)</f>
        <v/>
      </c>
      <c r="AO355">
        <f>IFERROR(INDEX(PP_Grid[#Data],$DD355,39),0)</f>
        <v/>
      </c>
      <c r="AP355">
        <f>IFERROR(INDEX(PP_Grid[#Data],$DD355,40),0)</f>
        <v/>
      </c>
      <c r="AQ355">
        <f>IFERROR(INDEX(PP_Grid[#Data],$DD355,41),0)</f>
        <v/>
      </c>
      <c r="AR355">
        <f>IFERROR(INDEX(PP_Grid[#Data],$DD355,42),0)</f>
        <v/>
      </c>
      <c r="AS355">
        <f>IFERROR(INDEX(PP_Grid[#Data],$DD355,43),0)</f>
        <v/>
      </c>
      <c r="AT355">
        <f>IFERROR(INDEX(PP_Grid[#Data],$DD355,44),0)</f>
        <v/>
      </c>
      <c r="AU355">
        <f>IFERROR(INDEX(PP_Grid[#Data],$DD355,45),0)</f>
        <v/>
      </c>
      <c r="AV355">
        <f>IFERROR(INDEX(PP_Grid[#Data],$DD355,46),0)</f>
        <v/>
      </c>
      <c r="AW355">
        <f>IFERROR(INDEX(PP_Grid[#Data],$DD355,47),0)</f>
        <v/>
      </c>
      <c r="AX355">
        <f>IFERROR(INDEX(PP_Grid[#Data],$DD355,48),0)</f>
        <v/>
      </c>
      <c r="AY355">
        <f>IFERROR(INDEX(PP_Grid[#Data],$DD355,49),0)</f>
        <v/>
      </c>
      <c r="AZ355">
        <f>IFERROR(INDEX(PP_Grid[#Data],$DD355,50),0)</f>
        <v/>
      </c>
      <c r="BA355">
        <f>IFERROR(INDEX(PP_Grid[#Data],$DD355,51),0)</f>
        <v/>
      </c>
      <c r="BB355">
        <f>IFERROR(INDEX(PP_Grid[#Data],$DD355,52),0)</f>
        <v/>
      </c>
      <c r="BC355">
        <f>IFERROR(INDEX(PP_Grid[#Data],$DD355,53),0)</f>
        <v/>
      </c>
      <c r="BD355">
        <f>IFERROR(INDEX(PP_Grid[#Data],$DD355,54),0)</f>
        <v/>
      </c>
      <c r="BE355">
        <f>IFERROR(INDEX(PP_Grid[#Data],$DD355,55),0)</f>
        <v/>
      </c>
      <c r="BF355">
        <f>IFERROR(INDEX(PP_Grid[#Data],$DD355,56),0)</f>
        <v/>
      </c>
      <c r="BG355">
        <f>IFERROR(INDEX(PP_Grid[#Data],$DD355,57),0)</f>
        <v/>
      </c>
      <c r="BH355">
        <f>IFERROR(INDEX(PP_Grid[#Data],$DD355,58),0)</f>
        <v/>
      </c>
      <c r="BI355">
        <f>IFERROR(INDEX(PP_Grid[#Data],$DD355,59),0)</f>
        <v/>
      </c>
      <c r="BJ355">
        <f>IFERROR(INDEX(PP_Grid[#Data],$DD355,60),0)</f>
        <v/>
      </c>
      <c r="BK355">
        <f>IFERROR(INDEX(PP_Grid[#Data],$DD355,61),0)</f>
        <v/>
      </c>
      <c r="BL355">
        <f>IFERROR(INDEX(PP_Grid[#Data],$DD355,62),0)</f>
        <v/>
      </c>
      <c r="BM355">
        <f>IFERROR(INDEX(PP_Grid[#Data],$DD355,63),0)</f>
        <v/>
      </c>
      <c r="BN355">
        <f>IFERROR(INDEX(PP_Grid[#Data],$DD355,64),0)</f>
        <v/>
      </c>
      <c r="BO355">
        <f>IFERROR(INDEX(PP_Grid[#Data],$DD355,65),0)</f>
        <v/>
      </c>
      <c r="BP355">
        <f>IFERROR(INDEX(PP_Grid[#Data],$DD355,66),0)</f>
        <v/>
      </c>
      <c r="BQ355">
        <f>IFERROR(INDEX(PP_Grid[#Data],$DD355,67),0)</f>
        <v/>
      </c>
      <c r="BR355">
        <f>IFERROR(INDEX(PP_Grid[#Data],$DD355,68),0)</f>
        <v/>
      </c>
      <c r="BS355">
        <f>IFERROR(INDEX(PP_Grid[#Data],$DD355,69),0)</f>
        <v/>
      </c>
      <c r="BT355">
        <f>IFERROR(INDEX(PP_Grid[#Data],$DD355,70),0)</f>
        <v/>
      </c>
      <c r="BU355">
        <f>IFERROR(INDEX(PP_Grid[#Data],$DD355,71),0)</f>
        <v/>
      </c>
      <c r="BV355">
        <f>IFERROR(INDEX(PP_Grid[#Data],$DD355,72),0)</f>
        <v/>
      </c>
      <c r="BW355">
        <f>IFERROR(INDEX(PP_Grid[#Data],$DD355,73),0)</f>
        <v/>
      </c>
      <c r="BX355">
        <f>IFERROR(INDEX(PP_Grid[#Data],$DD355,74),0)</f>
        <v/>
      </c>
      <c r="BY355">
        <f>IFERROR(INDEX(PP_Grid[#Data],$DD355,75),0)</f>
        <v/>
      </c>
      <c r="BZ355">
        <f>IFERROR(INDEX(PP_Grid[#Data],$DD355,76),0)</f>
        <v/>
      </c>
      <c r="CA355">
        <f>IFERROR(INDEX(PP_Grid[#Data],$DD355,77),0)</f>
        <v/>
      </c>
      <c r="CB355">
        <f>IFERROR(INDEX(PP_Grid[#Data],$DD355,78),0)</f>
        <v/>
      </c>
      <c r="CC355">
        <f>IFERROR(INDEX(PP_Grid[#Data],$DD355,79),0)</f>
        <v/>
      </c>
      <c r="CD355">
        <f>IFERROR(INDEX(PP_Grid[#Data],$DD355,80),0)</f>
        <v/>
      </c>
      <c r="CE355">
        <f>IFERROR(INDEX(PP_Grid[#Data],$DD355,81),0)</f>
        <v/>
      </c>
      <c r="CF355">
        <f>IFERROR(INDEX(PP_Grid[#Data],$DD355,82),0)</f>
        <v/>
      </c>
      <c r="CG355">
        <f>IFERROR(INDEX(PP_Grid[#Data],$DD355,83),0)</f>
        <v/>
      </c>
      <c r="CH355">
        <f>IFERROR(INDEX(PP_Grid[#Data],$DD355,84),0)</f>
        <v/>
      </c>
      <c r="CI355">
        <f>IFERROR(INDEX(PP_Grid[#Data],$DD355,85),0)</f>
        <v/>
      </c>
      <c r="CJ355">
        <f>IFERROR(INDEX(PP_Grid[#Data],$DD355,86),0)</f>
        <v/>
      </c>
      <c r="CK355">
        <f>IFERROR(INDEX(PP_Grid[#Data],$DD355,87),0)</f>
        <v/>
      </c>
      <c r="CL355">
        <f>IFERROR(INDEX(PP_Grid[#Data],$DD355,88),0)</f>
        <v/>
      </c>
      <c r="CM355">
        <f>IFERROR(INDEX(PP_Grid[#Data],$DD355,89),0)</f>
        <v/>
      </c>
      <c r="CN355">
        <f>IFERROR(INDEX(PP_Grid[#Data],$DD355,90),0)</f>
        <v/>
      </c>
      <c r="CO355">
        <f>IFERROR(INDEX(PP_Grid[#Data],$DD355,91),0)</f>
        <v/>
      </c>
      <c r="CP355">
        <f>IFERROR(INDEX(PP_Grid[#Data],$DD355,92),0)</f>
        <v/>
      </c>
      <c r="CQ355">
        <f>IFERROR(INDEX(PP_Grid[#Data],$DD355,93),0)</f>
        <v/>
      </c>
      <c r="CR355">
        <f>IFERROR(INDEX(PP_Grid[#Data],$DD355,94),0)</f>
        <v/>
      </c>
      <c r="CS355">
        <f>IFERROR(INDEX(PP_Grid[#Data],$DD355,95),0)</f>
        <v/>
      </c>
      <c r="CT355">
        <f>IFERROR(INDEX(PP_Grid[#Data],$DD355,96),0)</f>
        <v/>
      </c>
      <c r="CU355">
        <f>IFERROR(INDEX(PP_Grid[#Data],$DD355,97),0)</f>
        <v/>
      </c>
      <c r="CV355">
        <f>IFERROR(INDEX(PP_Grid[#Data],$DD355,98),0)</f>
        <v/>
      </c>
      <c r="CW355">
        <f>IFERROR(INDEX(PP_Grid[#Data],$DD355,99),0)</f>
        <v/>
      </c>
      <c r="CX355">
        <f>IFERROR(INDEX(PP_Grid[#Data],$DD355,100),0)</f>
        <v/>
      </c>
      <c r="CY355">
        <f>IFERROR(INDEX(PP_Grid[#Data],$DD355,101),0)</f>
        <v/>
      </c>
      <c r="CZ355">
        <f>IFERROR(INDEX(PP_Grid[#Data],$DD355,102),0)</f>
        <v/>
      </c>
      <c r="DA355">
        <f>IFERROR(INDEX(PP_Grid[#Data],$DD355,103),0)</f>
        <v/>
      </c>
      <c r="DB355">
        <f>IFERROR(INDEX(PP_Grid[#Data],$DD355,104),0)</f>
        <v/>
      </c>
      <c r="DC355">
        <f>IFERROR(INDEX(PP_Grid[#Data],$DD355,105),0)</f>
        <v/>
      </c>
      <c r="DD355" s="7">
        <f>IFERROR(MATCH($B355,PP_Grid[Intermediate],0),99999)</f>
        <v/>
      </c>
    </row>
    <row r="356">
      <c r="B356" t="inlineStr">
        <is>
          <t>使用量(kg)</t>
        </is>
      </c>
      <c r="C356">
        <f>SUMIFS(M_BOM[RM_Qty_Per_Batch],M_BOM[Intermediate],$B355,M_BOM[Part Name],$A340)</f>
        <v/>
      </c>
      <c r="D356">
        <f>$C356*D355</f>
        <v/>
      </c>
      <c r="E356">
        <f>$C356*E355</f>
        <v/>
      </c>
      <c r="F356">
        <f>$C356*F355</f>
        <v/>
      </c>
      <c r="G356">
        <f>$C356*G355</f>
        <v/>
      </c>
      <c r="H356">
        <f>$C356*H355</f>
        <v/>
      </c>
      <c r="I356">
        <f>$C356*I355</f>
        <v/>
      </c>
      <c r="J356">
        <f>$C356*J355</f>
        <v/>
      </c>
      <c r="K356">
        <f>$C356*K355</f>
        <v/>
      </c>
      <c r="L356">
        <f>$C356*L355</f>
        <v/>
      </c>
      <c r="M356">
        <f>$C356*M355</f>
        <v/>
      </c>
      <c r="N356">
        <f>$C356*N355</f>
        <v/>
      </c>
      <c r="O356">
        <f>$C356*O355</f>
        <v/>
      </c>
      <c r="P356">
        <f>$C356*P355</f>
        <v/>
      </c>
      <c r="Q356">
        <f>$C356*Q355</f>
        <v/>
      </c>
      <c r="R356">
        <f>$C356*R355</f>
        <v/>
      </c>
      <c r="S356">
        <f>$C356*S355</f>
        <v/>
      </c>
      <c r="T356">
        <f>$C356*T355</f>
        <v/>
      </c>
      <c r="U356">
        <f>$C356*U355</f>
        <v/>
      </c>
      <c r="V356">
        <f>$C356*V355</f>
        <v/>
      </c>
      <c r="W356">
        <f>$C356*W355</f>
        <v/>
      </c>
      <c r="X356">
        <f>$C356*X355</f>
        <v/>
      </c>
      <c r="Y356">
        <f>$C356*Y355</f>
        <v/>
      </c>
      <c r="Z356">
        <f>$C356*Z355</f>
        <v/>
      </c>
      <c r="AA356">
        <f>$C356*AA355</f>
        <v/>
      </c>
      <c r="AB356">
        <f>$C356*AB355</f>
        <v/>
      </c>
      <c r="AC356">
        <f>$C356*AC355</f>
        <v/>
      </c>
      <c r="AD356">
        <f>$C356*AD355</f>
        <v/>
      </c>
      <c r="AE356">
        <f>$C356*AE355</f>
        <v/>
      </c>
      <c r="AF356">
        <f>$C356*AF355</f>
        <v/>
      </c>
      <c r="AG356">
        <f>$C356*AG355</f>
        <v/>
      </c>
      <c r="AH356">
        <f>$C356*AH355</f>
        <v/>
      </c>
      <c r="AI356">
        <f>$C356*AI355</f>
        <v/>
      </c>
      <c r="AJ356">
        <f>$C356*AJ355</f>
        <v/>
      </c>
      <c r="AK356">
        <f>$C356*AK355</f>
        <v/>
      </c>
      <c r="AL356">
        <f>$C356*AL355</f>
        <v/>
      </c>
      <c r="AM356">
        <f>$C356*AM355</f>
        <v/>
      </c>
      <c r="AN356">
        <f>$C356*AN355</f>
        <v/>
      </c>
      <c r="AO356">
        <f>$C356*AO355</f>
        <v/>
      </c>
      <c r="AP356">
        <f>$C356*AP355</f>
        <v/>
      </c>
      <c r="AQ356">
        <f>$C356*AQ355</f>
        <v/>
      </c>
      <c r="AR356">
        <f>$C356*AR355</f>
        <v/>
      </c>
      <c r="AS356">
        <f>$C356*AS355</f>
        <v/>
      </c>
      <c r="AT356">
        <f>$C356*AT355</f>
        <v/>
      </c>
      <c r="AU356">
        <f>$C356*AU355</f>
        <v/>
      </c>
      <c r="AV356">
        <f>$C356*AV355</f>
        <v/>
      </c>
      <c r="AW356">
        <f>$C356*AW355</f>
        <v/>
      </c>
      <c r="AX356">
        <f>$C356*AX355</f>
        <v/>
      </c>
      <c r="AY356">
        <f>$C356*AY355</f>
        <v/>
      </c>
      <c r="AZ356">
        <f>$C356*AZ355</f>
        <v/>
      </c>
      <c r="BA356">
        <f>$C356*BA355</f>
        <v/>
      </c>
      <c r="BB356">
        <f>$C356*BB355</f>
        <v/>
      </c>
      <c r="BC356">
        <f>$C356*BC355</f>
        <v/>
      </c>
      <c r="BD356">
        <f>$C356*BD355</f>
        <v/>
      </c>
      <c r="BE356">
        <f>$C356*BE355</f>
        <v/>
      </c>
      <c r="BF356">
        <f>$C356*BF355</f>
        <v/>
      </c>
      <c r="BG356">
        <f>$C356*BG355</f>
        <v/>
      </c>
      <c r="BH356">
        <f>$C356*BH355</f>
        <v/>
      </c>
      <c r="BI356">
        <f>$C356*BI355</f>
        <v/>
      </c>
      <c r="BJ356">
        <f>$C356*BJ355</f>
        <v/>
      </c>
      <c r="BK356">
        <f>$C356*BK355</f>
        <v/>
      </c>
      <c r="BL356">
        <f>$C356*BL355</f>
        <v/>
      </c>
      <c r="BM356">
        <f>$C356*BM355</f>
        <v/>
      </c>
      <c r="BN356">
        <f>$C356*BN355</f>
        <v/>
      </c>
      <c r="BO356">
        <f>$C356*BO355</f>
        <v/>
      </c>
      <c r="BP356">
        <f>$C356*BP355</f>
        <v/>
      </c>
      <c r="BQ356">
        <f>$C356*BQ355</f>
        <v/>
      </c>
      <c r="BR356">
        <f>$C356*BR355</f>
        <v/>
      </c>
      <c r="BS356">
        <f>$C356*BS355</f>
        <v/>
      </c>
      <c r="BT356">
        <f>$C356*BT355</f>
        <v/>
      </c>
      <c r="BU356">
        <f>$C356*BU355</f>
        <v/>
      </c>
      <c r="BV356">
        <f>$C356*BV355</f>
        <v/>
      </c>
      <c r="BW356">
        <f>$C356*BW355</f>
        <v/>
      </c>
      <c r="BX356">
        <f>$C356*BX355</f>
        <v/>
      </c>
      <c r="BY356">
        <f>$C356*BY355</f>
        <v/>
      </c>
      <c r="BZ356">
        <f>$C356*BZ355</f>
        <v/>
      </c>
      <c r="CA356">
        <f>$C356*CA355</f>
        <v/>
      </c>
      <c r="CB356">
        <f>$C356*CB355</f>
        <v/>
      </c>
      <c r="CC356">
        <f>$C356*CC355</f>
        <v/>
      </c>
      <c r="CD356">
        <f>$C356*CD355</f>
        <v/>
      </c>
      <c r="CE356">
        <f>$C356*CE355</f>
        <v/>
      </c>
      <c r="CF356">
        <f>$C356*CF355</f>
        <v/>
      </c>
      <c r="CG356">
        <f>$C356*CG355</f>
        <v/>
      </c>
      <c r="CH356">
        <f>$C356*CH355</f>
        <v/>
      </c>
      <c r="CI356">
        <f>$C356*CI355</f>
        <v/>
      </c>
      <c r="CJ356">
        <f>$C356*CJ355</f>
        <v/>
      </c>
      <c r="CK356">
        <f>$C356*CK355</f>
        <v/>
      </c>
      <c r="CL356">
        <f>$C356*CL355</f>
        <v/>
      </c>
      <c r="CM356">
        <f>$C356*CM355</f>
        <v/>
      </c>
      <c r="CN356">
        <f>$C356*CN355</f>
        <v/>
      </c>
      <c r="CO356">
        <f>$C356*CO355</f>
        <v/>
      </c>
      <c r="CP356">
        <f>$C356*CP355</f>
        <v/>
      </c>
      <c r="CQ356">
        <f>$C356*CQ355</f>
        <v/>
      </c>
      <c r="CR356">
        <f>$C356*CR355</f>
        <v/>
      </c>
      <c r="CS356">
        <f>$C356*CS355</f>
        <v/>
      </c>
      <c r="CT356">
        <f>$C356*CT355</f>
        <v/>
      </c>
      <c r="CU356">
        <f>$C356*CU355</f>
        <v/>
      </c>
      <c r="CV356">
        <f>$C356*CV355</f>
        <v/>
      </c>
      <c r="CW356">
        <f>$C356*CW355</f>
        <v/>
      </c>
      <c r="CX356">
        <f>$C356*CX355</f>
        <v/>
      </c>
      <c r="CY356">
        <f>$C356*CY355</f>
        <v/>
      </c>
      <c r="CZ356">
        <f>$C356*CZ355</f>
        <v/>
      </c>
      <c r="DA356">
        <f>$C356*DA355</f>
        <v/>
      </c>
      <c r="DB356">
        <f>$C356*DB355</f>
        <v/>
      </c>
      <c r="DC356">
        <f>$C356*DC355</f>
        <v/>
      </c>
    </row>
    <row r="357">
      <c r="B357" t="inlineStr">
        <is>
          <t>TSP-225</t>
        </is>
      </c>
      <c r="C357" t="inlineStr">
        <is>
          <t>No. of batches</t>
        </is>
      </c>
      <c r="D357">
        <f>IFERROR(INDEX(PP_Grid[#Data],$DD357,2),0)</f>
        <v/>
      </c>
      <c r="E357">
        <f>IFERROR(INDEX(PP_Grid[#Data],$DD357,3),0)</f>
        <v/>
      </c>
      <c r="F357">
        <f>IFERROR(INDEX(PP_Grid[#Data],$DD357,4),0)</f>
        <v/>
      </c>
      <c r="G357">
        <f>IFERROR(INDEX(PP_Grid[#Data],$DD357,5),0)</f>
        <v/>
      </c>
      <c r="H357">
        <f>IFERROR(INDEX(PP_Grid[#Data],$DD357,6),0)</f>
        <v/>
      </c>
      <c r="I357">
        <f>IFERROR(INDEX(PP_Grid[#Data],$DD357,7),0)</f>
        <v/>
      </c>
      <c r="J357">
        <f>IFERROR(INDEX(PP_Grid[#Data],$DD357,8),0)</f>
        <v/>
      </c>
      <c r="K357">
        <f>IFERROR(INDEX(PP_Grid[#Data],$DD357,9),0)</f>
        <v/>
      </c>
      <c r="L357">
        <f>IFERROR(INDEX(PP_Grid[#Data],$DD357,10),0)</f>
        <v/>
      </c>
      <c r="M357">
        <f>IFERROR(INDEX(PP_Grid[#Data],$DD357,11),0)</f>
        <v/>
      </c>
      <c r="N357">
        <f>IFERROR(INDEX(PP_Grid[#Data],$DD357,12),0)</f>
        <v/>
      </c>
      <c r="O357">
        <f>IFERROR(INDEX(PP_Grid[#Data],$DD357,13),0)</f>
        <v/>
      </c>
      <c r="P357">
        <f>IFERROR(INDEX(PP_Grid[#Data],$DD357,14),0)</f>
        <v/>
      </c>
      <c r="Q357">
        <f>IFERROR(INDEX(PP_Grid[#Data],$DD357,15),0)</f>
        <v/>
      </c>
      <c r="R357">
        <f>IFERROR(INDEX(PP_Grid[#Data],$DD357,16),0)</f>
        <v/>
      </c>
      <c r="S357">
        <f>IFERROR(INDEX(PP_Grid[#Data],$DD357,17),0)</f>
        <v/>
      </c>
      <c r="T357">
        <f>IFERROR(INDEX(PP_Grid[#Data],$DD357,18),0)</f>
        <v/>
      </c>
      <c r="U357">
        <f>IFERROR(INDEX(PP_Grid[#Data],$DD357,19),0)</f>
        <v/>
      </c>
      <c r="V357">
        <f>IFERROR(INDEX(PP_Grid[#Data],$DD357,20),0)</f>
        <v/>
      </c>
      <c r="W357">
        <f>IFERROR(INDEX(PP_Grid[#Data],$DD357,21),0)</f>
        <v/>
      </c>
      <c r="X357">
        <f>IFERROR(INDEX(PP_Grid[#Data],$DD357,22),0)</f>
        <v/>
      </c>
      <c r="Y357">
        <f>IFERROR(INDEX(PP_Grid[#Data],$DD357,23),0)</f>
        <v/>
      </c>
      <c r="Z357">
        <f>IFERROR(INDEX(PP_Grid[#Data],$DD357,24),0)</f>
        <v/>
      </c>
      <c r="AA357">
        <f>IFERROR(INDEX(PP_Grid[#Data],$DD357,25),0)</f>
        <v/>
      </c>
      <c r="AB357">
        <f>IFERROR(INDEX(PP_Grid[#Data],$DD357,26),0)</f>
        <v/>
      </c>
      <c r="AC357">
        <f>IFERROR(INDEX(PP_Grid[#Data],$DD357,27),0)</f>
        <v/>
      </c>
      <c r="AD357">
        <f>IFERROR(INDEX(PP_Grid[#Data],$DD357,28),0)</f>
        <v/>
      </c>
      <c r="AE357">
        <f>IFERROR(INDEX(PP_Grid[#Data],$DD357,29),0)</f>
        <v/>
      </c>
      <c r="AF357">
        <f>IFERROR(INDEX(PP_Grid[#Data],$DD357,30),0)</f>
        <v/>
      </c>
      <c r="AG357">
        <f>IFERROR(INDEX(PP_Grid[#Data],$DD357,31),0)</f>
        <v/>
      </c>
      <c r="AH357">
        <f>IFERROR(INDEX(PP_Grid[#Data],$DD357,32),0)</f>
        <v/>
      </c>
      <c r="AI357">
        <f>IFERROR(INDEX(PP_Grid[#Data],$DD357,33),0)</f>
        <v/>
      </c>
      <c r="AJ357">
        <f>IFERROR(INDEX(PP_Grid[#Data],$DD357,34),0)</f>
        <v/>
      </c>
      <c r="AK357">
        <f>IFERROR(INDEX(PP_Grid[#Data],$DD357,35),0)</f>
        <v/>
      </c>
      <c r="AL357">
        <f>IFERROR(INDEX(PP_Grid[#Data],$DD357,36),0)</f>
        <v/>
      </c>
      <c r="AM357">
        <f>IFERROR(INDEX(PP_Grid[#Data],$DD357,37),0)</f>
        <v/>
      </c>
      <c r="AN357">
        <f>IFERROR(INDEX(PP_Grid[#Data],$DD357,38),0)</f>
        <v/>
      </c>
      <c r="AO357">
        <f>IFERROR(INDEX(PP_Grid[#Data],$DD357,39),0)</f>
        <v/>
      </c>
      <c r="AP357">
        <f>IFERROR(INDEX(PP_Grid[#Data],$DD357,40),0)</f>
        <v/>
      </c>
      <c r="AQ357">
        <f>IFERROR(INDEX(PP_Grid[#Data],$DD357,41),0)</f>
        <v/>
      </c>
      <c r="AR357">
        <f>IFERROR(INDEX(PP_Grid[#Data],$DD357,42),0)</f>
        <v/>
      </c>
      <c r="AS357">
        <f>IFERROR(INDEX(PP_Grid[#Data],$DD357,43),0)</f>
        <v/>
      </c>
      <c r="AT357">
        <f>IFERROR(INDEX(PP_Grid[#Data],$DD357,44),0)</f>
        <v/>
      </c>
      <c r="AU357">
        <f>IFERROR(INDEX(PP_Grid[#Data],$DD357,45),0)</f>
        <v/>
      </c>
      <c r="AV357">
        <f>IFERROR(INDEX(PP_Grid[#Data],$DD357,46),0)</f>
        <v/>
      </c>
      <c r="AW357">
        <f>IFERROR(INDEX(PP_Grid[#Data],$DD357,47),0)</f>
        <v/>
      </c>
      <c r="AX357">
        <f>IFERROR(INDEX(PP_Grid[#Data],$DD357,48),0)</f>
        <v/>
      </c>
      <c r="AY357">
        <f>IFERROR(INDEX(PP_Grid[#Data],$DD357,49),0)</f>
        <v/>
      </c>
      <c r="AZ357">
        <f>IFERROR(INDEX(PP_Grid[#Data],$DD357,50),0)</f>
        <v/>
      </c>
      <c r="BA357">
        <f>IFERROR(INDEX(PP_Grid[#Data],$DD357,51),0)</f>
        <v/>
      </c>
      <c r="BB357">
        <f>IFERROR(INDEX(PP_Grid[#Data],$DD357,52),0)</f>
        <v/>
      </c>
      <c r="BC357">
        <f>IFERROR(INDEX(PP_Grid[#Data],$DD357,53),0)</f>
        <v/>
      </c>
      <c r="BD357">
        <f>IFERROR(INDEX(PP_Grid[#Data],$DD357,54),0)</f>
        <v/>
      </c>
      <c r="BE357">
        <f>IFERROR(INDEX(PP_Grid[#Data],$DD357,55),0)</f>
        <v/>
      </c>
      <c r="BF357">
        <f>IFERROR(INDEX(PP_Grid[#Data],$DD357,56),0)</f>
        <v/>
      </c>
      <c r="BG357">
        <f>IFERROR(INDEX(PP_Grid[#Data],$DD357,57),0)</f>
        <v/>
      </c>
      <c r="BH357">
        <f>IFERROR(INDEX(PP_Grid[#Data],$DD357,58),0)</f>
        <v/>
      </c>
      <c r="BI357">
        <f>IFERROR(INDEX(PP_Grid[#Data],$DD357,59),0)</f>
        <v/>
      </c>
      <c r="BJ357">
        <f>IFERROR(INDEX(PP_Grid[#Data],$DD357,60),0)</f>
        <v/>
      </c>
      <c r="BK357">
        <f>IFERROR(INDEX(PP_Grid[#Data],$DD357,61),0)</f>
        <v/>
      </c>
      <c r="BL357">
        <f>IFERROR(INDEX(PP_Grid[#Data],$DD357,62),0)</f>
        <v/>
      </c>
      <c r="BM357">
        <f>IFERROR(INDEX(PP_Grid[#Data],$DD357,63),0)</f>
        <v/>
      </c>
      <c r="BN357">
        <f>IFERROR(INDEX(PP_Grid[#Data],$DD357,64),0)</f>
        <v/>
      </c>
      <c r="BO357">
        <f>IFERROR(INDEX(PP_Grid[#Data],$DD357,65),0)</f>
        <v/>
      </c>
      <c r="BP357">
        <f>IFERROR(INDEX(PP_Grid[#Data],$DD357,66),0)</f>
        <v/>
      </c>
      <c r="BQ357">
        <f>IFERROR(INDEX(PP_Grid[#Data],$DD357,67),0)</f>
        <v/>
      </c>
      <c r="BR357">
        <f>IFERROR(INDEX(PP_Grid[#Data],$DD357,68),0)</f>
        <v/>
      </c>
      <c r="BS357">
        <f>IFERROR(INDEX(PP_Grid[#Data],$DD357,69),0)</f>
        <v/>
      </c>
      <c r="BT357">
        <f>IFERROR(INDEX(PP_Grid[#Data],$DD357,70),0)</f>
        <v/>
      </c>
      <c r="BU357">
        <f>IFERROR(INDEX(PP_Grid[#Data],$DD357,71),0)</f>
        <v/>
      </c>
      <c r="BV357">
        <f>IFERROR(INDEX(PP_Grid[#Data],$DD357,72),0)</f>
        <v/>
      </c>
      <c r="BW357">
        <f>IFERROR(INDEX(PP_Grid[#Data],$DD357,73),0)</f>
        <v/>
      </c>
      <c r="BX357">
        <f>IFERROR(INDEX(PP_Grid[#Data],$DD357,74),0)</f>
        <v/>
      </c>
      <c r="BY357">
        <f>IFERROR(INDEX(PP_Grid[#Data],$DD357,75),0)</f>
        <v/>
      </c>
      <c r="BZ357">
        <f>IFERROR(INDEX(PP_Grid[#Data],$DD357,76),0)</f>
        <v/>
      </c>
      <c r="CA357">
        <f>IFERROR(INDEX(PP_Grid[#Data],$DD357,77),0)</f>
        <v/>
      </c>
      <c r="CB357">
        <f>IFERROR(INDEX(PP_Grid[#Data],$DD357,78),0)</f>
        <v/>
      </c>
      <c r="CC357">
        <f>IFERROR(INDEX(PP_Grid[#Data],$DD357,79),0)</f>
        <v/>
      </c>
      <c r="CD357">
        <f>IFERROR(INDEX(PP_Grid[#Data],$DD357,80),0)</f>
        <v/>
      </c>
      <c r="CE357">
        <f>IFERROR(INDEX(PP_Grid[#Data],$DD357,81),0)</f>
        <v/>
      </c>
      <c r="CF357">
        <f>IFERROR(INDEX(PP_Grid[#Data],$DD357,82),0)</f>
        <v/>
      </c>
      <c r="CG357">
        <f>IFERROR(INDEX(PP_Grid[#Data],$DD357,83),0)</f>
        <v/>
      </c>
      <c r="CH357">
        <f>IFERROR(INDEX(PP_Grid[#Data],$DD357,84),0)</f>
        <v/>
      </c>
      <c r="CI357">
        <f>IFERROR(INDEX(PP_Grid[#Data],$DD357,85),0)</f>
        <v/>
      </c>
      <c r="CJ357">
        <f>IFERROR(INDEX(PP_Grid[#Data],$DD357,86),0)</f>
        <v/>
      </c>
      <c r="CK357">
        <f>IFERROR(INDEX(PP_Grid[#Data],$DD357,87),0)</f>
        <v/>
      </c>
      <c r="CL357">
        <f>IFERROR(INDEX(PP_Grid[#Data],$DD357,88),0)</f>
        <v/>
      </c>
      <c r="CM357">
        <f>IFERROR(INDEX(PP_Grid[#Data],$DD357,89),0)</f>
        <v/>
      </c>
      <c r="CN357">
        <f>IFERROR(INDEX(PP_Grid[#Data],$DD357,90),0)</f>
        <v/>
      </c>
      <c r="CO357">
        <f>IFERROR(INDEX(PP_Grid[#Data],$DD357,91),0)</f>
        <v/>
      </c>
      <c r="CP357">
        <f>IFERROR(INDEX(PP_Grid[#Data],$DD357,92),0)</f>
        <v/>
      </c>
      <c r="CQ357">
        <f>IFERROR(INDEX(PP_Grid[#Data],$DD357,93),0)</f>
        <v/>
      </c>
      <c r="CR357">
        <f>IFERROR(INDEX(PP_Grid[#Data],$DD357,94),0)</f>
        <v/>
      </c>
      <c r="CS357">
        <f>IFERROR(INDEX(PP_Grid[#Data],$DD357,95),0)</f>
        <v/>
      </c>
      <c r="CT357">
        <f>IFERROR(INDEX(PP_Grid[#Data],$DD357,96),0)</f>
        <v/>
      </c>
      <c r="CU357">
        <f>IFERROR(INDEX(PP_Grid[#Data],$DD357,97),0)</f>
        <v/>
      </c>
      <c r="CV357">
        <f>IFERROR(INDEX(PP_Grid[#Data],$DD357,98),0)</f>
        <v/>
      </c>
      <c r="CW357">
        <f>IFERROR(INDEX(PP_Grid[#Data],$DD357,99),0)</f>
        <v/>
      </c>
      <c r="CX357">
        <f>IFERROR(INDEX(PP_Grid[#Data],$DD357,100),0)</f>
        <v/>
      </c>
      <c r="CY357">
        <f>IFERROR(INDEX(PP_Grid[#Data],$DD357,101),0)</f>
        <v/>
      </c>
      <c r="CZ357">
        <f>IFERROR(INDEX(PP_Grid[#Data],$DD357,102),0)</f>
        <v/>
      </c>
      <c r="DA357">
        <f>IFERROR(INDEX(PP_Grid[#Data],$DD357,103),0)</f>
        <v/>
      </c>
      <c r="DB357">
        <f>IFERROR(INDEX(PP_Grid[#Data],$DD357,104),0)</f>
        <v/>
      </c>
      <c r="DC357">
        <f>IFERROR(INDEX(PP_Grid[#Data],$DD357,105),0)</f>
        <v/>
      </c>
      <c r="DD357" s="7">
        <f>IFERROR(MATCH($B357,PP_Grid[Intermediate],0),99999)</f>
        <v/>
      </c>
    </row>
    <row r="358">
      <c r="B358" t="inlineStr">
        <is>
          <t>使用量(kg)</t>
        </is>
      </c>
      <c r="C358">
        <f>SUMIFS(M_BOM[RM_Qty_Per_Batch],M_BOM[Intermediate],$B357,M_BOM[Part Name],$A340)</f>
        <v/>
      </c>
      <c r="D358">
        <f>$C358*D357</f>
        <v/>
      </c>
      <c r="E358">
        <f>$C358*E357</f>
        <v/>
      </c>
      <c r="F358">
        <f>$C358*F357</f>
        <v/>
      </c>
      <c r="G358">
        <f>$C358*G357</f>
        <v/>
      </c>
      <c r="H358">
        <f>$C358*H357</f>
        <v/>
      </c>
      <c r="I358">
        <f>$C358*I357</f>
        <v/>
      </c>
      <c r="J358">
        <f>$C358*J357</f>
        <v/>
      </c>
      <c r="K358">
        <f>$C358*K357</f>
        <v/>
      </c>
      <c r="L358">
        <f>$C358*L357</f>
        <v/>
      </c>
      <c r="M358">
        <f>$C358*M357</f>
        <v/>
      </c>
      <c r="N358">
        <f>$C358*N357</f>
        <v/>
      </c>
      <c r="O358">
        <f>$C358*O357</f>
        <v/>
      </c>
      <c r="P358">
        <f>$C358*P357</f>
        <v/>
      </c>
      <c r="Q358">
        <f>$C358*Q357</f>
        <v/>
      </c>
      <c r="R358">
        <f>$C358*R357</f>
        <v/>
      </c>
      <c r="S358">
        <f>$C358*S357</f>
        <v/>
      </c>
      <c r="T358">
        <f>$C358*T357</f>
        <v/>
      </c>
      <c r="U358">
        <f>$C358*U357</f>
        <v/>
      </c>
      <c r="V358">
        <f>$C358*V357</f>
        <v/>
      </c>
      <c r="W358">
        <f>$C358*W357</f>
        <v/>
      </c>
      <c r="X358">
        <f>$C358*X357</f>
        <v/>
      </c>
      <c r="Y358">
        <f>$C358*Y357</f>
        <v/>
      </c>
      <c r="Z358">
        <f>$C358*Z357</f>
        <v/>
      </c>
      <c r="AA358">
        <f>$C358*AA357</f>
        <v/>
      </c>
      <c r="AB358">
        <f>$C358*AB357</f>
        <v/>
      </c>
      <c r="AC358">
        <f>$C358*AC357</f>
        <v/>
      </c>
      <c r="AD358">
        <f>$C358*AD357</f>
        <v/>
      </c>
      <c r="AE358">
        <f>$C358*AE357</f>
        <v/>
      </c>
      <c r="AF358">
        <f>$C358*AF357</f>
        <v/>
      </c>
      <c r="AG358">
        <f>$C358*AG357</f>
        <v/>
      </c>
      <c r="AH358">
        <f>$C358*AH357</f>
        <v/>
      </c>
      <c r="AI358">
        <f>$C358*AI357</f>
        <v/>
      </c>
      <c r="AJ358">
        <f>$C358*AJ357</f>
        <v/>
      </c>
      <c r="AK358">
        <f>$C358*AK357</f>
        <v/>
      </c>
      <c r="AL358">
        <f>$C358*AL357</f>
        <v/>
      </c>
      <c r="AM358">
        <f>$C358*AM357</f>
        <v/>
      </c>
      <c r="AN358">
        <f>$C358*AN357</f>
        <v/>
      </c>
      <c r="AO358">
        <f>$C358*AO357</f>
        <v/>
      </c>
      <c r="AP358">
        <f>$C358*AP357</f>
        <v/>
      </c>
      <c r="AQ358">
        <f>$C358*AQ357</f>
        <v/>
      </c>
      <c r="AR358">
        <f>$C358*AR357</f>
        <v/>
      </c>
      <c r="AS358">
        <f>$C358*AS357</f>
        <v/>
      </c>
      <c r="AT358">
        <f>$C358*AT357</f>
        <v/>
      </c>
      <c r="AU358">
        <f>$C358*AU357</f>
        <v/>
      </c>
      <c r="AV358">
        <f>$C358*AV357</f>
        <v/>
      </c>
      <c r="AW358">
        <f>$C358*AW357</f>
        <v/>
      </c>
      <c r="AX358">
        <f>$C358*AX357</f>
        <v/>
      </c>
      <c r="AY358">
        <f>$C358*AY357</f>
        <v/>
      </c>
      <c r="AZ358">
        <f>$C358*AZ357</f>
        <v/>
      </c>
      <c r="BA358">
        <f>$C358*BA357</f>
        <v/>
      </c>
      <c r="BB358">
        <f>$C358*BB357</f>
        <v/>
      </c>
      <c r="BC358">
        <f>$C358*BC357</f>
        <v/>
      </c>
      <c r="BD358">
        <f>$C358*BD357</f>
        <v/>
      </c>
      <c r="BE358">
        <f>$C358*BE357</f>
        <v/>
      </c>
      <c r="BF358">
        <f>$C358*BF357</f>
        <v/>
      </c>
      <c r="BG358">
        <f>$C358*BG357</f>
        <v/>
      </c>
      <c r="BH358">
        <f>$C358*BH357</f>
        <v/>
      </c>
      <c r="BI358">
        <f>$C358*BI357</f>
        <v/>
      </c>
      <c r="BJ358">
        <f>$C358*BJ357</f>
        <v/>
      </c>
      <c r="BK358">
        <f>$C358*BK357</f>
        <v/>
      </c>
      <c r="BL358">
        <f>$C358*BL357</f>
        <v/>
      </c>
      <c r="BM358">
        <f>$C358*BM357</f>
        <v/>
      </c>
      <c r="BN358">
        <f>$C358*BN357</f>
        <v/>
      </c>
      <c r="BO358">
        <f>$C358*BO357</f>
        <v/>
      </c>
      <c r="BP358">
        <f>$C358*BP357</f>
        <v/>
      </c>
      <c r="BQ358">
        <f>$C358*BQ357</f>
        <v/>
      </c>
      <c r="BR358">
        <f>$C358*BR357</f>
        <v/>
      </c>
      <c r="BS358">
        <f>$C358*BS357</f>
        <v/>
      </c>
      <c r="BT358">
        <f>$C358*BT357</f>
        <v/>
      </c>
      <c r="BU358">
        <f>$C358*BU357</f>
        <v/>
      </c>
      <c r="BV358">
        <f>$C358*BV357</f>
        <v/>
      </c>
      <c r="BW358">
        <f>$C358*BW357</f>
        <v/>
      </c>
      <c r="BX358">
        <f>$C358*BX357</f>
        <v/>
      </c>
      <c r="BY358">
        <f>$C358*BY357</f>
        <v/>
      </c>
      <c r="BZ358">
        <f>$C358*BZ357</f>
        <v/>
      </c>
      <c r="CA358">
        <f>$C358*CA357</f>
        <v/>
      </c>
      <c r="CB358">
        <f>$C358*CB357</f>
        <v/>
      </c>
      <c r="CC358">
        <f>$C358*CC357</f>
        <v/>
      </c>
      <c r="CD358">
        <f>$C358*CD357</f>
        <v/>
      </c>
      <c r="CE358">
        <f>$C358*CE357</f>
        <v/>
      </c>
      <c r="CF358">
        <f>$C358*CF357</f>
        <v/>
      </c>
      <c r="CG358">
        <f>$C358*CG357</f>
        <v/>
      </c>
      <c r="CH358">
        <f>$C358*CH357</f>
        <v/>
      </c>
      <c r="CI358">
        <f>$C358*CI357</f>
        <v/>
      </c>
      <c r="CJ358">
        <f>$C358*CJ357</f>
        <v/>
      </c>
      <c r="CK358">
        <f>$C358*CK357</f>
        <v/>
      </c>
      <c r="CL358">
        <f>$C358*CL357</f>
        <v/>
      </c>
      <c r="CM358">
        <f>$C358*CM357</f>
        <v/>
      </c>
      <c r="CN358">
        <f>$C358*CN357</f>
        <v/>
      </c>
      <c r="CO358">
        <f>$C358*CO357</f>
        <v/>
      </c>
      <c r="CP358">
        <f>$C358*CP357</f>
        <v/>
      </c>
      <c r="CQ358">
        <f>$C358*CQ357</f>
        <v/>
      </c>
      <c r="CR358">
        <f>$C358*CR357</f>
        <v/>
      </c>
      <c r="CS358">
        <f>$C358*CS357</f>
        <v/>
      </c>
      <c r="CT358">
        <f>$C358*CT357</f>
        <v/>
      </c>
      <c r="CU358">
        <f>$C358*CU357</f>
        <v/>
      </c>
      <c r="CV358">
        <f>$C358*CV357</f>
        <v/>
      </c>
      <c r="CW358">
        <f>$C358*CW357</f>
        <v/>
      </c>
      <c r="CX358">
        <f>$C358*CX357</f>
        <v/>
      </c>
      <c r="CY358">
        <f>$C358*CY357</f>
        <v/>
      </c>
      <c r="CZ358">
        <f>$C358*CZ357</f>
        <v/>
      </c>
      <c r="DA358">
        <f>$C358*DA357</f>
        <v/>
      </c>
      <c r="DB358">
        <f>$C358*DB357</f>
        <v/>
      </c>
      <c r="DC358">
        <f>$C358*DC357</f>
        <v/>
      </c>
    </row>
    <row r="359">
      <c r="B359" t="inlineStr">
        <is>
          <t>TSP-360</t>
        </is>
      </c>
      <c r="C359" t="inlineStr">
        <is>
          <t>No. of batches</t>
        </is>
      </c>
      <c r="D359">
        <f>IFERROR(INDEX(PP_Grid[#Data],$DD359,2),0)</f>
        <v/>
      </c>
      <c r="E359">
        <f>IFERROR(INDEX(PP_Grid[#Data],$DD359,3),0)</f>
        <v/>
      </c>
      <c r="F359">
        <f>IFERROR(INDEX(PP_Grid[#Data],$DD359,4),0)</f>
        <v/>
      </c>
      <c r="G359">
        <f>IFERROR(INDEX(PP_Grid[#Data],$DD359,5),0)</f>
        <v/>
      </c>
      <c r="H359">
        <f>IFERROR(INDEX(PP_Grid[#Data],$DD359,6),0)</f>
        <v/>
      </c>
      <c r="I359">
        <f>IFERROR(INDEX(PP_Grid[#Data],$DD359,7),0)</f>
        <v/>
      </c>
      <c r="J359">
        <f>IFERROR(INDEX(PP_Grid[#Data],$DD359,8),0)</f>
        <v/>
      </c>
      <c r="K359">
        <f>IFERROR(INDEX(PP_Grid[#Data],$DD359,9),0)</f>
        <v/>
      </c>
      <c r="L359">
        <f>IFERROR(INDEX(PP_Grid[#Data],$DD359,10),0)</f>
        <v/>
      </c>
      <c r="M359">
        <f>IFERROR(INDEX(PP_Grid[#Data],$DD359,11),0)</f>
        <v/>
      </c>
      <c r="N359">
        <f>IFERROR(INDEX(PP_Grid[#Data],$DD359,12),0)</f>
        <v/>
      </c>
      <c r="O359">
        <f>IFERROR(INDEX(PP_Grid[#Data],$DD359,13),0)</f>
        <v/>
      </c>
      <c r="P359">
        <f>IFERROR(INDEX(PP_Grid[#Data],$DD359,14),0)</f>
        <v/>
      </c>
      <c r="Q359">
        <f>IFERROR(INDEX(PP_Grid[#Data],$DD359,15),0)</f>
        <v/>
      </c>
      <c r="R359">
        <f>IFERROR(INDEX(PP_Grid[#Data],$DD359,16),0)</f>
        <v/>
      </c>
      <c r="S359">
        <f>IFERROR(INDEX(PP_Grid[#Data],$DD359,17),0)</f>
        <v/>
      </c>
      <c r="T359">
        <f>IFERROR(INDEX(PP_Grid[#Data],$DD359,18),0)</f>
        <v/>
      </c>
      <c r="U359">
        <f>IFERROR(INDEX(PP_Grid[#Data],$DD359,19),0)</f>
        <v/>
      </c>
      <c r="V359">
        <f>IFERROR(INDEX(PP_Grid[#Data],$DD359,20),0)</f>
        <v/>
      </c>
      <c r="W359">
        <f>IFERROR(INDEX(PP_Grid[#Data],$DD359,21),0)</f>
        <v/>
      </c>
      <c r="X359">
        <f>IFERROR(INDEX(PP_Grid[#Data],$DD359,22),0)</f>
        <v/>
      </c>
      <c r="Y359">
        <f>IFERROR(INDEX(PP_Grid[#Data],$DD359,23),0)</f>
        <v/>
      </c>
      <c r="Z359">
        <f>IFERROR(INDEX(PP_Grid[#Data],$DD359,24),0)</f>
        <v/>
      </c>
      <c r="AA359">
        <f>IFERROR(INDEX(PP_Grid[#Data],$DD359,25),0)</f>
        <v/>
      </c>
      <c r="AB359">
        <f>IFERROR(INDEX(PP_Grid[#Data],$DD359,26),0)</f>
        <v/>
      </c>
      <c r="AC359">
        <f>IFERROR(INDEX(PP_Grid[#Data],$DD359,27),0)</f>
        <v/>
      </c>
      <c r="AD359">
        <f>IFERROR(INDEX(PP_Grid[#Data],$DD359,28),0)</f>
        <v/>
      </c>
      <c r="AE359">
        <f>IFERROR(INDEX(PP_Grid[#Data],$DD359,29),0)</f>
        <v/>
      </c>
      <c r="AF359">
        <f>IFERROR(INDEX(PP_Grid[#Data],$DD359,30),0)</f>
        <v/>
      </c>
      <c r="AG359">
        <f>IFERROR(INDEX(PP_Grid[#Data],$DD359,31),0)</f>
        <v/>
      </c>
      <c r="AH359">
        <f>IFERROR(INDEX(PP_Grid[#Data],$DD359,32),0)</f>
        <v/>
      </c>
      <c r="AI359">
        <f>IFERROR(INDEX(PP_Grid[#Data],$DD359,33),0)</f>
        <v/>
      </c>
      <c r="AJ359">
        <f>IFERROR(INDEX(PP_Grid[#Data],$DD359,34),0)</f>
        <v/>
      </c>
      <c r="AK359">
        <f>IFERROR(INDEX(PP_Grid[#Data],$DD359,35),0)</f>
        <v/>
      </c>
      <c r="AL359">
        <f>IFERROR(INDEX(PP_Grid[#Data],$DD359,36),0)</f>
        <v/>
      </c>
      <c r="AM359">
        <f>IFERROR(INDEX(PP_Grid[#Data],$DD359,37),0)</f>
        <v/>
      </c>
      <c r="AN359">
        <f>IFERROR(INDEX(PP_Grid[#Data],$DD359,38),0)</f>
        <v/>
      </c>
      <c r="AO359">
        <f>IFERROR(INDEX(PP_Grid[#Data],$DD359,39),0)</f>
        <v/>
      </c>
      <c r="AP359">
        <f>IFERROR(INDEX(PP_Grid[#Data],$DD359,40),0)</f>
        <v/>
      </c>
      <c r="AQ359">
        <f>IFERROR(INDEX(PP_Grid[#Data],$DD359,41),0)</f>
        <v/>
      </c>
      <c r="AR359">
        <f>IFERROR(INDEX(PP_Grid[#Data],$DD359,42),0)</f>
        <v/>
      </c>
      <c r="AS359">
        <f>IFERROR(INDEX(PP_Grid[#Data],$DD359,43),0)</f>
        <v/>
      </c>
      <c r="AT359">
        <f>IFERROR(INDEX(PP_Grid[#Data],$DD359,44),0)</f>
        <v/>
      </c>
      <c r="AU359">
        <f>IFERROR(INDEX(PP_Grid[#Data],$DD359,45),0)</f>
        <v/>
      </c>
      <c r="AV359">
        <f>IFERROR(INDEX(PP_Grid[#Data],$DD359,46),0)</f>
        <v/>
      </c>
      <c r="AW359">
        <f>IFERROR(INDEX(PP_Grid[#Data],$DD359,47),0)</f>
        <v/>
      </c>
      <c r="AX359">
        <f>IFERROR(INDEX(PP_Grid[#Data],$DD359,48),0)</f>
        <v/>
      </c>
      <c r="AY359">
        <f>IFERROR(INDEX(PP_Grid[#Data],$DD359,49),0)</f>
        <v/>
      </c>
      <c r="AZ359">
        <f>IFERROR(INDEX(PP_Grid[#Data],$DD359,50),0)</f>
        <v/>
      </c>
      <c r="BA359">
        <f>IFERROR(INDEX(PP_Grid[#Data],$DD359,51),0)</f>
        <v/>
      </c>
      <c r="BB359">
        <f>IFERROR(INDEX(PP_Grid[#Data],$DD359,52),0)</f>
        <v/>
      </c>
      <c r="BC359">
        <f>IFERROR(INDEX(PP_Grid[#Data],$DD359,53),0)</f>
        <v/>
      </c>
      <c r="BD359">
        <f>IFERROR(INDEX(PP_Grid[#Data],$DD359,54),0)</f>
        <v/>
      </c>
      <c r="BE359">
        <f>IFERROR(INDEX(PP_Grid[#Data],$DD359,55),0)</f>
        <v/>
      </c>
      <c r="BF359">
        <f>IFERROR(INDEX(PP_Grid[#Data],$DD359,56),0)</f>
        <v/>
      </c>
      <c r="BG359">
        <f>IFERROR(INDEX(PP_Grid[#Data],$DD359,57),0)</f>
        <v/>
      </c>
      <c r="BH359">
        <f>IFERROR(INDEX(PP_Grid[#Data],$DD359,58),0)</f>
        <v/>
      </c>
      <c r="BI359">
        <f>IFERROR(INDEX(PP_Grid[#Data],$DD359,59),0)</f>
        <v/>
      </c>
      <c r="BJ359">
        <f>IFERROR(INDEX(PP_Grid[#Data],$DD359,60),0)</f>
        <v/>
      </c>
      <c r="BK359">
        <f>IFERROR(INDEX(PP_Grid[#Data],$DD359,61),0)</f>
        <v/>
      </c>
      <c r="BL359">
        <f>IFERROR(INDEX(PP_Grid[#Data],$DD359,62),0)</f>
        <v/>
      </c>
      <c r="BM359">
        <f>IFERROR(INDEX(PP_Grid[#Data],$DD359,63),0)</f>
        <v/>
      </c>
      <c r="BN359">
        <f>IFERROR(INDEX(PP_Grid[#Data],$DD359,64),0)</f>
        <v/>
      </c>
      <c r="BO359">
        <f>IFERROR(INDEX(PP_Grid[#Data],$DD359,65),0)</f>
        <v/>
      </c>
      <c r="BP359">
        <f>IFERROR(INDEX(PP_Grid[#Data],$DD359,66),0)</f>
        <v/>
      </c>
      <c r="BQ359">
        <f>IFERROR(INDEX(PP_Grid[#Data],$DD359,67),0)</f>
        <v/>
      </c>
      <c r="BR359">
        <f>IFERROR(INDEX(PP_Grid[#Data],$DD359,68),0)</f>
        <v/>
      </c>
      <c r="BS359">
        <f>IFERROR(INDEX(PP_Grid[#Data],$DD359,69),0)</f>
        <v/>
      </c>
      <c r="BT359">
        <f>IFERROR(INDEX(PP_Grid[#Data],$DD359,70),0)</f>
        <v/>
      </c>
      <c r="BU359">
        <f>IFERROR(INDEX(PP_Grid[#Data],$DD359,71),0)</f>
        <v/>
      </c>
      <c r="BV359">
        <f>IFERROR(INDEX(PP_Grid[#Data],$DD359,72),0)</f>
        <v/>
      </c>
      <c r="BW359">
        <f>IFERROR(INDEX(PP_Grid[#Data],$DD359,73),0)</f>
        <v/>
      </c>
      <c r="BX359">
        <f>IFERROR(INDEX(PP_Grid[#Data],$DD359,74),0)</f>
        <v/>
      </c>
      <c r="BY359">
        <f>IFERROR(INDEX(PP_Grid[#Data],$DD359,75),0)</f>
        <v/>
      </c>
      <c r="BZ359">
        <f>IFERROR(INDEX(PP_Grid[#Data],$DD359,76),0)</f>
        <v/>
      </c>
      <c r="CA359">
        <f>IFERROR(INDEX(PP_Grid[#Data],$DD359,77),0)</f>
        <v/>
      </c>
      <c r="CB359">
        <f>IFERROR(INDEX(PP_Grid[#Data],$DD359,78),0)</f>
        <v/>
      </c>
      <c r="CC359">
        <f>IFERROR(INDEX(PP_Grid[#Data],$DD359,79),0)</f>
        <v/>
      </c>
      <c r="CD359">
        <f>IFERROR(INDEX(PP_Grid[#Data],$DD359,80),0)</f>
        <v/>
      </c>
      <c r="CE359">
        <f>IFERROR(INDEX(PP_Grid[#Data],$DD359,81),0)</f>
        <v/>
      </c>
      <c r="CF359">
        <f>IFERROR(INDEX(PP_Grid[#Data],$DD359,82),0)</f>
        <v/>
      </c>
      <c r="CG359">
        <f>IFERROR(INDEX(PP_Grid[#Data],$DD359,83),0)</f>
        <v/>
      </c>
      <c r="CH359">
        <f>IFERROR(INDEX(PP_Grid[#Data],$DD359,84),0)</f>
        <v/>
      </c>
      <c r="CI359">
        <f>IFERROR(INDEX(PP_Grid[#Data],$DD359,85),0)</f>
        <v/>
      </c>
      <c r="CJ359">
        <f>IFERROR(INDEX(PP_Grid[#Data],$DD359,86),0)</f>
        <v/>
      </c>
      <c r="CK359">
        <f>IFERROR(INDEX(PP_Grid[#Data],$DD359,87),0)</f>
        <v/>
      </c>
      <c r="CL359">
        <f>IFERROR(INDEX(PP_Grid[#Data],$DD359,88),0)</f>
        <v/>
      </c>
      <c r="CM359">
        <f>IFERROR(INDEX(PP_Grid[#Data],$DD359,89),0)</f>
        <v/>
      </c>
      <c r="CN359">
        <f>IFERROR(INDEX(PP_Grid[#Data],$DD359,90),0)</f>
        <v/>
      </c>
      <c r="CO359">
        <f>IFERROR(INDEX(PP_Grid[#Data],$DD359,91),0)</f>
        <v/>
      </c>
      <c r="CP359">
        <f>IFERROR(INDEX(PP_Grid[#Data],$DD359,92),0)</f>
        <v/>
      </c>
      <c r="CQ359">
        <f>IFERROR(INDEX(PP_Grid[#Data],$DD359,93),0)</f>
        <v/>
      </c>
      <c r="CR359">
        <f>IFERROR(INDEX(PP_Grid[#Data],$DD359,94),0)</f>
        <v/>
      </c>
      <c r="CS359">
        <f>IFERROR(INDEX(PP_Grid[#Data],$DD359,95),0)</f>
        <v/>
      </c>
      <c r="CT359">
        <f>IFERROR(INDEX(PP_Grid[#Data],$DD359,96),0)</f>
        <v/>
      </c>
      <c r="CU359">
        <f>IFERROR(INDEX(PP_Grid[#Data],$DD359,97),0)</f>
        <v/>
      </c>
      <c r="CV359">
        <f>IFERROR(INDEX(PP_Grid[#Data],$DD359,98),0)</f>
        <v/>
      </c>
      <c r="CW359">
        <f>IFERROR(INDEX(PP_Grid[#Data],$DD359,99),0)</f>
        <v/>
      </c>
      <c r="CX359">
        <f>IFERROR(INDEX(PP_Grid[#Data],$DD359,100),0)</f>
        <v/>
      </c>
      <c r="CY359">
        <f>IFERROR(INDEX(PP_Grid[#Data],$DD359,101),0)</f>
        <v/>
      </c>
      <c r="CZ359">
        <f>IFERROR(INDEX(PP_Grid[#Data],$DD359,102),0)</f>
        <v/>
      </c>
      <c r="DA359">
        <f>IFERROR(INDEX(PP_Grid[#Data],$DD359,103),0)</f>
        <v/>
      </c>
      <c r="DB359">
        <f>IFERROR(INDEX(PP_Grid[#Data],$DD359,104),0)</f>
        <v/>
      </c>
      <c r="DC359">
        <f>IFERROR(INDEX(PP_Grid[#Data],$DD359,105),0)</f>
        <v/>
      </c>
      <c r="DD359" s="7">
        <f>IFERROR(MATCH($B359,PP_Grid[Intermediate],0),99999)</f>
        <v/>
      </c>
    </row>
    <row r="360">
      <c r="B360" t="inlineStr">
        <is>
          <t>使用量(kg)</t>
        </is>
      </c>
      <c r="C360">
        <f>SUMIFS(M_BOM[RM_Qty_Per_Batch],M_BOM[Intermediate],$B359,M_BOM[Part Name],$A340)</f>
        <v/>
      </c>
      <c r="D360">
        <f>$C360*D359</f>
        <v/>
      </c>
      <c r="E360">
        <f>$C360*E359</f>
        <v/>
      </c>
      <c r="F360">
        <f>$C360*F359</f>
        <v/>
      </c>
      <c r="G360">
        <f>$C360*G359</f>
        <v/>
      </c>
      <c r="H360">
        <f>$C360*H359</f>
        <v/>
      </c>
      <c r="I360">
        <f>$C360*I359</f>
        <v/>
      </c>
      <c r="J360">
        <f>$C360*J359</f>
        <v/>
      </c>
      <c r="K360">
        <f>$C360*K359</f>
        <v/>
      </c>
      <c r="L360">
        <f>$C360*L359</f>
        <v/>
      </c>
      <c r="M360">
        <f>$C360*M359</f>
        <v/>
      </c>
      <c r="N360">
        <f>$C360*N359</f>
        <v/>
      </c>
      <c r="O360">
        <f>$C360*O359</f>
        <v/>
      </c>
      <c r="P360">
        <f>$C360*P359</f>
        <v/>
      </c>
      <c r="Q360">
        <f>$C360*Q359</f>
        <v/>
      </c>
      <c r="R360">
        <f>$C360*R359</f>
        <v/>
      </c>
      <c r="S360">
        <f>$C360*S359</f>
        <v/>
      </c>
      <c r="T360">
        <f>$C360*T359</f>
        <v/>
      </c>
      <c r="U360">
        <f>$C360*U359</f>
        <v/>
      </c>
      <c r="V360">
        <f>$C360*V359</f>
        <v/>
      </c>
      <c r="W360">
        <f>$C360*W359</f>
        <v/>
      </c>
      <c r="X360">
        <f>$C360*X359</f>
        <v/>
      </c>
      <c r="Y360">
        <f>$C360*Y359</f>
        <v/>
      </c>
      <c r="Z360">
        <f>$C360*Z359</f>
        <v/>
      </c>
      <c r="AA360">
        <f>$C360*AA359</f>
        <v/>
      </c>
      <c r="AB360">
        <f>$C360*AB359</f>
        <v/>
      </c>
      <c r="AC360">
        <f>$C360*AC359</f>
        <v/>
      </c>
      <c r="AD360">
        <f>$C360*AD359</f>
        <v/>
      </c>
      <c r="AE360">
        <f>$C360*AE359</f>
        <v/>
      </c>
      <c r="AF360">
        <f>$C360*AF359</f>
        <v/>
      </c>
      <c r="AG360">
        <f>$C360*AG359</f>
        <v/>
      </c>
      <c r="AH360">
        <f>$C360*AH359</f>
        <v/>
      </c>
      <c r="AI360">
        <f>$C360*AI359</f>
        <v/>
      </c>
      <c r="AJ360">
        <f>$C360*AJ359</f>
        <v/>
      </c>
      <c r="AK360">
        <f>$C360*AK359</f>
        <v/>
      </c>
      <c r="AL360">
        <f>$C360*AL359</f>
        <v/>
      </c>
      <c r="AM360">
        <f>$C360*AM359</f>
        <v/>
      </c>
      <c r="AN360">
        <f>$C360*AN359</f>
        <v/>
      </c>
      <c r="AO360">
        <f>$C360*AO359</f>
        <v/>
      </c>
      <c r="AP360">
        <f>$C360*AP359</f>
        <v/>
      </c>
      <c r="AQ360">
        <f>$C360*AQ359</f>
        <v/>
      </c>
      <c r="AR360">
        <f>$C360*AR359</f>
        <v/>
      </c>
      <c r="AS360">
        <f>$C360*AS359</f>
        <v/>
      </c>
      <c r="AT360">
        <f>$C360*AT359</f>
        <v/>
      </c>
      <c r="AU360">
        <f>$C360*AU359</f>
        <v/>
      </c>
      <c r="AV360">
        <f>$C360*AV359</f>
        <v/>
      </c>
      <c r="AW360">
        <f>$C360*AW359</f>
        <v/>
      </c>
      <c r="AX360">
        <f>$C360*AX359</f>
        <v/>
      </c>
      <c r="AY360">
        <f>$C360*AY359</f>
        <v/>
      </c>
      <c r="AZ360">
        <f>$C360*AZ359</f>
        <v/>
      </c>
      <c r="BA360">
        <f>$C360*BA359</f>
        <v/>
      </c>
      <c r="BB360">
        <f>$C360*BB359</f>
        <v/>
      </c>
      <c r="BC360">
        <f>$C360*BC359</f>
        <v/>
      </c>
      <c r="BD360">
        <f>$C360*BD359</f>
        <v/>
      </c>
      <c r="BE360">
        <f>$C360*BE359</f>
        <v/>
      </c>
      <c r="BF360">
        <f>$C360*BF359</f>
        <v/>
      </c>
      <c r="BG360">
        <f>$C360*BG359</f>
        <v/>
      </c>
      <c r="BH360">
        <f>$C360*BH359</f>
        <v/>
      </c>
      <c r="BI360">
        <f>$C360*BI359</f>
        <v/>
      </c>
      <c r="BJ360">
        <f>$C360*BJ359</f>
        <v/>
      </c>
      <c r="BK360">
        <f>$C360*BK359</f>
        <v/>
      </c>
      <c r="BL360">
        <f>$C360*BL359</f>
        <v/>
      </c>
      <c r="BM360">
        <f>$C360*BM359</f>
        <v/>
      </c>
      <c r="BN360">
        <f>$C360*BN359</f>
        <v/>
      </c>
      <c r="BO360">
        <f>$C360*BO359</f>
        <v/>
      </c>
      <c r="BP360">
        <f>$C360*BP359</f>
        <v/>
      </c>
      <c r="BQ360">
        <f>$C360*BQ359</f>
        <v/>
      </c>
      <c r="BR360">
        <f>$C360*BR359</f>
        <v/>
      </c>
      <c r="BS360">
        <f>$C360*BS359</f>
        <v/>
      </c>
      <c r="BT360">
        <f>$C360*BT359</f>
        <v/>
      </c>
      <c r="BU360">
        <f>$C360*BU359</f>
        <v/>
      </c>
      <c r="BV360">
        <f>$C360*BV359</f>
        <v/>
      </c>
      <c r="BW360">
        <f>$C360*BW359</f>
        <v/>
      </c>
      <c r="BX360">
        <f>$C360*BX359</f>
        <v/>
      </c>
      <c r="BY360">
        <f>$C360*BY359</f>
        <v/>
      </c>
      <c r="BZ360">
        <f>$C360*BZ359</f>
        <v/>
      </c>
      <c r="CA360">
        <f>$C360*CA359</f>
        <v/>
      </c>
      <c r="CB360">
        <f>$C360*CB359</f>
        <v/>
      </c>
      <c r="CC360">
        <f>$C360*CC359</f>
        <v/>
      </c>
      <c r="CD360">
        <f>$C360*CD359</f>
        <v/>
      </c>
      <c r="CE360">
        <f>$C360*CE359</f>
        <v/>
      </c>
      <c r="CF360">
        <f>$C360*CF359</f>
        <v/>
      </c>
      <c r="CG360">
        <f>$C360*CG359</f>
        <v/>
      </c>
      <c r="CH360">
        <f>$C360*CH359</f>
        <v/>
      </c>
      <c r="CI360">
        <f>$C360*CI359</f>
        <v/>
      </c>
      <c r="CJ360">
        <f>$C360*CJ359</f>
        <v/>
      </c>
      <c r="CK360">
        <f>$C360*CK359</f>
        <v/>
      </c>
      <c r="CL360">
        <f>$C360*CL359</f>
        <v/>
      </c>
      <c r="CM360">
        <f>$C360*CM359</f>
        <v/>
      </c>
      <c r="CN360">
        <f>$C360*CN359</f>
        <v/>
      </c>
      <c r="CO360">
        <f>$C360*CO359</f>
        <v/>
      </c>
      <c r="CP360">
        <f>$C360*CP359</f>
        <v/>
      </c>
      <c r="CQ360">
        <f>$C360*CQ359</f>
        <v/>
      </c>
      <c r="CR360">
        <f>$C360*CR359</f>
        <v/>
      </c>
      <c r="CS360">
        <f>$C360*CS359</f>
        <v/>
      </c>
      <c r="CT360">
        <f>$C360*CT359</f>
        <v/>
      </c>
      <c r="CU360">
        <f>$C360*CU359</f>
        <v/>
      </c>
      <c r="CV360">
        <f>$C360*CV359</f>
        <v/>
      </c>
      <c r="CW360">
        <f>$C360*CW359</f>
        <v/>
      </c>
      <c r="CX360">
        <f>$C360*CX359</f>
        <v/>
      </c>
      <c r="CY360">
        <f>$C360*CY359</f>
        <v/>
      </c>
      <c r="CZ360">
        <f>$C360*CZ359</f>
        <v/>
      </c>
      <c r="DA360">
        <f>$C360*DA359</f>
        <v/>
      </c>
      <c r="DB360">
        <f>$C360*DB359</f>
        <v/>
      </c>
      <c r="DC360">
        <f>$C360*DC359</f>
        <v/>
      </c>
    </row>
    <row r="361">
      <c r="B361" t="inlineStr">
        <is>
          <t>TSP-367</t>
        </is>
      </c>
      <c r="C361" t="inlineStr">
        <is>
          <t>No. of batches</t>
        </is>
      </c>
      <c r="D361">
        <f>IFERROR(INDEX(PP_Grid[#Data],$DD361,2),0)</f>
        <v/>
      </c>
      <c r="E361">
        <f>IFERROR(INDEX(PP_Grid[#Data],$DD361,3),0)</f>
        <v/>
      </c>
      <c r="F361">
        <f>IFERROR(INDEX(PP_Grid[#Data],$DD361,4),0)</f>
        <v/>
      </c>
      <c r="G361">
        <f>IFERROR(INDEX(PP_Grid[#Data],$DD361,5),0)</f>
        <v/>
      </c>
      <c r="H361">
        <f>IFERROR(INDEX(PP_Grid[#Data],$DD361,6),0)</f>
        <v/>
      </c>
      <c r="I361">
        <f>IFERROR(INDEX(PP_Grid[#Data],$DD361,7),0)</f>
        <v/>
      </c>
      <c r="J361">
        <f>IFERROR(INDEX(PP_Grid[#Data],$DD361,8),0)</f>
        <v/>
      </c>
      <c r="K361">
        <f>IFERROR(INDEX(PP_Grid[#Data],$DD361,9),0)</f>
        <v/>
      </c>
      <c r="L361">
        <f>IFERROR(INDEX(PP_Grid[#Data],$DD361,10),0)</f>
        <v/>
      </c>
      <c r="M361">
        <f>IFERROR(INDEX(PP_Grid[#Data],$DD361,11),0)</f>
        <v/>
      </c>
      <c r="N361">
        <f>IFERROR(INDEX(PP_Grid[#Data],$DD361,12),0)</f>
        <v/>
      </c>
      <c r="O361">
        <f>IFERROR(INDEX(PP_Grid[#Data],$DD361,13),0)</f>
        <v/>
      </c>
      <c r="P361">
        <f>IFERROR(INDEX(PP_Grid[#Data],$DD361,14),0)</f>
        <v/>
      </c>
      <c r="Q361">
        <f>IFERROR(INDEX(PP_Grid[#Data],$DD361,15),0)</f>
        <v/>
      </c>
      <c r="R361">
        <f>IFERROR(INDEX(PP_Grid[#Data],$DD361,16),0)</f>
        <v/>
      </c>
      <c r="S361">
        <f>IFERROR(INDEX(PP_Grid[#Data],$DD361,17),0)</f>
        <v/>
      </c>
      <c r="T361">
        <f>IFERROR(INDEX(PP_Grid[#Data],$DD361,18),0)</f>
        <v/>
      </c>
      <c r="U361">
        <f>IFERROR(INDEX(PP_Grid[#Data],$DD361,19),0)</f>
        <v/>
      </c>
      <c r="V361">
        <f>IFERROR(INDEX(PP_Grid[#Data],$DD361,20),0)</f>
        <v/>
      </c>
      <c r="W361">
        <f>IFERROR(INDEX(PP_Grid[#Data],$DD361,21),0)</f>
        <v/>
      </c>
      <c r="X361">
        <f>IFERROR(INDEX(PP_Grid[#Data],$DD361,22),0)</f>
        <v/>
      </c>
      <c r="Y361">
        <f>IFERROR(INDEX(PP_Grid[#Data],$DD361,23),0)</f>
        <v/>
      </c>
      <c r="Z361">
        <f>IFERROR(INDEX(PP_Grid[#Data],$DD361,24),0)</f>
        <v/>
      </c>
      <c r="AA361">
        <f>IFERROR(INDEX(PP_Grid[#Data],$DD361,25),0)</f>
        <v/>
      </c>
      <c r="AB361">
        <f>IFERROR(INDEX(PP_Grid[#Data],$DD361,26),0)</f>
        <v/>
      </c>
      <c r="AC361">
        <f>IFERROR(INDEX(PP_Grid[#Data],$DD361,27),0)</f>
        <v/>
      </c>
      <c r="AD361">
        <f>IFERROR(INDEX(PP_Grid[#Data],$DD361,28),0)</f>
        <v/>
      </c>
      <c r="AE361">
        <f>IFERROR(INDEX(PP_Grid[#Data],$DD361,29),0)</f>
        <v/>
      </c>
      <c r="AF361">
        <f>IFERROR(INDEX(PP_Grid[#Data],$DD361,30),0)</f>
        <v/>
      </c>
      <c r="AG361">
        <f>IFERROR(INDEX(PP_Grid[#Data],$DD361,31),0)</f>
        <v/>
      </c>
      <c r="AH361">
        <f>IFERROR(INDEX(PP_Grid[#Data],$DD361,32),0)</f>
        <v/>
      </c>
      <c r="AI361">
        <f>IFERROR(INDEX(PP_Grid[#Data],$DD361,33),0)</f>
        <v/>
      </c>
      <c r="AJ361">
        <f>IFERROR(INDEX(PP_Grid[#Data],$DD361,34),0)</f>
        <v/>
      </c>
      <c r="AK361">
        <f>IFERROR(INDEX(PP_Grid[#Data],$DD361,35),0)</f>
        <v/>
      </c>
      <c r="AL361">
        <f>IFERROR(INDEX(PP_Grid[#Data],$DD361,36),0)</f>
        <v/>
      </c>
      <c r="AM361">
        <f>IFERROR(INDEX(PP_Grid[#Data],$DD361,37),0)</f>
        <v/>
      </c>
      <c r="AN361">
        <f>IFERROR(INDEX(PP_Grid[#Data],$DD361,38),0)</f>
        <v/>
      </c>
      <c r="AO361">
        <f>IFERROR(INDEX(PP_Grid[#Data],$DD361,39),0)</f>
        <v/>
      </c>
      <c r="AP361">
        <f>IFERROR(INDEX(PP_Grid[#Data],$DD361,40),0)</f>
        <v/>
      </c>
      <c r="AQ361">
        <f>IFERROR(INDEX(PP_Grid[#Data],$DD361,41),0)</f>
        <v/>
      </c>
      <c r="AR361">
        <f>IFERROR(INDEX(PP_Grid[#Data],$DD361,42),0)</f>
        <v/>
      </c>
      <c r="AS361">
        <f>IFERROR(INDEX(PP_Grid[#Data],$DD361,43),0)</f>
        <v/>
      </c>
      <c r="AT361">
        <f>IFERROR(INDEX(PP_Grid[#Data],$DD361,44),0)</f>
        <v/>
      </c>
      <c r="AU361">
        <f>IFERROR(INDEX(PP_Grid[#Data],$DD361,45),0)</f>
        <v/>
      </c>
      <c r="AV361">
        <f>IFERROR(INDEX(PP_Grid[#Data],$DD361,46),0)</f>
        <v/>
      </c>
      <c r="AW361">
        <f>IFERROR(INDEX(PP_Grid[#Data],$DD361,47),0)</f>
        <v/>
      </c>
      <c r="AX361">
        <f>IFERROR(INDEX(PP_Grid[#Data],$DD361,48),0)</f>
        <v/>
      </c>
      <c r="AY361">
        <f>IFERROR(INDEX(PP_Grid[#Data],$DD361,49),0)</f>
        <v/>
      </c>
      <c r="AZ361">
        <f>IFERROR(INDEX(PP_Grid[#Data],$DD361,50),0)</f>
        <v/>
      </c>
      <c r="BA361">
        <f>IFERROR(INDEX(PP_Grid[#Data],$DD361,51),0)</f>
        <v/>
      </c>
      <c r="BB361">
        <f>IFERROR(INDEX(PP_Grid[#Data],$DD361,52),0)</f>
        <v/>
      </c>
      <c r="BC361">
        <f>IFERROR(INDEX(PP_Grid[#Data],$DD361,53),0)</f>
        <v/>
      </c>
      <c r="BD361">
        <f>IFERROR(INDEX(PP_Grid[#Data],$DD361,54),0)</f>
        <v/>
      </c>
      <c r="BE361">
        <f>IFERROR(INDEX(PP_Grid[#Data],$DD361,55),0)</f>
        <v/>
      </c>
      <c r="BF361">
        <f>IFERROR(INDEX(PP_Grid[#Data],$DD361,56),0)</f>
        <v/>
      </c>
      <c r="BG361">
        <f>IFERROR(INDEX(PP_Grid[#Data],$DD361,57),0)</f>
        <v/>
      </c>
      <c r="BH361">
        <f>IFERROR(INDEX(PP_Grid[#Data],$DD361,58),0)</f>
        <v/>
      </c>
      <c r="BI361">
        <f>IFERROR(INDEX(PP_Grid[#Data],$DD361,59),0)</f>
        <v/>
      </c>
      <c r="BJ361">
        <f>IFERROR(INDEX(PP_Grid[#Data],$DD361,60),0)</f>
        <v/>
      </c>
      <c r="BK361">
        <f>IFERROR(INDEX(PP_Grid[#Data],$DD361,61),0)</f>
        <v/>
      </c>
      <c r="BL361">
        <f>IFERROR(INDEX(PP_Grid[#Data],$DD361,62),0)</f>
        <v/>
      </c>
      <c r="BM361">
        <f>IFERROR(INDEX(PP_Grid[#Data],$DD361,63),0)</f>
        <v/>
      </c>
      <c r="BN361">
        <f>IFERROR(INDEX(PP_Grid[#Data],$DD361,64),0)</f>
        <v/>
      </c>
      <c r="BO361">
        <f>IFERROR(INDEX(PP_Grid[#Data],$DD361,65),0)</f>
        <v/>
      </c>
      <c r="BP361">
        <f>IFERROR(INDEX(PP_Grid[#Data],$DD361,66),0)</f>
        <v/>
      </c>
      <c r="BQ361">
        <f>IFERROR(INDEX(PP_Grid[#Data],$DD361,67),0)</f>
        <v/>
      </c>
      <c r="BR361">
        <f>IFERROR(INDEX(PP_Grid[#Data],$DD361,68),0)</f>
        <v/>
      </c>
      <c r="BS361">
        <f>IFERROR(INDEX(PP_Grid[#Data],$DD361,69),0)</f>
        <v/>
      </c>
      <c r="BT361">
        <f>IFERROR(INDEX(PP_Grid[#Data],$DD361,70),0)</f>
        <v/>
      </c>
      <c r="BU361">
        <f>IFERROR(INDEX(PP_Grid[#Data],$DD361,71),0)</f>
        <v/>
      </c>
      <c r="BV361">
        <f>IFERROR(INDEX(PP_Grid[#Data],$DD361,72),0)</f>
        <v/>
      </c>
      <c r="BW361">
        <f>IFERROR(INDEX(PP_Grid[#Data],$DD361,73),0)</f>
        <v/>
      </c>
      <c r="BX361">
        <f>IFERROR(INDEX(PP_Grid[#Data],$DD361,74),0)</f>
        <v/>
      </c>
      <c r="BY361">
        <f>IFERROR(INDEX(PP_Grid[#Data],$DD361,75),0)</f>
        <v/>
      </c>
      <c r="BZ361">
        <f>IFERROR(INDEX(PP_Grid[#Data],$DD361,76),0)</f>
        <v/>
      </c>
      <c r="CA361">
        <f>IFERROR(INDEX(PP_Grid[#Data],$DD361,77),0)</f>
        <v/>
      </c>
      <c r="CB361">
        <f>IFERROR(INDEX(PP_Grid[#Data],$DD361,78),0)</f>
        <v/>
      </c>
      <c r="CC361">
        <f>IFERROR(INDEX(PP_Grid[#Data],$DD361,79),0)</f>
        <v/>
      </c>
      <c r="CD361">
        <f>IFERROR(INDEX(PP_Grid[#Data],$DD361,80),0)</f>
        <v/>
      </c>
      <c r="CE361">
        <f>IFERROR(INDEX(PP_Grid[#Data],$DD361,81),0)</f>
        <v/>
      </c>
      <c r="CF361">
        <f>IFERROR(INDEX(PP_Grid[#Data],$DD361,82),0)</f>
        <v/>
      </c>
      <c r="CG361">
        <f>IFERROR(INDEX(PP_Grid[#Data],$DD361,83),0)</f>
        <v/>
      </c>
      <c r="CH361">
        <f>IFERROR(INDEX(PP_Grid[#Data],$DD361,84),0)</f>
        <v/>
      </c>
      <c r="CI361">
        <f>IFERROR(INDEX(PP_Grid[#Data],$DD361,85),0)</f>
        <v/>
      </c>
      <c r="CJ361">
        <f>IFERROR(INDEX(PP_Grid[#Data],$DD361,86),0)</f>
        <v/>
      </c>
      <c r="CK361">
        <f>IFERROR(INDEX(PP_Grid[#Data],$DD361,87),0)</f>
        <v/>
      </c>
      <c r="CL361">
        <f>IFERROR(INDEX(PP_Grid[#Data],$DD361,88),0)</f>
        <v/>
      </c>
      <c r="CM361">
        <f>IFERROR(INDEX(PP_Grid[#Data],$DD361,89),0)</f>
        <v/>
      </c>
      <c r="CN361">
        <f>IFERROR(INDEX(PP_Grid[#Data],$DD361,90),0)</f>
        <v/>
      </c>
      <c r="CO361">
        <f>IFERROR(INDEX(PP_Grid[#Data],$DD361,91),0)</f>
        <v/>
      </c>
      <c r="CP361">
        <f>IFERROR(INDEX(PP_Grid[#Data],$DD361,92),0)</f>
        <v/>
      </c>
      <c r="CQ361">
        <f>IFERROR(INDEX(PP_Grid[#Data],$DD361,93),0)</f>
        <v/>
      </c>
      <c r="CR361">
        <f>IFERROR(INDEX(PP_Grid[#Data],$DD361,94),0)</f>
        <v/>
      </c>
      <c r="CS361">
        <f>IFERROR(INDEX(PP_Grid[#Data],$DD361,95),0)</f>
        <v/>
      </c>
      <c r="CT361">
        <f>IFERROR(INDEX(PP_Grid[#Data],$DD361,96),0)</f>
        <v/>
      </c>
      <c r="CU361">
        <f>IFERROR(INDEX(PP_Grid[#Data],$DD361,97),0)</f>
        <v/>
      </c>
      <c r="CV361">
        <f>IFERROR(INDEX(PP_Grid[#Data],$DD361,98),0)</f>
        <v/>
      </c>
      <c r="CW361">
        <f>IFERROR(INDEX(PP_Grid[#Data],$DD361,99),0)</f>
        <v/>
      </c>
      <c r="CX361">
        <f>IFERROR(INDEX(PP_Grid[#Data],$DD361,100),0)</f>
        <v/>
      </c>
      <c r="CY361">
        <f>IFERROR(INDEX(PP_Grid[#Data],$DD361,101),0)</f>
        <v/>
      </c>
      <c r="CZ361">
        <f>IFERROR(INDEX(PP_Grid[#Data],$DD361,102),0)</f>
        <v/>
      </c>
      <c r="DA361">
        <f>IFERROR(INDEX(PP_Grid[#Data],$DD361,103),0)</f>
        <v/>
      </c>
      <c r="DB361">
        <f>IFERROR(INDEX(PP_Grid[#Data],$DD361,104),0)</f>
        <v/>
      </c>
      <c r="DC361">
        <f>IFERROR(INDEX(PP_Grid[#Data],$DD361,105),0)</f>
        <v/>
      </c>
      <c r="DD361" s="7">
        <f>IFERROR(MATCH($B361,PP_Grid[Intermediate],0),99999)</f>
        <v/>
      </c>
    </row>
    <row r="362">
      <c r="B362" t="inlineStr">
        <is>
          <t>使用量(kg)</t>
        </is>
      </c>
      <c r="C362">
        <f>SUMIFS(M_BOM[RM_Qty_Per_Batch],M_BOM[Intermediate],$B361,M_BOM[Part Name],$A340)</f>
        <v/>
      </c>
      <c r="D362">
        <f>$C362*D361</f>
        <v/>
      </c>
      <c r="E362">
        <f>$C362*E361</f>
        <v/>
      </c>
      <c r="F362">
        <f>$C362*F361</f>
        <v/>
      </c>
      <c r="G362">
        <f>$C362*G361</f>
        <v/>
      </c>
      <c r="H362">
        <f>$C362*H361</f>
        <v/>
      </c>
      <c r="I362">
        <f>$C362*I361</f>
        <v/>
      </c>
      <c r="J362">
        <f>$C362*J361</f>
        <v/>
      </c>
      <c r="K362">
        <f>$C362*K361</f>
        <v/>
      </c>
      <c r="L362">
        <f>$C362*L361</f>
        <v/>
      </c>
      <c r="M362">
        <f>$C362*M361</f>
        <v/>
      </c>
      <c r="N362">
        <f>$C362*N361</f>
        <v/>
      </c>
      <c r="O362">
        <f>$C362*O361</f>
        <v/>
      </c>
      <c r="P362">
        <f>$C362*P361</f>
        <v/>
      </c>
      <c r="Q362">
        <f>$C362*Q361</f>
        <v/>
      </c>
      <c r="R362">
        <f>$C362*R361</f>
        <v/>
      </c>
      <c r="S362">
        <f>$C362*S361</f>
        <v/>
      </c>
      <c r="T362">
        <f>$C362*T361</f>
        <v/>
      </c>
      <c r="U362">
        <f>$C362*U361</f>
        <v/>
      </c>
      <c r="V362">
        <f>$C362*V361</f>
        <v/>
      </c>
      <c r="W362">
        <f>$C362*W361</f>
        <v/>
      </c>
      <c r="X362">
        <f>$C362*X361</f>
        <v/>
      </c>
      <c r="Y362">
        <f>$C362*Y361</f>
        <v/>
      </c>
      <c r="Z362">
        <f>$C362*Z361</f>
        <v/>
      </c>
      <c r="AA362">
        <f>$C362*AA361</f>
        <v/>
      </c>
      <c r="AB362">
        <f>$C362*AB361</f>
        <v/>
      </c>
      <c r="AC362">
        <f>$C362*AC361</f>
        <v/>
      </c>
      <c r="AD362">
        <f>$C362*AD361</f>
        <v/>
      </c>
      <c r="AE362">
        <f>$C362*AE361</f>
        <v/>
      </c>
      <c r="AF362">
        <f>$C362*AF361</f>
        <v/>
      </c>
      <c r="AG362">
        <f>$C362*AG361</f>
        <v/>
      </c>
      <c r="AH362">
        <f>$C362*AH361</f>
        <v/>
      </c>
      <c r="AI362">
        <f>$C362*AI361</f>
        <v/>
      </c>
      <c r="AJ362">
        <f>$C362*AJ361</f>
        <v/>
      </c>
      <c r="AK362">
        <f>$C362*AK361</f>
        <v/>
      </c>
      <c r="AL362">
        <f>$C362*AL361</f>
        <v/>
      </c>
      <c r="AM362">
        <f>$C362*AM361</f>
        <v/>
      </c>
      <c r="AN362">
        <f>$C362*AN361</f>
        <v/>
      </c>
      <c r="AO362">
        <f>$C362*AO361</f>
        <v/>
      </c>
      <c r="AP362">
        <f>$C362*AP361</f>
        <v/>
      </c>
      <c r="AQ362">
        <f>$C362*AQ361</f>
        <v/>
      </c>
      <c r="AR362">
        <f>$C362*AR361</f>
        <v/>
      </c>
      <c r="AS362">
        <f>$C362*AS361</f>
        <v/>
      </c>
      <c r="AT362">
        <f>$C362*AT361</f>
        <v/>
      </c>
      <c r="AU362">
        <f>$C362*AU361</f>
        <v/>
      </c>
      <c r="AV362">
        <f>$C362*AV361</f>
        <v/>
      </c>
      <c r="AW362">
        <f>$C362*AW361</f>
        <v/>
      </c>
      <c r="AX362">
        <f>$C362*AX361</f>
        <v/>
      </c>
      <c r="AY362">
        <f>$C362*AY361</f>
        <v/>
      </c>
      <c r="AZ362">
        <f>$C362*AZ361</f>
        <v/>
      </c>
      <c r="BA362">
        <f>$C362*BA361</f>
        <v/>
      </c>
      <c r="BB362">
        <f>$C362*BB361</f>
        <v/>
      </c>
      <c r="BC362">
        <f>$C362*BC361</f>
        <v/>
      </c>
      <c r="BD362">
        <f>$C362*BD361</f>
        <v/>
      </c>
      <c r="BE362">
        <f>$C362*BE361</f>
        <v/>
      </c>
      <c r="BF362">
        <f>$C362*BF361</f>
        <v/>
      </c>
      <c r="BG362">
        <f>$C362*BG361</f>
        <v/>
      </c>
      <c r="BH362">
        <f>$C362*BH361</f>
        <v/>
      </c>
      <c r="BI362">
        <f>$C362*BI361</f>
        <v/>
      </c>
      <c r="BJ362">
        <f>$C362*BJ361</f>
        <v/>
      </c>
      <c r="BK362">
        <f>$C362*BK361</f>
        <v/>
      </c>
      <c r="BL362">
        <f>$C362*BL361</f>
        <v/>
      </c>
      <c r="BM362">
        <f>$C362*BM361</f>
        <v/>
      </c>
      <c r="BN362">
        <f>$C362*BN361</f>
        <v/>
      </c>
      <c r="BO362">
        <f>$C362*BO361</f>
        <v/>
      </c>
      <c r="BP362">
        <f>$C362*BP361</f>
        <v/>
      </c>
      <c r="BQ362">
        <f>$C362*BQ361</f>
        <v/>
      </c>
      <c r="BR362">
        <f>$C362*BR361</f>
        <v/>
      </c>
      <c r="BS362">
        <f>$C362*BS361</f>
        <v/>
      </c>
      <c r="BT362">
        <f>$C362*BT361</f>
        <v/>
      </c>
      <c r="BU362">
        <f>$C362*BU361</f>
        <v/>
      </c>
      <c r="BV362">
        <f>$C362*BV361</f>
        <v/>
      </c>
      <c r="BW362">
        <f>$C362*BW361</f>
        <v/>
      </c>
      <c r="BX362">
        <f>$C362*BX361</f>
        <v/>
      </c>
      <c r="BY362">
        <f>$C362*BY361</f>
        <v/>
      </c>
      <c r="BZ362">
        <f>$C362*BZ361</f>
        <v/>
      </c>
      <c r="CA362">
        <f>$C362*CA361</f>
        <v/>
      </c>
      <c r="CB362">
        <f>$C362*CB361</f>
        <v/>
      </c>
      <c r="CC362">
        <f>$C362*CC361</f>
        <v/>
      </c>
      <c r="CD362">
        <f>$C362*CD361</f>
        <v/>
      </c>
      <c r="CE362">
        <f>$C362*CE361</f>
        <v/>
      </c>
      <c r="CF362">
        <f>$C362*CF361</f>
        <v/>
      </c>
      <c r="CG362">
        <f>$C362*CG361</f>
        <v/>
      </c>
      <c r="CH362">
        <f>$C362*CH361</f>
        <v/>
      </c>
      <c r="CI362">
        <f>$C362*CI361</f>
        <v/>
      </c>
      <c r="CJ362">
        <f>$C362*CJ361</f>
        <v/>
      </c>
      <c r="CK362">
        <f>$C362*CK361</f>
        <v/>
      </c>
      <c r="CL362">
        <f>$C362*CL361</f>
        <v/>
      </c>
      <c r="CM362">
        <f>$C362*CM361</f>
        <v/>
      </c>
      <c r="CN362">
        <f>$C362*CN361</f>
        <v/>
      </c>
      <c r="CO362">
        <f>$C362*CO361</f>
        <v/>
      </c>
      <c r="CP362">
        <f>$C362*CP361</f>
        <v/>
      </c>
      <c r="CQ362">
        <f>$C362*CQ361</f>
        <v/>
      </c>
      <c r="CR362">
        <f>$C362*CR361</f>
        <v/>
      </c>
      <c r="CS362">
        <f>$C362*CS361</f>
        <v/>
      </c>
      <c r="CT362">
        <f>$C362*CT361</f>
        <v/>
      </c>
      <c r="CU362">
        <f>$C362*CU361</f>
        <v/>
      </c>
      <c r="CV362">
        <f>$C362*CV361</f>
        <v/>
      </c>
      <c r="CW362">
        <f>$C362*CW361</f>
        <v/>
      </c>
      <c r="CX362">
        <f>$C362*CX361</f>
        <v/>
      </c>
      <c r="CY362">
        <f>$C362*CY361</f>
        <v/>
      </c>
      <c r="CZ362">
        <f>$C362*CZ361</f>
        <v/>
      </c>
      <c r="DA362">
        <f>$C362*DA361</f>
        <v/>
      </c>
      <c r="DB362">
        <f>$C362*DB361</f>
        <v/>
      </c>
      <c r="DC362">
        <f>$C362*DC361</f>
        <v/>
      </c>
    </row>
    <row r="363">
      <c r="B363" t="inlineStr">
        <is>
          <t>TSP-369</t>
        </is>
      </c>
      <c r="C363" t="inlineStr">
        <is>
          <t>No. of batches</t>
        </is>
      </c>
      <c r="D363">
        <f>IFERROR(INDEX(PP_Grid[#Data],$DD363,2),0)</f>
        <v/>
      </c>
      <c r="E363">
        <f>IFERROR(INDEX(PP_Grid[#Data],$DD363,3),0)</f>
        <v/>
      </c>
      <c r="F363">
        <f>IFERROR(INDEX(PP_Grid[#Data],$DD363,4),0)</f>
        <v/>
      </c>
      <c r="G363">
        <f>IFERROR(INDEX(PP_Grid[#Data],$DD363,5),0)</f>
        <v/>
      </c>
      <c r="H363">
        <f>IFERROR(INDEX(PP_Grid[#Data],$DD363,6),0)</f>
        <v/>
      </c>
      <c r="I363">
        <f>IFERROR(INDEX(PP_Grid[#Data],$DD363,7),0)</f>
        <v/>
      </c>
      <c r="J363">
        <f>IFERROR(INDEX(PP_Grid[#Data],$DD363,8),0)</f>
        <v/>
      </c>
      <c r="K363">
        <f>IFERROR(INDEX(PP_Grid[#Data],$DD363,9),0)</f>
        <v/>
      </c>
      <c r="L363">
        <f>IFERROR(INDEX(PP_Grid[#Data],$DD363,10),0)</f>
        <v/>
      </c>
      <c r="M363">
        <f>IFERROR(INDEX(PP_Grid[#Data],$DD363,11),0)</f>
        <v/>
      </c>
      <c r="N363">
        <f>IFERROR(INDEX(PP_Grid[#Data],$DD363,12),0)</f>
        <v/>
      </c>
      <c r="O363">
        <f>IFERROR(INDEX(PP_Grid[#Data],$DD363,13),0)</f>
        <v/>
      </c>
      <c r="P363">
        <f>IFERROR(INDEX(PP_Grid[#Data],$DD363,14),0)</f>
        <v/>
      </c>
      <c r="Q363">
        <f>IFERROR(INDEX(PP_Grid[#Data],$DD363,15),0)</f>
        <v/>
      </c>
      <c r="R363">
        <f>IFERROR(INDEX(PP_Grid[#Data],$DD363,16),0)</f>
        <v/>
      </c>
      <c r="S363">
        <f>IFERROR(INDEX(PP_Grid[#Data],$DD363,17),0)</f>
        <v/>
      </c>
      <c r="T363">
        <f>IFERROR(INDEX(PP_Grid[#Data],$DD363,18),0)</f>
        <v/>
      </c>
      <c r="U363">
        <f>IFERROR(INDEX(PP_Grid[#Data],$DD363,19),0)</f>
        <v/>
      </c>
      <c r="V363">
        <f>IFERROR(INDEX(PP_Grid[#Data],$DD363,20),0)</f>
        <v/>
      </c>
      <c r="W363">
        <f>IFERROR(INDEX(PP_Grid[#Data],$DD363,21),0)</f>
        <v/>
      </c>
      <c r="X363">
        <f>IFERROR(INDEX(PP_Grid[#Data],$DD363,22),0)</f>
        <v/>
      </c>
      <c r="Y363">
        <f>IFERROR(INDEX(PP_Grid[#Data],$DD363,23),0)</f>
        <v/>
      </c>
      <c r="Z363">
        <f>IFERROR(INDEX(PP_Grid[#Data],$DD363,24),0)</f>
        <v/>
      </c>
      <c r="AA363">
        <f>IFERROR(INDEX(PP_Grid[#Data],$DD363,25),0)</f>
        <v/>
      </c>
      <c r="AB363">
        <f>IFERROR(INDEX(PP_Grid[#Data],$DD363,26),0)</f>
        <v/>
      </c>
      <c r="AC363">
        <f>IFERROR(INDEX(PP_Grid[#Data],$DD363,27),0)</f>
        <v/>
      </c>
      <c r="AD363">
        <f>IFERROR(INDEX(PP_Grid[#Data],$DD363,28),0)</f>
        <v/>
      </c>
      <c r="AE363">
        <f>IFERROR(INDEX(PP_Grid[#Data],$DD363,29),0)</f>
        <v/>
      </c>
      <c r="AF363">
        <f>IFERROR(INDEX(PP_Grid[#Data],$DD363,30),0)</f>
        <v/>
      </c>
      <c r="AG363">
        <f>IFERROR(INDEX(PP_Grid[#Data],$DD363,31),0)</f>
        <v/>
      </c>
      <c r="AH363">
        <f>IFERROR(INDEX(PP_Grid[#Data],$DD363,32),0)</f>
        <v/>
      </c>
      <c r="AI363">
        <f>IFERROR(INDEX(PP_Grid[#Data],$DD363,33),0)</f>
        <v/>
      </c>
      <c r="AJ363">
        <f>IFERROR(INDEX(PP_Grid[#Data],$DD363,34),0)</f>
        <v/>
      </c>
      <c r="AK363">
        <f>IFERROR(INDEX(PP_Grid[#Data],$DD363,35),0)</f>
        <v/>
      </c>
      <c r="AL363">
        <f>IFERROR(INDEX(PP_Grid[#Data],$DD363,36),0)</f>
        <v/>
      </c>
      <c r="AM363">
        <f>IFERROR(INDEX(PP_Grid[#Data],$DD363,37),0)</f>
        <v/>
      </c>
      <c r="AN363">
        <f>IFERROR(INDEX(PP_Grid[#Data],$DD363,38),0)</f>
        <v/>
      </c>
      <c r="AO363">
        <f>IFERROR(INDEX(PP_Grid[#Data],$DD363,39),0)</f>
        <v/>
      </c>
      <c r="AP363">
        <f>IFERROR(INDEX(PP_Grid[#Data],$DD363,40),0)</f>
        <v/>
      </c>
      <c r="AQ363">
        <f>IFERROR(INDEX(PP_Grid[#Data],$DD363,41),0)</f>
        <v/>
      </c>
      <c r="AR363">
        <f>IFERROR(INDEX(PP_Grid[#Data],$DD363,42),0)</f>
        <v/>
      </c>
      <c r="AS363">
        <f>IFERROR(INDEX(PP_Grid[#Data],$DD363,43),0)</f>
        <v/>
      </c>
      <c r="AT363">
        <f>IFERROR(INDEX(PP_Grid[#Data],$DD363,44),0)</f>
        <v/>
      </c>
      <c r="AU363">
        <f>IFERROR(INDEX(PP_Grid[#Data],$DD363,45),0)</f>
        <v/>
      </c>
      <c r="AV363">
        <f>IFERROR(INDEX(PP_Grid[#Data],$DD363,46),0)</f>
        <v/>
      </c>
      <c r="AW363">
        <f>IFERROR(INDEX(PP_Grid[#Data],$DD363,47),0)</f>
        <v/>
      </c>
      <c r="AX363">
        <f>IFERROR(INDEX(PP_Grid[#Data],$DD363,48),0)</f>
        <v/>
      </c>
      <c r="AY363">
        <f>IFERROR(INDEX(PP_Grid[#Data],$DD363,49),0)</f>
        <v/>
      </c>
      <c r="AZ363">
        <f>IFERROR(INDEX(PP_Grid[#Data],$DD363,50),0)</f>
        <v/>
      </c>
      <c r="BA363">
        <f>IFERROR(INDEX(PP_Grid[#Data],$DD363,51),0)</f>
        <v/>
      </c>
      <c r="BB363">
        <f>IFERROR(INDEX(PP_Grid[#Data],$DD363,52),0)</f>
        <v/>
      </c>
      <c r="BC363">
        <f>IFERROR(INDEX(PP_Grid[#Data],$DD363,53),0)</f>
        <v/>
      </c>
      <c r="BD363">
        <f>IFERROR(INDEX(PP_Grid[#Data],$DD363,54),0)</f>
        <v/>
      </c>
      <c r="BE363">
        <f>IFERROR(INDEX(PP_Grid[#Data],$DD363,55),0)</f>
        <v/>
      </c>
      <c r="BF363">
        <f>IFERROR(INDEX(PP_Grid[#Data],$DD363,56),0)</f>
        <v/>
      </c>
      <c r="BG363">
        <f>IFERROR(INDEX(PP_Grid[#Data],$DD363,57),0)</f>
        <v/>
      </c>
      <c r="BH363">
        <f>IFERROR(INDEX(PP_Grid[#Data],$DD363,58),0)</f>
        <v/>
      </c>
      <c r="BI363">
        <f>IFERROR(INDEX(PP_Grid[#Data],$DD363,59),0)</f>
        <v/>
      </c>
      <c r="BJ363">
        <f>IFERROR(INDEX(PP_Grid[#Data],$DD363,60),0)</f>
        <v/>
      </c>
      <c r="BK363">
        <f>IFERROR(INDEX(PP_Grid[#Data],$DD363,61),0)</f>
        <v/>
      </c>
      <c r="BL363">
        <f>IFERROR(INDEX(PP_Grid[#Data],$DD363,62),0)</f>
        <v/>
      </c>
      <c r="BM363">
        <f>IFERROR(INDEX(PP_Grid[#Data],$DD363,63),0)</f>
        <v/>
      </c>
      <c r="BN363">
        <f>IFERROR(INDEX(PP_Grid[#Data],$DD363,64),0)</f>
        <v/>
      </c>
      <c r="BO363">
        <f>IFERROR(INDEX(PP_Grid[#Data],$DD363,65),0)</f>
        <v/>
      </c>
      <c r="BP363">
        <f>IFERROR(INDEX(PP_Grid[#Data],$DD363,66),0)</f>
        <v/>
      </c>
      <c r="BQ363">
        <f>IFERROR(INDEX(PP_Grid[#Data],$DD363,67),0)</f>
        <v/>
      </c>
      <c r="BR363">
        <f>IFERROR(INDEX(PP_Grid[#Data],$DD363,68),0)</f>
        <v/>
      </c>
      <c r="BS363">
        <f>IFERROR(INDEX(PP_Grid[#Data],$DD363,69),0)</f>
        <v/>
      </c>
      <c r="BT363">
        <f>IFERROR(INDEX(PP_Grid[#Data],$DD363,70),0)</f>
        <v/>
      </c>
      <c r="BU363">
        <f>IFERROR(INDEX(PP_Grid[#Data],$DD363,71),0)</f>
        <v/>
      </c>
      <c r="BV363">
        <f>IFERROR(INDEX(PP_Grid[#Data],$DD363,72),0)</f>
        <v/>
      </c>
      <c r="BW363">
        <f>IFERROR(INDEX(PP_Grid[#Data],$DD363,73),0)</f>
        <v/>
      </c>
      <c r="BX363">
        <f>IFERROR(INDEX(PP_Grid[#Data],$DD363,74),0)</f>
        <v/>
      </c>
      <c r="BY363">
        <f>IFERROR(INDEX(PP_Grid[#Data],$DD363,75),0)</f>
        <v/>
      </c>
      <c r="BZ363">
        <f>IFERROR(INDEX(PP_Grid[#Data],$DD363,76),0)</f>
        <v/>
      </c>
      <c r="CA363">
        <f>IFERROR(INDEX(PP_Grid[#Data],$DD363,77),0)</f>
        <v/>
      </c>
      <c r="CB363">
        <f>IFERROR(INDEX(PP_Grid[#Data],$DD363,78),0)</f>
        <v/>
      </c>
      <c r="CC363">
        <f>IFERROR(INDEX(PP_Grid[#Data],$DD363,79),0)</f>
        <v/>
      </c>
      <c r="CD363">
        <f>IFERROR(INDEX(PP_Grid[#Data],$DD363,80),0)</f>
        <v/>
      </c>
      <c r="CE363">
        <f>IFERROR(INDEX(PP_Grid[#Data],$DD363,81),0)</f>
        <v/>
      </c>
      <c r="CF363">
        <f>IFERROR(INDEX(PP_Grid[#Data],$DD363,82),0)</f>
        <v/>
      </c>
      <c r="CG363">
        <f>IFERROR(INDEX(PP_Grid[#Data],$DD363,83),0)</f>
        <v/>
      </c>
      <c r="CH363">
        <f>IFERROR(INDEX(PP_Grid[#Data],$DD363,84),0)</f>
        <v/>
      </c>
      <c r="CI363">
        <f>IFERROR(INDEX(PP_Grid[#Data],$DD363,85),0)</f>
        <v/>
      </c>
      <c r="CJ363">
        <f>IFERROR(INDEX(PP_Grid[#Data],$DD363,86),0)</f>
        <v/>
      </c>
      <c r="CK363">
        <f>IFERROR(INDEX(PP_Grid[#Data],$DD363,87),0)</f>
        <v/>
      </c>
      <c r="CL363">
        <f>IFERROR(INDEX(PP_Grid[#Data],$DD363,88),0)</f>
        <v/>
      </c>
      <c r="CM363">
        <f>IFERROR(INDEX(PP_Grid[#Data],$DD363,89),0)</f>
        <v/>
      </c>
      <c r="CN363">
        <f>IFERROR(INDEX(PP_Grid[#Data],$DD363,90),0)</f>
        <v/>
      </c>
      <c r="CO363">
        <f>IFERROR(INDEX(PP_Grid[#Data],$DD363,91),0)</f>
        <v/>
      </c>
      <c r="CP363">
        <f>IFERROR(INDEX(PP_Grid[#Data],$DD363,92),0)</f>
        <v/>
      </c>
      <c r="CQ363">
        <f>IFERROR(INDEX(PP_Grid[#Data],$DD363,93),0)</f>
        <v/>
      </c>
      <c r="CR363">
        <f>IFERROR(INDEX(PP_Grid[#Data],$DD363,94),0)</f>
        <v/>
      </c>
      <c r="CS363">
        <f>IFERROR(INDEX(PP_Grid[#Data],$DD363,95),0)</f>
        <v/>
      </c>
      <c r="CT363">
        <f>IFERROR(INDEX(PP_Grid[#Data],$DD363,96),0)</f>
        <v/>
      </c>
      <c r="CU363">
        <f>IFERROR(INDEX(PP_Grid[#Data],$DD363,97),0)</f>
        <v/>
      </c>
      <c r="CV363">
        <f>IFERROR(INDEX(PP_Grid[#Data],$DD363,98),0)</f>
        <v/>
      </c>
      <c r="CW363">
        <f>IFERROR(INDEX(PP_Grid[#Data],$DD363,99),0)</f>
        <v/>
      </c>
      <c r="CX363">
        <f>IFERROR(INDEX(PP_Grid[#Data],$DD363,100),0)</f>
        <v/>
      </c>
      <c r="CY363">
        <f>IFERROR(INDEX(PP_Grid[#Data],$DD363,101),0)</f>
        <v/>
      </c>
      <c r="CZ363">
        <f>IFERROR(INDEX(PP_Grid[#Data],$DD363,102),0)</f>
        <v/>
      </c>
      <c r="DA363">
        <f>IFERROR(INDEX(PP_Grid[#Data],$DD363,103),0)</f>
        <v/>
      </c>
      <c r="DB363">
        <f>IFERROR(INDEX(PP_Grid[#Data],$DD363,104),0)</f>
        <v/>
      </c>
      <c r="DC363">
        <f>IFERROR(INDEX(PP_Grid[#Data],$DD363,105),0)</f>
        <v/>
      </c>
      <c r="DD363" s="7">
        <f>IFERROR(MATCH($B363,PP_Grid[Intermediate],0),99999)</f>
        <v/>
      </c>
    </row>
    <row r="364">
      <c r="B364" t="inlineStr">
        <is>
          <t>使用量(kg)</t>
        </is>
      </c>
      <c r="C364">
        <f>SUMIFS(M_BOM[RM_Qty_Per_Batch],M_BOM[Intermediate],$B363,M_BOM[Part Name],$A340)</f>
        <v/>
      </c>
      <c r="D364">
        <f>$C364*D363</f>
        <v/>
      </c>
      <c r="E364">
        <f>$C364*E363</f>
        <v/>
      </c>
      <c r="F364">
        <f>$C364*F363</f>
        <v/>
      </c>
      <c r="G364">
        <f>$C364*G363</f>
        <v/>
      </c>
      <c r="H364">
        <f>$C364*H363</f>
        <v/>
      </c>
      <c r="I364">
        <f>$C364*I363</f>
        <v/>
      </c>
      <c r="J364">
        <f>$C364*J363</f>
        <v/>
      </c>
      <c r="K364">
        <f>$C364*K363</f>
        <v/>
      </c>
      <c r="L364">
        <f>$C364*L363</f>
        <v/>
      </c>
      <c r="M364">
        <f>$C364*M363</f>
        <v/>
      </c>
      <c r="N364">
        <f>$C364*N363</f>
        <v/>
      </c>
      <c r="O364">
        <f>$C364*O363</f>
        <v/>
      </c>
      <c r="P364">
        <f>$C364*P363</f>
        <v/>
      </c>
      <c r="Q364">
        <f>$C364*Q363</f>
        <v/>
      </c>
      <c r="R364">
        <f>$C364*R363</f>
        <v/>
      </c>
      <c r="S364">
        <f>$C364*S363</f>
        <v/>
      </c>
      <c r="T364">
        <f>$C364*T363</f>
        <v/>
      </c>
      <c r="U364">
        <f>$C364*U363</f>
        <v/>
      </c>
      <c r="V364">
        <f>$C364*V363</f>
        <v/>
      </c>
      <c r="W364">
        <f>$C364*W363</f>
        <v/>
      </c>
      <c r="X364">
        <f>$C364*X363</f>
        <v/>
      </c>
      <c r="Y364">
        <f>$C364*Y363</f>
        <v/>
      </c>
      <c r="Z364">
        <f>$C364*Z363</f>
        <v/>
      </c>
      <c r="AA364">
        <f>$C364*AA363</f>
        <v/>
      </c>
      <c r="AB364">
        <f>$C364*AB363</f>
        <v/>
      </c>
      <c r="AC364">
        <f>$C364*AC363</f>
        <v/>
      </c>
      <c r="AD364">
        <f>$C364*AD363</f>
        <v/>
      </c>
      <c r="AE364">
        <f>$C364*AE363</f>
        <v/>
      </c>
      <c r="AF364">
        <f>$C364*AF363</f>
        <v/>
      </c>
      <c r="AG364">
        <f>$C364*AG363</f>
        <v/>
      </c>
      <c r="AH364">
        <f>$C364*AH363</f>
        <v/>
      </c>
      <c r="AI364">
        <f>$C364*AI363</f>
        <v/>
      </c>
      <c r="AJ364">
        <f>$C364*AJ363</f>
        <v/>
      </c>
      <c r="AK364">
        <f>$C364*AK363</f>
        <v/>
      </c>
      <c r="AL364">
        <f>$C364*AL363</f>
        <v/>
      </c>
      <c r="AM364">
        <f>$C364*AM363</f>
        <v/>
      </c>
      <c r="AN364">
        <f>$C364*AN363</f>
        <v/>
      </c>
      <c r="AO364">
        <f>$C364*AO363</f>
        <v/>
      </c>
      <c r="AP364">
        <f>$C364*AP363</f>
        <v/>
      </c>
      <c r="AQ364">
        <f>$C364*AQ363</f>
        <v/>
      </c>
      <c r="AR364">
        <f>$C364*AR363</f>
        <v/>
      </c>
      <c r="AS364">
        <f>$C364*AS363</f>
        <v/>
      </c>
      <c r="AT364">
        <f>$C364*AT363</f>
        <v/>
      </c>
      <c r="AU364">
        <f>$C364*AU363</f>
        <v/>
      </c>
      <c r="AV364">
        <f>$C364*AV363</f>
        <v/>
      </c>
      <c r="AW364">
        <f>$C364*AW363</f>
        <v/>
      </c>
      <c r="AX364">
        <f>$C364*AX363</f>
        <v/>
      </c>
      <c r="AY364">
        <f>$C364*AY363</f>
        <v/>
      </c>
      <c r="AZ364">
        <f>$C364*AZ363</f>
        <v/>
      </c>
      <c r="BA364">
        <f>$C364*BA363</f>
        <v/>
      </c>
      <c r="BB364">
        <f>$C364*BB363</f>
        <v/>
      </c>
      <c r="BC364">
        <f>$C364*BC363</f>
        <v/>
      </c>
      <c r="BD364">
        <f>$C364*BD363</f>
        <v/>
      </c>
      <c r="BE364">
        <f>$C364*BE363</f>
        <v/>
      </c>
      <c r="BF364">
        <f>$C364*BF363</f>
        <v/>
      </c>
      <c r="BG364">
        <f>$C364*BG363</f>
        <v/>
      </c>
      <c r="BH364">
        <f>$C364*BH363</f>
        <v/>
      </c>
      <c r="BI364">
        <f>$C364*BI363</f>
        <v/>
      </c>
      <c r="BJ364">
        <f>$C364*BJ363</f>
        <v/>
      </c>
      <c r="BK364">
        <f>$C364*BK363</f>
        <v/>
      </c>
      <c r="BL364">
        <f>$C364*BL363</f>
        <v/>
      </c>
      <c r="BM364">
        <f>$C364*BM363</f>
        <v/>
      </c>
      <c r="BN364">
        <f>$C364*BN363</f>
        <v/>
      </c>
      <c r="BO364">
        <f>$C364*BO363</f>
        <v/>
      </c>
      <c r="BP364">
        <f>$C364*BP363</f>
        <v/>
      </c>
      <c r="BQ364">
        <f>$C364*BQ363</f>
        <v/>
      </c>
      <c r="BR364">
        <f>$C364*BR363</f>
        <v/>
      </c>
      <c r="BS364">
        <f>$C364*BS363</f>
        <v/>
      </c>
      <c r="BT364">
        <f>$C364*BT363</f>
        <v/>
      </c>
      <c r="BU364">
        <f>$C364*BU363</f>
        <v/>
      </c>
      <c r="BV364">
        <f>$C364*BV363</f>
        <v/>
      </c>
      <c r="BW364">
        <f>$C364*BW363</f>
        <v/>
      </c>
      <c r="BX364">
        <f>$C364*BX363</f>
        <v/>
      </c>
      <c r="BY364">
        <f>$C364*BY363</f>
        <v/>
      </c>
      <c r="BZ364">
        <f>$C364*BZ363</f>
        <v/>
      </c>
      <c r="CA364">
        <f>$C364*CA363</f>
        <v/>
      </c>
      <c r="CB364">
        <f>$C364*CB363</f>
        <v/>
      </c>
      <c r="CC364">
        <f>$C364*CC363</f>
        <v/>
      </c>
      <c r="CD364">
        <f>$C364*CD363</f>
        <v/>
      </c>
      <c r="CE364">
        <f>$C364*CE363</f>
        <v/>
      </c>
      <c r="CF364">
        <f>$C364*CF363</f>
        <v/>
      </c>
      <c r="CG364">
        <f>$C364*CG363</f>
        <v/>
      </c>
      <c r="CH364">
        <f>$C364*CH363</f>
        <v/>
      </c>
      <c r="CI364">
        <f>$C364*CI363</f>
        <v/>
      </c>
      <c r="CJ364">
        <f>$C364*CJ363</f>
        <v/>
      </c>
      <c r="CK364">
        <f>$C364*CK363</f>
        <v/>
      </c>
      <c r="CL364">
        <f>$C364*CL363</f>
        <v/>
      </c>
      <c r="CM364">
        <f>$C364*CM363</f>
        <v/>
      </c>
      <c r="CN364">
        <f>$C364*CN363</f>
        <v/>
      </c>
      <c r="CO364">
        <f>$C364*CO363</f>
        <v/>
      </c>
      <c r="CP364">
        <f>$C364*CP363</f>
        <v/>
      </c>
      <c r="CQ364">
        <f>$C364*CQ363</f>
        <v/>
      </c>
      <c r="CR364">
        <f>$C364*CR363</f>
        <v/>
      </c>
      <c r="CS364">
        <f>$C364*CS363</f>
        <v/>
      </c>
      <c r="CT364">
        <f>$C364*CT363</f>
        <v/>
      </c>
      <c r="CU364">
        <f>$C364*CU363</f>
        <v/>
      </c>
      <c r="CV364">
        <f>$C364*CV363</f>
        <v/>
      </c>
      <c r="CW364">
        <f>$C364*CW363</f>
        <v/>
      </c>
      <c r="CX364">
        <f>$C364*CX363</f>
        <v/>
      </c>
      <c r="CY364">
        <f>$C364*CY363</f>
        <v/>
      </c>
      <c r="CZ364">
        <f>$C364*CZ363</f>
        <v/>
      </c>
      <c r="DA364">
        <f>$C364*DA363</f>
        <v/>
      </c>
      <c r="DB364">
        <f>$C364*DB363</f>
        <v/>
      </c>
      <c r="DC364">
        <f>$C364*DC363</f>
        <v/>
      </c>
    </row>
    <row r="365">
      <c r="B365" t="inlineStr">
        <is>
          <t>TSP-402</t>
        </is>
      </c>
      <c r="C365" t="inlineStr">
        <is>
          <t>No. of batches</t>
        </is>
      </c>
      <c r="D365">
        <f>IFERROR(INDEX(PP_Grid[#Data],$DD365,2),0)</f>
        <v/>
      </c>
      <c r="E365">
        <f>IFERROR(INDEX(PP_Grid[#Data],$DD365,3),0)</f>
        <v/>
      </c>
      <c r="F365">
        <f>IFERROR(INDEX(PP_Grid[#Data],$DD365,4),0)</f>
        <v/>
      </c>
      <c r="G365">
        <f>IFERROR(INDEX(PP_Grid[#Data],$DD365,5),0)</f>
        <v/>
      </c>
      <c r="H365">
        <f>IFERROR(INDEX(PP_Grid[#Data],$DD365,6),0)</f>
        <v/>
      </c>
      <c r="I365">
        <f>IFERROR(INDEX(PP_Grid[#Data],$DD365,7),0)</f>
        <v/>
      </c>
      <c r="J365">
        <f>IFERROR(INDEX(PP_Grid[#Data],$DD365,8),0)</f>
        <v/>
      </c>
      <c r="K365">
        <f>IFERROR(INDEX(PP_Grid[#Data],$DD365,9),0)</f>
        <v/>
      </c>
      <c r="L365">
        <f>IFERROR(INDEX(PP_Grid[#Data],$DD365,10),0)</f>
        <v/>
      </c>
      <c r="M365">
        <f>IFERROR(INDEX(PP_Grid[#Data],$DD365,11),0)</f>
        <v/>
      </c>
      <c r="N365">
        <f>IFERROR(INDEX(PP_Grid[#Data],$DD365,12),0)</f>
        <v/>
      </c>
      <c r="O365">
        <f>IFERROR(INDEX(PP_Grid[#Data],$DD365,13),0)</f>
        <v/>
      </c>
      <c r="P365">
        <f>IFERROR(INDEX(PP_Grid[#Data],$DD365,14),0)</f>
        <v/>
      </c>
      <c r="Q365">
        <f>IFERROR(INDEX(PP_Grid[#Data],$DD365,15),0)</f>
        <v/>
      </c>
      <c r="R365">
        <f>IFERROR(INDEX(PP_Grid[#Data],$DD365,16),0)</f>
        <v/>
      </c>
      <c r="S365">
        <f>IFERROR(INDEX(PP_Grid[#Data],$DD365,17),0)</f>
        <v/>
      </c>
      <c r="T365">
        <f>IFERROR(INDEX(PP_Grid[#Data],$DD365,18),0)</f>
        <v/>
      </c>
      <c r="U365">
        <f>IFERROR(INDEX(PP_Grid[#Data],$DD365,19),0)</f>
        <v/>
      </c>
      <c r="V365">
        <f>IFERROR(INDEX(PP_Grid[#Data],$DD365,20),0)</f>
        <v/>
      </c>
      <c r="W365">
        <f>IFERROR(INDEX(PP_Grid[#Data],$DD365,21),0)</f>
        <v/>
      </c>
      <c r="X365">
        <f>IFERROR(INDEX(PP_Grid[#Data],$DD365,22),0)</f>
        <v/>
      </c>
      <c r="Y365">
        <f>IFERROR(INDEX(PP_Grid[#Data],$DD365,23),0)</f>
        <v/>
      </c>
      <c r="Z365">
        <f>IFERROR(INDEX(PP_Grid[#Data],$DD365,24),0)</f>
        <v/>
      </c>
      <c r="AA365">
        <f>IFERROR(INDEX(PP_Grid[#Data],$DD365,25),0)</f>
        <v/>
      </c>
      <c r="AB365">
        <f>IFERROR(INDEX(PP_Grid[#Data],$DD365,26),0)</f>
        <v/>
      </c>
      <c r="AC365">
        <f>IFERROR(INDEX(PP_Grid[#Data],$DD365,27),0)</f>
        <v/>
      </c>
      <c r="AD365">
        <f>IFERROR(INDEX(PP_Grid[#Data],$DD365,28),0)</f>
        <v/>
      </c>
      <c r="AE365">
        <f>IFERROR(INDEX(PP_Grid[#Data],$DD365,29),0)</f>
        <v/>
      </c>
      <c r="AF365">
        <f>IFERROR(INDEX(PP_Grid[#Data],$DD365,30),0)</f>
        <v/>
      </c>
      <c r="AG365">
        <f>IFERROR(INDEX(PP_Grid[#Data],$DD365,31),0)</f>
        <v/>
      </c>
      <c r="AH365">
        <f>IFERROR(INDEX(PP_Grid[#Data],$DD365,32),0)</f>
        <v/>
      </c>
      <c r="AI365">
        <f>IFERROR(INDEX(PP_Grid[#Data],$DD365,33),0)</f>
        <v/>
      </c>
      <c r="AJ365">
        <f>IFERROR(INDEX(PP_Grid[#Data],$DD365,34),0)</f>
        <v/>
      </c>
      <c r="AK365">
        <f>IFERROR(INDEX(PP_Grid[#Data],$DD365,35),0)</f>
        <v/>
      </c>
      <c r="AL365">
        <f>IFERROR(INDEX(PP_Grid[#Data],$DD365,36),0)</f>
        <v/>
      </c>
      <c r="AM365">
        <f>IFERROR(INDEX(PP_Grid[#Data],$DD365,37),0)</f>
        <v/>
      </c>
      <c r="AN365">
        <f>IFERROR(INDEX(PP_Grid[#Data],$DD365,38),0)</f>
        <v/>
      </c>
      <c r="AO365">
        <f>IFERROR(INDEX(PP_Grid[#Data],$DD365,39),0)</f>
        <v/>
      </c>
      <c r="AP365">
        <f>IFERROR(INDEX(PP_Grid[#Data],$DD365,40),0)</f>
        <v/>
      </c>
      <c r="AQ365">
        <f>IFERROR(INDEX(PP_Grid[#Data],$DD365,41),0)</f>
        <v/>
      </c>
      <c r="AR365">
        <f>IFERROR(INDEX(PP_Grid[#Data],$DD365,42),0)</f>
        <v/>
      </c>
      <c r="AS365">
        <f>IFERROR(INDEX(PP_Grid[#Data],$DD365,43),0)</f>
        <v/>
      </c>
      <c r="AT365">
        <f>IFERROR(INDEX(PP_Grid[#Data],$DD365,44),0)</f>
        <v/>
      </c>
      <c r="AU365">
        <f>IFERROR(INDEX(PP_Grid[#Data],$DD365,45),0)</f>
        <v/>
      </c>
      <c r="AV365">
        <f>IFERROR(INDEX(PP_Grid[#Data],$DD365,46),0)</f>
        <v/>
      </c>
      <c r="AW365">
        <f>IFERROR(INDEX(PP_Grid[#Data],$DD365,47),0)</f>
        <v/>
      </c>
      <c r="AX365">
        <f>IFERROR(INDEX(PP_Grid[#Data],$DD365,48),0)</f>
        <v/>
      </c>
      <c r="AY365">
        <f>IFERROR(INDEX(PP_Grid[#Data],$DD365,49),0)</f>
        <v/>
      </c>
      <c r="AZ365">
        <f>IFERROR(INDEX(PP_Grid[#Data],$DD365,50),0)</f>
        <v/>
      </c>
      <c r="BA365">
        <f>IFERROR(INDEX(PP_Grid[#Data],$DD365,51),0)</f>
        <v/>
      </c>
      <c r="BB365">
        <f>IFERROR(INDEX(PP_Grid[#Data],$DD365,52),0)</f>
        <v/>
      </c>
      <c r="BC365">
        <f>IFERROR(INDEX(PP_Grid[#Data],$DD365,53),0)</f>
        <v/>
      </c>
      <c r="BD365">
        <f>IFERROR(INDEX(PP_Grid[#Data],$DD365,54),0)</f>
        <v/>
      </c>
      <c r="BE365">
        <f>IFERROR(INDEX(PP_Grid[#Data],$DD365,55),0)</f>
        <v/>
      </c>
      <c r="BF365">
        <f>IFERROR(INDEX(PP_Grid[#Data],$DD365,56),0)</f>
        <v/>
      </c>
      <c r="BG365">
        <f>IFERROR(INDEX(PP_Grid[#Data],$DD365,57),0)</f>
        <v/>
      </c>
      <c r="BH365">
        <f>IFERROR(INDEX(PP_Grid[#Data],$DD365,58),0)</f>
        <v/>
      </c>
      <c r="BI365">
        <f>IFERROR(INDEX(PP_Grid[#Data],$DD365,59),0)</f>
        <v/>
      </c>
      <c r="BJ365">
        <f>IFERROR(INDEX(PP_Grid[#Data],$DD365,60),0)</f>
        <v/>
      </c>
      <c r="BK365">
        <f>IFERROR(INDEX(PP_Grid[#Data],$DD365,61),0)</f>
        <v/>
      </c>
      <c r="BL365">
        <f>IFERROR(INDEX(PP_Grid[#Data],$DD365,62),0)</f>
        <v/>
      </c>
      <c r="BM365">
        <f>IFERROR(INDEX(PP_Grid[#Data],$DD365,63),0)</f>
        <v/>
      </c>
      <c r="BN365">
        <f>IFERROR(INDEX(PP_Grid[#Data],$DD365,64),0)</f>
        <v/>
      </c>
      <c r="BO365">
        <f>IFERROR(INDEX(PP_Grid[#Data],$DD365,65),0)</f>
        <v/>
      </c>
      <c r="BP365">
        <f>IFERROR(INDEX(PP_Grid[#Data],$DD365,66),0)</f>
        <v/>
      </c>
      <c r="BQ365">
        <f>IFERROR(INDEX(PP_Grid[#Data],$DD365,67),0)</f>
        <v/>
      </c>
      <c r="BR365">
        <f>IFERROR(INDEX(PP_Grid[#Data],$DD365,68),0)</f>
        <v/>
      </c>
      <c r="BS365">
        <f>IFERROR(INDEX(PP_Grid[#Data],$DD365,69),0)</f>
        <v/>
      </c>
      <c r="BT365">
        <f>IFERROR(INDEX(PP_Grid[#Data],$DD365,70),0)</f>
        <v/>
      </c>
      <c r="BU365">
        <f>IFERROR(INDEX(PP_Grid[#Data],$DD365,71),0)</f>
        <v/>
      </c>
      <c r="BV365">
        <f>IFERROR(INDEX(PP_Grid[#Data],$DD365,72),0)</f>
        <v/>
      </c>
      <c r="BW365">
        <f>IFERROR(INDEX(PP_Grid[#Data],$DD365,73),0)</f>
        <v/>
      </c>
      <c r="BX365">
        <f>IFERROR(INDEX(PP_Grid[#Data],$DD365,74),0)</f>
        <v/>
      </c>
      <c r="BY365">
        <f>IFERROR(INDEX(PP_Grid[#Data],$DD365,75),0)</f>
        <v/>
      </c>
      <c r="BZ365">
        <f>IFERROR(INDEX(PP_Grid[#Data],$DD365,76),0)</f>
        <v/>
      </c>
      <c r="CA365">
        <f>IFERROR(INDEX(PP_Grid[#Data],$DD365,77),0)</f>
        <v/>
      </c>
      <c r="CB365">
        <f>IFERROR(INDEX(PP_Grid[#Data],$DD365,78),0)</f>
        <v/>
      </c>
      <c r="CC365">
        <f>IFERROR(INDEX(PP_Grid[#Data],$DD365,79),0)</f>
        <v/>
      </c>
      <c r="CD365">
        <f>IFERROR(INDEX(PP_Grid[#Data],$DD365,80),0)</f>
        <v/>
      </c>
      <c r="CE365">
        <f>IFERROR(INDEX(PP_Grid[#Data],$DD365,81),0)</f>
        <v/>
      </c>
      <c r="CF365">
        <f>IFERROR(INDEX(PP_Grid[#Data],$DD365,82),0)</f>
        <v/>
      </c>
      <c r="CG365">
        <f>IFERROR(INDEX(PP_Grid[#Data],$DD365,83),0)</f>
        <v/>
      </c>
      <c r="CH365">
        <f>IFERROR(INDEX(PP_Grid[#Data],$DD365,84),0)</f>
        <v/>
      </c>
      <c r="CI365">
        <f>IFERROR(INDEX(PP_Grid[#Data],$DD365,85),0)</f>
        <v/>
      </c>
      <c r="CJ365">
        <f>IFERROR(INDEX(PP_Grid[#Data],$DD365,86),0)</f>
        <v/>
      </c>
      <c r="CK365">
        <f>IFERROR(INDEX(PP_Grid[#Data],$DD365,87),0)</f>
        <v/>
      </c>
      <c r="CL365">
        <f>IFERROR(INDEX(PP_Grid[#Data],$DD365,88),0)</f>
        <v/>
      </c>
      <c r="CM365">
        <f>IFERROR(INDEX(PP_Grid[#Data],$DD365,89),0)</f>
        <v/>
      </c>
      <c r="CN365">
        <f>IFERROR(INDEX(PP_Grid[#Data],$DD365,90),0)</f>
        <v/>
      </c>
      <c r="CO365">
        <f>IFERROR(INDEX(PP_Grid[#Data],$DD365,91),0)</f>
        <v/>
      </c>
      <c r="CP365">
        <f>IFERROR(INDEX(PP_Grid[#Data],$DD365,92),0)</f>
        <v/>
      </c>
      <c r="CQ365">
        <f>IFERROR(INDEX(PP_Grid[#Data],$DD365,93),0)</f>
        <v/>
      </c>
      <c r="CR365">
        <f>IFERROR(INDEX(PP_Grid[#Data],$DD365,94),0)</f>
        <v/>
      </c>
      <c r="CS365">
        <f>IFERROR(INDEX(PP_Grid[#Data],$DD365,95),0)</f>
        <v/>
      </c>
      <c r="CT365">
        <f>IFERROR(INDEX(PP_Grid[#Data],$DD365,96),0)</f>
        <v/>
      </c>
      <c r="CU365">
        <f>IFERROR(INDEX(PP_Grid[#Data],$DD365,97),0)</f>
        <v/>
      </c>
      <c r="CV365">
        <f>IFERROR(INDEX(PP_Grid[#Data],$DD365,98),0)</f>
        <v/>
      </c>
      <c r="CW365">
        <f>IFERROR(INDEX(PP_Grid[#Data],$DD365,99),0)</f>
        <v/>
      </c>
      <c r="CX365">
        <f>IFERROR(INDEX(PP_Grid[#Data],$DD365,100),0)</f>
        <v/>
      </c>
      <c r="CY365">
        <f>IFERROR(INDEX(PP_Grid[#Data],$DD365,101),0)</f>
        <v/>
      </c>
      <c r="CZ365">
        <f>IFERROR(INDEX(PP_Grid[#Data],$DD365,102),0)</f>
        <v/>
      </c>
      <c r="DA365">
        <f>IFERROR(INDEX(PP_Grid[#Data],$DD365,103),0)</f>
        <v/>
      </c>
      <c r="DB365">
        <f>IFERROR(INDEX(PP_Grid[#Data],$DD365,104),0)</f>
        <v/>
      </c>
      <c r="DC365">
        <f>IFERROR(INDEX(PP_Grid[#Data],$DD365,105),0)</f>
        <v/>
      </c>
      <c r="DD365" s="7">
        <f>IFERROR(MATCH($B365,PP_Grid[Intermediate],0),99999)</f>
        <v/>
      </c>
    </row>
    <row r="366">
      <c r="B366" t="inlineStr">
        <is>
          <t>使用量(kg)</t>
        </is>
      </c>
      <c r="C366">
        <f>SUMIFS(M_BOM[RM_Qty_Per_Batch],M_BOM[Intermediate],$B365,M_BOM[Part Name],$A340)</f>
        <v/>
      </c>
      <c r="D366">
        <f>$C366*D365</f>
        <v/>
      </c>
      <c r="E366">
        <f>$C366*E365</f>
        <v/>
      </c>
      <c r="F366">
        <f>$C366*F365</f>
        <v/>
      </c>
      <c r="G366">
        <f>$C366*G365</f>
        <v/>
      </c>
      <c r="H366">
        <f>$C366*H365</f>
        <v/>
      </c>
      <c r="I366">
        <f>$C366*I365</f>
        <v/>
      </c>
      <c r="J366">
        <f>$C366*J365</f>
        <v/>
      </c>
      <c r="K366">
        <f>$C366*K365</f>
        <v/>
      </c>
      <c r="L366">
        <f>$C366*L365</f>
        <v/>
      </c>
      <c r="M366">
        <f>$C366*M365</f>
        <v/>
      </c>
      <c r="N366">
        <f>$C366*N365</f>
        <v/>
      </c>
      <c r="O366">
        <f>$C366*O365</f>
        <v/>
      </c>
      <c r="P366">
        <f>$C366*P365</f>
        <v/>
      </c>
      <c r="Q366">
        <f>$C366*Q365</f>
        <v/>
      </c>
      <c r="R366">
        <f>$C366*R365</f>
        <v/>
      </c>
      <c r="S366">
        <f>$C366*S365</f>
        <v/>
      </c>
      <c r="T366">
        <f>$C366*T365</f>
        <v/>
      </c>
      <c r="U366">
        <f>$C366*U365</f>
        <v/>
      </c>
      <c r="V366">
        <f>$C366*V365</f>
        <v/>
      </c>
      <c r="W366">
        <f>$C366*W365</f>
        <v/>
      </c>
      <c r="X366">
        <f>$C366*X365</f>
        <v/>
      </c>
      <c r="Y366">
        <f>$C366*Y365</f>
        <v/>
      </c>
      <c r="Z366">
        <f>$C366*Z365</f>
        <v/>
      </c>
      <c r="AA366">
        <f>$C366*AA365</f>
        <v/>
      </c>
      <c r="AB366">
        <f>$C366*AB365</f>
        <v/>
      </c>
      <c r="AC366">
        <f>$C366*AC365</f>
        <v/>
      </c>
      <c r="AD366">
        <f>$C366*AD365</f>
        <v/>
      </c>
      <c r="AE366">
        <f>$C366*AE365</f>
        <v/>
      </c>
      <c r="AF366">
        <f>$C366*AF365</f>
        <v/>
      </c>
      <c r="AG366">
        <f>$C366*AG365</f>
        <v/>
      </c>
      <c r="AH366">
        <f>$C366*AH365</f>
        <v/>
      </c>
      <c r="AI366">
        <f>$C366*AI365</f>
        <v/>
      </c>
      <c r="AJ366">
        <f>$C366*AJ365</f>
        <v/>
      </c>
      <c r="AK366">
        <f>$C366*AK365</f>
        <v/>
      </c>
      <c r="AL366">
        <f>$C366*AL365</f>
        <v/>
      </c>
      <c r="AM366">
        <f>$C366*AM365</f>
        <v/>
      </c>
      <c r="AN366">
        <f>$C366*AN365</f>
        <v/>
      </c>
      <c r="AO366">
        <f>$C366*AO365</f>
        <v/>
      </c>
      <c r="AP366">
        <f>$C366*AP365</f>
        <v/>
      </c>
      <c r="AQ366">
        <f>$C366*AQ365</f>
        <v/>
      </c>
      <c r="AR366">
        <f>$C366*AR365</f>
        <v/>
      </c>
      <c r="AS366">
        <f>$C366*AS365</f>
        <v/>
      </c>
      <c r="AT366">
        <f>$C366*AT365</f>
        <v/>
      </c>
      <c r="AU366">
        <f>$C366*AU365</f>
        <v/>
      </c>
      <c r="AV366">
        <f>$C366*AV365</f>
        <v/>
      </c>
      <c r="AW366">
        <f>$C366*AW365</f>
        <v/>
      </c>
      <c r="AX366">
        <f>$C366*AX365</f>
        <v/>
      </c>
      <c r="AY366">
        <f>$C366*AY365</f>
        <v/>
      </c>
      <c r="AZ366">
        <f>$C366*AZ365</f>
        <v/>
      </c>
      <c r="BA366">
        <f>$C366*BA365</f>
        <v/>
      </c>
      <c r="BB366">
        <f>$C366*BB365</f>
        <v/>
      </c>
      <c r="BC366">
        <f>$C366*BC365</f>
        <v/>
      </c>
      <c r="BD366">
        <f>$C366*BD365</f>
        <v/>
      </c>
      <c r="BE366">
        <f>$C366*BE365</f>
        <v/>
      </c>
      <c r="BF366">
        <f>$C366*BF365</f>
        <v/>
      </c>
      <c r="BG366">
        <f>$C366*BG365</f>
        <v/>
      </c>
      <c r="BH366">
        <f>$C366*BH365</f>
        <v/>
      </c>
      <c r="BI366">
        <f>$C366*BI365</f>
        <v/>
      </c>
      <c r="BJ366">
        <f>$C366*BJ365</f>
        <v/>
      </c>
      <c r="BK366">
        <f>$C366*BK365</f>
        <v/>
      </c>
      <c r="BL366">
        <f>$C366*BL365</f>
        <v/>
      </c>
      <c r="BM366">
        <f>$C366*BM365</f>
        <v/>
      </c>
      <c r="BN366">
        <f>$C366*BN365</f>
        <v/>
      </c>
      <c r="BO366">
        <f>$C366*BO365</f>
        <v/>
      </c>
      <c r="BP366">
        <f>$C366*BP365</f>
        <v/>
      </c>
      <c r="BQ366">
        <f>$C366*BQ365</f>
        <v/>
      </c>
      <c r="BR366">
        <f>$C366*BR365</f>
        <v/>
      </c>
      <c r="BS366">
        <f>$C366*BS365</f>
        <v/>
      </c>
      <c r="BT366">
        <f>$C366*BT365</f>
        <v/>
      </c>
      <c r="BU366">
        <f>$C366*BU365</f>
        <v/>
      </c>
      <c r="BV366">
        <f>$C366*BV365</f>
        <v/>
      </c>
      <c r="BW366">
        <f>$C366*BW365</f>
        <v/>
      </c>
      <c r="BX366">
        <f>$C366*BX365</f>
        <v/>
      </c>
      <c r="BY366">
        <f>$C366*BY365</f>
        <v/>
      </c>
      <c r="BZ366">
        <f>$C366*BZ365</f>
        <v/>
      </c>
      <c r="CA366">
        <f>$C366*CA365</f>
        <v/>
      </c>
      <c r="CB366">
        <f>$C366*CB365</f>
        <v/>
      </c>
      <c r="CC366">
        <f>$C366*CC365</f>
        <v/>
      </c>
      <c r="CD366">
        <f>$C366*CD365</f>
        <v/>
      </c>
      <c r="CE366">
        <f>$C366*CE365</f>
        <v/>
      </c>
      <c r="CF366">
        <f>$C366*CF365</f>
        <v/>
      </c>
      <c r="CG366">
        <f>$C366*CG365</f>
        <v/>
      </c>
      <c r="CH366">
        <f>$C366*CH365</f>
        <v/>
      </c>
      <c r="CI366">
        <f>$C366*CI365</f>
        <v/>
      </c>
      <c r="CJ366">
        <f>$C366*CJ365</f>
        <v/>
      </c>
      <c r="CK366">
        <f>$C366*CK365</f>
        <v/>
      </c>
      <c r="CL366">
        <f>$C366*CL365</f>
        <v/>
      </c>
      <c r="CM366">
        <f>$C366*CM365</f>
        <v/>
      </c>
      <c r="CN366">
        <f>$C366*CN365</f>
        <v/>
      </c>
      <c r="CO366">
        <f>$C366*CO365</f>
        <v/>
      </c>
      <c r="CP366">
        <f>$C366*CP365</f>
        <v/>
      </c>
      <c r="CQ366">
        <f>$C366*CQ365</f>
        <v/>
      </c>
      <c r="CR366">
        <f>$C366*CR365</f>
        <v/>
      </c>
      <c r="CS366">
        <f>$C366*CS365</f>
        <v/>
      </c>
      <c r="CT366">
        <f>$C366*CT365</f>
        <v/>
      </c>
      <c r="CU366">
        <f>$C366*CU365</f>
        <v/>
      </c>
      <c r="CV366">
        <f>$C366*CV365</f>
        <v/>
      </c>
      <c r="CW366">
        <f>$C366*CW365</f>
        <v/>
      </c>
      <c r="CX366">
        <f>$C366*CX365</f>
        <v/>
      </c>
      <c r="CY366">
        <f>$C366*CY365</f>
        <v/>
      </c>
      <c r="CZ366">
        <f>$C366*CZ365</f>
        <v/>
      </c>
      <c r="DA366">
        <f>$C366*DA365</f>
        <v/>
      </c>
      <c r="DB366">
        <f>$C366*DB365</f>
        <v/>
      </c>
      <c r="DC366">
        <f>$C366*DC365</f>
        <v/>
      </c>
    </row>
    <row r="367">
      <c r="B367" t="inlineStr">
        <is>
          <t>TSP-403</t>
        </is>
      </c>
      <c r="C367" t="inlineStr">
        <is>
          <t>No. of batches</t>
        </is>
      </c>
      <c r="D367">
        <f>IFERROR(INDEX(PP_Grid[#Data],$DD367,2),0)</f>
        <v/>
      </c>
      <c r="E367">
        <f>IFERROR(INDEX(PP_Grid[#Data],$DD367,3),0)</f>
        <v/>
      </c>
      <c r="F367">
        <f>IFERROR(INDEX(PP_Grid[#Data],$DD367,4),0)</f>
        <v/>
      </c>
      <c r="G367">
        <f>IFERROR(INDEX(PP_Grid[#Data],$DD367,5),0)</f>
        <v/>
      </c>
      <c r="H367">
        <f>IFERROR(INDEX(PP_Grid[#Data],$DD367,6),0)</f>
        <v/>
      </c>
      <c r="I367">
        <f>IFERROR(INDEX(PP_Grid[#Data],$DD367,7),0)</f>
        <v/>
      </c>
      <c r="J367">
        <f>IFERROR(INDEX(PP_Grid[#Data],$DD367,8),0)</f>
        <v/>
      </c>
      <c r="K367">
        <f>IFERROR(INDEX(PP_Grid[#Data],$DD367,9),0)</f>
        <v/>
      </c>
      <c r="L367">
        <f>IFERROR(INDEX(PP_Grid[#Data],$DD367,10),0)</f>
        <v/>
      </c>
      <c r="M367">
        <f>IFERROR(INDEX(PP_Grid[#Data],$DD367,11),0)</f>
        <v/>
      </c>
      <c r="N367">
        <f>IFERROR(INDEX(PP_Grid[#Data],$DD367,12),0)</f>
        <v/>
      </c>
      <c r="O367">
        <f>IFERROR(INDEX(PP_Grid[#Data],$DD367,13),0)</f>
        <v/>
      </c>
      <c r="P367">
        <f>IFERROR(INDEX(PP_Grid[#Data],$DD367,14),0)</f>
        <v/>
      </c>
      <c r="Q367">
        <f>IFERROR(INDEX(PP_Grid[#Data],$DD367,15),0)</f>
        <v/>
      </c>
      <c r="R367">
        <f>IFERROR(INDEX(PP_Grid[#Data],$DD367,16),0)</f>
        <v/>
      </c>
      <c r="S367">
        <f>IFERROR(INDEX(PP_Grid[#Data],$DD367,17),0)</f>
        <v/>
      </c>
      <c r="T367">
        <f>IFERROR(INDEX(PP_Grid[#Data],$DD367,18),0)</f>
        <v/>
      </c>
      <c r="U367">
        <f>IFERROR(INDEX(PP_Grid[#Data],$DD367,19),0)</f>
        <v/>
      </c>
      <c r="V367">
        <f>IFERROR(INDEX(PP_Grid[#Data],$DD367,20),0)</f>
        <v/>
      </c>
      <c r="W367">
        <f>IFERROR(INDEX(PP_Grid[#Data],$DD367,21),0)</f>
        <v/>
      </c>
      <c r="X367">
        <f>IFERROR(INDEX(PP_Grid[#Data],$DD367,22),0)</f>
        <v/>
      </c>
      <c r="Y367">
        <f>IFERROR(INDEX(PP_Grid[#Data],$DD367,23),0)</f>
        <v/>
      </c>
      <c r="Z367">
        <f>IFERROR(INDEX(PP_Grid[#Data],$DD367,24),0)</f>
        <v/>
      </c>
      <c r="AA367">
        <f>IFERROR(INDEX(PP_Grid[#Data],$DD367,25),0)</f>
        <v/>
      </c>
      <c r="AB367">
        <f>IFERROR(INDEX(PP_Grid[#Data],$DD367,26),0)</f>
        <v/>
      </c>
      <c r="AC367">
        <f>IFERROR(INDEX(PP_Grid[#Data],$DD367,27),0)</f>
        <v/>
      </c>
      <c r="AD367">
        <f>IFERROR(INDEX(PP_Grid[#Data],$DD367,28),0)</f>
        <v/>
      </c>
      <c r="AE367">
        <f>IFERROR(INDEX(PP_Grid[#Data],$DD367,29),0)</f>
        <v/>
      </c>
      <c r="AF367">
        <f>IFERROR(INDEX(PP_Grid[#Data],$DD367,30),0)</f>
        <v/>
      </c>
      <c r="AG367">
        <f>IFERROR(INDEX(PP_Grid[#Data],$DD367,31),0)</f>
        <v/>
      </c>
      <c r="AH367">
        <f>IFERROR(INDEX(PP_Grid[#Data],$DD367,32),0)</f>
        <v/>
      </c>
      <c r="AI367">
        <f>IFERROR(INDEX(PP_Grid[#Data],$DD367,33),0)</f>
        <v/>
      </c>
      <c r="AJ367">
        <f>IFERROR(INDEX(PP_Grid[#Data],$DD367,34),0)</f>
        <v/>
      </c>
      <c r="AK367">
        <f>IFERROR(INDEX(PP_Grid[#Data],$DD367,35),0)</f>
        <v/>
      </c>
      <c r="AL367">
        <f>IFERROR(INDEX(PP_Grid[#Data],$DD367,36),0)</f>
        <v/>
      </c>
      <c r="AM367">
        <f>IFERROR(INDEX(PP_Grid[#Data],$DD367,37),0)</f>
        <v/>
      </c>
      <c r="AN367">
        <f>IFERROR(INDEX(PP_Grid[#Data],$DD367,38),0)</f>
        <v/>
      </c>
      <c r="AO367">
        <f>IFERROR(INDEX(PP_Grid[#Data],$DD367,39),0)</f>
        <v/>
      </c>
      <c r="AP367">
        <f>IFERROR(INDEX(PP_Grid[#Data],$DD367,40),0)</f>
        <v/>
      </c>
      <c r="AQ367">
        <f>IFERROR(INDEX(PP_Grid[#Data],$DD367,41),0)</f>
        <v/>
      </c>
      <c r="AR367">
        <f>IFERROR(INDEX(PP_Grid[#Data],$DD367,42),0)</f>
        <v/>
      </c>
      <c r="AS367">
        <f>IFERROR(INDEX(PP_Grid[#Data],$DD367,43),0)</f>
        <v/>
      </c>
      <c r="AT367">
        <f>IFERROR(INDEX(PP_Grid[#Data],$DD367,44),0)</f>
        <v/>
      </c>
      <c r="AU367">
        <f>IFERROR(INDEX(PP_Grid[#Data],$DD367,45),0)</f>
        <v/>
      </c>
      <c r="AV367">
        <f>IFERROR(INDEX(PP_Grid[#Data],$DD367,46),0)</f>
        <v/>
      </c>
      <c r="AW367">
        <f>IFERROR(INDEX(PP_Grid[#Data],$DD367,47),0)</f>
        <v/>
      </c>
      <c r="AX367">
        <f>IFERROR(INDEX(PP_Grid[#Data],$DD367,48),0)</f>
        <v/>
      </c>
      <c r="AY367">
        <f>IFERROR(INDEX(PP_Grid[#Data],$DD367,49),0)</f>
        <v/>
      </c>
      <c r="AZ367">
        <f>IFERROR(INDEX(PP_Grid[#Data],$DD367,50),0)</f>
        <v/>
      </c>
      <c r="BA367">
        <f>IFERROR(INDEX(PP_Grid[#Data],$DD367,51),0)</f>
        <v/>
      </c>
      <c r="BB367">
        <f>IFERROR(INDEX(PP_Grid[#Data],$DD367,52),0)</f>
        <v/>
      </c>
      <c r="BC367">
        <f>IFERROR(INDEX(PP_Grid[#Data],$DD367,53),0)</f>
        <v/>
      </c>
      <c r="BD367">
        <f>IFERROR(INDEX(PP_Grid[#Data],$DD367,54),0)</f>
        <v/>
      </c>
      <c r="BE367">
        <f>IFERROR(INDEX(PP_Grid[#Data],$DD367,55),0)</f>
        <v/>
      </c>
      <c r="BF367">
        <f>IFERROR(INDEX(PP_Grid[#Data],$DD367,56),0)</f>
        <v/>
      </c>
      <c r="BG367">
        <f>IFERROR(INDEX(PP_Grid[#Data],$DD367,57),0)</f>
        <v/>
      </c>
      <c r="BH367">
        <f>IFERROR(INDEX(PP_Grid[#Data],$DD367,58),0)</f>
        <v/>
      </c>
      <c r="BI367">
        <f>IFERROR(INDEX(PP_Grid[#Data],$DD367,59),0)</f>
        <v/>
      </c>
      <c r="BJ367">
        <f>IFERROR(INDEX(PP_Grid[#Data],$DD367,60),0)</f>
        <v/>
      </c>
      <c r="BK367">
        <f>IFERROR(INDEX(PP_Grid[#Data],$DD367,61),0)</f>
        <v/>
      </c>
      <c r="BL367">
        <f>IFERROR(INDEX(PP_Grid[#Data],$DD367,62),0)</f>
        <v/>
      </c>
      <c r="BM367">
        <f>IFERROR(INDEX(PP_Grid[#Data],$DD367,63),0)</f>
        <v/>
      </c>
      <c r="BN367">
        <f>IFERROR(INDEX(PP_Grid[#Data],$DD367,64),0)</f>
        <v/>
      </c>
      <c r="BO367">
        <f>IFERROR(INDEX(PP_Grid[#Data],$DD367,65),0)</f>
        <v/>
      </c>
      <c r="BP367">
        <f>IFERROR(INDEX(PP_Grid[#Data],$DD367,66),0)</f>
        <v/>
      </c>
      <c r="BQ367">
        <f>IFERROR(INDEX(PP_Grid[#Data],$DD367,67),0)</f>
        <v/>
      </c>
      <c r="BR367">
        <f>IFERROR(INDEX(PP_Grid[#Data],$DD367,68),0)</f>
        <v/>
      </c>
      <c r="BS367">
        <f>IFERROR(INDEX(PP_Grid[#Data],$DD367,69),0)</f>
        <v/>
      </c>
      <c r="BT367">
        <f>IFERROR(INDEX(PP_Grid[#Data],$DD367,70),0)</f>
        <v/>
      </c>
      <c r="BU367">
        <f>IFERROR(INDEX(PP_Grid[#Data],$DD367,71),0)</f>
        <v/>
      </c>
      <c r="BV367">
        <f>IFERROR(INDEX(PP_Grid[#Data],$DD367,72),0)</f>
        <v/>
      </c>
      <c r="BW367">
        <f>IFERROR(INDEX(PP_Grid[#Data],$DD367,73),0)</f>
        <v/>
      </c>
      <c r="BX367">
        <f>IFERROR(INDEX(PP_Grid[#Data],$DD367,74),0)</f>
        <v/>
      </c>
      <c r="BY367">
        <f>IFERROR(INDEX(PP_Grid[#Data],$DD367,75),0)</f>
        <v/>
      </c>
      <c r="BZ367">
        <f>IFERROR(INDEX(PP_Grid[#Data],$DD367,76),0)</f>
        <v/>
      </c>
      <c r="CA367">
        <f>IFERROR(INDEX(PP_Grid[#Data],$DD367,77),0)</f>
        <v/>
      </c>
      <c r="CB367">
        <f>IFERROR(INDEX(PP_Grid[#Data],$DD367,78),0)</f>
        <v/>
      </c>
      <c r="CC367">
        <f>IFERROR(INDEX(PP_Grid[#Data],$DD367,79),0)</f>
        <v/>
      </c>
      <c r="CD367">
        <f>IFERROR(INDEX(PP_Grid[#Data],$DD367,80),0)</f>
        <v/>
      </c>
      <c r="CE367">
        <f>IFERROR(INDEX(PP_Grid[#Data],$DD367,81),0)</f>
        <v/>
      </c>
      <c r="CF367">
        <f>IFERROR(INDEX(PP_Grid[#Data],$DD367,82),0)</f>
        <v/>
      </c>
      <c r="CG367">
        <f>IFERROR(INDEX(PP_Grid[#Data],$DD367,83),0)</f>
        <v/>
      </c>
      <c r="CH367">
        <f>IFERROR(INDEX(PP_Grid[#Data],$DD367,84),0)</f>
        <v/>
      </c>
      <c r="CI367">
        <f>IFERROR(INDEX(PP_Grid[#Data],$DD367,85),0)</f>
        <v/>
      </c>
      <c r="CJ367">
        <f>IFERROR(INDEX(PP_Grid[#Data],$DD367,86),0)</f>
        <v/>
      </c>
      <c r="CK367">
        <f>IFERROR(INDEX(PP_Grid[#Data],$DD367,87),0)</f>
        <v/>
      </c>
      <c r="CL367">
        <f>IFERROR(INDEX(PP_Grid[#Data],$DD367,88),0)</f>
        <v/>
      </c>
      <c r="CM367">
        <f>IFERROR(INDEX(PP_Grid[#Data],$DD367,89),0)</f>
        <v/>
      </c>
      <c r="CN367">
        <f>IFERROR(INDEX(PP_Grid[#Data],$DD367,90),0)</f>
        <v/>
      </c>
      <c r="CO367">
        <f>IFERROR(INDEX(PP_Grid[#Data],$DD367,91),0)</f>
        <v/>
      </c>
      <c r="CP367">
        <f>IFERROR(INDEX(PP_Grid[#Data],$DD367,92),0)</f>
        <v/>
      </c>
      <c r="CQ367">
        <f>IFERROR(INDEX(PP_Grid[#Data],$DD367,93),0)</f>
        <v/>
      </c>
      <c r="CR367">
        <f>IFERROR(INDEX(PP_Grid[#Data],$DD367,94),0)</f>
        <v/>
      </c>
      <c r="CS367">
        <f>IFERROR(INDEX(PP_Grid[#Data],$DD367,95),0)</f>
        <v/>
      </c>
      <c r="CT367">
        <f>IFERROR(INDEX(PP_Grid[#Data],$DD367,96),0)</f>
        <v/>
      </c>
      <c r="CU367">
        <f>IFERROR(INDEX(PP_Grid[#Data],$DD367,97),0)</f>
        <v/>
      </c>
      <c r="CV367">
        <f>IFERROR(INDEX(PP_Grid[#Data],$DD367,98),0)</f>
        <v/>
      </c>
      <c r="CW367">
        <f>IFERROR(INDEX(PP_Grid[#Data],$DD367,99),0)</f>
        <v/>
      </c>
      <c r="CX367">
        <f>IFERROR(INDEX(PP_Grid[#Data],$DD367,100),0)</f>
        <v/>
      </c>
      <c r="CY367">
        <f>IFERROR(INDEX(PP_Grid[#Data],$DD367,101),0)</f>
        <v/>
      </c>
      <c r="CZ367">
        <f>IFERROR(INDEX(PP_Grid[#Data],$DD367,102),0)</f>
        <v/>
      </c>
      <c r="DA367">
        <f>IFERROR(INDEX(PP_Grid[#Data],$DD367,103),0)</f>
        <v/>
      </c>
      <c r="DB367">
        <f>IFERROR(INDEX(PP_Grid[#Data],$DD367,104),0)</f>
        <v/>
      </c>
      <c r="DC367">
        <f>IFERROR(INDEX(PP_Grid[#Data],$DD367,105),0)</f>
        <v/>
      </c>
      <c r="DD367" s="7">
        <f>IFERROR(MATCH($B367,PP_Grid[Intermediate],0),99999)</f>
        <v/>
      </c>
    </row>
    <row r="368">
      <c r="B368" t="inlineStr">
        <is>
          <t>使用量(kg)</t>
        </is>
      </c>
      <c r="C368">
        <f>SUMIFS(M_BOM[RM_Qty_Per_Batch],M_BOM[Intermediate],$B367,M_BOM[Part Name],$A340)</f>
        <v/>
      </c>
      <c r="D368">
        <f>$C368*D367</f>
        <v/>
      </c>
      <c r="E368">
        <f>$C368*E367</f>
        <v/>
      </c>
      <c r="F368">
        <f>$C368*F367</f>
        <v/>
      </c>
      <c r="G368">
        <f>$C368*G367</f>
        <v/>
      </c>
      <c r="H368">
        <f>$C368*H367</f>
        <v/>
      </c>
      <c r="I368">
        <f>$C368*I367</f>
        <v/>
      </c>
      <c r="J368">
        <f>$C368*J367</f>
        <v/>
      </c>
      <c r="K368">
        <f>$C368*K367</f>
        <v/>
      </c>
      <c r="L368">
        <f>$C368*L367</f>
        <v/>
      </c>
      <c r="M368">
        <f>$C368*M367</f>
        <v/>
      </c>
      <c r="N368">
        <f>$C368*N367</f>
        <v/>
      </c>
      <c r="O368">
        <f>$C368*O367</f>
        <v/>
      </c>
      <c r="P368">
        <f>$C368*P367</f>
        <v/>
      </c>
      <c r="Q368">
        <f>$C368*Q367</f>
        <v/>
      </c>
      <c r="R368">
        <f>$C368*R367</f>
        <v/>
      </c>
      <c r="S368">
        <f>$C368*S367</f>
        <v/>
      </c>
      <c r="T368">
        <f>$C368*T367</f>
        <v/>
      </c>
      <c r="U368">
        <f>$C368*U367</f>
        <v/>
      </c>
      <c r="V368">
        <f>$C368*V367</f>
        <v/>
      </c>
      <c r="W368">
        <f>$C368*W367</f>
        <v/>
      </c>
      <c r="X368">
        <f>$C368*X367</f>
        <v/>
      </c>
      <c r="Y368">
        <f>$C368*Y367</f>
        <v/>
      </c>
      <c r="Z368">
        <f>$C368*Z367</f>
        <v/>
      </c>
      <c r="AA368">
        <f>$C368*AA367</f>
        <v/>
      </c>
      <c r="AB368">
        <f>$C368*AB367</f>
        <v/>
      </c>
      <c r="AC368">
        <f>$C368*AC367</f>
        <v/>
      </c>
      <c r="AD368">
        <f>$C368*AD367</f>
        <v/>
      </c>
      <c r="AE368">
        <f>$C368*AE367</f>
        <v/>
      </c>
      <c r="AF368">
        <f>$C368*AF367</f>
        <v/>
      </c>
      <c r="AG368">
        <f>$C368*AG367</f>
        <v/>
      </c>
      <c r="AH368">
        <f>$C368*AH367</f>
        <v/>
      </c>
      <c r="AI368">
        <f>$C368*AI367</f>
        <v/>
      </c>
      <c r="AJ368">
        <f>$C368*AJ367</f>
        <v/>
      </c>
      <c r="AK368">
        <f>$C368*AK367</f>
        <v/>
      </c>
      <c r="AL368">
        <f>$C368*AL367</f>
        <v/>
      </c>
      <c r="AM368">
        <f>$C368*AM367</f>
        <v/>
      </c>
      <c r="AN368">
        <f>$C368*AN367</f>
        <v/>
      </c>
      <c r="AO368">
        <f>$C368*AO367</f>
        <v/>
      </c>
      <c r="AP368">
        <f>$C368*AP367</f>
        <v/>
      </c>
      <c r="AQ368">
        <f>$C368*AQ367</f>
        <v/>
      </c>
      <c r="AR368">
        <f>$C368*AR367</f>
        <v/>
      </c>
      <c r="AS368">
        <f>$C368*AS367</f>
        <v/>
      </c>
      <c r="AT368">
        <f>$C368*AT367</f>
        <v/>
      </c>
      <c r="AU368">
        <f>$C368*AU367</f>
        <v/>
      </c>
      <c r="AV368">
        <f>$C368*AV367</f>
        <v/>
      </c>
      <c r="AW368">
        <f>$C368*AW367</f>
        <v/>
      </c>
      <c r="AX368">
        <f>$C368*AX367</f>
        <v/>
      </c>
      <c r="AY368">
        <f>$C368*AY367</f>
        <v/>
      </c>
      <c r="AZ368">
        <f>$C368*AZ367</f>
        <v/>
      </c>
      <c r="BA368">
        <f>$C368*BA367</f>
        <v/>
      </c>
      <c r="BB368">
        <f>$C368*BB367</f>
        <v/>
      </c>
      <c r="BC368">
        <f>$C368*BC367</f>
        <v/>
      </c>
      <c r="BD368">
        <f>$C368*BD367</f>
        <v/>
      </c>
      <c r="BE368">
        <f>$C368*BE367</f>
        <v/>
      </c>
      <c r="BF368">
        <f>$C368*BF367</f>
        <v/>
      </c>
      <c r="BG368">
        <f>$C368*BG367</f>
        <v/>
      </c>
      <c r="BH368">
        <f>$C368*BH367</f>
        <v/>
      </c>
      <c r="BI368">
        <f>$C368*BI367</f>
        <v/>
      </c>
      <c r="BJ368">
        <f>$C368*BJ367</f>
        <v/>
      </c>
      <c r="BK368">
        <f>$C368*BK367</f>
        <v/>
      </c>
      <c r="BL368">
        <f>$C368*BL367</f>
        <v/>
      </c>
      <c r="BM368">
        <f>$C368*BM367</f>
        <v/>
      </c>
      <c r="BN368">
        <f>$C368*BN367</f>
        <v/>
      </c>
      <c r="BO368">
        <f>$C368*BO367</f>
        <v/>
      </c>
      <c r="BP368">
        <f>$C368*BP367</f>
        <v/>
      </c>
      <c r="BQ368">
        <f>$C368*BQ367</f>
        <v/>
      </c>
      <c r="BR368">
        <f>$C368*BR367</f>
        <v/>
      </c>
      <c r="BS368">
        <f>$C368*BS367</f>
        <v/>
      </c>
      <c r="BT368">
        <f>$C368*BT367</f>
        <v/>
      </c>
      <c r="BU368">
        <f>$C368*BU367</f>
        <v/>
      </c>
      <c r="BV368">
        <f>$C368*BV367</f>
        <v/>
      </c>
      <c r="BW368">
        <f>$C368*BW367</f>
        <v/>
      </c>
      <c r="BX368">
        <f>$C368*BX367</f>
        <v/>
      </c>
      <c r="BY368">
        <f>$C368*BY367</f>
        <v/>
      </c>
      <c r="BZ368">
        <f>$C368*BZ367</f>
        <v/>
      </c>
      <c r="CA368">
        <f>$C368*CA367</f>
        <v/>
      </c>
      <c r="CB368">
        <f>$C368*CB367</f>
        <v/>
      </c>
      <c r="CC368">
        <f>$C368*CC367</f>
        <v/>
      </c>
      <c r="CD368">
        <f>$C368*CD367</f>
        <v/>
      </c>
      <c r="CE368">
        <f>$C368*CE367</f>
        <v/>
      </c>
      <c r="CF368">
        <f>$C368*CF367</f>
        <v/>
      </c>
      <c r="CG368">
        <f>$C368*CG367</f>
        <v/>
      </c>
      <c r="CH368">
        <f>$C368*CH367</f>
        <v/>
      </c>
      <c r="CI368">
        <f>$C368*CI367</f>
        <v/>
      </c>
      <c r="CJ368">
        <f>$C368*CJ367</f>
        <v/>
      </c>
      <c r="CK368">
        <f>$C368*CK367</f>
        <v/>
      </c>
      <c r="CL368">
        <f>$C368*CL367</f>
        <v/>
      </c>
      <c r="CM368">
        <f>$C368*CM367</f>
        <v/>
      </c>
      <c r="CN368">
        <f>$C368*CN367</f>
        <v/>
      </c>
      <c r="CO368">
        <f>$C368*CO367</f>
        <v/>
      </c>
      <c r="CP368">
        <f>$C368*CP367</f>
        <v/>
      </c>
      <c r="CQ368">
        <f>$C368*CQ367</f>
        <v/>
      </c>
      <c r="CR368">
        <f>$C368*CR367</f>
        <v/>
      </c>
      <c r="CS368">
        <f>$C368*CS367</f>
        <v/>
      </c>
      <c r="CT368">
        <f>$C368*CT367</f>
        <v/>
      </c>
      <c r="CU368">
        <f>$C368*CU367</f>
        <v/>
      </c>
      <c r="CV368">
        <f>$C368*CV367</f>
        <v/>
      </c>
      <c r="CW368">
        <f>$C368*CW367</f>
        <v/>
      </c>
      <c r="CX368">
        <f>$C368*CX367</f>
        <v/>
      </c>
      <c r="CY368">
        <f>$C368*CY367</f>
        <v/>
      </c>
      <c r="CZ368">
        <f>$C368*CZ367</f>
        <v/>
      </c>
      <c r="DA368">
        <f>$C368*DA367</f>
        <v/>
      </c>
      <c r="DB368">
        <f>$C368*DB367</f>
        <v/>
      </c>
      <c r="DC368">
        <f>$C368*DC367</f>
        <v/>
      </c>
    </row>
    <row r="369">
      <c r="B369" t="inlineStr">
        <is>
          <t>TSP-404</t>
        </is>
      </c>
      <c r="C369" t="inlineStr">
        <is>
          <t>No. of batches</t>
        </is>
      </c>
      <c r="D369">
        <f>IFERROR(INDEX(PP_Grid[#Data],$DD369,2),0)</f>
        <v/>
      </c>
      <c r="E369">
        <f>IFERROR(INDEX(PP_Grid[#Data],$DD369,3),0)</f>
        <v/>
      </c>
      <c r="F369">
        <f>IFERROR(INDEX(PP_Grid[#Data],$DD369,4),0)</f>
        <v/>
      </c>
      <c r="G369">
        <f>IFERROR(INDEX(PP_Grid[#Data],$DD369,5),0)</f>
        <v/>
      </c>
      <c r="H369">
        <f>IFERROR(INDEX(PP_Grid[#Data],$DD369,6),0)</f>
        <v/>
      </c>
      <c r="I369">
        <f>IFERROR(INDEX(PP_Grid[#Data],$DD369,7),0)</f>
        <v/>
      </c>
      <c r="J369">
        <f>IFERROR(INDEX(PP_Grid[#Data],$DD369,8),0)</f>
        <v/>
      </c>
      <c r="K369">
        <f>IFERROR(INDEX(PP_Grid[#Data],$DD369,9),0)</f>
        <v/>
      </c>
      <c r="L369">
        <f>IFERROR(INDEX(PP_Grid[#Data],$DD369,10),0)</f>
        <v/>
      </c>
      <c r="M369">
        <f>IFERROR(INDEX(PP_Grid[#Data],$DD369,11),0)</f>
        <v/>
      </c>
      <c r="N369">
        <f>IFERROR(INDEX(PP_Grid[#Data],$DD369,12),0)</f>
        <v/>
      </c>
      <c r="O369">
        <f>IFERROR(INDEX(PP_Grid[#Data],$DD369,13),0)</f>
        <v/>
      </c>
      <c r="P369">
        <f>IFERROR(INDEX(PP_Grid[#Data],$DD369,14),0)</f>
        <v/>
      </c>
      <c r="Q369">
        <f>IFERROR(INDEX(PP_Grid[#Data],$DD369,15),0)</f>
        <v/>
      </c>
      <c r="R369">
        <f>IFERROR(INDEX(PP_Grid[#Data],$DD369,16),0)</f>
        <v/>
      </c>
      <c r="S369">
        <f>IFERROR(INDEX(PP_Grid[#Data],$DD369,17),0)</f>
        <v/>
      </c>
      <c r="T369">
        <f>IFERROR(INDEX(PP_Grid[#Data],$DD369,18),0)</f>
        <v/>
      </c>
      <c r="U369">
        <f>IFERROR(INDEX(PP_Grid[#Data],$DD369,19),0)</f>
        <v/>
      </c>
      <c r="V369">
        <f>IFERROR(INDEX(PP_Grid[#Data],$DD369,20),0)</f>
        <v/>
      </c>
      <c r="W369">
        <f>IFERROR(INDEX(PP_Grid[#Data],$DD369,21),0)</f>
        <v/>
      </c>
      <c r="X369">
        <f>IFERROR(INDEX(PP_Grid[#Data],$DD369,22),0)</f>
        <v/>
      </c>
      <c r="Y369">
        <f>IFERROR(INDEX(PP_Grid[#Data],$DD369,23),0)</f>
        <v/>
      </c>
      <c r="Z369">
        <f>IFERROR(INDEX(PP_Grid[#Data],$DD369,24),0)</f>
        <v/>
      </c>
      <c r="AA369">
        <f>IFERROR(INDEX(PP_Grid[#Data],$DD369,25),0)</f>
        <v/>
      </c>
      <c r="AB369">
        <f>IFERROR(INDEX(PP_Grid[#Data],$DD369,26),0)</f>
        <v/>
      </c>
      <c r="AC369">
        <f>IFERROR(INDEX(PP_Grid[#Data],$DD369,27),0)</f>
        <v/>
      </c>
      <c r="AD369">
        <f>IFERROR(INDEX(PP_Grid[#Data],$DD369,28),0)</f>
        <v/>
      </c>
      <c r="AE369">
        <f>IFERROR(INDEX(PP_Grid[#Data],$DD369,29),0)</f>
        <v/>
      </c>
      <c r="AF369">
        <f>IFERROR(INDEX(PP_Grid[#Data],$DD369,30),0)</f>
        <v/>
      </c>
      <c r="AG369">
        <f>IFERROR(INDEX(PP_Grid[#Data],$DD369,31),0)</f>
        <v/>
      </c>
      <c r="AH369">
        <f>IFERROR(INDEX(PP_Grid[#Data],$DD369,32),0)</f>
        <v/>
      </c>
      <c r="AI369">
        <f>IFERROR(INDEX(PP_Grid[#Data],$DD369,33),0)</f>
        <v/>
      </c>
      <c r="AJ369">
        <f>IFERROR(INDEX(PP_Grid[#Data],$DD369,34),0)</f>
        <v/>
      </c>
      <c r="AK369">
        <f>IFERROR(INDEX(PP_Grid[#Data],$DD369,35),0)</f>
        <v/>
      </c>
      <c r="AL369">
        <f>IFERROR(INDEX(PP_Grid[#Data],$DD369,36),0)</f>
        <v/>
      </c>
      <c r="AM369">
        <f>IFERROR(INDEX(PP_Grid[#Data],$DD369,37),0)</f>
        <v/>
      </c>
      <c r="AN369">
        <f>IFERROR(INDEX(PP_Grid[#Data],$DD369,38),0)</f>
        <v/>
      </c>
      <c r="AO369">
        <f>IFERROR(INDEX(PP_Grid[#Data],$DD369,39),0)</f>
        <v/>
      </c>
      <c r="AP369">
        <f>IFERROR(INDEX(PP_Grid[#Data],$DD369,40),0)</f>
        <v/>
      </c>
      <c r="AQ369">
        <f>IFERROR(INDEX(PP_Grid[#Data],$DD369,41),0)</f>
        <v/>
      </c>
      <c r="AR369">
        <f>IFERROR(INDEX(PP_Grid[#Data],$DD369,42),0)</f>
        <v/>
      </c>
      <c r="AS369">
        <f>IFERROR(INDEX(PP_Grid[#Data],$DD369,43),0)</f>
        <v/>
      </c>
      <c r="AT369">
        <f>IFERROR(INDEX(PP_Grid[#Data],$DD369,44),0)</f>
        <v/>
      </c>
      <c r="AU369">
        <f>IFERROR(INDEX(PP_Grid[#Data],$DD369,45),0)</f>
        <v/>
      </c>
      <c r="AV369">
        <f>IFERROR(INDEX(PP_Grid[#Data],$DD369,46),0)</f>
        <v/>
      </c>
      <c r="AW369">
        <f>IFERROR(INDEX(PP_Grid[#Data],$DD369,47),0)</f>
        <v/>
      </c>
      <c r="AX369">
        <f>IFERROR(INDEX(PP_Grid[#Data],$DD369,48),0)</f>
        <v/>
      </c>
      <c r="AY369">
        <f>IFERROR(INDEX(PP_Grid[#Data],$DD369,49),0)</f>
        <v/>
      </c>
      <c r="AZ369">
        <f>IFERROR(INDEX(PP_Grid[#Data],$DD369,50),0)</f>
        <v/>
      </c>
      <c r="BA369">
        <f>IFERROR(INDEX(PP_Grid[#Data],$DD369,51),0)</f>
        <v/>
      </c>
      <c r="BB369">
        <f>IFERROR(INDEX(PP_Grid[#Data],$DD369,52),0)</f>
        <v/>
      </c>
      <c r="BC369">
        <f>IFERROR(INDEX(PP_Grid[#Data],$DD369,53),0)</f>
        <v/>
      </c>
      <c r="BD369">
        <f>IFERROR(INDEX(PP_Grid[#Data],$DD369,54),0)</f>
        <v/>
      </c>
      <c r="BE369">
        <f>IFERROR(INDEX(PP_Grid[#Data],$DD369,55),0)</f>
        <v/>
      </c>
      <c r="BF369">
        <f>IFERROR(INDEX(PP_Grid[#Data],$DD369,56),0)</f>
        <v/>
      </c>
      <c r="BG369">
        <f>IFERROR(INDEX(PP_Grid[#Data],$DD369,57),0)</f>
        <v/>
      </c>
      <c r="BH369">
        <f>IFERROR(INDEX(PP_Grid[#Data],$DD369,58),0)</f>
        <v/>
      </c>
      <c r="BI369">
        <f>IFERROR(INDEX(PP_Grid[#Data],$DD369,59),0)</f>
        <v/>
      </c>
      <c r="BJ369">
        <f>IFERROR(INDEX(PP_Grid[#Data],$DD369,60),0)</f>
        <v/>
      </c>
      <c r="BK369">
        <f>IFERROR(INDEX(PP_Grid[#Data],$DD369,61),0)</f>
        <v/>
      </c>
      <c r="BL369">
        <f>IFERROR(INDEX(PP_Grid[#Data],$DD369,62),0)</f>
        <v/>
      </c>
      <c r="BM369">
        <f>IFERROR(INDEX(PP_Grid[#Data],$DD369,63),0)</f>
        <v/>
      </c>
      <c r="BN369">
        <f>IFERROR(INDEX(PP_Grid[#Data],$DD369,64),0)</f>
        <v/>
      </c>
      <c r="BO369">
        <f>IFERROR(INDEX(PP_Grid[#Data],$DD369,65),0)</f>
        <v/>
      </c>
      <c r="BP369">
        <f>IFERROR(INDEX(PP_Grid[#Data],$DD369,66),0)</f>
        <v/>
      </c>
      <c r="BQ369">
        <f>IFERROR(INDEX(PP_Grid[#Data],$DD369,67),0)</f>
        <v/>
      </c>
      <c r="BR369">
        <f>IFERROR(INDEX(PP_Grid[#Data],$DD369,68),0)</f>
        <v/>
      </c>
      <c r="BS369">
        <f>IFERROR(INDEX(PP_Grid[#Data],$DD369,69),0)</f>
        <v/>
      </c>
      <c r="BT369">
        <f>IFERROR(INDEX(PP_Grid[#Data],$DD369,70),0)</f>
        <v/>
      </c>
      <c r="BU369">
        <f>IFERROR(INDEX(PP_Grid[#Data],$DD369,71),0)</f>
        <v/>
      </c>
      <c r="BV369">
        <f>IFERROR(INDEX(PP_Grid[#Data],$DD369,72),0)</f>
        <v/>
      </c>
      <c r="BW369">
        <f>IFERROR(INDEX(PP_Grid[#Data],$DD369,73),0)</f>
        <v/>
      </c>
      <c r="BX369">
        <f>IFERROR(INDEX(PP_Grid[#Data],$DD369,74),0)</f>
        <v/>
      </c>
      <c r="BY369">
        <f>IFERROR(INDEX(PP_Grid[#Data],$DD369,75),0)</f>
        <v/>
      </c>
      <c r="BZ369">
        <f>IFERROR(INDEX(PP_Grid[#Data],$DD369,76),0)</f>
        <v/>
      </c>
      <c r="CA369">
        <f>IFERROR(INDEX(PP_Grid[#Data],$DD369,77),0)</f>
        <v/>
      </c>
      <c r="CB369">
        <f>IFERROR(INDEX(PP_Grid[#Data],$DD369,78),0)</f>
        <v/>
      </c>
      <c r="CC369">
        <f>IFERROR(INDEX(PP_Grid[#Data],$DD369,79),0)</f>
        <v/>
      </c>
      <c r="CD369">
        <f>IFERROR(INDEX(PP_Grid[#Data],$DD369,80),0)</f>
        <v/>
      </c>
      <c r="CE369">
        <f>IFERROR(INDEX(PP_Grid[#Data],$DD369,81),0)</f>
        <v/>
      </c>
      <c r="CF369">
        <f>IFERROR(INDEX(PP_Grid[#Data],$DD369,82),0)</f>
        <v/>
      </c>
      <c r="CG369">
        <f>IFERROR(INDEX(PP_Grid[#Data],$DD369,83),0)</f>
        <v/>
      </c>
      <c r="CH369">
        <f>IFERROR(INDEX(PP_Grid[#Data],$DD369,84),0)</f>
        <v/>
      </c>
      <c r="CI369">
        <f>IFERROR(INDEX(PP_Grid[#Data],$DD369,85),0)</f>
        <v/>
      </c>
      <c r="CJ369">
        <f>IFERROR(INDEX(PP_Grid[#Data],$DD369,86),0)</f>
        <v/>
      </c>
      <c r="CK369">
        <f>IFERROR(INDEX(PP_Grid[#Data],$DD369,87),0)</f>
        <v/>
      </c>
      <c r="CL369">
        <f>IFERROR(INDEX(PP_Grid[#Data],$DD369,88),0)</f>
        <v/>
      </c>
      <c r="CM369">
        <f>IFERROR(INDEX(PP_Grid[#Data],$DD369,89),0)</f>
        <v/>
      </c>
      <c r="CN369">
        <f>IFERROR(INDEX(PP_Grid[#Data],$DD369,90),0)</f>
        <v/>
      </c>
      <c r="CO369">
        <f>IFERROR(INDEX(PP_Grid[#Data],$DD369,91),0)</f>
        <v/>
      </c>
      <c r="CP369">
        <f>IFERROR(INDEX(PP_Grid[#Data],$DD369,92),0)</f>
        <v/>
      </c>
      <c r="CQ369">
        <f>IFERROR(INDEX(PP_Grid[#Data],$DD369,93),0)</f>
        <v/>
      </c>
      <c r="CR369">
        <f>IFERROR(INDEX(PP_Grid[#Data],$DD369,94),0)</f>
        <v/>
      </c>
      <c r="CS369">
        <f>IFERROR(INDEX(PP_Grid[#Data],$DD369,95),0)</f>
        <v/>
      </c>
      <c r="CT369">
        <f>IFERROR(INDEX(PP_Grid[#Data],$DD369,96),0)</f>
        <v/>
      </c>
      <c r="CU369">
        <f>IFERROR(INDEX(PP_Grid[#Data],$DD369,97),0)</f>
        <v/>
      </c>
      <c r="CV369">
        <f>IFERROR(INDEX(PP_Grid[#Data],$DD369,98),0)</f>
        <v/>
      </c>
      <c r="CW369">
        <f>IFERROR(INDEX(PP_Grid[#Data],$DD369,99),0)</f>
        <v/>
      </c>
      <c r="CX369">
        <f>IFERROR(INDEX(PP_Grid[#Data],$DD369,100),0)</f>
        <v/>
      </c>
      <c r="CY369">
        <f>IFERROR(INDEX(PP_Grid[#Data],$DD369,101),0)</f>
        <v/>
      </c>
      <c r="CZ369">
        <f>IFERROR(INDEX(PP_Grid[#Data],$DD369,102),0)</f>
        <v/>
      </c>
      <c r="DA369">
        <f>IFERROR(INDEX(PP_Grid[#Data],$DD369,103),0)</f>
        <v/>
      </c>
      <c r="DB369">
        <f>IFERROR(INDEX(PP_Grid[#Data],$DD369,104),0)</f>
        <v/>
      </c>
      <c r="DC369">
        <f>IFERROR(INDEX(PP_Grid[#Data],$DD369,105),0)</f>
        <v/>
      </c>
      <c r="DD369" s="7">
        <f>IFERROR(MATCH($B369,PP_Grid[Intermediate],0),99999)</f>
        <v/>
      </c>
    </row>
    <row r="370">
      <c r="B370" t="inlineStr">
        <is>
          <t>使用量(kg)</t>
        </is>
      </c>
      <c r="C370">
        <f>SUMIFS(M_BOM[RM_Qty_Per_Batch],M_BOM[Intermediate],$B369,M_BOM[Part Name],$A340)</f>
        <v/>
      </c>
      <c r="D370">
        <f>$C370*D369</f>
        <v/>
      </c>
      <c r="E370">
        <f>$C370*E369</f>
        <v/>
      </c>
      <c r="F370">
        <f>$C370*F369</f>
        <v/>
      </c>
      <c r="G370">
        <f>$C370*G369</f>
        <v/>
      </c>
      <c r="H370">
        <f>$C370*H369</f>
        <v/>
      </c>
      <c r="I370">
        <f>$C370*I369</f>
        <v/>
      </c>
      <c r="J370">
        <f>$C370*J369</f>
        <v/>
      </c>
      <c r="K370">
        <f>$C370*K369</f>
        <v/>
      </c>
      <c r="L370">
        <f>$C370*L369</f>
        <v/>
      </c>
      <c r="M370">
        <f>$C370*M369</f>
        <v/>
      </c>
      <c r="N370">
        <f>$C370*N369</f>
        <v/>
      </c>
      <c r="O370">
        <f>$C370*O369</f>
        <v/>
      </c>
      <c r="P370">
        <f>$C370*P369</f>
        <v/>
      </c>
      <c r="Q370">
        <f>$C370*Q369</f>
        <v/>
      </c>
      <c r="R370">
        <f>$C370*R369</f>
        <v/>
      </c>
      <c r="S370">
        <f>$C370*S369</f>
        <v/>
      </c>
      <c r="T370">
        <f>$C370*T369</f>
        <v/>
      </c>
      <c r="U370">
        <f>$C370*U369</f>
        <v/>
      </c>
      <c r="V370">
        <f>$C370*V369</f>
        <v/>
      </c>
      <c r="W370">
        <f>$C370*W369</f>
        <v/>
      </c>
      <c r="X370">
        <f>$C370*X369</f>
        <v/>
      </c>
      <c r="Y370">
        <f>$C370*Y369</f>
        <v/>
      </c>
      <c r="Z370">
        <f>$C370*Z369</f>
        <v/>
      </c>
      <c r="AA370">
        <f>$C370*AA369</f>
        <v/>
      </c>
      <c r="AB370">
        <f>$C370*AB369</f>
        <v/>
      </c>
      <c r="AC370">
        <f>$C370*AC369</f>
        <v/>
      </c>
      <c r="AD370">
        <f>$C370*AD369</f>
        <v/>
      </c>
      <c r="AE370">
        <f>$C370*AE369</f>
        <v/>
      </c>
      <c r="AF370">
        <f>$C370*AF369</f>
        <v/>
      </c>
      <c r="AG370">
        <f>$C370*AG369</f>
        <v/>
      </c>
      <c r="AH370">
        <f>$C370*AH369</f>
        <v/>
      </c>
      <c r="AI370">
        <f>$C370*AI369</f>
        <v/>
      </c>
      <c r="AJ370">
        <f>$C370*AJ369</f>
        <v/>
      </c>
      <c r="AK370">
        <f>$C370*AK369</f>
        <v/>
      </c>
      <c r="AL370">
        <f>$C370*AL369</f>
        <v/>
      </c>
      <c r="AM370">
        <f>$C370*AM369</f>
        <v/>
      </c>
      <c r="AN370">
        <f>$C370*AN369</f>
        <v/>
      </c>
      <c r="AO370">
        <f>$C370*AO369</f>
        <v/>
      </c>
      <c r="AP370">
        <f>$C370*AP369</f>
        <v/>
      </c>
      <c r="AQ370">
        <f>$C370*AQ369</f>
        <v/>
      </c>
      <c r="AR370">
        <f>$C370*AR369</f>
        <v/>
      </c>
      <c r="AS370">
        <f>$C370*AS369</f>
        <v/>
      </c>
      <c r="AT370">
        <f>$C370*AT369</f>
        <v/>
      </c>
      <c r="AU370">
        <f>$C370*AU369</f>
        <v/>
      </c>
      <c r="AV370">
        <f>$C370*AV369</f>
        <v/>
      </c>
      <c r="AW370">
        <f>$C370*AW369</f>
        <v/>
      </c>
      <c r="AX370">
        <f>$C370*AX369</f>
        <v/>
      </c>
      <c r="AY370">
        <f>$C370*AY369</f>
        <v/>
      </c>
      <c r="AZ370">
        <f>$C370*AZ369</f>
        <v/>
      </c>
      <c r="BA370">
        <f>$C370*BA369</f>
        <v/>
      </c>
      <c r="BB370">
        <f>$C370*BB369</f>
        <v/>
      </c>
      <c r="BC370">
        <f>$C370*BC369</f>
        <v/>
      </c>
      <c r="BD370">
        <f>$C370*BD369</f>
        <v/>
      </c>
      <c r="BE370">
        <f>$C370*BE369</f>
        <v/>
      </c>
      <c r="BF370">
        <f>$C370*BF369</f>
        <v/>
      </c>
      <c r="BG370">
        <f>$C370*BG369</f>
        <v/>
      </c>
      <c r="BH370">
        <f>$C370*BH369</f>
        <v/>
      </c>
      <c r="BI370">
        <f>$C370*BI369</f>
        <v/>
      </c>
      <c r="BJ370">
        <f>$C370*BJ369</f>
        <v/>
      </c>
      <c r="BK370">
        <f>$C370*BK369</f>
        <v/>
      </c>
      <c r="BL370">
        <f>$C370*BL369</f>
        <v/>
      </c>
      <c r="BM370">
        <f>$C370*BM369</f>
        <v/>
      </c>
      <c r="BN370">
        <f>$C370*BN369</f>
        <v/>
      </c>
      <c r="BO370">
        <f>$C370*BO369</f>
        <v/>
      </c>
      <c r="BP370">
        <f>$C370*BP369</f>
        <v/>
      </c>
      <c r="BQ370">
        <f>$C370*BQ369</f>
        <v/>
      </c>
      <c r="BR370">
        <f>$C370*BR369</f>
        <v/>
      </c>
      <c r="BS370">
        <f>$C370*BS369</f>
        <v/>
      </c>
      <c r="BT370">
        <f>$C370*BT369</f>
        <v/>
      </c>
      <c r="BU370">
        <f>$C370*BU369</f>
        <v/>
      </c>
      <c r="BV370">
        <f>$C370*BV369</f>
        <v/>
      </c>
      <c r="BW370">
        <f>$C370*BW369</f>
        <v/>
      </c>
      <c r="BX370">
        <f>$C370*BX369</f>
        <v/>
      </c>
      <c r="BY370">
        <f>$C370*BY369</f>
        <v/>
      </c>
      <c r="BZ370">
        <f>$C370*BZ369</f>
        <v/>
      </c>
      <c r="CA370">
        <f>$C370*CA369</f>
        <v/>
      </c>
      <c r="CB370">
        <f>$C370*CB369</f>
        <v/>
      </c>
      <c r="CC370">
        <f>$C370*CC369</f>
        <v/>
      </c>
      <c r="CD370">
        <f>$C370*CD369</f>
        <v/>
      </c>
      <c r="CE370">
        <f>$C370*CE369</f>
        <v/>
      </c>
      <c r="CF370">
        <f>$C370*CF369</f>
        <v/>
      </c>
      <c r="CG370">
        <f>$C370*CG369</f>
        <v/>
      </c>
      <c r="CH370">
        <f>$C370*CH369</f>
        <v/>
      </c>
      <c r="CI370">
        <f>$C370*CI369</f>
        <v/>
      </c>
      <c r="CJ370">
        <f>$C370*CJ369</f>
        <v/>
      </c>
      <c r="CK370">
        <f>$C370*CK369</f>
        <v/>
      </c>
      <c r="CL370">
        <f>$C370*CL369</f>
        <v/>
      </c>
      <c r="CM370">
        <f>$C370*CM369</f>
        <v/>
      </c>
      <c r="CN370">
        <f>$C370*CN369</f>
        <v/>
      </c>
      <c r="CO370">
        <f>$C370*CO369</f>
        <v/>
      </c>
      <c r="CP370">
        <f>$C370*CP369</f>
        <v/>
      </c>
      <c r="CQ370">
        <f>$C370*CQ369</f>
        <v/>
      </c>
      <c r="CR370">
        <f>$C370*CR369</f>
        <v/>
      </c>
      <c r="CS370">
        <f>$C370*CS369</f>
        <v/>
      </c>
      <c r="CT370">
        <f>$C370*CT369</f>
        <v/>
      </c>
      <c r="CU370">
        <f>$C370*CU369</f>
        <v/>
      </c>
      <c r="CV370">
        <f>$C370*CV369</f>
        <v/>
      </c>
      <c r="CW370">
        <f>$C370*CW369</f>
        <v/>
      </c>
      <c r="CX370">
        <f>$C370*CX369</f>
        <v/>
      </c>
      <c r="CY370">
        <f>$C370*CY369</f>
        <v/>
      </c>
      <c r="CZ370">
        <f>$C370*CZ369</f>
        <v/>
      </c>
      <c r="DA370">
        <f>$C370*DA369</f>
        <v/>
      </c>
      <c r="DB370">
        <f>$C370*DB369</f>
        <v/>
      </c>
      <c r="DC370">
        <f>$C370*DC369</f>
        <v/>
      </c>
    </row>
    <row r="371">
      <c r="B371" t="inlineStr">
        <is>
          <t>TSP-405</t>
        </is>
      </c>
      <c r="C371" t="inlineStr">
        <is>
          <t>No. of batches</t>
        </is>
      </c>
      <c r="D371">
        <f>IFERROR(INDEX(PP_Grid[#Data],$DD371,2),0)</f>
        <v/>
      </c>
      <c r="E371">
        <f>IFERROR(INDEX(PP_Grid[#Data],$DD371,3),0)</f>
        <v/>
      </c>
      <c r="F371">
        <f>IFERROR(INDEX(PP_Grid[#Data],$DD371,4),0)</f>
        <v/>
      </c>
      <c r="G371">
        <f>IFERROR(INDEX(PP_Grid[#Data],$DD371,5),0)</f>
        <v/>
      </c>
      <c r="H371">
        <f>IFERROR(INDEX(PP_Grid[#Data],$DD371,6),0)</f>
        <v/>
      </c>
      <c r="I371">
        <f>IFERROR(INDEX(PP_Grid[#Data],$DD371,7),0)</f>
        <v/>
      </c>
      <c r="J371">
        <f>IFERROR(INDEX(PP_Grid[#Data],$DD371,8),0)</f>
        <v/>
      </c>
      <c r="K371">
        <f>IFERROR(INDEX(PP_Grid[#Data],$DD371,9),0)</f>
        <v/>
      </c>
      <c r="L371">
        <f>IFERROR(INDEX(PP_Grid[#Data],$DD371,10),0)</f>
        <v/>
      </c>
      <c r="M371">
        <f>IFERROR(INDEX(PP_Grid[#Data],$DD371,11),0)</f>
        <v/>
      </c>
      <c r="N371">
        <f>IFERROR(INDEX(PP_Grid[#Data],$DD371,12),0)</f>
        <v/>
      </c>
      <c r="O371">
        <f>IFERROR(INDEX(PP_Grid[#Data],$DD371,13),0)</f>
        <v/>
      </c>
      <c r="P371">
        <f>IFERROR(INDEX(PP_Grid[#Data],$DD371,14),0)</f>
        <v/>
      </c>
      <c r="Q371">
        <f>IFERROR(INDEX(PP_Grid[#Data],$DD371,15),0)</f>
        <v/>
      </c>
      <c r="R371">
        <f>IFERROR(INDEX(PP_Grid[#Data],$DD371,16),0)</f>
        <v/>
      </c>
      <c r="S371">
        <f>IFERROR(INDEX(PP_Grid[#Data],$DD371,17),0)</f>
        <v/>
      </c>
      <c r="T371">
        <f>IFERROR(INDEX(PP_Grid[#Data],$DD371,18),0)</f>
        <v/>
      </c>
      <c r="U371">
        <f>IFERROR(INDEX(PP_Grid[#Data],$DD371,19),0)</f>
        <v/>
      </c>
      <c r="V371">
        <f>IFERROR(INDEX(PP_Grid[#Data],$DD371,20),0)</f>
        <v/>
      </c>
      <c r="W371">
        <f>IFERROR(INDEX(PP_Grid[#Data],$DD371,21),0)</f>
        <v/>
      </c>
      <c r="X371">
        <f>IFERROR(INDEX(PP_Grid[#Data],$DD371,22),0)</f>
        <v/>
      </c>
      <c r="Y371">
        <f>IFERROR(INDEX(PP_Grid[#Data],$DD371,23),0)</f>
        <v/>
      </c>
      <c r="Z371">
        <f>IFERROR(INDEX(PP_Grid[#Data],$DD371,24),0)</f>
        <v/>
      </c>
      <c r="AA371">
        <f>IFERROR(INDEX(PP_Grid[#Data],$DD371,25),0)</f>
        <v/>
      </c>
      <c r="AB371">
        <f>IFERROR(INDEX(PP_Grid[#Data],$DD371,26),0)</f>
        <v/>
      </c>
      <c r="AC371">
        <f>IFERROR(INDEX(PP_Grid[#Data],$DD371,27),0)</f>
        <v/>
      </c>
      <c r="AD371">
        <f>IFERROR(INDEX(PP_Grid[#Data],$DD371,28),0)</f>
        <v/>
      </c>
      <c r="AE371">
        <f>IFERROR(INDEX(PP_Grid[#Data],$DD371,29),0)</f>
        <v/>
      </c>
      <c r="AF371">
        <f>IFERROR(INDEX(PP_Grid[#Data],$DD371,30),0)</f>
        <v/>
      </c>
      <c r="AG371">
        <f>IFERROR(INDEX(PP_Grid[#Data],$DD371,31),0)</f>
        <v/>
      </c>
      <c r="AH371">
        <f>IFERROR(INDEX(PP_Grid[#Data],$DD371,32),0)</f>
        <v/>
      </c>
      <c r="AI371">
        <f>IFERROR(INDEX(PP_Grid[#Data],$DD371,33),0)</f>
        <v/>
      </c>
      <c r="AJ371">
        <f>IFERROR(INDEX(PP_Grid[#Data],$DD371,34),0)</f>
        <v/>
      </c>
      <c r="AK371">
        <f>IFERROR(INDEX(PP_Grid[#Data],$DD371,35),0)</f>
        <v/>
      </c>
      <c r="AL371">
        <f>IFERROR(INDEX(PP_Grid[#Data],$DD371,36),0)</f>
        <v/>
      </c>
      <c r="AM371">
        <f>IFERROR(INDEX(PP_Grid[#Data],$DD371,37),0)</f>
        <v/>
      </c>
      <c r="AN371">
        <f>IFERROR(INDEX(PP_Grid[#Data],$DD371,38),0)</f>
        <v/>
      </c>
      <c r="AO371">
        <f>IFERROR(INDEX(PP_Grid[#Data],$DD371,39),0)</f>
        <v/>
      </c>
      <c r="AP371">
        <f>IFERROR(INDEX(PP_Grid[#Data],$DD371,40),0)</f>
        <v/>
      </c>
      <c r="AQ371">
        <f>IFERROR(INDEX(PP_Grid[#Data],$DD371,41),0)</f>
        <v/>
      </c>
      <c r="AR371">
        <f>IFERROR(INDEX(PP_Grid[#Data],$DD371,42),0)</f>
        <v/>
      </c>
      <c r="AS371">
        <f>IFERROR(INDEX(PP_Grid[#Data],$DD371,43),0)</f>
        <v/>
      </c>
      <c r="AT371">
        <f>IFERROR(INDEX(PP_Grid[#Data],$DD371,44),0)</f>
        <v/>
      </c>
      <c r="AU371">
        <f>IFERROR(INDEX(PP_Grid[#Data],$DD371,45),0)</f>
        <v/>
      </c>
      <c r="AV371">
        <f>IFERROR(INDEX(PP_Grid[#Data],$DD371,46),0)</f>
        <v/>
      </c>
      <c r="AW371">
        <f>IFERROR(INDEX(PP_Grid[#Data],$DD371,47),0)</f>
        <v/>
      </c>
      <c r="AX371">
        <f>IFERROR(INDEX(PP_Grid[#Data],$DD371,48),0)</f>
        <v/>
      </c>
      <c r="AY371">
        <f>IFERROR(INDEX(PP_Grid[#Data],$DD371,49),0)</f>
        <v/>
      </c>
      <c r="AZ371">
        <f>IFERROR(INDEX(PP_Grid[#Data],$DD371,50),0)</f>
        <v/>
      </c>
      <c r="BA371">
        <f>IFERROR(INDEX(PP_Grid[#Data],$DD371,51),0)</f>
        <v/>
      </c>
      <c r="BB371">
        <f>IFERROR(INDEX(PP_Grid[#Data],$DD371,52),0)</f>
        <v/>
      </c>
      <c r="BC371">
        <f>IFERROR(INDEX(PP_Grid[#Data],$DD371,53),0)</f>
        <v/>
      </c>
      <c r="BD371">
        <f>IFERROR(INDEX(PP_Grid[#Data],$DD371,54),0)</f>
        <v/>
      </c>
      <c r="BE371">
        <f>IFERROR(INDEX(PP_Grid[#Data],$DD371,55),0)</f>
        <v/>
      </c>
      <c r="BF371">
        <f>IFERROR(INDEX(PP_Grid[#Data],$DD371,56),0)</f>
        <v/>
      </c>
      <c r="BG371">
        <f>IFERROR(INDEX(PP_Grid[#Data],$DD371,57),0)</f>
        <v/>
      </c>
      <c r="BH371">
        <f>IFERROR(INDEX(PP_Grid[#Data],$DD371,58),0)</f>
        <v/>
      </c>
      <c r="BI371">
        <f>IFERROR(INDEX(PP_Grid[#Data],$DD371,59),0)</f>
        <v/>
      </c>
      <c r="BJ371">
        <f>IFERROR(INDEX(PP_Grid[#Data],$DD371,60),0)</f>
        <v/>
      </c>
      <c r="BK371">
        <f>IFERROR(INDEX(PP_Grid[#Data],$DD371,61),0)</f>
        <v/>
      </c>
      <c r="BL371">
        <f>IFERROR(INDEX(PP_Grid[#Data],$DD371,62),0)</f>
        <v/>
      </c>
      <c r="BM371">
        <f>IFERROR(INDEX(PP_Grid[#Data],$DD371,63),0)</f>
        <v/>
      </c>
      <c r="BN371">
        <f>IFERROR(INDEX(PP_Grid[#Data],$DD371,64),0)</f>
        <v/>
      </c>
      <c r="BO371">
        <f>IFERROR(INDEX(PP_Grid[#Data],$DD371,65),0)</f>
        <v/>
      </c>
      <c r="BP371">
        <f>IFERROR(INDEX(PP_Grid[#Data],$DD371,66),0)</f>
        <v/>
      </c>
      <c r="BQ371">
        <f>IFERROR(INDEX(PP_Grid[#Data],$DD371,67),0)</f>
        <v/>
      </c>
      <c r="BR371">
        <f>IFERROR(INDEX(PP_Grid[#Data],$DD371,68),0)</f>
        <v/>
      </c>
      <c r="BS371">
        <f>IFERROR(INDEX(PP_Grid[#Data],$DD371,69),0)</f>
        <v/>
      </c>
      <c r="BT371">
        <f>IFERROR(INDEX(PP_Grid[#Data],$DD371,70),0)</f>
        <v/>
      </c>
      <c r="BU371">
        <f>IFERROR(INDEX(PP_Grid[#Data],$DD371,71),0)</f>
        <v/>
      </c>
      <c r="BV371">
        <f>IFERROR(INDEX(PP_Grid[#Data],$DD371,72),0)</f>
        <v/>
      </c>
      <c r="BW371">
        <f>IFERROR(INDEX(PP_Grid[#Data],$DD371,73),0)</f>
        <v/>
      </c>
      <c r="BX371">
        <f>IFERROR(INDEX(PP_Grid[#Data],$DD371,74),0)</f>
        <v/>
      </c>
      <c r="BY371">
        <f>IFERROR(INDEX(PP_Grid[#Data],$DD371,75),0)</f>
        <v/>
      </c>
      <c r="BZ371">
        <f>IFERROR(INDEX(PP_Grid[#Data],$DD371,76),0)</f>
        <v/>
      </c>
      <c r="CA371">
        <f>IFERROR(INDEX(PP_Grid[#Data],$DD371,77),0)</f>
        <v/>
      </c>
      <c r="CB371">
        <f>IFERROR(INDEX(PP_Grid[#Data],$DD371,78),0)</f>
        <v/>
      </c>
      <c r="CC371">
        <f>IFERROR(INDEX(PP_Grid[#Data],$DD371,79),0)</f>
        <v/>
      </c>
      <c r="CD371">
        <f>IFERROR(INDEX(PP_Grid[#Data],$DD371,80),0)</f>
        <v/>
      </c>
      <c r="CE371">
        <f>IFERROR(INDEX(PP_Grid[#Data],$DD371,81),0)</f>
        <v/>
      </c>
      <c r="CF371">
        <f>IFERROR(INDEX(PP_Grid[#Data],$DD371,82),0)</f>
        <v/>
      </c>
      <c r="CG371">
        <f>IFERROR(INDEX(PP_Grid[#Data],$DD371,83),0)</f>
        <v/>
      </c>
      <c r="CH371">
        <f>IFERROR(INDEX(PP_Grid[#Data],$DD371,84),0)</f>
        <v/>
      </c>
      <c r="CI371">
        <f>IFERROR(INDEX(PP_Grid[#Data],$DD371,85),0)</f>
        <v/>
      </c>
      <c r="CJ371">
        <f>IFERROR(INDEX(PP_Grid[#Data],$DD371,86),0)</f>
        <v/>
      </c>
      <c r="CK371">
        <f>IFERROR(INDEX(PP_Grid[#Data],$DD371,87),0)</f>
        <v/>
      </c>
      <c r="CL371">
        <f>IFERROR(INDEX(PP_Grid[#Data],$DD371,88),0)</f>
        <v/>
      </c>
      <c r="CM371">
        <f>IFERROR(INDEX(PP_Grid[#Data],$DD371,89),0)</f>
        <v/>
      </c>
      <c r="CN371">
        <f>IFERROR(INDEX(PP_Grid[#Data],$DD371,90),0)</f>
        <v/>
      </c>
      <c r="CO371">
        <f>IFERROR(INDEX(PP_Grid[#Data],$DD371,91),0)</f>
        <v/>
      </c>
      <c r="CP371">
        <f>IFERROR(INDEX(PP_Grid[#Data],$DD371,92),0)</f>
        <v/>
      </c>
      <c r="CQ371">
        <f>IFERROR(INDEX(PP_Grid[#Data],$DD371,93),0)</f>
        <v/>
      </c>
      <c r="CR371">
        <f>IFERROR(INDEX(PP_Grid[#Data],$DD371,94),0)</f>
        <v/>
      </c>
      <c r="CS371">
        <f>IFERROR(INDEX(PP_Grid[#Data],$DD371,95),0)</f>
        <v/>
      </c>
      <c r="CT371">
        <f>IFERROR(INDEX(PP_Grid[#Data],$DD371,96),0)</f>
        <v/>
      </c>
      <c r="CU371">
        <f>IFERROR(INDEX(PP_Grid[#Data],$DD371,97),0)</f>
        <v/>
      </c>
      <c r="CV371">
        <f>IFERROR(INDEX(PP_Grid[#Data],$DD371,98),0)</f>
        <v/>
      </c>
      <c r="CW371">
        <f>IFERROR(INDEX(PP_Grid[#Data],$DD371,99),0)</f>
        <v/>
      </c>
      <c r="CX371">
        <f>IFERROR(INDEX(PP_Grid[#Data],$DD371,100),0)</f>
        <v/>
      </c>
      <c r="CY371">
        <f>IFERROR(INDEX(PP_Grid[#Data],$DD371,101),0)</f>
        <v/>
      </c>
      <c r="CZ371">
        <f>IFERROR(INDEX(PP_Grid[#Data],$DD371,102),0)</f>
        <v/>
      </c>
      <c r="DA371">
        <f>IFERROR(INDEX(PP_Grid[#Data],$DD371,103),0)</f>
        <v/>
      </c>
      <c r="DB371">
        <f>IFERROR(INDEX(PP_Grid[#Data],$DD371,104),0)</f>
        <v/>
      </c>
      <c r="DC371">
        <f>IFERROR(INDEX(PP_Grid[#Data],$DD371,105),0)</f>
        <v/>
      </c>
      <c r="DD371" s="7">
        <f>IFERROR(MATCH($B371,PP_Grid[Intermediate],0),99999)</f>
        <v/>
      </c>
    </row>
    <row r="372">
      <c r="B372" t="inlineStr">
        <is>
          <t>使用量(kg)</t>
        </is>
      </c>
      <c r="C372">
        <f>SUMIFS(M_BOM[RM_Qty_Per_Batch],M_BOM[Intermediate],$B371,M_BOM[Part Name],$A340)</f>
        <v/>
      </c>
      <c r="D372">
        <f>$C372*D371</f>
        <v/>
      </c>
      <c r="E372">
        <f>$C372*E371</f>
        <v/>
      </c>
      <c r="F372">
        <f>$C372*F371</f>
        <v/>
      </c>
      <c r="G372">
        <f>$C372*G371</f>
        <v/>
      </c>
      <c r="H372">
        <f>$C372*H371</f>
        <v/>
      </c>
      <c r="I372">
        <f>$C372*I371</f>
        <v/>
      </c>
      <c r="J372">
        <f>$C372*J371</f>
        <v/>
      </c>
      <c r="K372">
        <f>$C372*K371</f>
        <v/>
      </c>
      <c r="L372">
        <f>$C372*L371</f>
        <v/>
      </c>
      <c r="M372">
        <f>$C372*M371</f>
        <v/>
      </c>
      <c r="N372">
        <f>$C372*N371</f>
        <v/>
      </c>
      <c r="O372">
        <f>$C372*O371</f>
        <v/>
      </c>
      <c r="P372">
        <f>$C372*P371</f>
        <v/>
      </c>
      <c r="Q372">
        <f>$C372*Q371</f>
        <v/>
      </c>
      <c r="R372">
        <f>$C372*R371</f>
        <v/>
      </c>
      <c r="S372">
        <f>$C372*S371</f>
        <v/>
      </c>
      <c r="T372">
        <f>$C372*T371</f>
        <v/>
      </c>
      <c r="U372">
        <f>$C372*U371</f>
        <v/>
      </c>
      <c r="V372">
        <f>$C372*V371</f>
        <v/>
      </c>
      <c r="W372">
        <f>$C372*W371</f>
        <v/>
      </c>
      <c r="X372">
        <f>$C372*X371</f>
        <v/>
      </c>
      <c r="Y372">
        <f>$C372*Y371</f>
        <v/>
      </c>
      <c r="Z372">
        <f>$C372*Z371</f>
        <v/>
      </c>
      <c r="AA372">
        <f>$C372*AA371</f>
        <v/>
      </c>
      <c r="AB372">
        <f>$C372*AB371</f>
        <v/>
      </c>
      <c r="AC372">
        <f>$C372*AC371</f>
        <v/>
      </c>
      <c r="AD372">
        <f>$C372*AD371</f>
        <v/>
      </c>
      <c r="AE372">
        <f>$C372*AE371</f>
        <v/>
      </c>
      <c r="AF372">
        <f>$C372*AF371</f>
        <v/>
      </c>
      <c r="AG372">
        <f>$C372*AG371</f>
        <v/>
      </c>
      <c r="AH372">
        <f>$C372*AH371</f>
        <v/>
      </c>
      <c r="AI372">
        <f>$C372*AI371</f>
        <v/>
      </c>
      <c r="AJ372">
        <f>$C372*AJ371</f>
        <v/>
      </c>
      <c r="AK372">
        <f>$C372*AK371</f>
        <v/>
      </c>
      <c r="AL372">
        <f>$C372*AL371</f>
        <v/>
      </c>
      <c r="AM372">
        <f>$C372*AM371</f>
        <v/>
      </c>
      <c r="AN372">
        <f>$C372*AN371</f>
        <v/>
      </c>
      <c r="AO372">
        <f>$C372*AO371</f>
        <v/>
      </c>
      <c r="AP372">
        <f>$C372*AP371</f>
        <v/>
      </c>
      <c r="AQ372">
        <f>$C372*AQ371</f>
        <v/>
      </c>
      <c r="AR372">
        <f>$C372*AR371</f>
        <v/>
      </c>
      <c r="AS372">
        <f>$C372*AS371</f>
        <v/>
      </c>
      <c r="AT372">
        <f>$C372*AT371</f>
        <v/>
      </c>
      <c r="AU372">
        <f>$C372*AU371</f>
        <v/>
      </c>
      <c r="AV372">
        <f>$C372*AV371</f>
        <v/>
      </c>
      <c r="AW372">
        <f>$C372*AW371</f>
        <v/>
      </c>
      <c r="AX372">
        <f>$C372*AX371</f>
        <v/>
      </c>
      <c r="AY372">
        <f>$C372*AY371</f>
        <v/>
      </c>
      <c r="AZ372">
        <f>$C372*AZ371</f>
        <v/>
      </c>
      <c r="BA372">
        <f>$C372*BA371</f>
        <v/>
      </c>
      <c r="BB372">
        <f>$C372*BB371</f>
        <v/>
      </c>
      <c r="BC372">
        <f>$C372*BC371</f>
        <v/>
      </c>
      <c r="BD372">
        <f>$C372*BD371</f>
        <v/>
      </c>
      <c r="BE372">
        <f>$C372*BE371</f>
        <v/>
      </c>
      <c r="BF372">
        <f>$C372*BF371</f>
        <v/>
      </c>
      <c r="BG372">
        <f>$C372*BG371</f>
        <v/>
      </c>
      <c r="BH372">
        <f>$C372*BH371</f>
        <v/>
      </c>
      <c r="BI372">
        <f>$C372*BI371</f>
        <v/>
      </c>
      <c r="BJ372">
        <f>$C372*BJ371</f>
        <v/>
      </c>
      <c r="BK372">
        <f>$C372*BK371</f>
        <v/>
      </c>
      <c r="BL372">
        <f>$C372*BL371</f>
        <v/>
      </c>
      <c r="BM372">
        <f>$C372*BM371</f>
        <v/>
      </c>
      <c r="BN372">
        <f>$C372*BN371</f>
        <v/>
      </c>
      <c r="BO372">
        <f>$C372*BO371</f>
        <v/>
      </c>
      <c r="BP372">
        <f>$C372*BP371</f>
        <v/>
      </c>
      <c r="BQ372">
        <f>$C372*BQ371</f>
        <v/>
      </c>
      <c r="BR372">
        <f>$C372*BR371</f>
        <v/>
      </c>
      <c r="BS372">
        <f>$C372*BS371</f>
        <v/>
      </c>
      <c r="BT372">
        <f>$C372*BT371</f>
        <v/>
      </c>
      <c r="BU372">
        <f>$C372*BU371</f>
        <v/>
      </c>
      <c r="BV372">
        <f>$C372*BV371</f>
        <v/>
      </c>
      <c r="BW372">
        <f>$C372*BW371</f>
        <v/>
      </c>
      <c r="BX372">
        <f>$C372*BX371</f>
        <v/>
      </c>
      <c r="BY372">
        <f>$C372*BY371</f>
        <v/>
      </c>
      <c r="BZ372">
        <f>$C372*BZ371</f>
        <v/>
      </c>
      <c r="CA372">
        <f>$C372*CA371</f>
        <v/>
      </c>
      <c r="CB372">
        <f>$C372*CB371</f>
        <v/>
      </c>
      <c r="CC372">
        <f>$C372*CC371</f>
        <v/>
      </c>
      <c r="CD372">
        <f>$C372*CD371</f>
        <v/>
      </c>
      <c r="CE372">
        <f>$C372*CE371</f>
        <v/>
      </c>
      <c r="CF372">
        <f>$C372*CF371</f>
        <v/>
      </c>
      <c r="CG372">
        <f>$C372*CG371</f>
        <v/>
      </c>
      <c r="CH372">
        <f>$C372*CH371</f>
        <v/>
      </c>
      <c r="CI372">
        <f>$C372*CI371</f>
        <v/>
      </c>
      <c r="CJ372">
        <f>$C372*CJ371</f>
        <v/>
      </c>
      <c r="CK372">
        <f>$C372*CK371</f>
        <v/>
      </c>
      <c r="CL372">
        <f>$C372*CL371</f>
        <v/>
      </c>
      <c r="CM372">
        <f>$C372*CM371</f>
        <v/>
      </c>
      <c r="CN372">
        <f>$C372*CN371</f>
        <v/>
      </c>
      <c r="CO372">
        <f>$C372*CO371</f>
        <v/>
      </c>
      <c r="CP372">
        <f>$C372*CP371</f>
        <v/>
      </c>
      <c r="CQ372">
        <f>$C372*CQ371</f>
        <v/>
      </c>
      <c r="CR372">
        <f>$C372*CR371</f>
        <v/>
      </c>
      <c r="CS372">
        <f>$C372*CS371</f>
        <v/>
      </c>
      <c r="CT372">
        <f>$C372*CT371</f>
        <v/>
      </c>
      <c r="CU372">
        <f>$C372*CU371</f>
        <v/>
      </c>
      <c r="CV372">
        <f>$C372*CV371</f>
        <v/>
      </c>
      <c r="CW372">
        <f>$C372*CW371</f>
        <v/>
      </c>
      <c r="CX372">
        <f>$C372*CX371</f>
        <v/>
      </c>
      <c r="CY372">
        <f>$C372*CY371</f>
        <v/>
      </c>
      <c r="CZ372">
        <f>$C372*CZ371</f>
        <v/>
      </c>
      <c r="DA372">
        <f>$C372*DA371</f>
        <v/>
      </c>
      <c r="DB372">
        <f>$C372*DB371</f>
        <v/>
      </c>
      <c r="DC372">
        <f>$C372*DC371</f>
        <v/>
      </c>
    </row>
    <row r="373">
      <c r="B373" t="inlineStr">
        <is>
          <t>TSP-544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7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Name],$A340)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TSP-558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7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Name],$A340)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TSP-618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7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Name],$A340)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TSP-620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7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Name],$A340)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t="inlineStr">
        <is>
          <t>TSP-623</t>
        </is>
      </c>
      <c r="C381" t="inlineStr">
        <is>
          <t>No. of batches</t>
        </is>
      </c>
      <c r="D381">
        <f>IFERROR(INDEX(PP_Grid[#Data],$DD381,2),0)</f>
        <v/>
      </c>
      <c r="E381">
        <f>IFERROR(INDEX(PP_Grid[#Data],$DD381,3),0)</f>
        <v/>
      </c>
      <c r="F381">
        <f>IFERROR(INDEX(PP_Grid[#Data],$DD381,4),0)</f>
        <v/>
      </c>
      <c r="G381">
        <f>IFERROR(INDEX(PP_Grid[#Data],$DD381,5),0)</f>
        <v/>
      </c>
      <c r="H381">
        <f>IFERROR(INDEX(PP_Grid[#Data],$DD381,6),0)</f>
        <v/>
      </c>
      <c r="I381">
        <f>IFERROR(INDEX(PP_Grid[#Data],$DD381,7),0)</f>
        <v/>
      </c>
      <c r="J381">
        <f>IFERROR(INDEX(PP_Grid[#Data],$DD381,8),0)</f>
        <v/>
      </c>
      <c r="K381">
        <f>IFERROR(INDEX(PP_Grid[#Data],$DD381,9),0)</f>
        <v/>
      </c>
      <c r="L381">
        <f>IFERROR(INDEX(PP_Grid[#Data],$DD381,10),0)</f>
        <v/>
      </c>
      <c r="M381">
        <f>IFERROR(INDEX(PP_Grid[#Data],$DD381,11),0)</f>
        <v/>
      </c>
      <c r="N381">
        <f>IFERROR(INDEX(PP_Grid[#Data],$DD381,12),0)</f>
        <v/>
      </c>
      <c r="O381">
        <f>IFERROR(INDEX(PP_Grid[#Data],$DD381,13),0)</f>
        <v/>
      </c>
      <c r="P381">
        <f>IFERROR(INDEX(PP_Grid[#Data],$DD381,14),0)</f>
        <v/>
      </c>
      <c r="Q381">
        <f>IFERROR(INDEX(PP_Grid[#Data],$DD381,15),0)</f>
        <v/>
      </c>
      <c r="R381">
        <f>IFERROR(INDEX(PP_Grid[#Data],$DD381,16),0)</f>
        <v/>
      </c>
      <c r="S381">
        <f>IFERROR(INDEX(PP_Grid[#Data],$DD381,17),0)</f>
        <v/>
      </c>
      <c r="T381">
        <f>IFERROR(INDEX(PP_Grid[#Data],$DD381,18),0)</f>
        <v/>
      </c>
      <c r="U381">
        <f>IFERROR(INDEX(PP_Grid[#Data],$DD381,19),0)</f>
        <v/>
      </c>
      <c r="V381">
        <f>IFERROR(INDEX(PP_Grid[#Data],$DD381,20),0)</f>
        <v/>
      </c>
      <c r="W381">
        <f>IFERROR(INDEX(PP_Grid[#Data],$DD381,21),0)</f>
        <v/>
      </c>
      <c r="X381">
        <f>IFERROR(INDEX(PP_Grid[#Data],$DD381,22),0)</f>
        <v/>
      </c>
      <c r="Y381">
        <f>IFERROR(INDEX(PP_Grid[#Data],$DD381,23),0)</f>
        <v/>
      </c>
      <c r="Z381">
        <f>IFERROR(INDEX(PP_Grid[#Data],$DD381,24),0)</f>
        <v/>
      </c>
      <c r="AA381">
        <f>IFERROR(INDEX(PP_Grid[#Data],$DD381,25),0)</f>
        <v/>
      </c>
      <c r="AB381">
        <f>IFERROR(INDEX(PP_Grid[#Data],$DD381,26),0)</f>
        <v/>
      </c>
      <c r="AC381">
        <f>IFERROR(INDEX(PP_Grid[#Data],$DD381,27),0)</f>
        <v/>
      </c>
      <c r="AD381">
        <f>IFERROR(INDEX(PP_Grid[#Data],$DD381,28),0)</f>
        <v/>
      </c>
      <c r="AE381">
        <f>IFERROR(INDEX(PP_Grid[#Data],$DD381,29),0)</f>
        <v/>
      </c>
      <c r="AF381">
        <f>IFERROR(INDEX(PP_Grid[#Data],$DD381,30),0)</f>
        <v/>
      </c>
      <c r="AG381">
        <f>IFERROR(INDEX(PP_Grid[#Data],$DD381,31),0)</f>
        <v/>
      </c>
      <c r="AH381">
        <f>IFERROR(INDEX(PP_Grid[#Data],$DD381,32),0)</f>
        <v/>
      </c>
      <c r="AI381">
        <f>IFERROR(INDEX(PP_Grid[#Data],$DD381,33),0)</f>
        <v/>
      </c>
      <c r="AJ381">
        <f>IFERROR(INDEX(PP_Grid[#Data],$DD381,34),0)</f>
        <v/>
      </c>
      <c r="AK381">
        <f>IFERROR(INDEX(PP_Grid[#Data],$DD381,35),0)</f>
        <v/>
      </c>
      <c r="AL381">
        <f>IFERROR(INDEX(PP_Grid[#Data],$DD381,36),0)</f>
        <v/>
      </c>
      <c r="AM381">
        <f>IFERROR(INDEX(PP_Grid[#Data],$DD381,37),0)</f>
        <v/>
      </c>
      <c r="AN381">
        <f>IFERROR(INDEX(PP_Grid[#Data],$DD381,38),0)</f>
        <v/>
      </c>
      <c r="AO381">
        <f>IFERROR(INDEX(PP_Grid[#Data],$DD381,39),0)</f>
        <v/>
      </c>
      <c r="AP381">
        <f>IFERROR(INDEX(PP_Grid[#Data],$DD381,40),0)</f>
        <v/>
      </c>
      <c r="AQ381">
        <f>IFERROR(INDEX(PP_Grid[#Data],$DD381,41),0)</f>
        <v/>
      </c>
      <c r="AR381">
        <f>IFERROR(INDEX(PP_Grid[#Data],$DD381,42),0)</f>
        <v/>
      </c>
      <c r="AS381">
        <f>IFERROR(INDEX(PP_Grid[#Data],$DD381,43),0)</f>
        <v/>
      </c>
      <c r="AT381">
        <f>IFERROR(INDEX(PP_Grid[#Data],$DD381,44),0)</f>
        <v/>
      </c>
      <c r="AU381">
        <f>IFERROR(INDEX(PP_Grid[#Data],$DD381,45),0)</f>
        <v/>
      </c>
      <c r="AV381">
        <f>IFERROR(INDEX(PP_Grid[#Data],$DD381,46),0)</f>
        <v/>
      </c>
      <c r="AW381">
        <f>IFERROR(INDEX(PP_Grid[#Data],$DD381,47),0)</f>
        <v/>
      </c>
      <c r="AX381">
        <f>IFERROR(INDEX(PP_Grid[#Data],$DD381,48),0)</f>
        <v/>
      </c>
      <c r="AY381">
        <f>IFERROR(INDEX(PP_Grid[#Data],$DD381,49),0)</f>
        <v/>
      </c>
      <c r="AZ381">
        <f>IFERROR(INDEX(PP_Grid[#Data],$DD381,50),0)</f>
        <v/>
      </c>
      <c r="BA381">
        <f>IFERROR(INDEX(PP_Grid[#Data],$DD381,51),0)</f>
        <v/>
      </c>
      <c r="BB381">
        <f>IFERROR(INDEX(PP_Grid[#Data],$DD381,52),0)</f>
        <v/>
      </c>
      <c r="BC381">
        <f>IFERROR(INDEX(PP_Grid[#Data],$DD381,53),0)</f>
        <v/>
      </c>
      <c r="BD381">
        <f>IFERROR(INDEX(PP_Grid[#Data],$DD381,54),0)</f>
        <v/>
      </c>
      <c r="BE381">
        <f>IFERROR(INDEX(PP_Grid[#Data],$DD381,55),0)</f>
        <v/>
      </c>
      <c r="BF381">
        <f>IFERROR(INDEX(PP_Grid[#Data],$DD381,56),0)</f>
        <v/>
      </c>
      <c r="BG381">
        <f>IFERROR(INDEX(PP_Grid[#Data],$DD381,57),0)</f>
        <v/>
      </c>
      <c r="BH381">
        <f>IFERROR(INDEX(PP_Grid[#Data],$DD381,58),0)</f>
        <v/>
      </c>
      <c r="BI381">
        <f>IFERROR(INDEX(PP_Grid[#Data],$DD381,59),0)</f>
        <v/>
      </c>
      <c r="BJ381">
        <f>IFERROR(INDEX(PP_Grid[#Data],$DD381,60),0)</f>
        <v/>
      </c>
      <c r="BK381">
        <f>IFERROR(INDEX(PP_Grid[#Data],$DD381,61),0)</f>
        <v/>
      </c>
      <c r="BL381">
        <f>IFERROR(INDEX(PP_Grid[#Data],$DD381,62),0)</f>
        <v/>
      </c>
      <c r="BM381">
        <f>IFERROR(INDEX(PP_Grid[#Data],$DD381,63),0)</f>
        <v/>
      </c>
      <c r="BN381">
        <f>IFERROR(INDEX(PP_Grid[#Data],$DD381,64),0)</f>
        <v/>
      </c>
      <c r="BO381">
        <f>IFERROR(INDEX(PP_Grid[#Data],$DD381,65),0)</f>
        <v/>
      </c>
      <c r="BP381">
        <f>IFERROR(INDEX(PP_Grid[#Data],$DD381,66),0)</f>
        <v/>
      </c>
      <c r="BQ381">
        <f>IFERROR(INDEX(PP_Grid[#Data],$DD381,67),0)</f>
        <v/>
      </c>
      <c r="BR381">
        <f>IFERROR(INDEX(PP_Grid[#Data],$DD381,68),0)</f>
        <v/>
      </c>
      <c r="BS381">
        <f>IFERROR(INDEX(PP_Grid[#Data],$DD381,69),0)</f>
        <v/>
      </c>
      <c r="BT381">
        <f>IFERROR(INDEX(PP_Grid[#Data],$DD381,70),0)</f>
        <v/>
      </c>
      <c r="BU381">
        <f>IFERROR(INDEX(PP_Grid[#Data],$DD381,71),0)</f>
        <v/>
      </c>
      <c r="BV381">
        <f>IFERROR(INDEX(PP_Grid[#Data],$DD381,72),0)</f>
        <v/>
      </c>
      <c r="BW381">
        <f>IFERROR(INDEX(PP_Grid[#Data],$DD381,73),0)</f>
        <v/>
      </c>
      <c r="BX381">
        <f>IFERROR(INDEX(PP_Grid[#Data],$DD381,74),0)</f>
        <v/>
      </c>
      <c r="BY381">
        <f>IFERROR(INDEX(PP_Grid[#Data],$DD381,75),0)</f>
        <v/>
      </c>
      <c r="BZ381">
        <f>IFERROR(INDEX(PP_Grid[#Data],$DD381,76),0)</f>
        <v/>
      </c>
      <c r="CA381">
        <f>IFERROR(INDEX(PP_Grid[#Data],$DD381,77),0)</f>
        <v/>
      </c>
      <c r="CB381">
        <f>IFERROR(INDEX(PP_Grid[#Data],$DD381,78),0)</f>
        <v/>
      </c>
      <c r="CC381">
        <f>IFERROR(INDEX(PP_Grid[#Data],$DD381,79),0)</f>
        <v/>
      </c>
      <c r="CD381">
        <f>IFERROR(INDEX(PP_Grid[#Data],$DD381,80),0)</f>
        <v/>
      </c>
      <c r="CE381">
        <f>IFERROR(INDEX(PP_Grid[#Data],$DD381,81),0)</f>
        <v/>
      </c>
      <c r="CF381">
        <f>IFERROR(INDEX(PP_Grid[#Data],$DD381,82),0)</f>
        <v/>
      </c>
      <c r="CG381">
        <f>IFERROR(INDEX(PP_Grid[#Data],$DD381,83),0)</f>
        <v/>
      </c>
      <c r="CH381">
        <f>IFERROR(INDEX(PP_Grid[#Data],$DD381,84),0)</f>
        <v/>
      </c>
      <c r="CI381">
        <f>IFERROR(INDEX(PP_Grid[#Data],$DD381,85),0)</f>
        <v/>
      </c>
      <c r="CJ381">
        <f>IFERROR(INDEX(PP_Grid[#Data],$DD381,86),0)</f>
        <v/>
      </c>
      <c r="CK381">
        <f>IFERROR(INDEX(PP_Grid[#Data],$DD381,87),0)</f>
        <v/>
      </c>
      <c r="CL381">
        <f>IFERROR(INDEX(PP_Grid[#Data],$DD381,88),0)</f>
        <v/>
      </c>
      <c r="CM381">
        <f>IFERROR(INDEX(PP_Grid[#Data],$DD381,89),0)</f>
        <v/>
      </c>
      <c r="CN381">
        <f>IFERROR(INDEX(PP_Grid[#Data],$DD381,90),0)</f>
        <v/>
      </c>
      <c r="CO381">
        <f>IFERROR(INDEX(PP_Grid[#Data],$DD381,91),0)</f>
        <v/>
      </c>
      <c r="CP381">
        <f>IFERROR(INDEX(PP_Grid[#Data],$DD381,92),0)</f>
        <v/>
      </c>
      <c r="CQ381">
        <f>IFERROR(INDEX(PP_Grid[#Data],$DD381,93),0)</f>
        <v/>
      </c>
      <c r="CR381">
        <f>IFERROR(INDEX(PP_Grid[#Data],$DD381,94),0)</f>
        <v/>
      </c>
      <c r="CS381">
        <f>IFERROR(INDEX(PP_Grid[#Data],$DD381,95),0)</f>
        <v/>
      </c>
      <c r="CT381">
        <f>IFERROR(INDEX(PP_Grid[#Data],$DD381,96),0)</f>
        <v/>
      </c>
      <c r="CU381">
        <f>IFERROR(INDEX(PP_Grid[#Data],$DD381,97),0)</f>
        <v/>
      </c>
      <c r="CV381">
        <f>IFERROR(INDEX(PP_Grid[#Data],$DD381,98),0)</f>
        <v/>
      </c>
      <c r="CW381">
        <f>IFERROR(INDEX(PP_Grid[#Data],$DD381,99),0)</f>
        <v/>
      </c>
      <c r="CX381">
        <f>IFERROR(INDEX(PP_Grid[#Data],$DD381,100),0)</f>
        <v/>
      </c>
      <c r="CY381">
        <f>IFERROR(INDEX(PP_Grid[#Data],$DD381,101),0)</f>
        <v/>
      </c>
      <c r="CZ381">
        <f>IFERROR(INDEX(PP_Grid[#Data],$DD381,102),0)</f>
        <v/>
      </c>
      <c r="DA381">
        <f>IFERROR(INDEX(PP_Grid[#Data],$DD381,103),0)</f>
        <v/>
      </c>
      <c r="DB381">
        <f>IFERROR(INDEX(PP_Grid[#Data],$DD381,104),0)</f>
        <v/>
      </c>
      <c r="DC381">
        <f>IFERROR(INDEX(PP_Grid[#Data],$DD381,105),0)</f>
        <v/>
      </c>
      <c r="DD381" s="7">
        <f>IFERROR(MATCH($B381,PP_Grid[Intermediate],0),99999)</f>
        <v/>
      </c>
    </row>
    <row r="382">
      <c r="B382" t="inlineStr">
        <is>
          <t>使用量(kg)</t>
        </is>
      </c>
      <c r="C382">
        <f>SUMIFS(M_BOM[RM_Qty_Per_Batch],M_BOM[Intermediate],$B381,M_BOM[Part Name],$A340)</f>
        <v/>
      </c>
      <c r="D382">
        <f>$C382*D381</f>
        <v/>
      </c>
      <c r="E382">
        <f>$C382*E381</f>
        <v/>
      </c>
      <c r="F382">
        <f>$C382*F381</f>
        <v/>
      </c>
      <c r="G382">
        <f>$C382*G381</f>
        <v/>
      </c>
      <c r="H382">
        <f>$C382*H381</f>
        <v/>
      </c>
      <c r="I382">
        <f>$C382*I381</f>
        <v/>
      </c>
      <c r="J382">
        <f>$C382*J381</f>
        <v/>
      </c>
      <c r="K382">
        <f>$C382*K381</f>
        <v/>
      </c>
      <c r="L382">
        <f>$C382*L381</f>
        <v/>
      </c>
      <c r="M382">
        <f>$C382*M381</f>
        <v/>
      </c>
      <c r="N382">
        <f>$C382*N381</f>
        <v/>
      </c>
      <c r="O382">
        <f>$C382*O381</f>
        <v/>
      </c>
      <c r="P382">
        <f>$C382*P381</f>
        <v/>
      </c>
      <c r="Q382">
        <f>$C382*Q381</f>
        <v/>
      </c>
      <c r="R382">
        <f>$C382*R381</f>
        <v/>
      </c>
      <c r="S382">
        <f>$C382*S381</f>
        <v/>
      </c>
      <c r="T382">
        <f>$C382*T381</f>
        <v/>
      </c>
      <c r="U382">
        <f>$C382*U381</f>
        <v/>
      </c>
      <c r="V382">
        <f>$C382*V381</f>
        <v/>
      </c>
      <c r="W382">
        <f>$C382*W381</f>
        <v/>
      </c>
      <c r="X382">
        <f>$C382*X381</f>
        <v/>
      </c>
      <c r="Y382">
        <f>$C382*Y381</f>
        <v/>
      </c>
      <c r="Z382">
        <f>$C382*Z381</f>
        <v/>
      </c>
      <c r="AA382">
        <f>$C382*AA381</f>
        <v/>
      </c>
      <c r="AB382">
        <f>$C382*AB381</f>
        <v/>
      </c>
      <c r="AC382">
        <f>$C382*AC381</f>
        <v/>
      </c>
      <c r="AD382">
        <f>$C382*AD381</f>
        <v/>
      </c>
      <c r="AE382">
        <f>$C382*AE381</f>
        <v/>
      </c>
      <c r="AF382">
        <f>$C382*AF381</f>
        <v/>
      </c>
      <c r="AG382">
        <f>$C382*AG381</f>
        <v/>
      </c>
      <c r="AH382">
        <f>$C382*AH381</f>
        <v/>
      </c>
      <c r="AI382">
        <f>$C382*AI381</f>
        <v/>
      </c>
      <c r="AJ382">
        <f>$C382*AJ381</f>
        <v/>
      </c>
      <c r="AK382">
        <f>$C382*AK381</f>
        <v/>
      </c>
      <c r="AL382">
        <f>$C382*AL381</f>
        <v/>
      </c>
      <c r="AM382">
        <f>$C382*AM381</f>
        <v/>
      </c>
      <c r="AN382">
        <f>$C382*AN381</f>
        <v/>
      </c>
      <c r="AO382">
        <f>$C382*AO381</f>
        <v/>
      </c>
      <c r="AP382">
        <f>$C382*AP381</f>
        <v/>
      </c>
      <c r="AQ382">
        <f>$C382*AQ381</f>
        <v/>
      </c>
      <c r="AR382">
        <f>$C382*AR381</f>
        <v/>
      </c>
      <c r="AS382">
        <f>$C382*AS381</f>
        <v/>
      </c>
      <c r="AT382">
        <f>$C382*AT381</f>
        <v/>
      </c>
      <c r="AU382">
        <f>$C382*AU381</f>
        <v/>
      </c>
      <c r="AV382">
        <f>$C382*AV381</f>
        <v/>
      </c>
      <c r="AW382">
        <f>$C382*AW381</f>
        <v/>
      </c>
      <c r="AX382">
        <f>$C382*AX381</f>
        <v/>
      </c>
      <c r="AY382">
        <f>$C382*AY381</f>
        <v/>
      </c>
      <c r="AZ382">
        <f>$C382*AZ381</f>
        <v/>
      </c>
      <c r="BA382">
        <f>$C382*BA381</f>
        <v/>
      </c>
      <c r="BB382">
        <f>$C382*BB381</f>
        <v/>
      </c>
      <c r="BC382">
        <f>$C382*BC381</f>
        <v/>
      </c>
      <c r="BD382">
        <f>$C382*BD381</f>
        <v/>
      </c>
      <c r="BE382">
        <f>$C382*BE381</f>
        <v/>
      </c>
      <c r="BF382">
        <f>$C382*BF381</f>
        <v/>
      </c>
      <c r="BG382">
        <f>$C382*BG381</f>
        <v/>
      </c>
      <c r="BH382">
        <f>$C382*BH381</f>
        <v/>
      </c>
      <c r="BI382">
        <f>$C382*BI381</f>
        <v/>
      </c>
      <c r="BJ382">
        <f>$C382*BJ381</f>
        <v/>
      </c>
      <c r="BK382">
        <f>$C382*BK381</f>
        <v/>
      </c>
      <c r="BL382">
        <f>$C382*BL381</f>
        <v/>
      </c>
      <c r="BM382">
        <f>$C382*BM381</f>
        <v/>
      </c>
      <c r="BN382">
        <f>$C382*BN381</f>
        <v/>
      </c>
      <c r="BO382">
        <f>$C382*BO381</f>
        <v/>
      </c>
      <c r="BP382">
        <f>$C382*BP381</f>
        <v/>
      </c>
      <c r="BQ382">
        <f>$C382*BQ381</f>
        <v/>
      </c>
      <c r="BR382">
        <f>$C382*BR381</f>
        <v/>
      </c>
      <c r="BS382">
        <f>$C382*BS381</f>
        <v/>
      </c>
      <c r="BT382">
        <f>$C382*BT381</f>
        <v/>
      </c>
      <c r="BU382">
        <f>$C382*BU381</f>
        <v/>
      </c>
      <c r="BV382">
        <f>$C382*BV381</f>
        <v/>
      </c>
      <c r="BW382">
        <f>$C382*BW381</f>
        <v/>
      </c>
      <c r="BX382">
        <f>$C382*BX381</f>
        <v/>
      </c>
      <c r="BY382">
        <f>$C382*BY381</f>
        <v/>
      </c>
      <c r="BZ382">
        <f>$C382*BZ381</f>
        <v/>
      </c>
      <c r="CA382">
        <f>$C382*CA381</f>
        <v/>
      </c>
      <c r="CB382">
        <f>$C382*CB381</f>
        <v/>
      </c>
      <c r="CC382">
        <f>$C382*CC381</f>
        <v/>
      </c>
      <c r="CD382">
        <f>$C382*CD381</f>
        <v/>
      </c>
      <c r="CE382">
        <f>$C382*CE381</f>
        <v/>
      </c>
      <c r="CF382">
        <f>$C382*CF381</f>
        <v/>
      </c>
      <c r="CG382">
        <f>$C382*CG381</f>
        <v/>
      </c>
      <c r="CH382">
        <f>$C382*CH381</f>
        <v/>
      </c>
      <c r="CI382">
        <f>$C382*CI381</f>
        <v/>
      </c>
      <c r="CJ382">
        <f>$C382*CJ381</f>
        <v/>
      </c>
      <c r="CK382">
        <f>$C382*CK381</f>
        <v/>
      </c>
      <c r="CL382">
        <f>$C382*CL381</f>
        <v/>
      </c>
      <c r="CM382">
        <f>$C382*CM381</f>
        <v/>
      </c>
      <c r="CN382">
        <f>$C382*CN381</f>
        <v/>
      </c>
      <c r="CO382">
        <f>$C382*CO381</f>
        <v/>
      </c>
      <c r="CP382">
        <f>$C382*CP381</f>
        <v/>
      </c>
      <c r="CQ382">
        <f>$C382*CQ381</f>
        <v/>
      </c>
      <c r="CR382">
        <f>$C382*CR381</f>
        <v/>
      </c>
      <c r="CS382">
        <f>$C382*CS381</f>
        <v/>
      </c>
      <c r="CT382">
        <f>$C382*CT381</f>
        <v/>
      </c>
      <c r="CU382">
        <f>$C382*CU381</f>
        <v/>
      </c>
      <c r="CV382">
        <f>$C382*CV381</f>
        <v/>
      </c>
      <c r="CW382">
        <f>$C382*CW381</f>
        <v/>
      </c>
      <c r="CX382">
        <f>$C382*CX381</f>
        <v/>
      </c>
      <c r="CY382">
        <f>$C382*CY381</f>
        <v/>
      </c>
      <c r="CZ382">
        <f>$C382*CZ381</f>
        <v/>
      </c>
      <c r="DA382">
        <f>$C382*DA381</f>
        <v/>
      </c>
      <c r="DB382">
        <f>$C382*DB381</f>
        <v/>
      </c>
      <c r="DC382">
        <f>$C382*DC381</f>
        <v/>
      </c>
    </row>
    <row r="383">
      <c r="B383" t="inlineStr">
        <is>
          <t>TSP-655</t>
        </is>
      </c>
      <c r="C383" t="inlineStr">
        <is>
          <t>No. of batches</t>
        </is>
      </c>
      <c r="D383">
        <f>IFERROR(INDEX(PP_Grid[#Data],$DD383,2),0)</f>
        <v/>
      </c>
      <c r="E383">
        <f>IFERROR(INDEX(PP_Grid[#Data],$DD383,3),0)</f>
        <v/>
      </c>
      <c r="F383">
        <f>IFERROR(INDEX(PP_Grid[#Data],$DD383,4),0)</f>
        <v/>
      </c>
      <c r="G383">
        <f>IFERROR(INDEX(PP_Grid[#Data],$DD383,5),0)</f>
        <v/>
      </c>
      <c r="H383">
        <f>IFERROR(INDEX(PP_Grid[#Data],$DD383,6),0)</f>
        <v/>
      </c>
      <c r="I383">
        <f>IFERROR(INDEX(PP_Grid[#Data],$DD383,7),0)</f>
        <v/>
      </c>
      <c r="J383">
        <f>IFERROR(INDEX(PP_Grid[#Data],$DD383,8),0)</f>
        <v/>
      </c>
      <c r="K383">
        <f>IFERROR(INDEX(PP_Grid[#Data],$DD383,9),0)</f>
        <v/>
      </c>
      <c r="L383">
        <f>IFERROR(INDEX(PP_Grid[#Data],$DD383,10),0)</f>
        <v/>
      </c>
      <c r="M383">
        <f>IFERROR(INDEX(PP_Grid[#Data],$DD383,11),0)</f>
        <v/>
      </c>
      <c r="N383">
        <f>IFERROR(INDEX(PP_Grid[#Data],$DD383,12),0)</f>
        <v/>
      </c>
      <c r="O383">
        <f>IFERROR(INDEX(PP_Grid[#Data],$DD383,13),0)</f>
        <v/>
      </c>
      <c r="P383">
        <f>IFERROR(INDEX(PP_Grid[#Data],$DD383,14),0)</f>
        <v/>
      </c>
      <c r="Q383">
        <f>IFERROR(INDEX(PP_Grid[#Data],$DD383,15),0)</f>
        <v/>
      </c>
      <c r="R383">
        <f>IFERROR(INDEX(PP_Grid[#Data],$DD383,16),0)</f>
        <v/>
      </c>
      <c r="S383">
        <f>IFERROR(INDEX(PP_Grid[#Data],$DD383,17),0)</f>
        <v/>
      </c>
      <c r="T383">
        <f>IFERROR(INDEX(PP_Grid[#Data],$DD383,18),0)</f>
        <v/>
      </c>
      <c r="U383">
        <f>IFERROR(INDEX(PP_Grid[#Data],$DD383,19),0)</f>
        <v/>
      </c>
      <c r="V383">
        <f>IFERROR(INDEX(PP_Grid[#Data],$DD383,20),0)</f>
        <v/>
      </c>
      <c r="W383">
        <f>IFERROR(INDEX(PP_Grid[#Data],$DD383,21),0)</f>
        <v/>
      </c>
      <c r="X383">
        <f>IFERROR(INDEX(PP_Grid[#Data],$DD383,22),0)</f>
        <v/>
      </c>
      <c r="Y383">
        <f>IFERROR(INDEX(PP_Grid[#Data],$DD383,23),0)</f>
        <v/>
      </c>
      <c r="Z383">
        <f>IFERROR(INDEX(PP_Grid[#Data],$DD383,24),0)</f>
        <v/>
      </c>
      <c r="AA383">
        <f>IFERROR(INDEX(PP_Grid[#Data],$DD383,25),0)</f>
        <v/>
      </c>
      <c r="AB383">
        <f>IFERROR(INDEX(PP_Grid[#Data],$DD383,26),0)</f>
        <v/>
      </c>
      <c r="AC383">
        <f>IFERROR(INDEX(PP_Grid[#Data],$DD383,27),0)</f>
        <v/>
      </c>
      <c r="AD383">
        <f>IFERROR(INDEX(PP_Grid[#Data],$DD383,28),0)</f>
        <v/>
      </c>
      <c r="AE383">
        <f>IFERROR(INDEX(PP_Grid[#Data],$DD383,29),0)</f>
        <v/>
      </c>
      <c r="AF383">
        <f>IFERROR(INDEX(PP_Grid[#Data],$DD383,30),0)</f>
        <v/>
      </c>
      <c r="AG383">
        <f>IFERROR(INDEX(PP_Grid[#Data],$DD383,31),0)</f>
        <v/>
      </c>
      <c r="AH383">
        <f>IFERROR(INDEX(PP_Grid[#Data],$DD383,32),0)</f>
        <v/>
      </c>
      <c r="AI383">
        <f>IFERROR(INDEX(PP_Grid[#Data],$DD383,33),0)</f>
        <v/>
      </c>
      <c r="AJ383">
        <f>IFERROR(INDEX(PP_Grid[#Data],$DD383,34),0)</f>
        <v/>
      </c>
      <c r="AK383">
        <f>IFERROR(INDEX(PP_Grid[#Data],$DD383,35),0)</f>
        <v/>
      </c>
      <c r="AL383">
        <f>IFERROR(INDEX(PP_Grid[#Data],$DD383,36),0)</f>
        <v/>
      </c>
      <c r="AM383">
        <f>IFERROR(INDEX(PP_Grid[#Data],$DD383,37),0)</f>
        <v/>
      </c>
      <c r="AN383">
        <f>IFERROR(INDEX(PP_Grid[#Data],$DD383,38),0)</f>
        <v/>
      </c>
      <c r="AO383">
        <f>IFERROR(INDEX(PP_Grid[#Data],$DD383,39),0)</f>
        <v/>
      </c>
      <c r="AP383">
        <f>IFERROR(INDEX(PP_Grid[#Data],$DD383,40),0)</f>
        <v/>
      </c>
      <c r="AQ383">
        <f>IFERROR(INDEX(PP_Grid[#Data],$DD383,41),0)</f>
        <v/>
      </c>
      <c r="AR383">
        <f>IFERROR(INDEX(PP_Grid[#Data],$DD383,42),0)</f>
        <v/>
      </c>
      <c r="AS383">
        <f>IFERROR(INDEX(PP_Grid[#Data],$DD383,43),0)</f>
        <v/>
      </c>
      <c r="AT383">
        <f>IFERROR(INDEX(PP_Grid[#Data],$DD383,44),0)</f>
        <v/>
      </c>
      <c r="AU383">
        <f>IFERROR(INDEX(PP_Grid[#Data],$DD383,45),0)</f>
        <v/>
      </c>
      <c r="AV383">
        <f>IFERROR(INDEX(PP_Grid[#Data],$DD383,46),0)</f>
        <v/>
      </c>
      <c r="AW383">
        <f>IFERROR(INDEX(PP_Grid[#Data],$DD383,47),0)</f>
        <v/>
      </c>
      <c r="AX383">
        <f>IFERROR(INDEX(PP_Grid[#Data],$DD383,48),0)</f>
        <v/>
      </c>
      <c r="AY383">
        <f>IFERROR(INDEX(PP_Grid[#Data],$DD383,49),0)</f>
        <v/>
      </c>
      <c r="AZ383">
        <f>IFERROR(INDEX(PP_Grid[#Data],$DD383,50),0)</f>
        <v/>
      </c>
      <c r="BA383">
        <f>IFERROR(INDEX(PP_Grid[#Data],$DD383,51),0)</f>
        <v/>
      </c>
      <c r="BB383">
        <f>IFERROR(INDEX(PP_Grid[#Data],$DD383,52),0)</f>
        <v/>
      </c>
      <c r="BC383">
        <f>IFERROR(INDEX(PP_Grid[#Data],$DD383,53),0)</f>
        <v/>
      </c>
      <c r="BD383">
        <f>IFERROR(INDEX(PP_Grid[#Data],$DD383,54),0)</f>
        <v/>
      </c>
      <c r="BE383">
        <f>IFERROR(INDEX(PP_Grid[#Data],$DD383,55),0)</f>
        <v/>
      </c>
      <c r="BF383">
        <f>IFERROR(INDEX(PP_Grid[#Data],$DD383,56),0)</f>
        <v/>
      </c>
      <c r="BG383">
        <f>IFERROR(INDEX(PP_Grid[#Data],$DD383,57),0)</f>
        <v/>
      </c>
      <c r="BH383">
        <f>IFERROR(INDEX(PP_Grid[#Data],$DD383,58),0)</f>
        <v/>
      </c>
      <c r="BI383">
        <f>IFERROR(INDEX(PP_Grid[#Data],$DD383,59),0)</f>
        <v/>
      </c>
      <c r="BJ383">
        <f>IFERROR(INDEX(PP_Grid[#Data],$DD383,60),0)</f>
        <v/>
      </c>
      <c r="BK383">
        <f>IFERROR(INDEX(PP_Grid[#Data],$DD383,61),0)</f>
        <v/>
      </c>
      <c r="BL383">
        <f>IFERROR(INDEX(PP_Grid[#Data],$DD383,62),0)</f>
        <v/>
      </c>
      <c r="BM383">
        <f>IFERROR(INDEX(PP_Grid[#Data],$DD383,63),0)</f>
        <v/>
      </c>
      <c r="BN383">
        <f>IFERROR(INDEX(PP_Grid[#Data],$DD383,64),0)</f>
        <v/>
      </c>
      <c r="BO383">
        <f>IFERROR(INDEX(PP_Grid[#Data],$DD383,65),0)</f>
        <v/>
      </c>
      <c r="BP383">
        <f>IFERROR(INDEX(PP_Grid[#Data],$DD383,66),0)</f>
        <v/>
      </c>
      <c r="BQ383">
        <f>IFERROR(INDEX(PP_Grid[#Data],$DD383,67),0)</f>
        <v/>
      </c>
      <c r="BR383">
        <f>IFERROR(INDEX(PP_Grid[#Data],$DD383,68),0)</f>
        <v/>
      </c>
      <c r="BS383">
        <f>IFERROR(INDEX(PP_Grid[#Data],$DD383,69),0)</f>
        <v/>
      </c>
      <c r="BT383">
        <f>IFERROR(INDEX(PP_Grid[#Data],$DD383,70),0)</f>
        <v/>
      </c>
      <c r="BU383">
        <f>IFERROR(INDEX(PP_Grid[#Data],$DD383,71),0)</f>
        <v/>
      </c>
      <c r="BV383">
        <f>IFERROR(INDEX(PP_Grid[#Data],$DD383,72),0)</f>
        <v/>
      </c>
      <c r="BW383">
        <f>IFERROR(INDEX(PP_Grid[#Data],$DD383,73),0)</f>
        <v/>
      </c>
      <c r="BX383">
        <f>IFERROR(INDEX(PP_Grid[#Data],$DD383,74),0)</f>
        <v/>
      </c>
      <c r="BY383">
        <f>IFERROR(INDEX(PP_Grid[#Data],$DD383,75),0)</f>
        <v/>
      </c>
      <c r="BZ383">
        <f>IFERROR(INDEX(PP_Grid[#Data],$DD383,76),0)</f>
        <v/>
      </c>
      <c r="CA383">
        <f>IFERROR(INDEX(PP_Grid[#Data],$DD383,77),0)</f>
        <v/>
      </c>
      <c r="CB383">
        <f>IFERROR(INDEX(PP_Grid[#Data],$DD383,78),0)</f>
        <v/>
      </c>
      <c r="CC383">
        <f>IFERROR(INDEX(PP_Grid[#Data],$DD383,79),0)</f>
        <v/>
      </c>
      <c r="CD383">
        <f>IFERROR(INDEX(PP_Grid[#Data],$DD383,80),0)</f>
        <v/>
      </c>
      <c r="CE383">
        <f>IFERROR(INDEX(PP_Grid[#Data],$DD383,81),0)</f>
        <v/>
      </c>
      <c r="CF383">
        <f>IFERROR(INDEX(PP_Grid[#Data],$DD383,82),0)</f>
        <v/>
      </c>
      <c r="CG383">
        <f>IFERROR(INDEX(PP_Grid[#Data],$DD383,83),0)</f>
        <v/>
      </c>
      <c r="CH383">
        <f>IFERROR(INDEX(PP_Grid[#Data],$DD383,84),0)</f>
        <v/>
      </c>
      <c r="CI383">
        <f>IFERROR(INDEX(PP_Grid[#Data],$DD383,85),0)</f>
        <v/>
      </c>
      <c r="CJ383">
        <f>IFERROR(INDEX(PP_Grid[#Data],$DD383,86),0)</f>
        <v/>
      </c>
      <c r="CK383">
        <f>IFERROR(INDEX(PP_Grid[#Data],$DD383,87),0)</f>
        <v/>
      </c>
      <c r="CL383">
        <f>IFERROR(INDEX(PP_Grid[#Data],$DD383,88),0)</f>
        <v/>
      </c>
      <c r="CM383">
        <f>IFERROR(INDEX(PP_Grid[#Data],$DD383,89),0)</f>
        <v/>
      </c>
      <c r="CN383">
        <f>IFERROR(INDEX(PP_Grid[#Data],$DD383,90),0)</f>
        <v/>
      </c>
      <c r="CO383">
        <f>IFERROR(INDEX(PP_Grid[#Data],$DD383,91),0)</f>
        <v/>
      </c>
      <c r="CP383">
        <f>IFERROR(INDEX(PP_Grid[#Data],$DD383,92),0)</f>
        <v/>
      </c>
      <c r="CQ383">
        <f>IFERROR(INDEX(PP_Grid[#Data],$DD383,93),0)</f>
        <v/>
      </c>
      <c r="CR383">
        <f>IFERROR(INDEX(PP_Grid[#Data],$DD383,94),0)</f>
        <v/>
      </c>
      <c r="CS383">
        <f>IFERROR(INDEX(PP_Grid[#Data],$DD383,95),0)</f>
        <v/>
      </c>
      <c r="CT383">
        <f>IFERROR(INDEX(PP_Grid[#Data],$DD383,96),0)</f>
        <v/>
      </c>
      <c r="CU383">
        <f>IFERROR(INDEX(PP_Grid[#Data],$DD383,97),0)</f>
        <v/>
      </c>
      <c r="CV383">
        <f>IFERROR(INDEX(PP_Grid[#Data],$DD383,98),0)</f>
        <v/>
      </c>
      <c r="CW383">
        <f>IFERROR(INDEX(PP_Grid[#Data],$DD383,99),0)</f>
        <v/>
      </c>
      <c r="CX383">
        <f>IFERROR(INDEX(PP_Grid[#Data],$DD383,100),0)</f>
        <v/>
      </c>
      <c r="CY383">
        <f>IFERROR(INDEX(PP_Grid[#Data],$DD383,101),0)</f>
        <v/>
      </c>
      <c r="CZ383">
        <f>IFERROR(INDEX(PP_Grid[#Data],$DD383,102),0)</f>
        <v/>
      </c>
      <c r="DA383">
        <f>IFERROR(INDEX(PP_Grid[#Data],$DD383,103),0)</f>
        <v/>
      </c>
      <c r="DB383">
        <f>IFERROR(INDEX(PP_Grid[#Data],$DD383,104),0)</f>
        <v/>
      </c>
      <c r="DC383">
        <f>IFERROR(INDEX(PP_Grid[#Data],$DD383,105),0)</f>
        <v/>
      </c>
      <c r="DD383" s="7">
        <f>IFERROR(MATCH($B383,PP_Grid[Intermediate],0),99999)</f>
        <v/>
      </c>
    </row>
    <row r="384">
      <c r="B384" t="inlineStr">
        <is>
          <t>使用量(kg)</t>
        </is>
      </c>
      <c r="C384">
        <f>SUMIFS(M_BOM[RM_Qty_Per_Batch],M_BOM[Intermediate],$B383,M_BOM[Part Name],$A340)</f>
        <v/>
      </c>
      <c r="D384">
        <f>$C384*D383</f>
        <v/>
      </c>
      <c r="E384">
        <f>$C384*E383</f>
        <v/>
      </c>
      <c r="F384">
        <f>$C384*F383</f>
        <v/>
      </c>
      <c r="G384">
        <f>$C384*G383</f>
        <v/>
      </c>
      <c r="H384">
        <f>$C384*H383</f>
        <v/>
      </c>
      <c r="I384">
        <f>$C384*I383</f>
        <v/>
      </c>
      <c r="J384">
        <f>$C384*J383</f>
        <v/>
      </c>
      <c r="K384">
        <f>$C384*K383</f>
        <v/>
      </c>
      <c r="L384">
        <f>$C384*L383</f>
        <v/>
      </c>
      <c r="M384">
        <f>$C384*M383</f>
        <v/>
      </c>
      <c r="N384">
        <f>$C384*N383</f>
        <v/>
      </c>
      <c r="O384">
        <f>$C384*O383</f>
        <v/>
      </c>
      <c r="P384">
        <f>$C384*P383</f>
        <v/>
      </c>
      <c r="Q384">
        <f>$C384*Q383</f>
        <v/>
      </c>
      <c r="R384">
        <f>$C384*R383</f>
        <v/>
      </c>
      <c r="S384">
        <f>$C384*S383</f>
        <v/>
      </c>
      <c r="T384">
        <f>$C384*T383</f>
        <v/>
      </c>
      <c r="U384">
        <f>$C384*U383</f>
        <v/>
      </c>
      <c r="V384">
        <f>$C384*V383</f>
        <v/>
      </c>
      <c r="W384">
        <f>$C384*W383</f>
        <v/>
      </c>
      <c r="X384">
        <f>$C384*X383</f>
        <v/>
      </c>
      <c r="Y384">
        <f>$C384*Y383</f>
        <v/>
      </c>
      <c r="Z384">
        <f>$C384*Z383</f>
        <v/>
      </c>
      <c r="AA384">
        <f>$C384*AA383</f>
        <v/>
      </c>
      <c r="AB384">
        <f>$C384*AB383</f>
        <v/>
      </c>
      <c r="AC384">
        <f>$C384*AC383</f>
        <v/>
      </c>
      <c r="AD384">
        <f>$C384*AD383</f>
        <v/>
      </c>
      <c r="AE384">
        <f>$C384*AE383</f>
        <v/>
      </c>
      <c r="AF384">
        <f>$C384*AF383</f>
        <v/>
      </c>
      <c r="AG384">
        <f>$C384*AG383</f>
        <v/>
      </c>
      <c r="AH384">
        <f>$C384*AH383</f>
        <v/>
      </c>
      <c r="AI384">
        <f>$C384*AI383</f>
        <v/>
      </c>
      <c r="AJ384">
        <f>$C384*AJ383</f>
        <v/>
      </c>
      <c r="AK384">
        <f>$C384*AK383</f>
        <v/>
      </c>
      <c r="AL384">
        <f>$C384*AL383</f>
        <v/>
      </c>
      <c r="AM384">
        <f>$C384*AM383</f>
        <v/>
      </c>
      <c r="AN384">
        <f>$C384*AN383</f>
        <v/>
      </c>
      <c r="AO384">
        <f>$C384*AO383</f>
        <v/>
      </c>
      <c r="AP384">
        <f>$C384*AP383</f>
        <v/>
      </c>
      <c r="AQ384">
        <f>$C384*AQ383</f>
        <v/>
      </c>
      <c r="AR384">
        <f>$C384*AR383</f>
        <v/>
      </c>
      <c r="AS384">
        <f>$C384*AS383</f>
        <v/>
      </c>
      <c r="AT384">
        <f>$C384*AT383</f>
        <v/>
      </c>
      <c r="AU384">
        <f>$C384*AU383</f>
        <v/>
      </c>
      <c r="AV384">
        <f>$C384*AV383</f>
        <v/>
      </c>
      <c r="AW384">
        <f>$C384*AW383</f>
        <v/>
      </c>
      <c r="AX384">
        <f>$C384*AX383</f>
        <v/>
      </c>
      <c r="AY384">
        <f>$C384*AY383</f>
        <v/>
      </c>
      <c r="AZ384">
        <f>$C384*AZ383</f>
        <v/>
      </c>
      <c r="BA384">
        <f>$C384*BA383</f>
        <v/>
      </c>
      <c r="BB384">
        <f>$C384*BB383</f>
        <v/>
      </c>
      <c r="BC384">
        <f>$C384*BC383</f>
        <v/>
      </c>
      <c r="BD384">
        <f>$C384*BD383</f>
        <v/>
      </c>
      <c r="BE384">
        <f>$C384*BE383</f>
        <v/>
      </c>
      <c r="BF384">
        <f>$C384*BF383</f>
        <v/>
      </c>
      <c r="BG384">
        <f>$C384*BG383</f>
        <v/>
      </c>
      <c r="BH384">
        <f>$C384*BH383</f>
        <v/>
      </c>
      <c r="BI384">
        <f>$C384*BI383</f>
        <v/>
      </c>
      <c r="BJ384">
        <f>$C384*BJ383</f>
        <v/>
      </c>
      <c r="BK384">
        <f>$C384*BK383</f>
        <v/>
      </c>
      <c r="BL384">
        <f>$C384*BL383</f>
        <v/>
      </c>
      <c r="BM384">
        <f>$C384*BM383</f>
        <v/>
      </c>
      <c r="BN384">
        <f>$C384*BN383</f>
        <v/>
      </c>
      <c r="BO384">
        <f>$C384*BO383</f>
        <v/>
      </c>
      <c r="BP384">
        <f>$C384*BP383</f>
        <v/>
      </c>
      <c r="BQ384">
        <f>$C384*BQ383</f>
        <v/>
      </c>
      <c r="BR384">
        <f>$C384*BR383</f>
        <v/>
      </c>
      <c r="BS384">
        <f>$C384*BS383</f>
        <v/>
      </c>
      <c r="BT384">
        <f>$C384*BT383</f>
        <v/>
      </c>
      <c r="BU384">
        <f>$C384*BU383</f>
        <v/>
      </c>
      <c r="BV384">
        <f>$C384*BV383</f>
        <v/>
      </c>
      <c r="BW384">
        <f>$C384*BW383</f>
        <v/>
      </c>
      <c r="BX384">
        <f>$C384*BX383</f>
        <v/>
      </c>
      <c r="BY384">
        <f>$C384*BY383</f>
        <v/>
      </c>
      <c r="BZ384">
        <f>$C384*BZ383</f>
        <v/>
      </c>
      <c r="CA384">
        <f>$C384*CA383</f>
        <v/>
      </c>
      <c r="CB384">
        <f>$C384*CB383</f>
        <v/>
      </c>
      <c r="CC384">
        <f>$C384*CC383</f>
        <v/>
      </c>
      <c r="CD384">
        <f>$C384*CD383</f>
        <v/>
      </c>
      <c r="CE384">
        <f>$C384*CE383</f>
        <v/>
      </c>
      <c r="CF384">
        <f>$C384*CF383</f>
        <v/>
      </c>
      <c r="CG384">
        <f>$C384*CG383</f>
        <v/>
      </c>
      <c r="CH384">
        <f>$C384*CH383</f>
        <v/>
      </c>
      <c r="CI384">
        <f>$C384*CI383</f>
        <v/>
      </c>
      <c r="CJ384">
        <f>$C384*CJ383</f>
        <v/>
      </c>
      <c r="CK384">
        <f>$C384*CK383</f>
        <v/>
      </c>
      <c r="CL384">
        <f>$C384*CL383</f>
        <v/>
      </c>
      <c r="CM384">
        <f>$C384*CM383</f>
        <v/>
      </c>
      <c r="CN384">
        <f>$C384*CN383</f>
        <v/>
      </c>
      <c r="CO384">
        <f>$C384*CO383</f>
        <v/>
      </c>
      <c r="CP384">
        <f>$C384*CP383</f>
        <v/>
      </c>
      <c r="CQ384">
        <f>$C384*CQ383</f>
        <v/>
      </c>
      <c r="CR384">
        <f>$C384*CR383</f>
        <v/>
      </c>
      <c r="CS384">
        <f>$C384*CS383</f>
        <v/>
      </c>
      <c r="CT384">
        <f>$C384*CT383</f>
        <v/>
      </c>
      <c r="CU384">
        <f>$C384*CU383</f>
        <v/>
      </c>
      <c r="CV384">
        <f>$C384*CV383</f>
        <v/>
      </c>
      <c r="CW384">
        <f>$C384*CW383</f>
        <v/>
      </c>
      <c r="CX384">
        <f>$C384*CX383</f>
        <v/>
      </c>
      <c r="CY384">
        <f>$C384*CY383</f>
        <v/>
      </c>
      <c r="CZ384">
        <f>$C384*CZ383</f>
        <v/>
      </c>
      <c r="DA384">
        <f>$C384*DA383</f>
        <v/>
      </c>
      <c r="DB384">
        <f>$C384*DB383</f>
        <v/>
      </c>
      <c r="DC384">
        <f>$C384*DC383</f>
        <v/>
      </c>
    </row>
    <row r="385">
      <c r="B385" t="inlineStr">
        <is>
          <t>TSP-656</t>
        </is>
      </c>
      <c r="C385" t="inlineStr">
        <is>
          <t>No. of batches</t>
        </is>
      </c>
      <c r="D385">
        <f>IFERROR(INDEX(PP_Grid[#Data],$DD385,2),0)</f>
        <v/>
      </c>
      <c r="E385">
        <f>IFERROR(INDEX(PP_Grid[#Data],$DD385,3),0)</f>
        <v/>
      </c>
      <c r="F385">
        <f>IFERROR(INDEX(PP_Grid[#Data],$DD385,4),0)</f>
        <v/>
      </c>
      <c r="G385">
        <f>IFERROR(INDEX(PP_Grid[#Data],$DD385,5),0)</f>
        <v/>
      </c>
      <c r="H385">
        <f>IFERROR(INDEX(PP_Grid[#Data],$DD385,6),0)</f>
        <v/>
      </c>
      <c r="I385">
        <f>IFERROR(INDEX(PP_Grid[#Data],$DD385,7),0)</f>
        <v/>
      </c>
      <c r="J385">
        <f>IFERROR(INDEX(PP_Grid[#Data],$DD385,8),0)</f>
        <v/>
      </c>
      <c r="K385">
        <f>IFERROR(INDEX(PP_Grid[#Data],$DD385,9),0)</f>
        <v/>
      </c>
      <c r="L385">
        <f>IFERROR(INDEX(PP_Grid[#Data],$DD385,10),0)</f>
        <v/>
      </c>
      <c r="M385">
        <f>IFERROR(INDEX(PP_Grid[#Data],$DD385,11),0)</f>
        <v/>
      </c>
      <c r="N385">
        <f>IFERROR(INDEX(PP_Grid[#Data],$DD385,12),0)</f>
        <v/>
      </c>
      <c r="O385">
        <f>IFERROR(INDEX(PP_Grid[#Data],$DD385,13),0)</f>
        <v/>
      </c>
      <c r="P385">
        <f>IFERROR(INDEX(PP_Grid[#Data],$DD385,14),0)</f>
        <v/>
      </c>
      <c r="Q385">
        <f>IFERROR(INDEX(PP_Grid[#Data],$DD385,15),0)</f>
        <v/>
      </c>
      <c r="R385">
        <f>IFERROR(INDEX(PP_Grid[#Data],$DD385,16),0)</f>
        <v/>
      </c>
      <c r="S385">
        <f>IFERROR(INDEX(PP_Grid[#Data],$DD385,17),0)</f>
        <v/>
      </c>
      <c r="T385">
        <f>IFERROR(INDEX(PP_Grid[#Data],$DD385,18),0)</f>
        <v/>
      </c>
      <c r="U385">
        <f>IFERROR(INDEX(PP_Grid[#Data],$DD385,19),0)</f>
        <v/>
      </c>
      <c r="V385">
        <f>IFERROR(INDEX(PP_Grid[#Data],$DD385,20),0)</f>
        <v/>
      </c>
      <c r="W385">
        <f>IFERROR(INDEX(PP_Grid[#Data],$DD385,21),0)</f>
        <v/>
      </c>
      <c r="X385">
        <f>IFERROR(INDEX(PP_Grid[#Data],$DD385,22),0)</f>
        <v/>
      </c>
      <c r="Y385">
        <f>IFERROR(INDEX(PP_Grid[#Data],$DD385,23),0)</f>
        <v/>
      </c>
      <c r="Z385">
        <f>IFERROR(INDEX(PP_Grid[#Data],$DD385,24),0)</f>
        <v/>
      </c>
      <c r="AA385">
        <f>IFERROR(INDEX(PP_Grid[#Data],$DD385,25),0)</f>
        <v/>
      </c>
      <c r="AB385">
        <f>IFERROR(INDEX(PP_Grid[#Data],$DD385,26),0)</f>
        <v/>
      </c>
      <c r="AC385">
        <f>IFERROR(INDEX(PP_Grid[#Data],$DD385,27),0)</f>
        <v/>
      </c>
      <c r="AD385">
        <f>IFERROR(INDEX(PP_Grid[#Data],$DD385,28),0)</f>
        <v/>
      </c>
      <c r="AE385">
        <f>IFERROR(INDEX(PP_Grid[#Data],$DD385,29),0)</f>
        <v/>
      </c>
      <c r="AF385">
        <f>IFERROR(INDEX(PP_Grid[#Data],$DD385,30),0)</f>
        <v/>
      </c>
      <c r="AG385">
        <f>IFERROR(INDEX(PP_Grid[#Data],$DD385,31),0)</f>
        <v/>
      </c>
      <c r="AH385">
        <f>IFERROR(INDEX(PP_Grid[#Data],$DD385,32),0)</f>
        <v/>
      </c>
      <c r="AI385">
        <f>IFERROR(INDEX(PP_Grid[#Data],$DD385,33),0)</f>
        <v/>
      </c>
      <c r="AJ385">
        <f>IFERROR(INDEX(PP_Grid[#Data],$DD385,34),0)</f>
        <v/>
      </c>
      <c r="AK385">
        <f>IFERROR(INDEX(PP_Grid[#Data],$DD385,35),0)</f>
        <v/>
      </c>
      <c r="AL385">
        <f>IFERROR(INDEX(PP_Grid[#Data],$DD385,36),0)</f>
        <v/>
      </c>
      <c r="AM385">
        <f>IFERROR(INDEX(PP_Grid[#Data],$DD385,37),0)</f>
        <v/>
      </c>
      <c r="AN385">
        <f>IFERROR(INDEX(PP_Grid[#Data],$DD385,38),0)</f>
        <v/>
      </c>
      <c r="AO385">
        <f>IFERROR(INDEX(PP_Grid[#Data],$DD385,39),0)</f>
        <v/>
      </c>
      <c r="AP385">
        <f>IFERROR(INDEX(PP_Grid[#Data],$DD385,40),0)</f>
        <v/>
      </c>
      <c r="AQ385">
        <f>IFERROR(INDEX(PP_Grid[#Data],$DD385,41),0)</f>
        <v/>
      </c>
      <c r="AR385">
        <f>IFERROR(INDEX(PP_Grid[#Data],$DD385,42),0)</f>
        <v/>
      </c>
      <c r="AS385">
        <f>IFERROR(INDEX(PP_Grid[#Data],$DD385,43),0)</f>
        <v/>
      </c>
      <c r="AT385">
        <f>IFERROR(INDEX(PP_Grid[#Data],$DD385,44),0)</f>
        <v/>
      </c>
      <c r="AU385">
        <f>IFERROR(INDEX(PP_Grid[#Data],$DD385,45),0)</f>
        <v/>
      </c>
      <c r="AV385">
        <f>IFERROR(INDEX(PP_Grid[#Data],$DD385,46),0)</f>
        <v/>
      </c>
      <c r="AW385">
        <f>IFERROR(INDEX(PP_Grid[#Data],$DD385,47),0)</f>
        <v/>
      </c>
      <c r="AX385">
        <f>IFERROR(INDEX(PP_Grid[#Data],$DD385,48),0)</f>
        <v/>
      </c>
      <c r="AY385">
        <f>IFERROR(INDEX(PP_Grid[#Data],$DD385,49),0)</f>
        <v/>
      </c>
      <c r="AZ385">
        <f>IFERROR(INDEX(PP_Grid[#Data],$DD385,50),0)</f>
        <v/>
      </c>
      <c r="BA385">
        <f>IFERROR(INDEX(PP_Grid[#Data],$DD385,51),0)</f>
        <v/>
      </c>
      <c r="BB385">
        <f>IFERROR(INDEX(PP_Grid[#Data],$DD385,52),0)</f>
        <v/>
      </c>
      <c r="BC385">
        <f>IFERROR(INDEX(PP_Grid[#Data],$DD385,53),0)</f>
        <v/>
      </c>
      <c r="BD385">
        <f>IFERROR(INDEX(PP_Grid[#Data],$DD385,54),0)</f>
        <v/>
      </c>
      <c r="BE385">
        <f>IFERROR(INDEX(PP_Grid[#Data],$DD385,55),0)</f>
        <v/>
      </c>
      <c r="BF385">
        <f>IFERROR(INDEX(PP_Grid[#Data],$DD385,56),0)</f>
        <v/>
      </c>
      <c r="BG385">
        <f>IFERROR(INDEX(PP_Grid[#Data],$DD385,57),0)</f>
        <v/>
      </c>
      <c r="BH385">
        <f>IFERROR(INDEX(PP_Grid[#Data],$DD385,58),0)</f>
        <v/>
      </c>
      <c r="BI385">
        <f>IFERROR(INDEX(PP_Grid[#Data],$DD385,59),0)</f>
        <v/>
      </c>
      <c r="BJ385">
        <f>IFERROR(INDEX(PP_Grid[#Data],$DD385,60),0)</f>
        <v/>
      </c>
      <c r="BK385">
        <f>IFERROR(INDEX(PP_Grid[#Data],$DD385,61),0)</f>
        <v/>
      </c>
      <c r="BL385">
        <f>IFERROR(INDEX(PP_Grid[#Data],$DD385,62),0)</f>
        <v/>
      </c>
      <c r="BM385">
        <f>IFERROR(INDEX(PP_Grid[#Data],$DD385,63),0)</f>
        <v/>
      </c>
      <c r="BN385">
        <f>IFERROR(INDEX(PP_Grid[#Data],$DD385,64),0)</f>
        <v/>
      </c>
      <c r="BO385">
        <f>IFERROR(INDEX(PP_Grid[#Data],$DD385,65),0)</f>
        <v/>
      </c>
      <c r="BP385">
        <f>IFERROR(INDEX(PP_Grid[#Data],$DD385,66),0)</f>
        <v/>
      </c>
      <c r="BQ385">
        <f>IFERROR(INDEX(PP_Grid[#Data],$DD385,67),0)</f>
        <v/>
      </c>
      <c r="BR385">
        <f>IFERROR(INDEX(PP_Grid[#Data],$DD385,68),0)</f>
        <v/>
      </c>
      <c r="BS385">
        <f>IFERROR(INDEX(PP_Grid[#Data],$DD385,69),0)</f>
        <v/>
      </c>
      <c r="BT385">
        <f>IFERROR(INDEX(PP_Grid[#Data],$DD385,70),0)</f>
        <v/>
      </c>
      <c r="BU385">
        <f>IFERROR(INDEX(PP_Grid[#Data],$DD385,71),0)</f>
        <v/>
      </c>
      <c r="BV385">
        <f>IFERROR(INDEX(PP_Grid[#Data],$DD385,72),0)</f>
        <v/>
      </c>
      <c r="BW385">
        <f>IFERROR(INDEX(PP_Grid[#Data],$DD385,73),0)</f>
        <v/>
      </c>
      <c r="BX385">
        <f>IFERROR(INDEX(PP_Grid[#Data],$DD385,74),0)</f>
        <v/>
      </c>
      <c r="BY385">
        <f>IFERROR(INDEX(PP_Grid[#Data],$DD385,75),0)</f>
        <v/>
      </c>
      <c r="BZ385">
        <f>IFERROR(INDEX(PP_Grid[#Data],$DD385,76),0)</f>
        <v/>
      </c>
      <c r="CA385">
        <f>IFERROR(INDEX(PP_Grid[#Data],$DD385,77),0)</f>
        <v/>
      </c>
      <c r="CB385">
        <f>IFERROR(INDEX(PP_Grid[#Data],$DD385,78),0)</f>
        <v/>
      </c>
      <c r="CC385">
        <f>IFERROR(INDEX(PP_Grid[#Data],$DD385,79),0)</f>
        <v/>
      </c>
      <c r="CD385">
        <f>IFERROR(INDEX(PP_Grid[#Data],$DD385,80),0)</f>
        <v/>
      </c>
      <c r="CE385">
        <f>IFERROR(INDEX(PP_Grid[#Data],$DD385,81),0)</f>
        <v/>
      </c>
      <c r="CF385">
        <f>IFERROR(INDEX(PP_Grid[#Data],$DD385,82),0)</f>
        <v/>
      </c>
      <c r="CG385">
        <f>IFERROR(INDEX(PP_Grid[#Data],$DD385,83),0)</f>
        <v/>
      </c>
      <c r="CH385">
        <f>IFERROR(INDEX(PP_Grid[#Data],$DD385,84),0)</f>
        <v/>
      </c>
      <c r="CI385">
        <f>IFERROR(INDEX(PP_Grid[#Data],$DD385,85),0)</f>
        <v/>
      </c>
      <c r="CJ385">
        <f>IFERROR(INDEX(PP_Grid[#Data],$DD385,86),0)</f>
        <v/>
      </c>
      <c r="CK385">
        <f>IFERROR(INDEX(PP_Grid[#Data],$DD385,87),0)</f>
        <v/>
      </c>
      <c r="CL385">
        <f>IFERROR(INDEX(PP_Grid[#Data],$DD385,88),0)</f>
        <v/>
      </c>
      <c r="CM385">
        <f>IFERROR(INDEX(PP_Grid[#Data],$DD385,89),0)</f>
        <v/>
      </c>
      <c r="CN385">
        <f>IFERROR(INDEX(PP_Grid[#Data],$DD385,90),0)</f>
        <v/>
      </c>
      <c r="CO385">
        <f>IFERROR(INDEX(PP_Grid[#Data],$DD385,91),0)</f>
        <v/>
      </c>
      <c r="CP385">
        <f>IFERROR(INDEX(PP_Grid[#Data],$DD385,92),0)</f>
        <v/>
      </c>
      <c r="CQ385">
        <f>IFERROR(INDEX(PP_Grid[#Data],$DD385,93),0)</f>
        <v/>
      </c>
      <c r="CR385">
        <f>IFERROR(INDEX(PP_Grid[#Data],$DD385,94),0)</f>
        <v/>
      </c>
      <c r="CS385">
        <f>IFERROR(INDEX(PP_Grid[#Data],$DD385,95),0)</f>
        <v/>
      </c>
      <c r="CT385">
        <f>IFERROR(INDEX(PP_Grid[#Data],$DD385,96),0)</f>
        <v/>
      </c>
      <c r="CU385">
        <f>IFERROR(INDEX(PP_Grid[#Data],$DD385,97),0)</f>
        <v/>
      </c>
      <c r="CV385">
        <f>IFERROR(INDEX(PP_Grid[#Data],$DD385,98),0)</f>
        <v/>
      </c>
      <c r="CW385">
        <f>IFERROR(INDEX(PP_Grid[#Data],$DD385,99),0)</f>
        <v/>
      </c>
      <c r="CX385">
        <f>IFERROR(INDEX(PP_Grid[#Data],$DD385,100),0)</f>
        <v/>
      </c>
      <c r="CY385">
        <f>IFERROR(INDEX(PP_Grid[#Data],$DD385,101),0)</f>
        <v/>
      </c>
      <c r="CZ385">
        <f>IFERROR(INDEX(PP_Grid[#Data],$DD385,102),0)</f>
        <v/>
      </c>
      <c r="DA385">
        <f>IFERROR(INDEX(PP_Grid[#Data],$DD385,103),0)</f>
        <v/>
      </c>
      <c r="DB385">
        <f>IFERROR(INDEX(PP_Grid[#Data],$DD385,104),0)</f>
        <v/>
      </c>
      <c r="DC385">
        <f>IFERROR(INDEX(PP_Grid[#Data],$DD385,105),0)</f>
        <v/>
      </c>
      <c r="DD385" s="7">
        <f>IFERROR(MATCH($B385,PP_Grid[Intermediate],0),99999)</f>
        <v/>
      </c>
    </row>
    <row r="386">
      <c r="B386" t="inlineStr">
        <is>
          <t>使用量(kg)</t>
        </is>
      </c>
      <c r="C386">
        <f>SUMIFS(M_BOM[RM_Qty_Per_Batch],M_BOM[Intermediate],$B385,M_BOM[Part Name],$A340)</f>
        <v/>
      </c>
      <c r="D386">
        <f>$C386*D385</f>
        <v/>
      </c>
      <c r="E386">
        <f>$C386*E385</f>
        <v/>
      </c>
      <c r="F386">
        <f>$C386*F385</f>
        <v/>
      </c>
      <c r="G386">
        <f>$C386*G385</f>
        <v/>
      </c>
      <c r="H386">
        <f>$C386*H385</f>
        <v/>
      </c>
      <c r="I386">
        <f>$C386*I385</f>
        <v/>
      </c>
      <c r="J386">
        <f>$C386*J385</f>
        <v/>
      </c>
      <c r="K386">
        <f>$C386*K385</f>
        <v/>
      </c>
      <c r="L386">
        <f>$C386*L385</f>
        <v/>
      </c>
      <c r="M386">
        <f>$C386*M385</f>
        <v/>
      </c>
      <c r="N386">
        <f>$C386*N385</f>
        <v/>
      </c>
      <c r="O386">
        <f>$C386*O385</f>
        <v/>
      </c>
      <c r="P386">
        <f>$C386*P385</f>
        <v/>
      </c>
      <c r="Q386">
        <f>$C386*Q385</f>
        <v/>
      </c>
      <c r="R386">
        <f>$C386*R385</f>
        <v/>
      </c>
      <c r="S386">
        <f>$C386*S385</f>
        <v/>
      </c>
      <c r="T386">
        <f>$C386*T385</f>
        <v/>
      </c>
      <c r="U386">
        <f>$C386*U385</f>
        <v/>
      </c>
      <c r="V386">
        <f>$C386*V385</f>
        <v/>
      </c>
      <c r="W386">
        <f>$C386*W385</f>
        <v/>
      </c>
      <c r="X386">
        <f>$C386*X385</f>
        <v/>
      </c>
      <c r="Y386">
        <f>$C386*Y385</f>
        <v/>
      </c>
      <c r="Z386">
        <f>$C386*Z385</f>
        <v/>
      </c>
      <c r="AA386">
        <f>$C386*AA385</f>
        <v/>
      </c>
      <c r="AB386">
        <f>$C386*AB385</f>
        <v/>
      </c>
      <c r="AC386">
        <f>$C386*AC385</f>
        <v/>
      </c>
      <c r="AD386">
        <f>$C386*AD385</f>
        <v/>
      </c>
      <c r="AE386">
        <f>$C386*AE385</f>
        <v/>
      </c>
      <c r="AF386">
        <f>$C386*AF385</f>
        <v/>
      </c>
      <c r="AG386">
        <f>$C386*AG385</f>
        <v/>
      </c>
      <c r="AH386">
        <f>$C386*AH385</f>
        <v/>
      </c>
      <c r="AI386">
        <f>$C386*AI385</f>
        <v/>
      </c>
      <c r="AJ386">
        <f>$C386*AJ385</f>
        <v/>
      </c>
      <c r="AK386">
        <f>$C386*AK385</f>
        <v/>
      </c>
      <c r="AL386">
        <f>$C386*AL385</f>
        <v/>
      </c>
      <c r="AM386">
        <f>$C386*AM385</f>
        <v/>
      </c>
      <c r="AN386">
        <f>$C386*AN385</f>
        <v/>
      </c>
      <c r="AO386">
        <f>$C386*AO385</f>
        <v/>
      </c>
      <c r="AP386">
        <f>$C386*AP385</f>
        <v/>
      </c>
      <c r="AQ386">
        <f>$C386*AQ385</f>
        <v/>
      </c>
      <c r="AR386">
        <f>$C386*AR385</f>
        <v/>
      </c>
      <c r="AS386">
        <f>$C386*AS385</f>
        <v/>
      </c>
      <c r="AT386">
        <f>$C386*AT385</f>
        <v/>
      </c>
      <c r="AU386">
        <f>$C386*AU385</f>
        <v/>
      </c>
      <c r="AV386">
        <f>$C386*AV385</f>
        <v/>
      </c>
      <c r="AW386">
        <f>$C386*AW385</f>
        <v/>
      </c>
      <c r="AX386">
        <f>$C386*AX385</f>
        <v/>
      </c>
      <c r="AY386">
        <f>$C386*AY385</f>
        <v/>
      </c>
      <c r="AZ386">
        <f>$C386*AZ385</f>
        <v/>
      </c>
      <c r="BA386">
        <f>$C386*BA385</f>
        <v/>
      </c>
      <c r="BB386">
        <f>$C386*BB385</f>
        <v/>
      </c>
      <c r="BC386">
        <f>$C386*BC385</f>
        <v/>
      </c>
      <c r="BD386">
        <f>$C386*BD385</f>
        <v/>
      </c>
      <c r="BE386">
        <f>$C386*BE385</f>
        <v/>
      </c>
      <c r="BF386">
        <f>$C386*BF385</f>
        <v/>
      </c>
      <c r="BG386">
        <f>$C386*BG385</f>
        <v/>
      </c>
      <c r="BH386">
        <f>$C386*BH385</f>
        <v/>
      </c>
      <c r="BI386">
        <f>$C386*BI385</f>
        <v/>
      </c>
      <c r="BJ386">
        <f>$C386*BJ385</f>
        <v/>
      </c>
      <c r="BK386">
        <f>$C386*BK385</f>
        <v/>
      </c>
      <c r="BL386">
        <f>$C386*BL385</f>
        <v/>
      </c>
      <c r="BM386">
        <f>$C386*BM385</f>
        <v/>
      </c>
      <c r="BN386">
        <f>$C386*BN385</f>
        <v/>
      </c>
      <c r="BO386">
        <f>$C386*BO385</f>
        <v/>
      </c>
      <c r="BP386">
        <f>$C386*BP385</f>
        <v/>
      </c>
      <c r="BQ386">
        <f>$C386*BQ385</f>
        <v/>
      </c>
      <c r="BR386">
        <f>$C386*BR385</f>
        <v/>
      </c>
      <c r="BS386">
        <f>$C386*BS385</f>
        <v/>
      </c>
      <c r="BT386">
        <f>$C386*BT385</f>
        <v/>
      </c>
      <c r="BU386">
        <f>$C386*BU385</f>
        <v/>
      </c>
      <c r="BV386">
        <f>$C386*BV385</f>
        <v/>
      </c>
      <c r="BW386">
        <f>$C386*BW385</f>
        <v/>
      </c>
      <c r="BX386">
        <f>$C386*BX385</f>
        <v/>
      </c>
      <c r="BY386">
        <f>$C386*BY385</f>
        <v/>
      </c>
      <c r="BZ386">
        <f>$C386*BZ385</f>
        <v/>
      </c>
      <c r="CA386">
        <f>$C386*CA385</f>
        <v/>
      </c>
      <c r="CB386">
        <f>$C386*CB385</f>
        <v/>
      </c>
      <c r="CC386">
        <f>$C386*CC385</f>
        <v/>
      </c>
      <c r="CD386">
        <f>$C386*CD385</f>
        <v/>
      </c>
      <c r="CE386">
        <f>$C386*CE385</f>
        <v/>
      </c>
      <c r="CF386">
        <f>$C386*CF385</f>
        <v/>
      </c>
      <c r="CG386">
        <f>$C386*CG385</f>
        <v/>
      </c>
      <c r="CH386">
        <f>$C386*CH385</f>
        <v/>
      </c>
      <c r="CI386">
        <f>$C386*CI385</f>
        <v/>
      </c>
      <c r="CJ386">
        <f>$C386*CJ385</f>
        <v/>
      </c>
      <c r="CK386">
        <f>$C386*CK385</f>
        <v/>
      </c>
      <c r="CL386">
        <f>$C386*CL385</f>
        <v/>
      </c>
      <c r="CM386">
        <f>$C386*CM385</f>
        <v/>
      </c>
      <c r="CN386">
        <f>$C386*CN385</f>
        <v/>
      </c>
      <c r="CO386">
        <f>$C386*CO385</f>
        <v/>
      </c>
      <c r="CP386">
        <f>$C386*CP385</f>
        <v/>
      </c>
      <c r="CQ386">
        <f>$C386*CQ385</f>
        <v/>
      </c>
      <c r="CR386">
        <f>$C386*CR385</f>
        <v/>
      </c>
      <c r="CS386">
        <f>$C386*CS385</f>
        <v/>
      </c>
      <c r="CT386">
        <f>$C386*CT385</f>
        <v/>
      </c>
      <c r="CU386">
        <f>$C386*CU385</f>
        <v/>
      </c>
      <c r="CV386">
        <f>$C386*CV385</f>
        <v/>
      </c>
      <c r="CW386">
        <f>$C386*CW385</f>
        <v/>
      </c>
      <c r="CX386">
        <f>$C386*CX385</f>
        <v/>
      </c>
      <c r="CY386">
        <f>$C386*CY385</f>
        <v/>
      </c>
      <c r="CZ386">
        <f>$C386*CZ385</f>
        <v/>
      </c>
      <c r="DA386">
        <f>$C386*DA385</f>
        <v/>
      </c>
      <c r="DB386">
        <f>$C386*DB385</f>
        <v/>
      </c>
      <c r="DC386">
        <f>$C386*DC385</f>
        <v/>
      </c>
    </row>
    <row r="387">
      <c r="B387" t="inlineStr">
        <is>
          <t>TSP-710</t>
        </is>
      </c>
      <c r="C387" t="inlineStr">
        <is>
          <t>No. of batches</t>
        </is>
      </c>
      <c r="D387">
        <f>IFERROR(INDEX(PP_Grid[#Data],$DD387,2),0)</f>
        <v/>
      </c>
      <c r="E387">
        <f>IFERROR(INDEX(PP_Grid[#Data],$DD387,3),0)</f>
        <v/>
      </c>
      <c r="F387">
        <f>IFERROR(INDEX(PP_Grid[#Data],$DD387,4),0)</f>
        <v/>
      </c>
      <c r="G387">
        <f>IFERROR(INDEX(PP_Grid[#Data],$DD387,5),0)</f>
        <v/>
      </c>
      <c r="H387">
        <f>IFERROR(INDEX(PP_Grid[#Data],$DD387,6),0)</f>
        <v/>
      </c>
      <c r="I387">
        <f>IFERROR(INDEX(PP_Grid[#Data],$DD387,7),0)</f>
        <v/>
      </c>
      <c r="J387">
        <f>IFERROR(INDEX(PP_Grid[#Data],$DD387,8),0)</f>
        <v/>
      </c>
      <c r="K387">
        <f>IFERROR(INDEX(PP_Grid[#Data],$DD387,9),0)</f>
        <v/>
      </c>
      <c r="L387">
        <f>IFERROR(INDEX(PP_Grid[#Data],$DD387,10),0)</f>
        <v/>
      </c>
      <c r="M387">
        <f>IFERROR(INDEX(PP_Grid[#Data],$DD387,11),0)</f>
        <v/>
      </c>
      <c r="N387">
        <f>IFERROR(INDEX(PP_Grid[#Data],$DD387,12),0)</f>
        <v/>
      </c>
      <c r="O387">
        <f>IFERROR(INDEX(PP_Grid[#Data],$DD387,13),0)</f>
        <v/>
      </c>
      <c r="P387">
        <f>IFERROR(INDEX(PP_Grid[#Data],$DD387,14),0)</f>
        <v/>
      </c>
      <c r="Q387">
        <f>IFERROR(INDEX(PP_Grid[#Data],$DD387,15),0)</f>
        <v/>
      </c>
      <c r="R387">
        <f>IFERROR(INDEX(PP_Grid[#Data],$DD387,16),0)</f>
        <v/>
      </c>
      <c r="S387">
        <f>IFERROR(INDEX(PP_Grid[#Data],$DD387,17),0)</f>
        <v/>
      </c>
      <c r="T387">
        <f>IFERROR(INDEX(PP_Grid[#Data],$DD387,18),0)</f>
        <v/>
      </c>
      <c r="U387">
        <f>IFERROR(INDEX(PP_Grid[#Data],$DD387,19),0)</f>
        <v/>
      </c>
      <c r="V387">
        <f>IFERROR(INDEX(PP_Grid[#Data],$DD387,20),0)</f>
        <v/>
      </c>
      <c r="W387">
        <f>IFERROR(INDEX(PP_Grid[#Data],$DD387,21),0)</f>
        <v/>
      </c>
      <c r="X387">
        <f>IFERROR(INDEX(PP_Grid[#Data],$DD387,22),0)</f>
        <v/>
      </c>
      <c r="Y387">
        <f>IFERROR(INDEX(PP_Grid[#Data],$DD387,23),0)</f>
        <v/>
      </c>
      <c r="Z387">
        <f>IFERROR(INDEX(PP_Grid[#Data],$DD387,24),0)</f>
        <v/>
      </c>
      <c r="AA387">
        <f>IFERROR(INDEX(PP_Grid[#Data],$DD387,25),0)</f>
        <v/>
      </c>
      <c r="AB387">
        <f>IFERROR(INDEX(PP_Grid[#Data],$DD387,26),0)</f>
        <v/>
      </c>
      <c r="AC387">
        <f>IFERROR(INDEX(PP_Grid[#Data],$DD387,27),0)</f>
        <v/>
      </c>
      <c r="AD387">
        <f>IFERROR(INDEX(PP_Grid[#Data],$DD387,28),0)</f>
        <v/>
      </c>
      <c r="AE387">
        <f>IFERROR(INDEX(PP_Grid[#Data],$DD387,29),0)</f>
        <v/>
      </c>
      <c r="AF387">
        <f>IFERROR(INDEX(PP_Grid[#Data],$DD387,30),0)</f>
        <v/>
      </c>
      <c r="AG387">
        <f>IFERROR(INDEX(PP_Grid[#Data],$DD387,31),0)</f>
        <v/>
      </c>
      <c r="AH387">
        <f>IFERROR(INDEX(PP_Grid[#Data],$DD387,32),0)</f>
        <v/>
      </c>
      <c r="AI387">
        <f>IFERROR(INDEX(PP_Grid[#Data],$DD387,33),0)</f>
        <v/>
      </c>
      <c r="AJ387">
        <f>IFERROR(INDEX(PP_Grid[#Data],$DD387,34),0)</f>
        <v/>
      </c>
      <c r="AK387">
        <f>IFERROR(INDEX(PP_Grid[#Data],$DD387,35),0)</f>
        <v/>
      </c>
      <c r="AL387">
        <f>IFERROR(INDEX(PP_Grid[#Data],$DD387,36),0)</f>
        <v/>
      </c>
      <c r="AM387">
        <f>IFERROR(INDEX(PP_Grid[#Data],$DD387,37),0)</f>
        <v/>
      </c>
      <c r="AN387">
        <f>IFERROR(INDEX(PP_Grid[#Data],$DD387,38),0)</f>
        <v/>
      </c>
      <c r="AO387">
        <f>IFERROR(INDEX(PP_Grid[#Data],$DD387,39),0)</f>
        <v/>
      </c>
      <c r="AP387">
        <f>IFERROR(INDEX(PP_Grid[#Data],$DD387,40),0)</f>
        <v/>
      </c>
      <c r="AQ387">
        <f>IFERROR(INDEX(PP_Grid[#Data],$DD387,41),0)</f>
        <v/>
      </c>
      <c r="AR387">
        <f>IFERROR(INDEX(PP_Grid[#Data],$DD387,42),0)</f>
        <v/>
      </c>
      <c r="AS387">
        <f>IFERROR(INDEX(PP_Grid[#Data],$DD387,43),0)</f>
        <v/>
      </c>
      <c r="AT387">
        <f>IFERROR(INDEX(PP_Grid[#Data],$DD387,44),0)</f>
        <v/>
      </c>
      <c r="AU387">
        <f>IFERROR(INDEX(PP_Grid[#Data],$DD387,45),0)</f>
        <v/>
      </c>
      <c r="AV387">
        <f>IFERROR(INDEX(PP_Grid[#Data],$DD387,46),0)</f>
        <v/>
      </c>
      <c r="AW387">
        <f>IFERROR(INDEX(PP_Grid[#Data],$DD387,47),0)</f>
        <v/>
      </c>
      <c r="AX387">
        <f>IFERROR(INDEX(PP_Grid[#Data],$DD387,48),0)</f>
        <v/>
      </c>
      <c r="AY387">
        <f>IFERROR(INDEX(PP_Grid[#Data],$DD387,49),0)</f>
        <v/>
      </c>
      <c r="AZ387">
        <f>IFERROR(INDEX(PP_Grid[#Data],$DD387,50),0)</f>
        <v/>
      </c>
      <c r="BA387">
        <f>IFERROR(INDEX(PP_Grid[#Data],$DD387,51),0)</f>
        <v/>
      </c>
      <c r="BB387">
        <f>IFERROR(INDEX(PP_Grid[#Data],$DD387,52),0)</f>
        <v/>
      </c>
      <c r="BC387">
        <f>IFERROR(INDEX(PP_Grid[#Data],$DD387,53),0)</f>
        <v/>
      </c>
      <c r="BD387">
        <f>IFERROR(INDEX(PP_Grid[#Data],$DD387,54),0)</f>
        <v/>
      </c>
      <c r="BE387">
        <f>IFERROR(INDEX(PP_Grid[#Data],$DD387,55),0)</f>
        <v/>
      </c>
      <c r="BF387">
        <f>IFERROR(INDEX(PP_Grid[#Data],$DD387,56),0)</f>
        <v/>
      </c>
      <c r="BG387">
        <f>IFERROR(INDEX(PP_Grid[#Data],$DD387,57),0)</f>
        <v/>
      </c>
      <c r="BH387">
        <f>IFERROR(INDEX(PP_Grid[#Data],$DD387,58),0)</f>
        <v/>
      </c>
      <c r="BI387">
        <f>IFERROR(INDEX(PP_Grid[#Data],$DD387,59),0)</f>
        <v/>
      </c>
      <c r="BJ387">
        <f>IFERROR(INDEX(PP_Grid[#Data],$DD387,60),0)</f>
        <v/>
      </c>
      <c r="BK387">
        <f>IFERROR(INDEX(PP_Grid[#Data],$DD387,61),0)</f>
        <v/>
      </c>
      <c r="BL387">
        <f>IFERROR(INDEX(PP_Grid[#Data],$DD387,62),0)</f>
        <v/>
      </c>
      <c r="BM387">
        <f>IFERROR(INDEX(PP_Grid[#Data],$DD387,63),0)</f>
        <v/>
      </c>
      <c r="BN387">
        <f>IFERROR(INDEX(PP_Grid[#Data],$DD387,64),0)</f>
        <v/>
      </c>
      <c r="BO387">
        <f>IFERROR(INDEX(PP_Grid[#Data],$DD387,65),0)</f>
        <v/>
      </c>
      <c r="BP387">
        <f>IFERROR(INDEX(PP_Grid[#Data],$DD387,66),0)</f>
        <v/>
      </c>
      <c r="BQ387">
        <f>IFERROR(INDEX(PP_Grid[#Data],$DD387,67),0)</f>
        <v/>
      </c>
      <c r="BR387">
        <f>IFERROR(INDEX(PP_Grid[#Data],$DD387,68),0)</f>
        <v/>
      </c>
      <c r="BS387">
        <f>IFERROR(INDEX(PP_Grid[#Data],$DD387,69),0)</f>
        <v/>
      </c>
      <c r="BT387">
        <f>IFERROR(INDEX(PP_Grid[#Data],$DD387,70),0)</f>
        <v/>
      </c>
      <c r="BU387">
        <f>IFERROR(INDEX(PP_Grid[#Data],$DD387,71),0)</f>
        <v/>
      </c>
      <c r="BV387">
        <f>IFERROR(INDEX(PP_Grid[#Data],$DD387,72),0)</f>
        <v/>
      </c>
      <c r="BW387">
        <f>IFERROR(INDEX(PP_Grid[#Data],$DD387,73),0)</f>
        <v/>
      </c>
      <c r="BX387">
        <f>IFERROR(INDEX(PP_Grid[#Data],$DD387,74),0)</f>
        <v/>
      </c>
      <c r="BY387">
        <f>IFERROR(INDEX(PP_Grid[#Data],$DD387,75),0)</f>
        <v/>
      </c>
      <c r="BZ387">
        <f>IFERROR(INDEX(PP_Grid[#Data],$DD387,76),0)</f>
        <v/>
      </c>
      <c r="CA387">
        <f>IFERROR(INDEX(PP_Grid[#Data],$DD387,77),0)</f>
        <v/>
      </c>
      <c r="CB387">
        <f>IFERROR(INDEX(PP_Grid[#Data],$DD387,78),0)</f>
        <v/>
      </c>
      <c r="CC387">
        <f>IFERROR(INDEX(PP_Grid[#Data],$DD387,79),0)</f>
        <v/>
      </c>
      <c r="CD387">
        <f>IFERROR(INDEX(PP_Grid[#Data],$DD387,80),0)</f>
        <v/>
      </c>
      <c r="CE387">
        <f>IFERROR(INDEX(PP_Grid[#Data],$DD387,81),0)</f>
        <v/>
      </c>
      <c r="CF387">
        <f>IFERROR(INDEX(PP_Grid[#Data],$DD387,82),0)</f>
        <v/>
      </c>
      <c r="CG387">
        <f>IFERROR(INDEX(PP_Grid[#Data],$DD387,83),0)</f>
        <v/>
      </c>
      <c r="CH387">
        <f>IFERROR(INDEX(PP_Grid[#Data],$DD387,84),0)</f>
        <v/>
      </c>
      <c r="CI387">
        <f>IFERROR(INDEX(PP_Grid[#Data],$DD387,85),0)</f>
        <v/>
      </c>
      <c r="CJ387">
        <f>IFERROR(INDEX(PP_Grid[#Data],$DD387,86),0)</f>
        <v/>
      </c>
      <c r="CK387">
        <f>IFERROR(INDEX(PP_Grid[#Data],$DD387,87),0)</f>
        <v/>
      </c>
      <c r="CL387">
        <f>IFERROR(INDEX(PP_Grid[#Data],$DD387,88),0)</f>
        <v/>
      </c>
      <c r="CM387">
        <f>IFERROR(INDEX(PP_Grid[#Data],$DD387,89),0)</f>
        <v/>
      </c>
      <c r="CN387">
        <f>IFERROR(INDEX(PP_Grid[#Data],$DD387,90),0)</f>
        <v/>
      </c>
      <c r="CO387">
        <f>IFERROR(INDEX(PP_Grid[#Data],$DD387,91),0)</f>
        <v/>
      </c>
      <c r="CP387">
        <f>IFERROR(INDEX(PP_Grid[#Data],$DD387,92),0)</f>
        <v/>
      </c>
      <c r="CQ387">
        <f>IFERROR(INDEX(PP_Grid[#Data],$DD387,93),0)</f>
        <v/>
      </c>
      <c r="CR387">
        <f>IFERROR(INDEX(PP_Grid[#Data],$DD387,94),0)</f>
        <v/>
      </c>
      <c r="CS387">
        <f>IFERROR(INDEX(PP_Grid[#Data],$DD387,95),0)</f>
        <v/>
      </c>
      <c r="CT387">
        <f>IFERROR(INDEX(PP_Grid[#Data],$DD387,96),0)</f>
        <v/>
      </c>
      <c r="CU387">
        <f>IFERROR(INDEX(PP_Grid[#Data],$DD387,97),0)</f>
        <v/>
      </c>
      <c r="CV387">
        <f>IFERROR(INDEX(PP_Grid[#Data],$DD387,98),0)</f>
        <v/>
      </c>
      <c r="CW387">
        <f>IFERROR(INDEX(PP_Grid[#Data],$DD387,99),0)</f>
        <v/>
      </c>
      <c r="CX387">
        <f>IFERROR(INDEX(PP_Grid[#Data],$DD387,100),0)</f>
        <v/>
      </c>
      <c r="CY387">
        <f>IFERROR(INDEX(PP_Grid[#Data],$DD387,101),0)</f>
        <v/>
      </c>
      <c r="CZ387">
        <f>IFERROR(INDEX(PP_Grid[#Data],$DD387,102),0)</f>
        <v/>
      </c>
      <c r="DA387">
        <f>IFERROR(INDEX(PP_Grid[#Data],$DD387,103),0)</f>
        <v/>
      </c>
      <c r="DB387">
        <f>IFERROR(INDEX(PP_Grid[#Data],$DD387,104),0)</f>
        <v/>
      </c>
      <c r="DC387">
        <f>IFERROR(INDEX(PP_Grid[#Data],$DD387,105),0)</f>
        <v/>
      </c>
      <c r="DD387" s="7">
        <f>IFERROR(MATCH($B387,PP_Grid[Intermediate],0),99999)</f>
        <v/>
      </c>
    </row>
    <row r="388">
      <c r="B388" t="inlineStr">
        <is>
          <t>使用量(kg)</t>
        </is>
      </c>
      <c r="C388">
        <f>SUMIFS(M_BOM[RM_Qty_Per_Batch],M_BOM[Intermediate],$B387,M_BOM[Part Name],$A340)</f>
        <v/>
      </c>
      <c r="D388">
        <f>$C388*D387</f>
        <v/>
      </c>
      <c r="E388">
        <f>$C388*E387</f>
        <v/>
      </c>
      <c r="F388">
        <f>$C388*F387</f>
        <v/>
      </c>
      <c r="G388">
        <f>$C388*G387</f>
        <v/>
      </c>
      <c r="H388">
        <f>$C388*H387</f>
        <v/>
      </c>
      <c r="I388">
        <f>$C388*I387</f>
        <v/>
      </c>
      <c r="J388">
        <f>$C388*J387</f>
        <v/>
      </c>
      <c r="K388">
        <f>$C388*K387</f>
        <v/>
      </c>
      <c r="L388">
        <f>$C388*L387</f>
        <v/>
      </c>
      <c r="M388">
        <f>$C388*M387</f>
        <v/>
      </c>
      <c r="N388">
        <f>$C388*N387</f>
        <v/>
      </c>
      <c r="O388">
        <f>$C388*O387</f>
        <v/>
      </c>
      <c r="P388">
        <f>$C388*P387</f>
        <v/>
      </c>
      <c r="Q388">
        <f>$C388*Q387</f>
        <v/>
      </c>
      <c r="R388">
        <f>$C388*R387</f>
        <v/>
      </c>
      <c r="S388">
        <f>$C388*S387</f>
        <v/>
      </c>
      <c r="T388">
        <f>$C388*T387</f>
        <v/>
      </c>
      <c r="U388">
        <f>$C388*U387</f>
        <v/>
      </c>
      <c r="V388">
        <f>$C388*V387</f>
        <v/>
      </c>
      <c r="W388">
        <f>$C388*W387</f>
        <v/>
      </c>
      <c r="X388">
        <f>$C388*X387</f>
        <v/>
      </c>
      <c r="Y388">
        <f>$C388*Y387</f>
        <v/>
      </c>
      <c r="Z388">
        <f>$C388*Z387</f>
        <v/>
      </c>
      <c r="AA388">
        <f>$C388*AA387</f>
        <v/>
      </c>
      <c r="AB388">
        <f>$C388*AB387</f>
        <v/>
      </c>
      <c r="AC388">
        <f>$C388*AC387</f>
        <v/>
      </c>
      <c r="AD388">
        <f>$C388*AD387</f>
        <v/>
      </c>
      <c r="AE388">
        <f>$C388*AE387</f>
        <v/>
      </c>
      <c r="AF388">
        <f>$C388*AF387</f>
        <v/>
      </c>
      <c r="AG388">
        <f>$C388*AG387</f>
        <v/>
      </c>
      <c r="AH388">
        <f>$C388*AH387</f>
        <v/>
      </c>
      <c r="AI388">
        <f>$C388*AI387</f>
        <v/>
      </c>
      <c r="AJ388">
        <f>$C388*AJ387</f>
        <v/>
      </c>
      <c r="AK388">
        <f>$C388*AK387</f>
        <v/>
      </c>
      <c r="AL388">
        <f>$C388*AL387</f>
        <v/>
      </c>
      <c r="AM388">
        <f>$C388*AM387</f>
        <v/>
      </c>
      <c r="AN388">
        <f>$C388*AN387</f>
        <v/>
      </c>
      <c r="AO388">
        <f>$C388*AO387</f>
        <v/>
      </c>
      <c r="AP388">
        <f>$C388*AP387</f>
        <v/>
      </c>
      <c r="AQ388">
        <f>$C388*AQ387</f>
        <v/>
      </c>
      <c r="AR388">
        <f>$C388*AR387</f>
        <v/>
      </c>
      <c r="AS388">
        <f>$C388*AS387</f>
        <v/>
      </c>
      <c r="AT388">
        <f>$C388*AT387</f>
        <v/>
      </c>
      <c r="AU388">
        <f>$C388*AU387</f>
        <v/>
      </c>
      <c r="AV388">
        <f>$C388*AV387</f>
        <v/>
      </c>
      <c r="AW388">
        <f>$C388*AW387</f>
        <v/>
      </c>
      <c r="AX388">
        <f>$C388*AX387</f>
        <v/>
      </c>
      <c r="AY388">
        <f>$C388*AY387</f>
        <v/>
      </c>
      <c r="AZ388">
        <f>$C388*AZ387</f>
        <v/>
      </c>
      <c r="BA388">
        <f>$C388*BA387</f>
        <v/>
      </c>
      <c r="BB388">
        <f>$C388*BB387</f>
        <v/>
      </c>
      <c r="BC388">
        <f>$C388*BC387</f>
        <v/>
      </c>
      <c r="BD388">
        <f>$C388*BD387</f>
        <v/>
      </c>
      <c r="BE388">
        <f>$C388*BE387</f>
        <v/>
      </c>
      <c r="BF388">
        <f>$C388*BF387</f>
        <v/>
      </c>
      <c r="BG388">
        <f>$C388*BG387</f>
        <v/>
      </c>
      <c r="BH388">
        <f>$C388*BH387</f>
        <v/>
      </c>
      <c r="BI388">
        <f>$C388*BI387</f>
        <v/>
      </c>
      <c r="BJ388">
        <f>$C388*BJ387</f>
        <v/>
      </c>
      <c r="BK388">
        <f>$C388*BK387</f>
        <v/>
      </c>
      <c r="BL388">
        <f>$C388*BL387</f>
        <v/>
      </c>
      <c r="BM388">
        <f>$C388*BM387</f>
        <v/>
      </c>
      <c r="BN388">
        <f>$C388*BN387</f>
        <v/>
      </c>
      <c r="BO388">
        <f>$C388*BO387</f>
        <v/>
      </c>
      <c r="BP388">
        <f>$C388*BP387</f>
        <v/>
      </c>
      <c r="BQ388">
        <f>$C388*BQ387</f>
        <v/>
      </c>
      <c r="BR388">
        <f>$C388*BR387</f>
        <v/>
      </c>
      <c r="BS388">
        <f>$C388*BS387</f>
        <v/>
      </c>
      <c r="BT388">
        <f>$C388*BT387</f>
        <v/>
      </c>
      <c r="BU388">
        <f>$C388*BU387</f>
        <v/>
      </c>
      <c r="BV388">
        <f>$C388*BV387</f>
        <v/>
      </c>
      <c r="BW388">
        <f>$C388*BW387</f>
        <v/>
      </c>
      <c r="BX388">
        <f>$C388*BX387</f>
        <v/>
      </c>
      <c r="BY388">
        <f>$C388*BY387</f>
        <v/>
      </c>
      <c r="BZ388">
        <f>$C388*BZ387</f>
        <v/>
      </c>
      <c r="CA388">
        <f>$C388*CA387</f>
        <v/>
      </c>
      <c r="CB388">
        <f>$C388*CB387</f>
        <v/>
      </c>
      <c r="CC388">
        <f>$C388*CC387</f>
        <v/>
      </c>
      <c r="CD388">
        <f>$C388*CD387</f>
        <v/>
      </c>
      <c r="CE388">
        <f>$C388*CE387</f>
        <v/>
      </c>
      <c r="CF388">
        <f>$C388*CF387</f>
        <v/>
      </c>
      <c r="CG388">
        <f>$C388*CG387</f>
        <v/>
      </c>
      <c r="CH388">
        <f>$C388*CH387</f>
        <v/>
      </c>
      <c r="CI388">
        <f>$C388*CI387</f>
        <v/>
      </c>
      <c r="CJ388">
        <f>$C388*CJ387</f>
        <v/>
      </c>
      <c r="CK388">
        <f>$C388*CK387</f>
        <v/>
      </c>
      <c r="CL388">
        <f>$C388*CL387</f>
        <v/>
      </c>
      <c r="CM388">
        <f>$C388*CM387</f>
        <v/>
      </c>
      <c r="CN388">
        <f>$C388*CN387</f>
        <v/>
      </c>
      <c r="CO388">
        <f>$C388*CO387</f>
        <v/>
      </c>
      <c r="CP388">
        <f>$C388*CP387</f>
        <v/>
      </c>
      <c r="CQ388">
        <f>$C388*CQ387</f>
        <v/>
      </c>
      <c r="CR388">
        <f>$C388*CR387</f>
        <v/>
      </c>
      <c r="CS388">
        <f>$C388*CS387</f>
        <v/>
      </c>
      <c r="CT388">
        <f>$C388*CT387</f>
        <v/>
      </c>
      <c r="CU388">
        <f>$C388*CU387</f>
        <v/>
      </c>
      <c r="CV388">
        <f>$C388*CV387</f>
        <v/>
      </c>
      <c r="CW388">
        <f>$C388*CW387</f>
        <v/>
      </c>
      <c r="CX388">
        <f>$C388*CX387</f>
        <v/>
      </c>
      <c r="CY388">
        <f>$C388*CY387</f>
        <v/>
      </c>
      <c r="CZ388">
        <f>$C388*CZ387</f>
        <v/>
      </c>
      <c r="DA388">
        <f>$C388*DA387</f>
        <v/>
      </c>
      <c r="DB388">
        <f>$C388*DB387</f>
        <v/>
      </c>
      <c r="DC388">
        <f>$C388*DC387</f>
        <v/>
      </c>
    </row>
    <row r="389">
      <c r="B389" t="inlineStr">
        <is>
          <t>TSP-828</t>
        </is>
      </c>
      <c r="C389" t="inlineStr">
        <is>
          <t>No. of batches</t>
        </is>
      </c>
      <c r="D389">
        <f>IFERROR(INDEX(PP_Grid[#Data],$DD389,2),0)</f>
        <v/>
      </c>
      <c r="E389">
        <f>IFERROR(INDEX(PP_Grid[#Data],$DD389,3),0)</f>
        <v/>
      </c>
      <c r="F389">
        <f>IFERROR(INDEX(PP_Grid[#Data],$DD389,4),0)</f>
        <v/>
      </c>
      <c r="G389">
        <f>IFERROR(INDEX(PP_Grid[#Data],$DD389,5),0)</f>
        <v/>
      </c>
      <c r="H389">
        <f>IFERROR(INDEX(PP_Grid[#Data],$DD389,6),0)</f>
        <v/>
      </c>
      <c r="I389">
        <f>IFERROR(INDEX(PP_Grid[#Data],$DD389,7),0)</f>
        <v/>
      </c>
      <c r="J389">
        <f>IFERROR(INDEX(PP_Grid[#Data],$DD389,8),0)</f>
        <v/>
      </c>
      <c r="K389">
        <f>IFERROR(INDEX(PP_Grid[#Data],$DD389,9),0)</f>
        <v/>
      </c>
      <c r="L389">
        <f>IFERROR(INDEX(PP_Grid[#Data],$DD389,10),0)</f>
        <v/>
      </c>
      <c r="M389">
        <f>IFERROR(INDEX(PP_Grid[#Data],$DD389,11),0)</f>
        <v/>
      </c>
      <c r="N389">
        <f>IFERROR(INDEX(PP_Grid[#Data],$DD389,12),0)</f>
        <v/>
      </c>
      <c r="O389">
        <f>IFERROR(INDEX(PP_Grid[#Data],$DD389,13),0)</f>
        <v/>
      </c>
      <c r="P389">
        <f>IFERROR(INDEX(PP_Grid[#Data],$DD389,14),0)</f>
        <v/>
      </c>
      <c r="Q389">
        <f>IFERROR(INDEX(PP_Grid[#Data],$DD389,15),0)</f>
        <v/>
      </c>
      <c r="R389">
        <f>IFERROR(INDEX(PP_Grid[#Data],$DD389,16),0)</f>
        <v/>
      </c>
      <c r="S389">
        <f>IFERROR(INDEX(PP_Grid[#Data],$DD389,17),0)</f>
        <v/>
      </c>
      <c r="T389">
        <f>IFERROR(INDEX(PP_Grid[#Data],$DD389,18),0)</f>
        <v/>
      </c>
      <c r="U389">
        <f>IFERROR(INDEX(PP_Grid[#Data],$DD389,19),0)</f>
        <v/>
      </c>
      <c r="V389">
        <f>IFERROR(INDEX(PP_Grid[#Data],$DD389,20),0)</f>
        <v/>
      </c>
      <c r="W389">
        <f>IFERROR(INDEX(PP_Grid[#Data],$DD389,21),0)</f>
        <v/>
      </c>
      <c r="X389">
        <f>IFERROR(INDEX(PP_Grid[#Data],$DD389,22),0)</f>
        <v/>
      </c>
      <c r="Y389">
        <f>IFERROR(INDEX(PP_Grid[#Data],$DD389,23),0)</f>
        <v/>
      </c>
      <c r="Z389">
        <f>IFERROR(INDEX(PP_Grid[#Data],$DD389,24),0)</f>
        <v/>
      </c>
      <c r="AA389">
        <f>IFERROR(INDEX(PP_Grid[#Data],$DD389,25),0)</f>
        <v/>
      </c>
      <c r="AB389">
        <f>IFERROR(INDEX(PP_Grid[#Data],$DD389,26),0)</f>
        <v/>
      </c>
      <c r="AC389">
        <f>IFERROR(INDEX(PP_Grid[#Data],$DD389,27),0)</f>
        <v/>
      </c>
      <c r="AD389">
        <f>IFERROR(INDEX(PP_Grid[#Data],$DD389,28),0)</f>
        <v/>
      </c>
      <c r="AE389">
        <f>IFERROR(INDEX(PP_Grid[#Data],$DD389,29),0)</f>
        <v/>
      </c>
      <c r="AF389">
        <f>IFERROR(INDEX(PP_Grid[#Data],$DD389,30),0)</f>
        <v/>
      </c>
      <c r="AG389">
        <f>IFERROR(INDEX(PP_Grid[#Data],$DD389,31),0)</f>
        <v/>
      </c>
      <c r="AH389">
        <f>IFERROR(INDEX(PP_Grid[#Data],$DD389,32),0)</f>
        <v/>
      </c>
      <c r="AI389">
        <f>IFERROR(INDEX(PP_Grid[#Data],$DD389,33),0)</f>
        <v/>
      </c>
      <c r="AJ389">
        <f>IFERROR(INDEX(PP_Grid[#Data],$DD389,34),0)</f>
        <v/>
      </c>
      <c r="AK389">
        <f>IFERROR(INDEX(PP_Grid[#Data],$DD389,35),0)</f>
        <v/>
      </c>
      <c r="AL389">
        <f>IFERROR(INDEX(PP_Grid[#Data],$DD389,36),0)</f>
        <v/>
      </c>
      <c r="AM389">
        <f>IFERROR(INDEX(PP_Grid[#Data],$DD389,37),0)</f>
        <v/>
      </c>
      <c r="AN389">
        <f>IFERROR(INDEX(PP_Grid[#Data],$DD389,38),0)</f>
        <v/>
      </c>
      <c r="AO389">
        <f>IFERROR(INDEX(PP_Grid[#Data],$DD389,39),0)</f>
        <v/>
      </c>
      <c r="AP389">
        <f>IFERROR(INDEX(PP_Grid[#Data],$DD389,40),0)</f>
        <v/>
      </c>
      <c r="AQ389">
        <f>IFERROR(INDEX(PP_Grid[#Data],$DD389,41),0)</f>
        <v/>
      </c>
      <c r="AR389">
        <f>IFERROR(INDEX(PP_Grid[#Data],$DD389,42),0)</f>
        <v/>
      </c>
      <c r="AS389">
        <f>IFERROR(INDEX(PP_Grid[#Data],$DD389,43),0)</f>
        <v/>
      </c>
      <c r="AT389">
        <f>IFERROR(INDEX(PP_Grid[#Data],$DD389,44),0)</f>
        <v/>
      </c>
      <c r="AU389">
        <f>IFERROR(INDEX(PP_Grid[#Data],$DD389,45),0)</f>
        <v/>
      </c>
      <c r="AV389">
        <f>IFERROR(INDEX(PP_Grid[#Data],$DD389,46),0)</f>
        <v/>
      </c>
      <c r="AW389">
        <f>IFERROR(INDEX(PP_Grid[#Data],$DD389,47),0)</f>
        <v/>
      </c>
      <c r="AX389">
        <f>IFERROR(INDEX(PP_Grid[#Data],$DD389,48),0)</f>
        <v/>
      </c>
      <c r="AY389">
        <f>IFERROR(INDEX(PP_Grid[#Data],$DD389,49),0)</f>
        <v/>
      </c>
      <c r="AZ389">
        <f>IFERROR(INDEX(PP_Grid[#Data],$DD389,50),0)</f>
        <v/>
      </c>
      <c r="BA389">
        <f>IFERROR(INDEX(PP_Grid[#Data],$DD389,51),0)</f>
        <v/>
      </c>
      <c r="BB389">
        <f>IFERROR(INDEX(PP_Grid[#Data],$DD389,52),0)</f>
        <v/>
      </c>
      <c r="BC389">
        <f>IFERROR(INDEX(PP_Grid[#Data],$DD389,53),0)</f>
        <v/>
      </c>
      <c r="BD389">
        <f>IFERROR(INDEX(PP_Grid[#Data],$DD389,54),0)</f>
        <v/>
      </c>
      <c r="BE389">
        <f>IFERROR(INDEX(PP_Grid[#Data],$DD389,55),0)</f>
        <v/>
      </c>
      <c r="BF389">
        <f>IFERROR(INDEX(PP_Grid[#Data],$DD389,56),0)</f>
        <v/>
      </c>
      <c r="BG389">
        <f>IFERROR(INDEX(PP_Grid[#Data],$DD389,57),0)</f>
        <v/>
      </c>
      <c r="BH389">
        <f>IFERROR(INDEX(PP_Grid[#Data],$DD389,58),0)</f>
        <v/>
      </c>
      <c r="BI389">
        <f>IFERROR(INDEX(PP_Grid[#Data],$DD389,59),0)</f>
        <v/>
      </c>
      <c r="BJ389">
        <f>IFERROR(INDEX(PP_Grid[#Data],$DD389,60),0)</f>
        <v/>
      </c>
      <c r="BK389">
        <f>IFERROR(INDEX(PP_Grid[#Data],$DD389,61),0)</f>
        <v/>
      </c>
      <c r="BL389">
        <f>IFERROR(INDEX(PP_Grid[#Data],$DD389,62),0)</f>
        <v/>
      </c>
      <c r="BM389">
        <f>IFERROR(INDEX(PP_Grid[#Data],$DD389,63),0)</f>
        <v/>
      </c>
      <c r="BN389">
        <f>IFERROR(INDEX(PP_Grid[#Data],$DD389,64),0)</f>
        <v/>
      </c>
      <c r="BO389">
        <f>IFERROR(INDEX(PP_Grid[#Data],$DD389,65),0)</f>
        <v/>
      </c>
      <c r="BP389">
        <f>IFERROR(INDEX(PP_Grid[#Data],$DD389,66),0)</f>
        <v/>
      </c>
      <c r="BQ389">
        <f>IFERROR(INDEX(PP_Grid[#Data],$DD389,67),0)</f>
        <v/>
      </c>
      <c r="BR389">
        <f>IFERROR(INDEX(PP_Grid[#Data],$DD389,68),0)</f>
        <v/>
      </c>
      <c r="BS389">
        <f>IFERROR(INDEX(PP_Grid[#Data],$DD389,69),0)</f>
        <v/>
      </c>
      <c r="BT389">
        <f>IFERROR(INDEX(PP_Grid[#Data],$DD389,70),0)</f>
        <v/>
      </c>
      <c r="BU389">
        <f>IFERROR(INDEX(PP_Grid[#Data],$DD389,71),0)</f>
        <v/>
      </c>
      <c r="BV389">
        <f>IFERROR(INDEX(PP_Grid[#Data],$DD389,72),0)</f>
        <v/>
      </c>
      <c r="BW389">
        <f>IFERROR(INDEX(PP_Grid[#Data],$DD389,73),0)</f>
        <v/>
      </c>
      <c r="BX389">
        <f>IFERROR(INDEX(PP_Grid[#Data],$DD389,74),0)</f>
        <v/>
      </c>
      <c r="BY389">
        <f>IFERROR(INDEX(PP_Grid[#Data],$DD389,75),0)</f>
        <v/>
      </c>
      <c r="BZ389">
        <f>IFERROR(INDEX(PP_Grid[#Data],$DD389,76),0)</f>
        <v/>
      </c>
      <c r="CA389">
        <f>IFERROR(INDEX(PP_Grid[#Data],$DD389,77),0)</f>
        <v/>
      </c>
      <c r="CB389">
        <f>IFERROR(INDEX(PP_Grid[#Data],$DD389,78),0)</f>
        <v/>
      </c>
      <c r="CC389">
        <f>IFERROR(INDEX(PP_Grid[#Data],$DD389,79),0)</f>
        <v/>
      </c>
      <c r="CD389">
        <f>IFERROR(INDEX(PP_Grid[#Data],$DD389,80),0)</f>
        <v/>
      </c>
      <c r="CE389">
        <f>IFERROR(INDEX(PP_Grid[#Data],$DD389,81),0)</f>
        <v/>
      </c>
      <c r="CF389">
        <f>IFERROR(INDEX(PP_Grid[#Data],$DD389,82),0)</f>
        <v/>
      </c>
      <c r="CG389">
        <f>IFERROR(INDEX(PP_Grid[#Data],$DD389,83),0)</f>
        <v/>
      </c>
      <c r="CH389">
        <f>IFERROR(INDEX(PP_Grid[#Data],$DD389,84),0)</f>
        <v/>
      </c>
      <c r="CI389">
        <f>IFERROR(INDEX(PP_Grid[#Data],$DD389,85),0)</f>
        <v/>
      </c>
      <c r="CJ389">
        <f>IFERROR(INDEX(PP_Grid[#Data],$DD389,86),0)</f>
        <v/>
      </c>
      <c r="CK389">
        <f>IFERROR(INDEX(PP_Grid[#Data],$DD389,87),0)</f>
        <v/>
      </c>
      <c r="CL389">
        <f>IFERROR(INDEX(PP_Grid[#Data],$DD389,88),0)</f>
        <v/>
      </c>
      <c r="CM389">
        <f>IFERROR(INDEX(PP_Grid[#Data],$DD389,89),0)</f>
        <v/>
      </c>
      <c r="CN389">
        <f>IFERROR(INDEX(PP_Grid[#Data],$DD389,90),0)</f>
        <v/>
      </c>
      <c r="CO389">
        <f>IFERROR(INDEX(PP_Grid[#Data],$DD389,91),0)</f>
        <v/>
      </c>
      <c r="CP389">
        <f>IFERROR(INDEX(PP_Grid[#Data],$DD389,92),0)</f>
        <v/>
      </c>
      <c r="CQ389">
        <f>IFERROR(INDEX(PP_Grid[#Data],$DD389,93),0)</f>
        <v/>
      </c>
      <c r="CR389">
        <f>IFERROR(INDEX(PP_Grid[#Data],$DD389,94),0)</f>
        <v/>
      </c>
      <c r="CS389">
        <f>IFERROR(INDEX(PP_Grid[#Data],$DD389,95),0)</f>
        <v/>
      </c>
      <c r="CT389">
        <f>IFERROR(INDEX(PP_Grid[#Data],$DD389,96),0)</f>
        <v/>
      </c>
      <c r="CU389">
        <f>IFERROR(INDEX(PP_Grid[#Data],$DD389,97),0)</f>
        <v/>
      </c>
      <c r="CV389">
        <f>IFERROR(INDEX(PP_Grid[#Data],$DD389,98),0)</f>
        <v/>
      </c>
      <c r="CW389">
        <f>IFERROR(INDEX(PP_Grid[#Data],$DD389,99),0)</f>
        <v/>
      </c>
      <c r="CX389">
        <f>IFERROR(INDEX(PP_Grid[#Data],$DD389,100),0)</f>
        <v/>
      </c>
      <c r="CY389">
        <f>IFERROR(INDEX(PP_Grid[#Data],$DD389,101),0)</f>
        <v/>
      </c>
      <c r="CZ389">
        <f>IFERROR(INDEX(PP_Grid[#Data],$DD389,102),0)</f>
        <v/>
      </c>
      <c r="DA389">
        <f>IFERROR(INDEX(PP_Grid[#Data],$DD389,103),0)</f>
        <v/>
      </c>
      <c r="DB389">
        <f>IFERROR(INDEX(PP_Grid[#Data],$DD389,104),0)</f>
        <v/>
      </c>
      <c r="DC389">
        <f>IFERROR(INDEX(PP_Grid[#Data],$DD389,105),0)</f>
        <v/>
      </c>
      <c r="DD389" s="7">
        <f>IFERROR(MATCH($B389,PP_Grid[Intermediate],0),99999)</f>
        <v/>
      </c>
    </row>
    <row r="390">
      <c r="B390" t="inlineStr">
        <is>
          <t>使用量(kg)</t>
        </is>
      </c>
      <c r="C390">
        <f>SUMIFS(M_BOM[RM_Qty_Per_Batch],M_BOM[Intermediate],$B389,M_BOM[Part Name],$A340)</f>
        <v/>
      </c>
      <c r="D390">
        <f>$C390*D389</f>
        <v/>
      </c>
      <c r="E390">
        <f>$C390*E389</f>
        <v/>
      </c>
      <c r="F390">
        <f>$C390*F389</f>
        <v/>
      </c>
      <c r="G390">
        <f>$C390*G389</f>
        <v/>
      </c>
      <c r="H390">
        <f>$C390*H389</f>
        <v/>
      </c>
      <c r="I390">
        <f>$C390*I389</f>
        <v/>
      </c>
      <c r="J390">
        <f>$C390*J389</f>
        <v/>
      </c>
      <c r="K390">
        <f>$C390*K389</f>
        <v/>
      </c>
      <c r="L390">
        <f>$C390*L389</f>
        <v/>
      </c>
      <c r="M390">
        <f>$C390*M389</f>
        <v/>
      </c>
      <c r="N390">
        <f>$C390*N389</f>
        <v/>
      </c>
      <c r="O390">
        <f>$C390*O389</f>
        <v/>
      </c>
      <c r="P390">
        <f>$C390*P389</f>
        <v/>
      </c>
      <c r="Q390">
        <f>$C390*Q389</f>
        <v/>
      </c>
      <c r="R390">
        <f>$C390*R389</f>
        <v/>
      </c>
      <c r="S390">
        <f>$C390*S389</f>
        <v/>
      </c>
      <c r="T390">
        <f>$C390*T389</f>
        <v/>
      </c>
      <c r="U390">
        <f>$C390*U389</f>
        <v/>
      </c>
      <c r="V390">
        <f>$C390*V389</f>
        <v/>
      </c>
      <c r="W390">
        <f>$C390*W389</f>
        <v/>
      </c>
      <c r="X390">
        <f>$C390*X389</f>
        <v/>
      </c>
      <c r="Y390">
        <f>$C390*Y389</f>
        <v/>
      </c>
      <c r="Z390">
        <f>$C390*Z389</f>
        <v/>
      </c>
      <c r="AA390">
        <f>$C390*AA389</f>
        <v/>
      </c>
      <c r="AB390">
        <f>$C390*AB389</f>
        <v/>
      </c>
      <c r="AC390">
        <f>$C390*AC389</f>
        <v/>
      </c>
      <c r="AD390">
        <f>$C390*AD389</f>
        <v/>
      </c>
      <c r="AE390">
        <f>$C390*AE389</f>
        <v/>
      </c>
      <c r="AF390">
        <f>$C390*AF389</f>
        <v/>
      </c>
      <c r="AG390">
        <f>$C390*AG389</f>
        <v/>
      </c>
      <c r="AH390">
        <f>$C390*AH389</f>
        <v/>
      </c>
      <c r="AI390">
        <f>$C390*AI389</f>
        <v/>
      </c>
      <c r="AJ390">
        <f>$C390*AJ389</f>
        <v/>
      </c>
      <c r="AK390">
        <f>$C390*AK389</f>
        <v/>
      </c>
      <c r="AL390">
        <f>$C390*AL389</f>
        <v/>
      </c>
      <c r="AM390">
        <f>$C390*AM389</f>
        <v/>
      </c>
      <c r="AN390">
        <f>$C390*AN389</f>
        <v/>
      </c>
      <c r="AO390">
        <f>$C390*AO389</f>
        <v/>
      </c>
      <c r="AP390">
        <f>$C390*AP389</f>
        <v/>
      </c>
      <c r="AQ390">
        <f>$C390*AQ389</f>
        <v/>
      </c>
      <c r="AR390">
        <f>$C390*AR389</f>
        <v/>
      </c>
      <c r="AS390">
        <f>$C390*AS389</f>
        <v/>
      </c>
      <c r="AT390">
        <f>$C390*AT389</f>
        <v/>
      </c>
      <c r="AU390">
        <f>$C390*AU389</f>
        <v/>
      </c>
      <c r="AV390">
        <f>$C390*AV389</f>
        <v/>
      </c>
      <c r="AW390">
        <f>$C390*AW389</f>
        <v/>
      </c>
      <c r="AX390">
        <f>$C390*AX389</f>
        <v/>
      </c>
      <c r="AY390">
        <f>$C390*AY389</f>
        <v/>
      </c>
      <c r="AZ390">
        <f>$C390*AZ389</f>
        <v/>
      </c>
      <c r="BA390">
        <f>$C390*BA389</f>
        <v/>
      </c>
      <c r="BB390">
        <f>$C390*BB389</f>
        <v/>
      </c>
      <c r="BC390">
        <f>$C390*BC389</f>
        <v/>
      </c>
      <c r="BD390">
        <f>$C390*BD389</f>
        <v/>
      </c>
      <c r="BE390">
        <f>$C390*BE389</f>
        <v/>
      </c>
      <c r="BF390">
        <f>$C390*BF389</f>
        <v/>
      </c>
      <c r="BG390">
        <f>$C390*BG389</f>
        <v/>
      </c>
      <c r="BH390">
        <f>$C390*BH389</f>
        <v/>
      </c>
      <c r="BI390">
        <f>$C390*BI389</f>
        <v/>
      </c>
      <c r="BJ390">
        <f>$C390*BJ389</f>
        <v/>
      </c>
      <c r="BK390">
        <f>$C390*BK389</f>
        <v/>
      </c>
      <c r="BL390">
        <f>$C390*BL389</f>
        <v/>
      </c>
      <c r="BM390">
        <f>$C390*BM389</f>
        <v/>
      </c>
      <c r="BN390">
        <f>$C390*BN389</f>
        <v/>
      </c>
      <c r="BO390">
        <f>$C390*BO389</f>
        <v/>
      </c>
      <c r="BP390">
        <f>$C390*BP389</f>
        <v/>
      </c>
      <c r="BQ390">
        <f>$C390*BQ389</f>
        <v/>
      </c>
      <c r="BR390">
        <f>$C390*BR389</f>
        <v/>
      </c>
      <c r="BS390">
        <f>$C390*BS389</f>
        <v/>
      </c>
      <c r="BT390">
        <f>$C390*BT389</f>
        <v/>
      </c>
      <c r="BU390">
        <f>$C390*BU389</f>
        <v/>
      </c>
      <c r="BV390">
        <f>$C390*BV389</f>
        <v/>
      </c>
      <c r="BW390">
        <f>$C390*BW389</f>
        <v/>
      </c>
      <c r="BX390">
        <f>$C390*BX389</f>
        <v/>
      </c>
      <c r="BY390">
        <f>$C390*BY389</f>
        <v/>
      </c>
      <c r="BZ390">
        <f>$C390*BZ389</f>
        <v/>
      </c>
      <c r="CA390">
        <f>$C390*CA389</f>
        <v/>
      </c>
      <c r="CB390">
        <f>$C390*CB389</f>
        <v/>
      </c>
      <c r="CC390">
        <f>$C390*CC389</f>
        <v/>
      </c>
      <c r="CD390">
        <f>$C390*CD389</f>
        <v/>
      </c>
      <c r="CE390">
        <f>$C390*CE389</f>
        <v/>
      </c>
      <c r="CF390">
        <f>$C390*CF389</f>
        <v/>
      </c>
      <c r="CG390">
        <f>$C390*CG389</f>
        <v/>
      </c>
      <c r="CH390">
        <f>$C390*CH389</f>
        <v/>
      </c>
      <c r="CI390">
        <f>$C390*CI389</f>
        <v/>
      </c>
      <c r="CJ390">
        <f>$C390*CJ389</f>
        <v/>
      </c>
      <c r="CK390">
        <f>$C390*CK389</f>
        <v/>
      </c>
      <c r="CL390">
        <f>$C390*CL389</f>
        <v/>
      </c>
      <c r="CM390">
        <f>$C390*CM389</f>
        <v/>
      </c>
      <c r="CN390">
        <f>$C390*CN389</f>
        <v/>
      </c>
      <c r="CO390">
        <f>$C390*CO389</f>
        <v/>
      </c>
      <c r="CP390">
        <f>$C390*CP389</f>
        <v/>
      </c>
      <c r="CQ390">
        <f>$C390*CQ389</f>
        <v/>
      </c>
      <c r="CR390">
        <f>$C390*CR389</f>
        <v/>
      </c>
      <c r="CS390">
        <f>$C390*CS389</f>
        <v/>
      </c>
      <c r="CT390">
        <f>$C390*CT389</f>
        <v/>
      </c>
      <c r="CU390">
        <f>$C390*CU389</f>
        <v/>
      </c>
      <c r="CV390">
        <f>$C390*CV389</f>
        <v/>
      </c>
      <c r="CW390">
        <f>$C390*CW389</f>
        <v/>
      </c>
      <c r="CX390">
        <f>$C390*CX389</f>
        <v/>
      </c>
      <c r="CY390">
        <f>$C390*CY389</f>
        <v/>
      </c>
      <c r="CZ390">
        <f>$C390*CZ389</f>
        <v/>
      </c>
      <c r="DA390">
        <f>$C390*DA389</f>
        <v/>
      </c>
      <c r="DB390">
        <f>$C390*DB389</f>
        <v/>
      </c>
      <c r="DC390">
        <f>$C390*DC389</f>
        <v/>
      </c>
    </row>
    <row r="391">
      <c r="B391" t="inlineStr">
        <is>
          <t>TSP-903</t>
        </is>
      </c>
      <c r="C391" t="inlineStr">
        <is>
          <t>No. of batches</t>
        </is>
      </c>
      <c r="D391">
        <f>IFERROR(INDEX(PP_Grid[#Data],$DD391,2),0)</f>
        <v/>
      </c>
      <c r="E391">
        <f>IFERROR(INDEX(PP_Grid[#Data],$DD391,3),0)</f>
        <v/>
      </c>
      <c r="F391">
        <f>IFERROR(INDEX(PP_Grid[#Data],$DD391,4),0)</f>
        <v/>
      </c>
      <c r="G391">
        <f>IFERROR(INDEX(PP_Grid[#Data],$DD391,5),0)</f>
        <v/>
      </c>
      <c r="H391">
        <f>IFERROR(INDEX(PP_Grid[#Data],$DD391,6),0)</f>
        <v/>
      </c>
      <c r="I391">
        <f>IFERROR(INDEX(PP_Grid[#Data],$DD391,7),0)</f>
        <v/>
      </c>
      <c r="J391">
        <f>IFERROR(INDEX(PP_Grid[#Data],$DD391,8),0)</f>
        <v/>
      </c>
      <c r="K391">
        <f>IFERROR(INDEX(PP_Grid[#Data],$DD391,9),0)</f>
        <v/>
      </c>
      <c r="L391">
        <f>IFERROR(INDEX(PP_Grid[#Data],$DD391,10),0)</f>
        <v/>
      </c>
      <c r="M391">
        <f>IFERROR(INDEX(PP_Grid[#Data],$DD391,11),0)</f>
        <v/>
      </c>
      <c r="N391">
        <f>IFERROR(INDEX(PP_Grid[#Data],$DD391,12),0)</f>
        <v/>
      </c>
      <c r="O391">
        <f>IFERROR(INDEX(PP_Grid[#Data],$DD391,13),0)</f>
        <v/>
      </c>
      <c r="P391">
        <f>IFERROR(INDEX(PP_Grid[#Data],$DD391,14),0)</f>
        <v/>
      </c>
      <c r="Q391">
        <f>IFERROR(INDEX(PP_Grid[#Data],$DD391,15),0)</f>
        <v/>
      </c>
      <c r="R391">
        <f>IFERROR(INDEX(PP_Grid[#Data],$DD391,16),0)</f>
        <v/>
      </c>
      <c r="S391">
        <f>IFERROR(INDEX(PP_Grid[#Data],$DD391,17),0)</f>
        <v/>
      </c>
      <c r="T391">
        <f>IFERROR(INDEX(PP_Grid[#Data],$DD391,18),0)</f>
        <v/>
      </c>
      <c r="U391">
        <f>IFERROR(INDEX(PP_Grid[#Data],$DD391,19),0)</f>
        <v/>
      </c>
      <c r="V391">
        <f>IFERROR(INDEX(PP_Grid[#Data],$DD391,20),0)</f>
        <v/>
      </c>
      <c r="W391">
        <f>IFERROR(INDEX(PP_Grid[#Data],$DD391,21),0)</f>
        <v/>
      </c>
      <c r="X391">
        <f>IFERROR(INDEX(PP_Grid[#Data],$DD391,22),0)</f>
        <v/>
      </c>
      <c r="Y391">
        <f>IFERROR(INDEX(PP_Grid[#Data],$DD391,23),0)</f>
        <v/>
      </c>
      <c r="Z391">
        <f>IFERROR(INDEX(PP_Grid[#Data],$DD391,24),0)</f>
        <v/>
      </c>
      <c r="AA391">
        <f>IFERROR(INDEX(PP_Grid[#Data],$DD391,25),0)</f>
        <v/>
      </c>
      <c r="AB391">
        <f>IFERROR(INDEX(PP_Grid[#Data],$DD391,26),0)</f>
        <v/>
      </c>
      <c r="AC391">
        <f>IFERROR(INDEX(PP_Grid[#Data],$DD391,27),0)</f>
        <v/>
      </c>
      <c r="AD391">
        <f>IFERROR(INDEX(PP_Grid[#Data],$DD391,28),0)</f>
        <v/>
      </c>
      <c r="AE391">
        <f>IFERROR(INDEX(PP_Grid[#Data],$DD391,29),0)</f>
        <v/>
      </c>
      <c r="AF391">
        <f>IFERROR(INDEX(PP_Grid[#Data],$DD391,30),0)</f>
        <v/>
      </c>
      <c r="AG391">
        <f>IFERROR(INDEX(PP_Grid[#Data],$DD391,31),0)</f>
        <v/>
      </c>
      <c r="AH391">
        <f>IFERROR(INDEX(PP_Grid[#Data],$DD391,32),0)</f>
        <v/>
      </c>
      <c r="AI391">
        <f>IFERROR(INDEX(PP_Grid[#Data],$DD391,33),0)</f>
        <v/>
      </c>
      <c r="AJ391">
        <f>IFERROR(INDEX(PP_Grid[#Data],$DD391,34),0)</f>
        <v/>
      </c>
      <c r="AK391">
        <f>IFERROR(INDEX(PP_Grid[#Data],$DD391,35),0)</f>
        <v/>
      </c>
      <c r="AL391">
        <f>IFERROR(INDEX(PP_Grid[#Data],$DD391,36),0)</f>
        <v/>
      </c>
      <c r="AM391">
        <f>IFERROR(INDEX(PP_Grid[#Data],$DD391,37),0)</f>
        <v/>
      </c>
      <c r="AN391">
        <f>IFERROR(INDEX(PP_Grid[#Data],$DD391,38),0)</f>
        <v/>
      </c>
      <c r="AO391">
        <f>IFERROR(INDEX(PP_Grid[#Data],$DD391,39),0)</f>
        <v/>
      </c>
      <c r="AP391">
        <f>IFERROR(INDEX(PP_Grid[#Data],$DD391,40),0)</f>
        <v/>
      </c>
      <c r="AQ391">
        <f>IFERROR(INDEX(PP_Grid[#Data],$DD391,41),0)</f>
        <v/>
      </c>
      <c r="AR391">
        <f>IFERROR(INDEX(PP_Grid[#Data],$DD391,42),0)</f>
        <v/>
      </c>
      <c r="AS391">
        <f>IFERROR(INDEX(PP_Grid[#Data],$DD391,43),0)</f>
        <v/>
      </c>
      <c r="AT391">
        <f>IFERROR(INDEX(PP_Grid[#Data],$DD391,44),0)</f>
        <v/>
      </c>
      <c r="AU391">
        <f>IFERROR(INDEX(PP_Grid[#Data],$DD391,45),0)</f>
        <v/>
      </c>
      <c r="AV391">
        <f>IFERROR(INDEX(PP_Grid[#Data],$DD391,46),0)</f>
        <v/>
      </c>
      <c r="AW391">
        <f>IFERROR(INDEX(PP_Grid[#Data],$DD391,47),0)</f>
        <v/>
      </c>
      <c r="AX391">
        <f>IFERROR(INDEX(PP_Grid[#Data],$DD391,48),0)</f>
        <v/>
      </c>
      <c r="AY391">
        <f>IFERROR(INDEX(PP_Grid[#Data],$DD391,49),0)</f>
        <v/>
      </c>
      <c r="AZ391">
        <f>IFERROR(INDEX(PP_Grid[#Data],$DD391,50),0)</f>
        <v/>
      </c>
      <c r="BA391">
        <f>IFERROR(INDEX(PP_Grid[#Data],$DD391,51),0)</f>
        <v/>
      </c>
      <c r="BB391">
        <f>IFERROR(INDEX(PP_Grid[#Data],$DD391,52),0)</f>
        <v/>
      </c>
      <c r="BC391">
        <f>IFERROR(INDEX(PP_Grid[#Data],$DD391,53),0)</f>
        <v/>
      </c>
      <c r="BD391">
        <f>IFERROR(INDEX(PP_Grid[#Data],$DD391,54),0)</f>
        <v/>
      </c>
      <c r="BE391">
        <f>IFERROR(INDEX(PP_Grid[#Data],$DD391,55),0)</f>
        <v/>
      </c>
      <c r="BF391">
        <f>IFERROR(INDEX(PP_Grid[#Data],$DD391,56),0)</f>
        <v/>
      </c>
      <c r="BG391">
        <f>IFERROR(INDEX(PP_Grid[#Data],$DD391,57),0)</f>
        <v/>
      </c>
      <c r="BH391">
        <f>IFERROR(INDEX(PP_Grid[#Data],$DD391,58),0)</f>
        <v/>
      </c>
      <c r="BI391">
        <f>IFERROR(INDEX(PP_Grid[#Data],$DD391,59),0)</f>
        <v/>
      </c>
      <c r="BJ391">
        <f>IFERROR(INDEX(PP_Grid[#Data],$DD391,60),0)</f>
        <v/>
      </c>
      <c r="BK391">
        <f>IFERROR(INDEX(PP_Grid[#Data],$DD391,61),0)</f>
        <v/>
      </c>
      <c r="BL391">
        <f>IFERROR(INDEX(PP_Grid[#Data],$DD391,62),0)</f>
        <v/>
      </c>
      <c r="BM391">
        <f>IFERROR(INDEX(PP_Grid[#Data],$DD391,63),0)</f>
        <v/>
      </c>
      <c r="BN391">
        <f>IFERROR(INDEX(PP_Grid[#Data],$DD391,64),0)</f>
        <v/>
      </c>
      <c r="BO391">
        <f>IFERROR(INDEX(PP_Grid[#Data],$DD391,65),0)</f>
        <v/>
      </c>
      <c r="BP391">
        <f>IFERROR(INDEX(PP_Grid[#Data],$DD391,66),0)</f>
        <v/>
      </c>
      <c r="BQ391">
        <f>IFERROR(INDEX(PP_Grid[#Data],$DD391,67),0)</f>
        <v/>
      </c>
      <c r="BR391">
        <f>IFERROR(INDEX(PP_Grid[#Data],$DD391,68),0)</f>
        <v/>
      </c>
      <c r="BS391">
        <f>IFERROR(INDEX(PP_Grid[#Data],$DD391,69),0)</f>
        <v/>
      </c>
      <c r="BT391">
        <f>IFERROR(INDEX(PP_Grid[#Data],$DD391,70),0)</f>
        <v/>
      </c>
      <c r="BU391">
        <f>IFERROR(INDEX(PP_Grid[#Data],$DD391,71),0)</f>
        <v/>
      </c>
      <c r="BV391">
        <f>IFERROR(INDEX(PP_Grid[#Data],$DD391,72),0)</f>
        <v/>
      </c>
      <c r="BW391">
        <f>IFERROR(INDEX(PP_Grid[#Data],$DD391,73),0)</f>
        <v/>
      </c>
      <c r="BX391">
        <f>IFERROR(INDEX(PP_Grid[#Data],$DD391,74),0)</f>
        <v/>
      </c>
      <c r="BY391">
        <f>IFERROR(INDEX(PP_Grid[#Data],$DD391,75),0)</f>
        <v/>
      </c>
      <c r="BZ391">
        <f>IFERROR(INDEX(PP_Grid[#Data],$DD391,76),0)</f>
        <v/>
      </c>
      <c r="CA391">
        <f>IFERROR(INDEX(PP_Grid[#Data],$DD391,77),0)</f>
        <v/>
      </c>
      <c r="CB391">
        <f>IFERROR(INDEX(PP_Grid[#Data],$DD391,78),0)</f>
        <v/>
      </c>
      <c r="CC391">
        <f>IFERROR(INDEX(PP_Grid[#Data],$DD391,79),0)</f>
        <v/>
      </c>
      <c r="CD391">
        <f>IFERROR(INDEX(PP_Grid[#Data],$DD391,80),0)</f>
        <v/>
      </c>
      <c r="CE391">
        <f>IFERROR(INDEX(PP_Grid[#Data],$DD391,81),0)</f>
        <v/>
      </c>
      <c r="CF391">
        <f>IFERROR(INDEX(PP_Grid[#Data],$DD391,82),0)</f>
        <v/>
      </c>
      <c r="CG391">
        <f>IFERROR(INDEX(PP_Grid[#Data],$DD391,83),0)</f>
        <v/>
      </c>
      <c r="CH391">
        <f>IFERROR(INDEX(PP_Grid[#Data],$DD391,84),0)</f>
        <v/>
      </c>
      <c r="CI391">
        <f>IFERROR(INDEX(PP_Grid[#Data],$DD391,85),0)</f>
        <v/>
      </c>
      <c r="CJ391">
        <f>IFERROR(INDEX(PP_Grid[#Data],$DD391,86),0)</f>
        <v/>
      </c>
      <c r="CK391">
        <f>IFERROR(INDEX(PP_Grid[#Data],$DD391,87),0)</f>
        <v/>
      </c>
      <c r="CL391">
        <f>IFERROR(INDEX(PP_Grid[#Data],$DD391,88),0)</f>
        <v/>
      </c>
      <c r="CM391">
        <f>IFERROR(INDEX(PP_Grid[#Data],$DD391,89),0)</f>
        <v/>
      </c>
      <c r="CN391">
        <f>IFERROR(INDEX(PP_Grid[#Data],$DD391,90),0)</f>
        <v/>
      </c>
      <c r="CO391">
        <f>IFERROR(INDEX(PP_Grid[#Data],$DD391,91),0)</f>
        <v/>
      </c>
      <c r="CP391">
        <f>IFERROR(INDEX(PP_Grid[#Data],$DD391,92),0)</f>
        <v/>
      </c>
      <c r="CQ391">
        <f>IFERROR(INDEX(PP_Grid[#Data],$DD391,93),0)</f>
        <v/>
      </c>
      <c r="CR391">
        <f>IFERROR(INDEX(PP_Grid[#Data],$DD391,94),0)</f>
        <v/>
      </c>
      <c r="CS391">
        <f>IFERROR(INDEX(PP_Grid[#Data],$DD391,95),0)</f>
        <v/>
      </c>
      <c r="CT391">
        <f>IFERROR(INDEX(PP_Grid[#Data],$DD391,96),0)</f>
        <v/>
      </c>
      <c r="CU391">
        <f>IFERROR(INDEX(PP_Grid[#Data],$DD391,97),0)</f>
        <v/>
      </c>
      <c r="CV391">
        <f>IFERROR(INDEX(PP_Grid[#Data],$DD391,98),0)</f>
        <v/>
      </c>
      <c r="CW391">
        <f>IFERROR(INDEX(PP_Grid[#Data],$DD391,99),0)</f>
        <v/>
      </c>
      <c r="CX391">
        <f>IFERROR(INDEX(PP_Grid[#Data],$DD391,100),0)</f>
        <v/>
      </c>
      <c r="CY391">
        <f>IFERROR(INDEX(PP_Grid[#Data],$DD391,101),0)</f>
        <v/>
      </c>
      <c r="CZ391">
        <f>IFERROR(INDEX(PP_Grid[#Data],$DD391,102),0)</f>
        <v/>
      </c>
      <c r="DA391">
        <f>IFERROR(INDEX(PP_Grid[#Data],$DD391,103),0)</f>
        <v/>
      </c>
      <c r="DB391">
        <f>IFERROR(INDEX(PP_Grid[#Data],$DD391,104),0)</f>
        <v/>
      </c>
      <c r="DC391">
        <f>IFERROR(INDEX(PP_Grid[#Data],$DD391,105),0)</f>
        <v/>
      </c>
      <c r="DD391" s="7">
        <f>IFERROR(MATCH($B391,PP_Grid[Intermediate],0),99999)</f>
        <v/>
      </c>
    </row>
    <row r="392">
      <c r="B392" t="inlineStr">
        <is>
          <t>使用量(kg)</t>
        </is>
      </c>
      <c r="C392">
        <f>SUMIFS(M_BOM[RM_Qty_Per_Batch],M_BOM[Intermediate],$B391,M_BOM[Part Name],$A340)</f>
        <v/>
      </c>
      <c r="D392">
        <f>$C392*D391</f>
        <v/>
      </c>
      <c r="E392">
        <f>$C392*E391</f>
        <v/>
      </c>
      <c r="F392">
        <f>$C392*F391</f>
        <v/>
      </c>
      <c r="G392">
        <f>$C392*G391</f>
        <v/>
      </c>
      <c r="H392">
        <f>$C392*H391</f>
        <v/>
      </c>
      <c r="I392">
        <f>$C392*I391</f>
        <v/>
      </c>
      <c r="J392">
        <f>$C392*J391</f>
        <v/>
      </c>
      <c r="K392">
        <f>$C392*K391</f>
        <v/>
      </c>
      <c r="L392">
        <f>$C392*L391</f>
        <v/>
      </c>
      <c r="M392">
        <f>$C392*M391</f>
        <v/>
      </c>
      <c r="N392">
        <f>$C392*N391</f>
        <v/>
      </c>
      <c r="O392">
        <f>$C392*O391</f>
        <v/>
      </c>
      <c r="P392">
        <f>$C392*P391</f>
        <v/>
      </c>
      <c r="Q392">
        <f>$C392*Q391</f>
        <v/>
      </c>
      <c r="R392">
        <f>$C392*R391</f>
        <v/>
      </c>
      <c r="S392">
        <f>$C392*S391</f>
        <v/>
      </c>
      <c r="T392">
        <f>$C392*T391</f>
        <v/>
      </c>
      <c r="U392">
        <f>$C392*U391</f>
        <v/>
      </c>
      <c r="V392">
        <f>$C392*V391</f>
        <v/>
      </c>
      <c r="W392">
        <f>$C392*W391</f>
        <v/>
      </c>
      <c r="X392">
        <f>$C392*X391</f>
        <v/>
      </c>
      <c r="Y392">
        <f>$C392*Y391</f>
        <v/>
      </c>
      <c r="Z392">
        <f>$C392*Z391</f>
        <v/>
      </c>
      <c r="AA392">
        <f>$C392*AA391</f>
        <v/>
      </c>
      <c r="AB392">
        <f>$C392*AB391</f>
        <v/>
      </c>
      <c r="AC392">
        <f>$C392*AC391</f>
        <v/>
      </c>
      <c r="AD392">
        <f>$C392*AD391</f>
        <v/>
      </c>
      <c r="AE392">
        <f>$C392*AE391</f>
        <v/>
      </c>
      <c r="AF392">
        <f>$C392*AF391</f>
        <v/>
      </c>
      <c r="AG392">
        <f>$C392*AG391</f>
        <v/>
      </c>
      <c r="AH392">
        <f>$C392*AH391</f>
        <v/>
      </c>
      <c r="AI392">
        <f>$C392*AI391</f>
        <v/>
      </c>
      <c r="AJ392">
        <f>$C392*AJ391</f>
        <v/>
      </c>
      <c r="AK392">
        <f>$C392*AK391</f>
        <v/>
      </c>
      <c r="AL392">
        <f>$C392*AL391</f>
        <v/>
      </c>
      <c r="AM392">
        <f>$C392*AM391</f>
        <v/>
      </c>
      <c r="AN392">
        <f>$C392*AN391</f>
        <v/>
      </c>
      <c r="AO392">
        <f>$C392*AO391</f>
        <v/>
      </c>
      <c r="AP392">
        <f>$C392*AP391</f>
        <v/>
      </c>
      <c r="AQ392">
        <f>$C392*AQ391</f>
        <v/>
      </c>
      <c r="AR392">
        <f>$C392*AR391</f>
        <v/>
      </c>
      <c r="AS392">
        <f>$C392*AS391</f>
        <v/>
      </c>
      <c r="AT392">
        <f>$C392*AT391</f>
        <v/>
      </c>
      <c r="AU392">
        <f>$C392*AU391</f>
        <v/>
      </c>
      <c r="AV392">
        <f>$C392*AV391</f>
        <v/>
      </c>
      <c r="AW392">
        <f>$C392*AW391</f>
        <v/>
      </c>
      <c r="AX392">
        <f>$C392*AX391</f>
        <v/>
      </c>
      <c r="AY392">
        <f>$C392*AY391</f>
        <v/>
      </c>
      <c r="AZ392">
        <f>$C392*AZ391</f>
        <v/>
      </c>
      <c r="BA392">
        <f>$C392*BA391</f>
        <v/>
      </c>
      <c r="BB392">
        <f>$C392*BB391</f>
        <v/>
      </c>
      <c r="BC392">
        <f>$C392*BC391</f>
        <v/>
      </c>
      <c r="BD392">
        <f>$C392*BD391</f>
        <v/>
      </c>
      <c r="BE392">
        <f>$C392*BE391</f>
        <v/>
      </c>
      <c r="BF392">
        <f>$C392*BF391</f>
        <v/>
      </c>
      <c r="BG392">
        <f>$C392*BG391</f>
        <v/>
      </c>
      <c r="BH392">
        <f>$C392*BH391</f>
        <v/>
      </c>
      <c r="BI392">
        <f>$C392*BI391</f>
        <v/>
      </c>
      <c r="BJ392">
        <f>$C392*BJ391</f>
        <v/>
      </c>
      <c r="BK392">
        <f>$C392*BK391</f>
        <v/>
      </c>
      <c r="BL392">
        <f>$C392*BL391</f>
        <v/>
      </c>
      <c r="BM392">
        <f>$C392*BM391</f>
        <v/>
      </c>
      <c r="BN392">
        <f>$C392*BN391</f>
        <v/>
      </c>
      <c r="BO392">
        <f>$C392*BO391</f>
        <v/>
      </c>
      <c r="BP392">
        <f>$C392*BP391</f>
        <v/>
      </c>
      <c r="BQ392">
        <f>$C392*BQ391</f>
        <v/>
      </c>
      <c r="BR392">
        <f>$C392*BR391</f>
        <v/>
      </c>
      <c r="BS392">
        <f>$C392*BS391</f>
        <v/>
      </c>
      <c r="BT392">
        <f>$C392*BT391</f>
        <v/>
      </c>
      <c r="BU392">
        <f>$C392*BU391</f>
        <v/>
      </c>
      <c r="BV392">
        <f>$C392*BV391</f>
        <v/>
      </c>
      <c r="BW392">
        <f>$C392*BW391</f>
        <v/>
      </c>
      <c r="BX392">
        <f>$C392*BX391</f>
        <v/>
      </c>
      <c r="BY392">
        <f>$C392*BY391</f>
        <v/>
      </c>
      <c r="BZ392">
        <f>$C392*BZ391</f>
        <v/>
      </c>
      <c r="CA392">
        <f>$C392*CA391</f>
        <v/>
      </c>
      <c r="CB392">
        <f>$C392*CB391</f>
        <v/>
      </c>
      <c r="CC392">
        <f>$C392*CC391</f>
        <v/>
      </c>
      <c r="CD392">
        <f>$C392*CD391</f>
        <v/>
      </c>
      <c r="CE392">
        <f>$C392*CE391</f>
        <v/>
      </c>
      <c r="CF392">
        <f>$C392*CF391</f>
        <v/>
      </c>
      <c r="CG392">
        <f>$C392*CG391</f>
        <v/>
      </c>
      <c r="CH392">
        <f>$C392*CH391</f>
        <v/>
      </c>
      <c r="CI392">
        <f>$C392*CI391</f>
        <v/>
      </c>
      <c r="CJ392">
        <f>$C392*CJ391</f>
        <v/>
      </c>
      <c r="CK392">
        <f>$C392*CK391</f>
        <v/>
      </c>
      <c r="CL392">
        <f>$C392*CL391</f>
        <v/>
      </c>
      <c r="CM392">
        <f>$C392*CM391</f>
        <v/>
      </c>
      <c r="CN392">
        <f>$C392*CN391</f>
        <v/>
      </c>
      <c r="CO392">
        <f>$C392*CO391</f>
        <v/>
      </c>
      <c r="CP392">
        <f>$C392*CP391</f>
        <v/>
      </c>
      <c r="CQ392">
        <f>$C392*CQ391</f>
        <v/>
      </c>
      <c r="CR392">
        <f>$C392*CR391</f>
        <v/>
      </c>
      <c r="CS392">
        <f>$C392*CS391</f>
        <v/>
      </c>
      <c r="CT392">
        <f>$C392*CT391</f>
        <v/>
      </c>
      <c r="CU392">
        <f>$C392*CU391</f>
        <v/>
      </c>
      <c r="CV392">
        <f>$C392*CV391</f>
        <v/>
      </c>
      <c r="CW392">
        <f>$C392*CW391</f>
        <v/>
      </c>
      <c r="CX392">
        <f>$C392*CX391</f>
        <v/>
      </c>
      <c r="CY392">
        <f>$C392*CY391</f>
        <v/>
      </c>
      <c r="CZ392">
        <f>$C392*CZ391</f>
        <v/>
      </c>
      <c r="DA392">
        <f>$C392*DA391</f>
        <v/>
      </c>
      <c r="DB392">
        <f>$C392*DB391</f>
        <v/>
      </c>
      <c r="DC392">
        <f>$C392*DC391</f>
        <v/>
      </c>
    </row>
    <row r="393">
      <c r="B393" t="inlineStr">
        <is>
          <t>TSP-959</t>
        </is>
      </c>
      <c r="C393" t="inlineStr">
        <is>
          <t>No. of batches</t>
        </is>
      </c>
      <c r="D393">
        <f>IFERROR(INDEX(PP_Grid[#Data],$DD393,2),0)</f>
        <v/>
      </c>
      <c r="E393">
        <f>IFERROR(INDEX(PP_Grid[#Data],$DD393,3),0)</f>
        <v/>
      </c>
      <c r="F393">
        <f>IFERROR(INDEX(PP_Grid[#Data],$DD393,4),0)</f>
        <v/>
      </c>
      <c r="G393">
        <f>IFERROR(INDEX(PP_Grid[#Data],$DD393,5),0)</f>
        <v/>
      </c>
      <c r="H393">
        <f>IFERROR(INDEX(PP_Grid[#Data],$DD393,6),0)</f>
        <v/>
      </c>
      <c r="I393">
        <f>IFERROR(INDEX(PP_Grid[#Data],$DD393,7),0)</f>
        <v/>
      </c>
      <c r="J393">
        <f>IFERROR(INDEX(PP_Grid[#Data],$DD393,8),0)</f>
        <v/>
      </c>
      <c r="K393">
        <f>IFERROR(INDEX(PP_Grid[#Data],$DD393,9),0)</f>
        <v/>
      </c>
      <c r="L393">
        <f>IFERROR(INDEX(PP_Grid[#Data],$DD393,10),0)</f>
        <v/>
      </c>
      <c r="M393">
        <f>IFERROR(INDEX(PP_Grid[#Data],$DD393,11),0)</f>
        <v/>
      </c>
      <c r="N393">
        <f>IFERROR(INDEX(PP_Grid[#Data],$DD393,12),0)</f>
        <v/>
      </c>
      <c r="O393">
        <f>IFERROR(INDEX(PP_Grid[#Data],$DD393,13),0)</f>
        <v/>
      </c>
      <c r="P393">
        <f>IFERROR(INDEX(PP_Grid[#Data],$DD393,14),0)</f>
        <v/>
      </c>
      <c r="Q393">
        <f>IFERROR(INDEX(PP_Grid[#Data],$DD393,15),0)</f>
        <v/>
      </c>
      <c r="R393">
        <f>IFERROR(INDEX(PP_Grid[#Data],$DD393,16),0)</f>
        <v/>
      </c>
      <c r="S393">
        <f>IFERROR(INDEX(PP_Grid[#Data],$DD393,17),0)</f>
        <v/>
      </c>
      <c r="T393">
        <f>IFERROR(INDEX(PP_Grid[#Data],$DD393,18),0)</f>
        <v/>
      </c>
      <c r="U393">
        <f>IFERROR(INDEX(PP_Grid[#Data],$DD393,19),0)</f>
        <v/>
      </c>
      <c r="V393">
        <f>IFERROR(INDEX(PP_Grid[#Data],$DD393,20),0)</f>
        <v/>
      </c>
      <c r="W393">
        <f>IFERROR(INDEX(PP_Grid[#Data],$DD393,21),0)</f>
        <v/>
      </c>
      <c r="X393">
        <f>IFERROR(INDEX(PP_Grid[#Data],$DD393,22),0)</f>
        <v/>
      </c>
      <c r="Y393">
        <f>IFERROR(INDEX(PP_Grid[#Data],$DD393,23),0)</f>
        <v/>
      </c>
      <c r="Z393">
        <f>IFERROR(INDEX(PP_Grid[#Data],$DD393,24),0)</f>
        <v/>
      </c>
      <c r="AA393">
        <f>IFERROR(INDEX(PP_Grid[#Data],$DD393,25),0)</f>
        <v/>
      </c>
      <c r="AB393">
        <f>IFERROR(INDEX(PP_Grid[#Data],$DD393,26),0)</f>
        <v/>
      </c>
      <c r="AC393">
        <f>IFERROR(INDEX(PP_Grid[#Data],$DD393,27),0)</f>
        <v/>
      </c>
      <c r="AD393">
        <f>IFERROR(INDEX(PP_Grid[#Data],$DD393,28),0)</f>
        <v/>
      </c>
      <c r="AE393">
        <f>IFERROR(INDEX(PP_Grid[#Data],$DD393,29),0)</f>
        <v/>
      </c>
      <c r="AF393">
        <f>IFERROR(INDEX(PP_Grid[#Data],$DD393,30),0)</f>
        <v/>
      </c>
      <c r="AG393">
        <f>IFERROR(INDEX(PP_Grid[#Data],$DD393,31),0)</f>
        <v/>
      </c>
      <c r="AH393">
        <f>IFERROR(INDEX(PP_Grid[#Data],$DD393,32),0)</f>
        <v/>
      </c>
      <c r="AI393">
        <f>IFERROR(INDEX(PP_Grid[#Data],$DD393,33),0)</f>
        <v/>
      </c>
      <c r="AJ393">
        <f>IFERROR(INDEX(PP_Grid[#Data],$DD393,34),0)</f>
        <v/>
      </c>
      <c r="AK393">
        <f>IFERROR(INDEX(PP_Grid[#Data],$DD393,35),0)</f>
        <v/>
      </c>
      <c r="AL393">
        <f>IFERROR(INDEX(PP_Grid[#Data],$DD393,36),0)</f>
        <v/>
      </c>
      <c r="AM393">
        <f>IFERROR(INDEX(PP_Grid[#Data],$DD393,37),0)</f>
        <v/>
      </c>
      <c r="AN393">
        <f>IFERROR(INDEX(PP_Grid[#Data],$DD393,38),0)</f>
        <v/>
      </c>
      <c r="AO393">
        <f>IFERROR(INDEX(PP_Grid[#Data],$DD393,39),0)</f>
        <v/>
      </c>
      <c r="AP393">
        <f>IFERROR(INDEX(PP_Grid[#Data],$DD393,40),0)</f>
        <v/>
      </c>
      <c r="AQ393">
        <f>IFERROR(INDEX(PP_Grid[#Data],$DD393,41),0)</f>
        <v/>
      </c>
      <c r="AR393">
        <f>IFERROR(INDEX(PP_Grid[#Data],$DD393,42),0)</f>
        <v/>
      </c>
      <c r="AS393">
        <f>IFERROR(INDEX(PP_Grid[#Data],$DD393,43),0)</f>
        <v/>
      </c>
      <c r="AT393">
        <f>IFERROR(INDEX(PP_Grid[#Data],$DD393,44),0)</f>
        <v/>
      </c>
      <c r="AU393">
        <f>IFERROR(INDEX(PP_Grid[#Data],$DD393,45),0)</f>
        <v/>
      </c>
      <c r="AV393">
        <f>IFERROR(INDEX(PP_Grid[#Data],$DD393,46),0)</f>
        <v/>
      </c>
      <c r="AW393">
        <f>IFERROR(INDEX(PP_Grid[#Data],$DD393,47),0)</f>
        <v/>
      </c>
      <c r="AX393">
        <f>IFERROR(INDEX(PP_Grid[#Data],$DD393,48),0)</f>
        <v/>
      </c>
      <c r="AY393">
        <f>IFERROR(INDEX(PP_Grid[#Data],$DD393,49),0)</f>
        <v/>
      </c>
      <c r="AZ393">
        <f>IFERROR(INDEX(PP_Grid[#Data],$DD393,50),0)</f>
        <v/>
      </c>
      <c r="BA393">
        <f>IFERROR(INDEX(PP_Grid[#Data],$DD393,51),0)</f>
        <v/>
      </c>
      <c r="BB393">
        <f>IFERROR(INDEX(PP_Grid[#Data],$DD393,52),0)</f>
        <v/>
      </c>
      <c r="BC393">
        <f>IFERROR(INDEX(PP_Grid[#Data],$DD393,53),0)</f>
        <v/>
      </c>
      <c r="BD393">
        <f>IFERROR(INDEX(PP_Grid[#Data],$DD393,54),0)</f>
        <v/>
      </c>
      <c r="BE393">
        <f>IFERROR(INDEX(PP_Grid[#Data],$DD393,55),0)</f>
        <v/>
      </c>
      <c r="BF393">
        <f>IFERROR(INDEX(PP_Grid[#Data],$DD393,56),0)</f>
        <v/>
      </c>
      <c r="BG393">
        <f>IFERROR(INDEX(PP_Grid[#Data],$DD393,57),0)</f>
        <v/>
      </c>
      <c r="BH393">
        <f>IFERROR(INDEX(PP_Grid[#Data],$DD393,58),0)</f>
        <v/>
      </c>
      <c r="BI393">
        <f>IFERROR(INDEX(PP_Grid[#Data],$DD393,59),0)</f>
        <v/>
      </c>
      <c r="BJ393">
        <f>IFERROR(INDEX(PP_Grid[#Data],$DD393,60),0)</f>
        <v/>
      </c>
      <c r="BK393">
        <f>IFERROR(INDEX(PP_Grid[#Data],$DD393,61),0)</f>
        <v/>
      </c>
      <c r="BL393">
        <f>IFERROR(INDEX(PP_Grid[#Data],$DD393,62),0)</f>
        <v/>
      </c>
      <c r="BM393">
        <f>IFERROR(INDEX(PP_Grid[#Data],$DD393,63),0)</f>
        <v/>
      </c>
      <c r="BN393">
        <f>IFERROR(INDEX(PP_Grid[#Data],$DD393,64),0)</f>
        <v/>
      </c>
      <c r="BO393">
        <f>IFERROR(INDEX(PP_Grid[#Data],$DD393,65),0)</f>
        <v/>
      </c>
      <c r="BP393">
        <f>IFERROR(INDEX(PP_Grid[#Data],$DD393,66),0)</f>
        <v/>
      </c>
      <c r="BQ393">
        <f>IFERROR(INDEX(PP_Grid[#Data],$DD393,67),0)</f>
        <v/>
      </c>
      <c r="BR393">
        <f>IFERROR(INDEX(PP_Grid[#Data],$DD393,68),0)</f>
        <v/>
      </c>
      <c r="BS393">
        <f>IFERROR(INDEX(PP_Grid[#Data],$DD393,69),0)</f>
        <v/>
      </c>
      <c r="BT393">
        <f>IFERROR(INDEX(PP_Grid[#Data],$DD393,70),0)</f>
        <v/>
      </c>
      <c r="BU393">
        <f>IFERROR(INDEX(PP_Grid[#Data],$DD393,71),0)</f>
        <v/>
      </c>
      <c r="BV393">
        <f>IFERROR(INDEX(PP_Grid[#Data],$DD393,72),0)</f>
        <v/>
      </c>
      <c r="BW393">
        <f>IFERROR(INDEX(PP_Grid[#Data],$DD393,73),0)</f>
        <v/>
      </c>
      <c r="BX393">
        <f>IFERROR(INDEX(PP_Grid[#Data],$DD393,74),0)</f>
        <v/>
      </c>
      <c r="BY393">
        <f>IFERROR(INDEX(PP_Grid[#Data],$DD393,75),0)</f>
        <v/>
      </c>
      <c r="BZ393">
        <f>IFERROR(INDEX(PP_Grid[#Data],$DD393,76),0)</f>
        <v/>
      </c>
      <c r="CA393">
        <f>IFERROR(INDEX(PP_Grid[#Data],$DD393,77),0)</f>
        <v/>
      </c>
      <c r="CB393">
        <f>IFERROR(INDEX(PP_Grid[#Data],$DD393,78),0)</f>
        <v/>
      </c>
      <c r="CC393">
        <f>IFERROR(INDEX(PP_Grid[#Data],$DD393,79),0)</f>
        <v/>
      </c>
      <c r="CD393">
        <f>IFERROR(INDEX(PP_Grid[#Data],$DD393,80),0)</f>
        <v/>
      </c>
      <c r="CE393">
        <f>IFERROR(INDEX(PP_Grid[#Data],$DD393,81),0)</f>
        <v/>
      </c>
      <c r="CF393">
        <f>IFERROR(INDEX(PP_Grid[#Data],$DD393,82),0)</f>
        <v/>
      </c>
      <c r="CG393">
        <f>IFERROR(INDEX(PP_Grid[#Data],$DD393,83),0)</f>
        <v/>
      </c>
      <c r="CH393">
        <f>IFERROR(INDEX(PP_Grid[#Data],$DD393,84),0)</f>
        <v/>
      </c>
      <c r="CI393">
        <f>IFERROR(INDEX(PP_Grid[#Data],$DD393,85),0)</f>
        <v/>
      </c>
      <c r="CJ393">
        <f>IFERROR(INDEX(PP_Grid[#Data],$DD393,86),0)</f>
        <v/>
      </c>
      <c r="CK393">
        <f>IFERROR(INDEX(PP_Grid[#Data],$DD393,87),0)</f>
        <v/>
      </c>
      <c r="CL393">
        <f>IFERROR(INDEX(PP_Grid[#Data],$DD393,88),0)</f>
        <v/>
      </c>
      <c r="CM393">
        <f>IFERROR(INDEX(PP_Grid[#Data],$DD393,89),0)</f>
        <v/>
      </c>
      <c r="CN393">
        <f>IFERROR(INDEX(PP_Grid[#Data],$DD393,90),0)</f>
        <v/>
      </c>
      <c r="CO393">
        <f>IFERROR(INDEX(PP_Grid[#Data],$DD393,91),0)</f>
        <v/>
      </c>
      <c r="CP393">
        <f>IFERROR(INDEX(PP_Grid[#Data],$DD393,92),0)</f>
        <v/>
      </c>
      <c r="CQ393">
        <f>IFERROR(INDEX(PP_Grid[#Data],$DD393,93),0)</f>
        <v/>
      </c>
      <c r="CR393">
        <f>IFERROR(INDEX(PP_Grid[#Data],$DD393,94),0)</f>
        <v/>
      </c>
      <c r="CS393">
        <f>IFERROR(INDEX(PP_Grid[#Data],$DD393,95),0)</f>
        <v/>
      </c>
      <c r="CT393">
        <f>IFERROR(INDEX(PP_Grid[#Data],$DD393,96),0)</f>
        <v/>
      </c>
      <c r="CU393">
        <f>IFERROR(INDEX(PP_Grid[#Data],$DD393,97),0)</f>
        <v/>
      </c>
      <c r="CV393">
        <f>IFERROR(INDEX(PP_Grid[#Data],$DD393,98),0)</f>
        <v/>
      </c>
      <c r="CW393">
        <f>IFERROR(INDEX(PP_Grid[#Data],$DD393,99),0)</f>
        <v/>
      </c>
      <c r="CX393">
        <f>IFERROR(INDEX(PP_Grid[#Data],$DD393,100),0)</f>
        <v/>
      </c>
      <c r="CY393">
        <f>IFERROR(INDEX(PP_Grid[#Data],$DD393,101),0)</f>
        <v/>
      </c>
      <c r="CZ393">
        <f>IFERROR(INDEX(PP_Grid[#Data],$DD393,102),0)</f>
        <v/>
      </c>
      <c r="DA393">
        <f>IFERROR(INDEX(PP_Grid[#Data],$DD393,103),0)</f>
        <v/>
      </c>
      <c r="DB393">
        <f>IFERROR(INDEX(PP_Grid[#Data],$DD393,104),0)</f>
        <v/>
      </c>
      <c r="DC393">
        <f>IFERROR(INDEX(PP_Grid[#Data],$DD393,105),0)</f>
        <v/>
      </c>
      <c r="DD393" s="7">
        <f>IFERROR(MATCH($B393,PP_Grid[Intermediate],0),99999)</f>
        <v/>
      </c>
    </row>
    <row r="394">
      <c r="B394" t="inlineStr">
        <is>
          <t>使用量(kg)</t>
        </is>
      </c>
      <c r="C394">
        <f>SUMIFS(M_BOM[RM_Qty_Per_Batch],M_BOM[Intermediate],$B393,M_BOM[Part Name],$A340)</f>
        <v/>
      </c>
      <c r="D394">
        <f>$C394*D393</f>
        <v/>
      </c>
      <c r="E394">
        <f>$C394*E393</f>
        <v/>
      </c>
      <c r="F394">
        <f>$C394*F393</f>
        <v/>
      </c>
      <c r="G394">
        <f>$C394*G393</f>
        <v/>
      </c>
      <c r="H394">
        <f>$C394*H393</f>
        <v/>
      </c>
      <c r="I394">
        <f>$C394*I393</f>
        <v/>
      </c>
      <c r="J394">
        <f>$C394*J393</f>
        <v/>
      </c>
      <c r="K394">
        <f>$C394*K393</f>
        <v/>
      </c>
      <c r="L394">
        <f>$C394*L393</f>
        <v/>
      </c>
      <c r="M394">
        <f>$C394*M393</f>
        <v/>
      </c>
      <c r="N394">
        <f>$C394*N393</f>
        <v/>
      </c>
      <c r="O394">
        <f>$C394*O393</f>
        <v/>
      </c>
      <c r="P394">
        <f>$C394*P393</f>
        <v/>
      </c>
      <c r="Q394">
        <f>$C394*Q393</f>
        <v/>
      </c>
      <c r="R394">
        <f>$C394*R393</f>
        <v/>
      </c>
      <c r="S394">
        <f>$C394*S393</f>
        <v/>
      </c>
      <c r="T394">
        <f>$C394*T393</f>
        <v/>
      </c>
      <c r="U394">
        <f>$C394*U393</f>
        <v/>
      </c>
      <c r="V394">
        <f>$C394*V393</f>
        <v/>
      </c>
      <c r="W394">
        <f>$C394*W393</f>
        <v/>
      </c>
      <c r="X394">
        <f>$C394*X393</f>
        <v/>
      </c>
      <c r="Y394">
        <f>$C394*Y393</f>
        <v/>
      </c>
      <c r="Z394">
        <f>$C394*Z393</f>
        <v/>
      </c>
      <c r="AA394">
        <f>$C394*AA393</f>
        <v/>
      </c>
      <c r="AB394">
        <f>$C394*AB393</f>
        <v/>
      </c>
      <c r="AC394">
        <f>$C394*AC393</f>
        <v/>
      </c>
      <c r="AD394">
        <f>$C394*AD393</f>
        <v/>
      </c>
      <c r="AE394">
        <f>$C394*AE393</f>
        <v/>
      </c>
      <c r="AF394">
        <f>$C394*AF393</f>
        <v/>
      </c>
      <c r="AG394">
        <f>$C394*AG393</f>
        <v/>
      </c>
      <c r="AH394">
        <f>$C394*AH393</f>
        <v/>
      </c>
      <c r="AI394">
        <f>$C394*AI393</f>
        <v/>
      </c>
      <c r="AJ394">
        <f>$C394*AJ393</f>
        <v/>
      </c>
      <c r="AK394">
        <f>$C394*AK393</f>
        <v/>
      </c>
      <c r="AL394">
        <f>$C394*AL393</f>
        <v/>
      </c>
      <c r="AM394">
        <f>$C394*AM393</f>
        <v/>
      </c>
      <c r="AN394">
        <f>$C394*AN393</f>
        <v/>
      </c>
      <c r="AO394">
        <f>$C394*AO393</f>
        <v/>
      </c>
      <c r="AP394">
        <f>$C394*AP393</f>
        <v/>
      </c>
      <c r="AQ394">
        <f>$C394*AQ393</f>
        <v/>
      </c>
      <c r="AR394">
        <f>$C394*AR393</f>
        <v/>
      </c>
      <c r="AS394">
        <f>$C394*AS393</f>
        <v/>
      </c>
      <c r="AT394">
        <f>$C394*AT393</f>
        <v/>
      </c>
      <c r="AU394">
        <f>$C394*AU393</f>
        <v/>
      </c>
      <c r="AV394">
        <f>$C394*AV393</f>
        <v/>
      </c>
      <c r="AW394">
        <f>$C394*AW393</f>
        <v/>
      </c>
      <c r="AX394">
        <f>$C394*AX393</f>
        <v/>
      </c>
      <c r="AY394">
        <f>$C394*AY393</f>
        <v/>
      </c>
      <c r="AZ394">
        <f>$C394*AZ393</f>
        <v/>
      </c>
      <c r="BA394">
        <f>$C394*BA393</f>
        <v/>
      </c>
      <c r="BB394">
        <f>$C394*BB393</f>
        <v/>
      </c>
      <c r="BC394">
        <f>$C394*BC393</f>
        <v/>
      </c>
      <c r="BD394">
        <f>$C394*BD393</f>
        <v/>
      </c>
      <c r="BE394">
        <f>$C394*BE393</f>
        <v/>
      </c>
      <c r="BF394">
        <f>$C394*BF393</f>
        <v/>
      </c>
      <c r="BG394">
        <f>$C394*BG393</f>
        <v/>
      </c>
      <c r="BH394">
        <f>$C394*BH393</f>
        <v/>
      </c>
      <c r="BI394">
        <f>$C394*BI393</f>
        <v/>
      </c>
      <c r="BJ394">
        <f>$C394*BJ393</f>
        <v/>
      </c>
      <c r="BK394">
        <f>$C394*BK393</f>
        <v/>
      </c>
      <c r="BL394">
        <f>$C394*BL393</f>
        <v/>
      </c>
      <c r="BM394">
        <f>$C394*BM393</f>
        <v/>
      </c>
      <c r="BN394">
        <f>$C394*BN393</f>
        <v/>
      </c>
      <c r="BO394">
        <f>$C394*BO393</f>
        <v/>
      </c>
      <c r="BP394">
        <f>$C394*BP393</f>
        <v/>
      </c>
      <c r="BQ394">
        <f>$C394*BQ393</f>
        <v/>
      </c>
      <c r="BR394">
        <f>$C394*BR393</f>
        <v/>
      </c>
      <c r="BS394">
        <f>$C394*BS393</f>
        <v/>
      </c>
      <c r="BT394">
        <f>$C394*BT393</f>
        <v/>
      </c>
      <c r="BU394">
        <f>$C394*BU393</f>
        <v/>
      </c>
      <c r="BV394">
        <f>$C394*BV393</f>
        <v/>
      </c>
      <c r="BW394">
        <f>$C394*BW393</f>
        <v/>
      </c>
      <c r="BX394">
        <f>$C394*BX393</f>
        <v/>
      </c>
      <c r="BY394">
        <f>$C394*BY393</f>
        <v/>
      </c>
      <c r="BZ394">
        <f>$C394*BZ393</f>
        <v/>
      </c>
      <c r="CA394">
        <f>$C394*CA393</f>
        <v/>
      </c>
      <c r="CB394">
        <f>$C394*CB393</f>
        <v/>
      </c>
      <c r="CC394">
        <f>$C394*CC393</f>
        <v/>
      </c>
      <c r="CD394">
        <f>$C394*CD393</f>
        <v/>
      </c>
      <c r="CE394">
        <f>$C394*CE393</f>
        <v/>
      </c>
      <c r="CF394">
        <f>$C394*CF393</f>
        <v/>
      </c>
      <c r="CG394">
        <f>$C394*CG393</f>
        <v/>
      </c>
      <c r="CH394">
        <f>$C394*CH393</f>
        <v/>
      </c>
      <c r="CI394">
        <f>$C394*CI393</f>
        <v/>
      </c>
      <c r="CJ394">
        <f>$C394*CJ393</f>
        <v/>
      </c>
      <c r="CK394">
        <f>$C394*CK393</f>
        <v/>
      </c>
      <c r="CL394">
        <f>$C394*CL393</f>
        <v/>
      </c>
      <c r="CM394">
        <f>$C394*CM393</f>
        <v/>
      </c>
      <c r="CN394">
        <f>$C394*CN393</f>
        <v/>
      </c>
      <c r="CO394">
        <f>$C394*CO393</f>
        <v/>
      </c>
      <c r="CP394">
        <f>$C394*CP393</f>
        <v/>
      </c>
      <c r="CQ394">
        <f>$C394*CQ393</f>
        <v/>
      </c>
      <c r="CR394">
        <f>$C394*CR393</f>
        <v/>
      </c>
      <c r="CS394">
        <f>$C394*CS393</f>
        <v/>
      </c>
      <c r="CT394">
        <f>$C394*CT393</f>
        <v/>
      </c>
      <c r="CU394">
        <f>$C394*CU393</f>
        <v/>
      </c>
      <c r="CV394">
        <f>$C394*CV393</f>
        <v/>
      </c>
      <c r="CW394">
        <f>$C394*CW393</f>
        <v/>
      </c>
      <c r="CX394">
        <f>$C394*CX393</f>
        <v/>
      </c>
      <c r="CY394">
        <f>$C394*CY393</f>
        <v/>
      </c>
      <c r="CZ394">
        <f>$C394*CZ393</f>
        <v/>
      </c>
      <c r="DA394">
        <f>$C394*DA393</f>
        <v/>
      </c>
      <c r="DB394">
        <f>$C394*DB393</f>
        <v/>
      </c>
      <c r="DC394">
        <f>$C394*DC393</f>
        <v/>
      </c>
    </row>
    <row r="395">
      <c r="B395" t="inlineStr">
        <is>
          <t>TSP-966</t>
        </is>
      </c>
      <c r="C395" t="inlineStr">
        <is>
          <t>No. of batches</t>
        </is>
      </c>
      <c r="D395">
        <f>IFERROR(INDEX(PP_Grid[#Data],$DD395,2),0)</f>
        <v/>
      </c>
      <c r="E395">
        <f>IFERROR(INDEX(PP_Grid[#Data],$DD395,3),0)</f>
        <v/>
      </c>
      <c r="F395">
        <f>IFERROR(INDEX(PP_Grid[#Data],$DD395,4),0)</f>
        <v/>
      </c>
      <c r="G395">
        <f>IFERROR(INDEX(PP_Grid[#Data],$DD395,5),0)</f>
        <v/>
      </c>
      <c r="H395">
        <f>IFERROR(INDEX(PP_Grid[#Data],$DD395,6),0)</f>
        <v/>
      </c>
      <c r="I395">
        <f>IFERROR(INDEX(PP_Grid[#Data],$DD395,7),0)</f>
        <v/>
      </c>
      <c r="J395">
        <f>IFERROR(INDEX(PP_Grid[#Data],$DD395,8),0)</f>
        <v/>
      </c>
      <c r="K395">
        <f>IFERROR(INDEX(PP_Grid[#Data],$DD395,9),0)</f>
        <v/>
      </c>
      <c r="L395">
        <f>IFERROR(INDEX(PP_Grid[#Data],$DD395,10),0)</f>
        <v/>
      </c>
      <c r="M395">
        <f>IFERROR(INDEX(PP_Grid[#Data],$DD395,11),0)</f>
        <v/>
      </c>
      <c r="N395">
        <f>IFERROR(INDEX(PP_Grid[#Data],$DD395,12),0)</f>
        <v/>
      </c>
      <c r="O395">
        <f>IFERROR(INDEX(PP_Grid[#Data],$DD395,13),0)</f>
        <v/>
      </c>
      <c r="P395">
        <f>IFERROR(INDEX(PP_Grid[#Data],$DD395,14),0)</f>
        <v/>
      </c>
      <c r="Q395">
        <f>IFERROR(INDEX(PP_Grid[#Data],$DD395,15),0)</f>
        <v/>
      </c>
      <c r="R395">
        <f>IFERROR(INDEX(PP_Grid[#Data],$DD395,16),0)</f>
        <v/>
      </c>
      <c r="S395">
        <f>IFERROR(INDEX(PP_Grid[#Data],$DD395,17),0)</f>
        <v/>
      </c>
      <c r="T395">
        <f>IFERROR(INDEX(PP_Grid[#Data],$DD395,18),0)</f>
        <v/>
      </c>
      <c r="U395">
        <f>IFERROR(INDEX(PP_Grid[#Data],$DD395,19),0)</f>
        <v/>
      </c>
      <c r="V395">
        <f>IFERROR(INDEX(PP_Grid[#Data],$DD395,20),0)</f>
        <v/>
      </c>
      <c r="W395">
        <f>IFERROR(INDEX(PP_Grid[#Data],$DD395,21),0)</f>
        <v/>
      </c>
      <c r="X395">
        <f>IFERROR(INDEX(PP_Grid[#Data],$DD395,22),0)</f>
        <v/>
      </c>
      <c r="Y395">
        <f>IFERROR(INDEX(PP_Grid[#Data],$DD395,23),0)</f>
        <v/>
      </c>
      <c r="Z395">
        <f>IFERROR(INDEX(PP_Grid[#Data],$DD395,24),0)</f>
        <v/>
      </c>
      <c r="AA395">
        <f>IFERROR(INDEX(PP_Grid[#Data],$DD395,25),0)</f>
        <v/>
      </c>
      <c r="AB395">
        <f>IFERROR(INDEX(PP_Grid[#Data],$DD395,26),0)</f>
        <v/>
      </c>
      <c r="AC395">
        <f>IFERROR(INDEX(PP_Grid[#Data],$DD395,27),0)</f>
        <v/>
      </c>
      <c r="AD395">
        <f>IFERROR(INDEX(PP_Grid[#Data],$DD395,28),0)</f>
        <v/>
      </c>
      <c r="AE395">
        <f>IFERROR(INDEX(PP_Grid[#Data],$DD395,29),0)</f>
        <v/>
      </c>
      <c r="AF395">
        <f>IFERROR(INDEX(PP_Grid[#Data],$DD395,30),0)</f>
        <v/>
      </c>
      <c r="AG395">
        <f>IFERROR(INDEX(PP_Grid[#Data],$DD395,31),0)</f>
        <v/>
      </c>
      <c r="AH395">
        <f>IFERROR(INDEX(PP_Grid[#Data],$DD395,32),0)</f>
        <v/>
      </c>
      <c r="AI395">
        <f>IFERROR(INDEX(PP_Grid[#Data],$DD395,33),0)</f>
        <v/>
      </c>
      <c r="AJ395">
        <f>IFERROR(INDEX(PP_Grid[#Data],$DD395,34),0)</f>
        <v/>
      </c>
      <c r="AK395">
        <f>IFERROR(INDEX(PP_Grid[#Data],$DD395,35),0)</f>
        <v/>
      </c>
      <c r="AL395">
        <f>IFERROR(INDEX(PP_Grid[#Data],$DD395,36),0)</f>
        <v/>
      </c>
      <c r="AM395">
        <f>IFERROR(INDEX(PP_Grid[#Data],$DD395,37),0)</f>
        <v/>
      </c>
      <c r="AN395">
        <f>IFERROR(INDEX(PP_Grid[#Data],$DD395,38),0)</f>
        <v/>
      </c>
      <c r="AO395">
        <f>IFERROR(INDEX(PP_Grid[#Data],$DD395,39),0)</f>
        <v/>
      </c>
      <c r="AP395">
        <f>IFERROR(INDEX(PP_Grid[#Data],$DD395,40),0)</f>
        <v/>
      </c>
      <c r="AQ395">
        <f>IFERROR(INDEX(PP_Grid[#Data],$DD395,41),0)</f>
        <v/>
      </c>
      <c r="AR395">
        <f>IFERROR(INDEX(PP_Grid[#Data],$DD395,42),0)</f>
        <v/>
      </c>
      <c r="AS395">
        <f>IFERROR(INDEX(PP_Grid[#Data],$DD395,43),0)</f>
        <v/>
      </c>
      <c r="AT395">
        <f>IFERROR(INDEX(PP_Grid[#Data],$DD395,44),0)</f>
        <v/>
      </c>
      <c r="AU395">
        <f>IFERROR(INDEX(PP_Grid[#Data],$DD395,45),0)</f>
        <v/>
      </c>
      <c r="AV395">
        <f>IFERROR(INDEX(PP_Grid[#Data],$DD395,46),0)</f>
        <v/>
      </c>
      <c r="AW395">
        <f>IFERROR(INDEX(PP_Grid[#Data],$DD395,47),0)</f>
        <v/>
      </c>
      <c r="AX395">
        <f>IFERROR(INDEX(PP_Grid[#Data],$DD395,48),0)</f>
        <v/>
      </c>
      <c r="AY395">
        <f>IFERROR(INDEX(PP_Grid[#Data],$DD395,49),0)</f>
        <v/>
      </c>
      <c r="AZ395">
        <f>IFERROR(INDEX(PP_Grid[#Data],$DD395,50),0)</f>
        <v/>
      </c>
      <c r="BA395">
        <f>IFERROR(INDEX(PP_Grid[#Data],$DD395,51),0)</f>
        <v/>
      </c>
      <c r="BB395">
        <f>IFERROR(INDEX(PP_Grid[#Data],$DD395,52),0)</f>
        <v/>
      </c>
      <c r="BC395">
        <f>IFERROR(INDEX(PP_Grid[#Data],$DD395,53),0)</f>
        <v/>
      </c>
      <c r="BD395">
        <f>IFERROR(INDEX(PP_Grid[#Data],$DD395,54),0)</f>
        <v/>
      </c>
      <c r="BE395">
        <f>IFERROR(INDEX(PP_Grid[#Data],$DD395,55),0)</f>
        <v/>
      </c>
      <c r="BF395">
        <f>IFERROR(INDEX(PP_Grid[#Data],$DD395,56),0)</f>
        <v/>
      </c>
      <c r="BG395">
        <f>IFERROR(INDEX(PP_Grid[#Data],$DD395,57),0)</f>
        <v/>
      </c>
      <c r="BH395">
        <f>IFERROR(INDEX(PP_Grid[#Data],$DD395,58),0)</f>
        <v/>
      </c>
      <c r="BI395">
        <f>IFERROR(INDEX(PP_Grid[#Data],$DD395,59),0)</f>
        <v/>
      </c>
      <c r="BJ395">
        <f>IFERROR(INDEX(PP_Grid[#Data],$DD395,60),0)</f>
        <v/>
      </c>
      <c r="BK395">
        <f>IFERROR(INDEX(PP_Grid[#Data],$DD395,61),0)</f>
        <v/>
      </c>
      <c r="BL395">
        <f>IFERROR(INDEX(PP_Grid[#Data],$DD395,62),0)</f>
        <v/>
      </c>
      <c r="BM395">
        <f>IFERROR(INDEX(PP_Grid[#Data],$DD395,63),0)</f>
        <v/>
      </c>
      <c r="BN395">
        <f>IFERROR(INDEX(PP_Grid[#Data],$DD395,64),0)</f>
        <v/>
      </c>
      <c r="BO395">
        <f>IFERROR(INDEX(PP_Grid[#Data],$DD395,65),0)</f>
        <v/>
      </c>
      <c r="BP395">
        <f>IFERROR(INDEX(PP_Grid[#Data],$DD395,66),0)</f>
        <v/>
      </c>
      <c r="BQ395">
        <f>IFERROR(INDEX(PP_Grid[#Data],$DD395,67),0)</f>
        <v/>
      </c>
      <c r="BR395">
        <f>IFERROR(INDEX(PP_Grid[#Data],$DD395,68),0)</f>
        <v/>
      </c>
      <c r="BS395">
        <f>IFERROR(INDEX(PP_Grid[#Data],$DD395,69),0)</f>
        <v/>
      </c>
      <c r="BT395">
        <f>IFERROR(INDEX(PP_Grid[#Data],$DD395,70),0)</f>
        <v/>
      </c>
      <c r="BU395">
        <f>IFERROR(INDEX(PP_Grid[#Data],$DD395,71),0)</f>
        <v/>
      </c>
      <c r="BV395">
        <f>IFERROR(INDEX(PP_Grid[#Data],$DD395,72),0)</f>
        <v/>
      </c>
      <c r="BW395">
        <f>IFERROR(INDEX(PP_Grid[#Data],$DD395,73),0)</f>
        <v/>
      </c>
      <c r="BX395">
        <f>IFERROR(INDEX(PP_Grid[#Data],$DD395,74),0)</f>
        <v/>
      </c>
      <c r="BY395">
        <f>IFERROR(INDEX(PP_Grid[#Data],$DD395,75),0)</f>
        <v/>
      </c>
      <c r="BZ395">
        <f>IFERROR(INDEX(PP_Grid[#Data],$DD395,76),0)</f>
        <v/>
      </c>
      <c r="CA395">
        <f>IFERROR(INDEX(PP_Grid[#Data],$DD395,77),0)</f>
        <v/>
      </c>
      <c r="CB395">
        <f>IFERROR(INDEX(PP_Grid[#Data],$DD395,78),0)</f>
        <v/>
      </c>
      <c r="CC395">
        <f>IFERROR(INDEX(PP_Grid[#Data],$DD395,79),0)</f>
        <v/>
      </c>
      <c r="CD395">
        <f>IFERROR(INDEX(PP_Grid[#Data],$DD395,80),0)</f>
        <v/>
      </c>
      <c r="CE395">
        <f>IFERROR(INDEX(PP_Grid[#Data],$DD395,81),0)</f>
        <v/>
      </c>
      <c r="CF395">
        <f>IFERROR(INDEX(PP_Grid[#Data],$DD395,82),0)</f>
        <v/>
      </c>
      <c r="CG395">
        <f>IFERROR(INDEX(PP_Grid[#Data],$DD395,83),0)</f>
        <v/>
      </c>
      <c r="CH395">
        <f>IFERROR(INDEX(PP_Grid[#Data],$DD395,84),0)</f>
        <v/>
      </c>
      <c r="CI395">
        <f>IFERROR(INDEX(PP_Grid[#Data],$DD395,85),0)</f>
        <v/>
      </c>
      <c r="CJ395">
        <f>IFERROR(INDEX(PP_Grid[#Data],$DD395,86),0)</f>
        <v/>
      </c>
      <c r="CK395">
        <f>IFERROR(INDEX(PP_Grid[#Data],$DD395,87),0)</f>
        <v/>
      </c>
      <c r="CL395">
        <f>IFERROR(INDEX(PP_Grid[#Data],$DD395,88),0)</f>
        <v/>
      </c>
      <c r="CM395">
        <f>IFERROR(INDEX(PP_Grid[#Data],$DD395,89),0)</f>
        <v/>
      </c>
      <c r="CN395">
        <f>IFERROR(INDEX(PP_Grid[#Data],$DD395,90),0)</f>
        <v/>
      </c>
      <c r="CO395">
        <f>IFERROR(INDEX(PP_Grid[#Data],$DD395,91),0)</f>
        <v/>
      </c>
      <c r="CP395">
        <f>IFERROR(INDEX(PP_Grid[#Data],$DD395,92),0)</f>
        <v/>
      </c>
      <c r="CQ395">
        <f>IFERROR(INDEX(PP_Grid[#Data],$DD395,93),0)</f>
        <v/>
      </c>
      <c r="CR395">
        <f>IFERROR(INDEX(PP_Grid[#Data],$DD395,94),0)</f>
        <v/>
      </c>
      <c r="CS395">
        <f>IFERROR(INDEX(PP_Grid[#Data],$DD395,95),0)</f>
        <v/>
      </c>
      <c r="CT395">
        <f>IFERROR(INDEX(PP_Grid[#Data],$DD395,96),0)</f>
        <v/>
      </c>
      <c r="CU395">
        <f>IFERROR(INDEX(PP_Grid[#Data],$DD395,97),0)</f>
        <v/>
      </c>
      <c r="CV395">
        <f>IFERROR(INDEX(PP_Grid[#Data],$DD395,98),0)</f>
        <v/>
      </c>
      <c r="CW395">
        <f>IFERROR(INDEX(PP_Grid[#Data],$DD395,99),0)</f>
        <v/>
      </c>
      <c r="CX395">
        <f>IFERROR(INDEX(PP_Grid[#Data],$DD395,100),0)</f>
        <v/>
      </c>
      <c r="CY395">
        <f>IFERROR(INDEX(PP_Grid[#Data],$DD395,101),0)</f>
        <v/>
      </c>
      <c r="CZ395">
        <f>IFERROR(INDEX(PP_Grid[#Data],$DD395,102),0)</f>
        <v/>
      </c>
      <c r="DA395">
        <f>IFERROR(INDEX(PP_Grid[#Data],$DD395,103),0)</f>
        <v/>
      </c>
      <c r="DB395">
        <f>IFERROR(INDEX(PP_Grid[#Data],$DD395,104),0)</f>
        <v/>
      </c>
      <c r="DC395">
        <f>IFERROR(INDEX(PP_Grid[#Data],$DD395,105),0)</f>
        <v/>
      </c>
      <c r="DD395" s="7">
        <f>IFERROR(MATCH($B395,PP_Grid[Intermediate],0),99999)</f>
        <v/>
      </c>
    </row>
    <row r="396">
      <c r="B396" t="inlineStr">
        <is>
          <t>使用量(kg)</t>
        </is>
      </c>
      <c r="C396">
        <f>SUMIFS(M_BOM[RM_Qty_Per_Batch],M_BOM[Intermediate],$B395,M_BOM[Part Name],$A340)</f>
        <v/>
      </c>
      <c r="D396">
        <f>$C396*D395</f>
        <v/>
      </c>
      <c r="E396">
        <f>$C396*E395</f>
        <v/>
      </c>
      <c r="F396">
        <f>$C396*F395</f>
        <v/>
      </c>
      <c r="G396">
        <f>$C396*G395</f>
        <v/>
      </c>
      <c r="H396">
        <f>$C396*H395</f>
        <v/>
      </c>
      <c r="I396">
        <f>$C396*I395</f>
        <v/>
      </c>
      <c r="J396">
        <f>$C396*J395</f>
        <v/>
      </c>
      <c r="K396">
        <f>$C396*K395</f>
        <v/>
      </c>
      <c r="L396">
        <f>$C396*L395</f>
        <v/>
      </c>
      <c r="M396">
        <f>$C396*M395</f>
        <v/>
      </c>
      <c r="N396">
        <f>$C396*N395</f>
        <v/>
      </c>
      <c r="O396">
        <f>$C396*O395</f>
        <v/>
      </c>
      <c r="P396">
        <f>$C396*P395</f>
        <v/>
      </c>
      <c r="Q396">
        <f>$C396*Q395</f>
        <v/>
      </c>
      <c r="R396">
        <f>$C396*R395</f>
        <v/>
      </c>
      <c r="S396">
        <f>$C396*S395</f>
        <v/>
      </c>
      <c r="T396">
        <f>$C396*T395</f>
        <v/>
      </c>
      <c r="U396">
        <f>$C396*U395</f>
        <v/>
      </c>
      <c r="V396">
        <f>$C396*V395</f>
        <v/>
      </c>
      <c r="W396">
        <f>$C396*W395</f>
        <v/>
      </c>
      <c r="X396">
        <f>$C396*X395</f>
        <v/>
      </c>
      <c r="Y396">
        <f>$C396*Y395</f>
        <v/>
      </c>
      <c r="Z396">
        <f>$C396*Z395</f>
        <v/>
      </c>
      <c r="AA396">
        <f>$C396*AA395</f>
        <v/>
      </c>
      <c r="AB396">
        <f>$C396*AB395</f>
        <v/>
      </c>
      <c r="AC396">
        <f>$C396*AC395</f>
        <v/>
      </c>
      <c r="AD396">
        <f>$C396*AD395</f>
        <v/>
      </c>
      <c r="AE396">
        <f>$C396*AE395</f>
        <v/>
      </c>
      <c r="AF396">
        <f>$C396*AF395</f>
        <v/>
      </c>
      <c r="AG396">
        <f>$C396*AG395</f>
        <v/>
      </c>
      <c r="AH396">
        <f>$C396*AH395</f>
        <v/>
      </c>
      <c r="AI396">
        <f>$C396*AI395</f>
        <v/>
      </c>
      <c r="AJ396">
        <f>$C396*AJ395</f>
        <v/>
      </c>
      <c r="AK396">
        <f>$C396*AK395</f>
        <v/>
      </c>
      <c r="AL396">
        <f>$C396*AL395</f>
        <v/>
      </c>
      <c r="AM396">
        <f>$C396*AM395</f>
        <v/>
      </c>
      <c r="AN396">
        <f>$C396*AN395</f>
        <v/>
      </c>
      <c r="AO396">
        <f>$C396*AO395</f>
        <v/>
      </c>
      <c r="AP396">
        <f>$C396*AP395</f>
        <v/>
      </c>
      <c r="AQ396">
        <f>$C396*AQ395</f>
        <v/>
      </c>
      <c r="AR396">
        <f>$C396*AR395</f>
        <v/>
      </c>
      <c r="AS396">
        <f>$C396*AS395</f>
        <v/>
      </c>
      <c r="AT396">
        <f>$C396*AT395</f>
        <v/>
      </c>
      <c r="AU396">
        <f>$C396*AU395</f>
        <v/>
      </c>
      <c r="AV396">
        <f>$C396*AV395</f>
        <v/>
      </c>
      <c r="AW396">
        <f>$C396*AW395</f>
        <v/>
      </c>
      <c r="AX396">
        <f>$C396*AX395</f>
        <v/>
      </c>
      <c r="AY396">
        <f>$C396*AY395</f>
        <v/>
      </c>
      <c r="AZ396">
        <f>$C396*AZ395</f>
        <v/>
      </c>
      <c r="BA396">
        <f>$C396*BA395</f>
        <v/>
      </c>
      <c r="BB396">
        <f>$C396*BB395</f>
        <v/>
      </c>
      <c r="BC396">
        <f>$C396*BC395</f>
        <v/>
      </c>
      <c r="BD396">
        <f>$C396*BD395</f>
        <v/>
      </c>
      <c r="BE396">
        <f>$C396*BE395</f>
        <v/>
      </c>
      <c r="BF396">
        <f>$C396*BF395</f>
        <v/>
      </c>
      <c r="BG396">
        <f>$C396*BG395</f>
        <v/>
      </c>
      <c r="BH396">
        <f>$C396*BH395</f>
        <v/>
      </c>
      <c r="BI396">
        <f>$C396*BI395</f>
        <v/>
      </c>
      <c r="BJ396">
        <f>$C396*BJ395</f>
        <v/>
      </c>
      <c r="BK396">
        <f>$C396*BK395</f>
        <v/>
      </c>
      <c r="BL396">
        <f>$C396*BL395</f>
        <v/>
      </c>
      <c r="BM396">
        <f>$C396*BM395</f>
        <v/>
      </c>
      <c r="BN396">
        <f>$C396*BN395</f>
        <v/>
      </c>
      <c r="BO396">
        <f>$C396*BO395</f>
        <v/>
      </c>
      <c r="BP396">
        <f>$C396*BP395</f>
        <v/>
      </c>
      <c r="BQ396">
        <f>$C396*BQ395</f>
        <v/>
      </c>
      <c r="BR396">
        <f>$C396*BR395</f>
        <v/>
      </c>
      <c r="BS396">
        <f>$C396*BS395</f>
        <v/>
      </c>
      <c r="BT396">
        <f>$C396*BT395</f>
        <v/>
      </c>
      <c r="BU396">
        <f>$C396*BU395</f>
        <v/>
      </c>
      <c r="BV396">
        <f>$C396*BV395</f>
        <v/>
      </c>
      <c r="BW396">
        <f>$C396*BW395</f>
        <v/>
      </c>
      <c r="BX396">
        <f>$C396*BX395</f>
        <v/>
      </c>
      <c r="BY396">
        <f>$C396*BY395</f>
        <v/>
      </c>
      <c r="BZ396">
        <f>$C396*BZ395</f>
        <v/>
      </c>
      <c r="CA396">
        <f>$C396*CA395</f>
        <v/>
      </c>
      <c r="CB396">
        <f>$C396*CB395</f>
        <v/>
      </c>
      <c r="CC396">
        <f>$C396*CC395</f>
        <v/>
      </c>
      <c r="CD396">
        <f>$C396*CD395</f>
        <v/>
      </c>
      <c r="CE396">
        <f>$C396*CE395</f>
        <v/>
      </c>
      <c r="CF396">
        <f>$C396*CF395</f>
        <v/>
      </c>
      <c r="CG396">
        <f>$C396*CG395</f>
        <v/>
      </c>
      <c r="CH396">
        <f>$C396*CH395</f>
        <v/>
      </c>
      <c r="CI396">
        <f>$C396*CI395</f>
        <v/>
      </c>
      <c r="CJ396">
        <f>$C396*CJ395</f>
        <v/>
      </c>
      <c r="CK396">
        <f>$C396*CK395</f>
        <v/>
      </c>
      <c r="CL396">
        <f>$C396*CL395</f>
        <v/>
      </c>
      <c r="CM396">
        <f>$C396*CM395</f>
        <v/>
      </c>
      <c r="CN396">
        <f>$C396*CN395</f>
        <v/>
      </c>
      <c r="CO396">
        <f>$C396*CO395</f>
        <v/>
      </c>
      <c r="CP396">
        <f>$C396*CP395</f>
        <v/>
      </c>
      <c r="CQ396">
        <f>$C396*CQ395</f>
        <v/>
      </c>
      <c r="CR396">
        <f>$C396*CR395</f>
        <v/>
      </c>
      <c r="CS396">
        <f>$C396*CS395</f>
        <v/>
      </c>
      <c r="CT396">
        <f>$C396*CT395</f>
        <v/>
      </c>
      <c r="CU396">
        <f>$C396*CU395</f>
        <v/>
      </c>
      <c r="CV396">
        <f>$C396*CV395</f>
        <v/>
      </c>
      <c r="CW396">
        <f>$C396*CW395</f>
        <v/>
      </c>
      <c r="CX396">
        <f>$C396*CX395</f>
        <v/>
      </c>
      <c r="CY396">
        <f>$C396*CY395</f>
        <v/>
      </c>
      <c r="CZ396">
        <f>$C396*CZ395</f>
        <v/>
      </c>
      <c r="DA396">
        <f>$C396*DA395</f>
        <v/>
      </c>
      <c r="DB396">
        <f>$C396*DB395</f>
        <v/>
      </c>
      <c r="DC396">
        <f>$C396*DC395</f>
        <v/>
      </c>
    </row>
    <row r="397">
      <c r="B397" t="inlineStr">
        <is>
          <t>TSP-1449</t>
        </is>
      </c>
      <c r="C397" t="inlineStr">
        <is>
          <t>No. of batches</t>
        </is>
      </c>
      <c r="D397">
        <f>IFERROR(INDEX(PP_Grid[#Data],$DD397,2),0)</f>
        <v/>
      </c>
      <c r="E397">
        <f>IFERROR(INDEX(PP_Grid[#Data],$DD397,3),0)</f>
        <v/>
      </c>
      <c r="F397">
        <f>IFERROR(INDEX(PP_Grid[#Data],$DD397,4),0)</f>
        <v/>
      </c>
      <c r="G397">
        <f>IFERROR(INDEX(PP_Grid[#Data],$DD397,5),0)</f>
        <v/>
      </c>
      <c r="H397">
        <f>IFERROR(INDEX(PP_Grid[#Data],$DD397,6),0)</f>
        <v/>
      </c>
      <c r="I397">
        <f>IFERROR(INDEX(PP_Grid[#Data],$DD397,7),0)</f>
        <v/>
      </c>
      <c r="J397">
        <f>IFERROR(INDEX(PP_Grid[#Data],$DD397,8),0)</f>
        <v/>
      </c>
      <c r="K397">
        <f>IFERROR(INDEX(PP_Grid[#Data],$DD397,9),0)</f>
        <v/>
      </c>
      <c r="L397">
        <f>IFERROR(INDEX(PP_Grid[#Data],$DD397,10),0)</f>
        <v/>
      </c>
      <c r="M397">
        <f>IFERROR(INDEX(PP_Grid[#Data],$DD397,11),0)</f>
        <v/>
      </c>
      <c r="N397">
        <f>IFERROR(INDEX(PP_Grid[#Data],$DD397,12),0)</f>
        <v/>
      </c>
      <c r="O397">
        <f>IFERROR(INDEX(PP_Grid[#Data],$DD397,13),0)</f>
        <v/>
      </c>
      <c r="P397">
        <f>IFERROR(INDEX(PP_Grid[#Data],$DD397,14),0)</f>
        <v/>
      </c>
      <c r="Q397">
        <f>IFERROR(INDEX(PP_Grid[#Data],$DD397,15),0)</f>
        <v/>
      </c>
      <c r="R397">
        <f>IFERROR(INDEX(PP_Grid[#Data],$DD397,16),0)</f>
        <v/>
      </c>
      <c r="S397">
        <f>IFERROR(INDEX(PP_Grid[#Data],$DD397,17),0)</f>
        <v/>
      </c>
      <c r="T397">
        <f>IFERROR(INDEX(PP_Grid[#Data],$DD397,18),0)</f>
        <v/>
      </c>
      <c r="U397">
        <f>IFERROR(INDEX(PP_Grid[#Data],$DD397,19),0)</f>
        <v/>
      </c>
      <c r="V397">
        <f>IFERROR(INDEX(PP_Grid[#Data],$DD397,20),0)</f>
        <v/>
      </c>
      <c r="W397">
        <f>IFERROR(INDEX(PP_Grid[#Data],$DD397,21),0)</f>
        <v/>
      </c>
      <c r="X397">
        <f>IFERROR(INDEX(PP_Grid[#Data],$DD397,22),0)</f>
        <v/>
      </c>
      <c r="Y397">
        <f>IFERROR(INDEX(PP_Grid[#Data],$DD397,23),0)</f>
        <v/>
      </c>
      <c r="Z397">
        <f>IFERROR(INDEX(PP_Grid[#Data],$DD397,24),0)</f>
        <v/>
      </c>
      <c r="AA397">
        <f>IFERROR(INDEX(PP_Grid[#Data],$DD397,25),0)</f>
        <v/>
      </c>
      <c r="AB397">
        <f>IFERROR(INDEX(PP_Grid[#Data],$DD397,26),0)</f>
        <v/>
      </c>
      <c r="AC397">
        <f>IFERROR(INDEX(PP_Grid[#Data],$DD397,27),0)</f>
        <v/>
      </c>
      <c r="AD397">
        <f>IFERROR(INDEX(PP_Grid[#Data],$DD397,28),0)</f>
        <v/>
      </c>
      <c r="AE397">
        <f>IFERROR(INDEX(PP_Grid[#Data],$DD397,29),0)</f>
        <v/>
      </c>
      <c r="AF397">
        <f>IFERROR(INDEX(PP_Grid[#Data],$DD397,30),0)</f>
        <v/>
      </c>
      <c r="AG397">
        <f>IFERROR(INDEX(PP_Grid[#Data],$DD397,31),0)</f>
        <v/>
      </c>
      <c r="AH397">
        <f>IFERROR(INDEX(PP_Grid[#Data],$DD397,32),0)</f>
        <v/>
      </c>
      <c r="AI397">
        <f>IFERROR(INDEX(PP_Grid[#Data],$DD397,33),0)</f>
        <v/>
      </c>
      <c r="AJ397">
        <f>IFERROR(INDEX(PP_Grid[#Data],$DD397,34),0)</f>
        <v/>
      </c>
      <c r="AK397">
        <f>IFERROR(INDEX(PP_Grid[#Data],$DD397,35),0)</f>
        <v/>
      </c>
      <c r="AL397">
        <f>IFERROR(INDEX(PP_Grid[#Data],$DD397,36),0)</f>
        <v/>
      </c>
      <c r="AM397">
        <f>IFERROR(INDEX(PP_Grid[#Data],$DD397,37),0)</f>
        <v/>
      </c>
      <c r="AN397">
        <f>IFERROR(INDEX(PP_Grid[#Data],$DD397,38),0)</f>
        <v/>
      </c>
      <c r="AO397">
        <f>IFERROR(INDEX(PP_Grid[#Data],$DD397,39),0)</f>
        <v/>
      </c>
      <c r="AP397">
        <f>IFERROR(INDEX(PP_Grid[#Data],$DD397,40),0)</f>
        <v/>
      </c>
      <c r="AQ397">
        <f>IFERROR(INDEX(PP_Grid[#Data],$DD397,41),0)</f>
        <v/>
      </c>
      <c r="AR397">
        <f>IFERROR(INDEX(PP_Grid[#Data],$DD397,42),0)</f>
        <v/>
      </c>
      <c r="AS397">
        <f>IFERROR(INDEX(PP_Grid[#Data],$DD397,43),0)</f>
        <v/>
      </c>
      <c r="AT397">
        <f>IFERROR(INDEX(PP_Grid[#Data],$DD397,44),0)</f>
        <v/>
      </c>
      <c r="AU397">
        <f>IFERROR(INDEX(PP_Grid[#Data],$DD397,45),0)</f>
        <v/>
      </c>
      <c r="AV397">
        <f>IFERROR(INDEX(PP_Grid[#Data],$DD397,46),0)</f>
        <v/>
      </c>
      <c r="AW397">
        <f>IFERROR(INDEX(PP_Grid[#Data],$DD397,47),0)</f>
        <v/>
      </c>
      <c r="AX397">
        <f>IFERROR(INDEX(PP_Grid[#Data],$DD397,48),0)</f>
        <v/>
      </c>
      <c r="AY397">
        <f>IFERROR(INDEX(PP_Grid[#Data],$DD397,49),0)</f>
        <v/>
      </c>
      <c r="AZ397">
        <f>IFERROR(INDEX(PP_Grid[#Data],$DD397,50),0)</f>
        <v/>
      </c>
      <c r="BA397">
        <f>IFERROR(INDEX(PP_Grid[#Data],$DD397,51),0)</f>
        <v/>
      </c>
      <c r="BB397">
        <f>IFERROR(INDEX(PP_Grid[#Data],$DD397,52),0)</f>
        <v/>
      </c>
      <c r="BC397">
        <f>IFERROR(INDEX(PP_Grid[#Data],$DD397,53),0)</f>
        <v/>
      </c>
      <c r="BD397">
        <f>IFERROR(INDEX(PP_Grid[#Data],$DD397,54),0)</f>
        <v/>
      </c>
      <c r="BE397">
        <f>IFERROR(INDEX(PP_Grid[#Data],$DD397,55),0)</f>
        <v/>
      </c>
      <c r="BF397">
        <f>IFERROR(INDEX(PP_Grid[#Data],$DD397,56),0)</f>
        <v/>
      </c>
      <c r="BG397">
        <f>IFERROR(INDEX(PP_Grid[#Data],$DD397,57),0)</f>
        <v/>
      </c>
      <c r="BH397">
        <f>IFERROR(INDEX(PP_Grid[#Data],$DD397,58),0)</f>
        <v/>
      </c>
      <c r="BI397">
        <f>IFERROR(INDEX(PP_Grid[#Data],$DD397,59),0)</f>
        <v/>
      </c>
      <c r="BJ397">
        <f>IFERROR(INDEX(PP_Grid[#Data],$DD397,60),0)</f>
        <v/>
      </c>
      <c r="BK397">
        <f>IFERROR(INDEX(PP_Grid[#Data],$DD397,61),0)</f>
        <v/>
      </c>
      <c r="BL397">
        <f>IFERROR(INDEX(PP_Grid[#Data],$DD397,62),0)</f>
        <v/>
      </c>
      <c r="BM397">
        <f>IFERROR(INDEX(PP_Grid[#Data],$DD397,63),0)</f>
        <v/>
      </c>
      <c r="BN397">
        <f>IFERROR(INDEX(PP_Grid[#Data],$DD397,64),0)</f>
        <v/>
      </c>
      <c r="BO397">
        <f>IFERROR(INDEX(PP_Grid[#Data],$DD397,65),0)</f>
        <v/>
      </c>
      <c r="BP397">
        <f>IFERROR(INDEX(PP_Grid[#Data],$DD397,66),0)</f>
        <v/>
      </c>
      <c r="BQ397">
        <f>IFERROR(INDEX(PP_Grid[#Data],$DD397,67),0)</f>
        <v/>
      </c>
      <c r="BR397">
        <f>IFERROR(INDEX(PP_Grid[#Data],$DD397,68),0)</f>
        <v/>
      </c>
      <c r="BS397">
        <f>IFERROR(INDEX(PP_Grid[#Data],$DD397,69),0)</f>
        <v/>
      </c>
      <c r="BT397">
        <f>IFERROR(INDEX(PP_Grid[#Data],$DD397,70),0)</f>
        <v/>
      </c>
      <c r="BU397">
        <f>IFERROR(INDEX(PP_Grid[#Data],$DD397,71),0)</f>
        <v/>
      </c>
      <c r="BV397">
        <f>IFERROR(INDEX(PP_Grid[#Data],$DD397,72),0)</f>
        <v/>
      </c>
      <c r="BW397">
        <f>IFERROR(INDEX(PP_Grid[#Data],$DD397,73),0)</f>
        <v/>
      </c>
      <c r="BX397">
        <f>IFERROR(INDEX(PP_Grid[#Data],$DD397,74),0)</f>
        <v/>
      </c>
      <c r="BY397">
        <f>IFERROR(INDEX(PP_Grid[#Data],$DD397,75),0)</f>
        <v/>
      </c>
      <c r="BZ397">
        <f>IFERROR(INDEX(PP_Grid[#Data],$DD397,76),0)</f>
        <v/>
      </c>
      <c r="CA397">
        <f>IFERROR(INDEX(PP_Grid[#Data],$DD397,77),0)</f>
        <v/>
      </c>
      <c r="CB397">
        <f>IFERROR(INDEX(PP_Grid[#Data],$DD397,78),0)</f>
        <v/>
      </c>
      <c r="CC397">
        <f>IFERROR(INDEX(PP_Grid[#Data],$DD397,79),0)</f>
        <v/>
      </c>
      <c r="CD397">
        <f>IFERROR(INDEX(PP_Grid[#Data],$DD397,80),0)</f>
        <v/>
      </c>
      <c r="CE397">
        <f>IFERROR(INDEX(PP_Grid[#Data],$DD397,81),0)</f>
        <v/>
      </c>
      <c r="CF397">
        <f>IFERROR(INDEX(PP_Grid[#Data],$DD397,82),0)</f>
        <v/>
      </c>
      <c r="CG397">
        <f>IFERROR(INDEX(PP_Grid[#Data],$DD397,83),0)</f>
        <v/>
      </c>
      <c r="CH397">
        <f>IFERROR(INDEX(PP_Grid[#Data],$DD397,84),0)</f>
        <v/>
      </c>
      <c r="CI397">
        <f>IFERROR(INDEX(PP_Grid[#Data],$DD397,85),0)</f>
        <v/>
      </c>
      <c r="CJ397">
        <f>IFERROR(INDEX(PP_Grid[#Data],$DD397,86),0)</f>
        <v/>
      </c>
      <c r="CK397">
        <f>IFERROR(INDEX(PP_Grid[#Data],$DD397,87),0)</f>
        <v/>
      </c>
      <c r="CL397">
        <f>IFERROR(INDEX(PP_Grid[#Data],$DD397,88),0)</f>
        <v/>
      </c>
      <c r="CM397">
        <f>IFERROR(INDEX(PP_Grid[#Data],$DD397,89),0)</f>
        <v/>
      </c>
      <c r="CN397">
        <f>IFERROR(INDEX(PP_Grid[#Data],$DD397,90),0)</f>
        <v/>
      </c>
      <c r="CO397">
        <f>IFERROR(INDEX(PP_Grid[#Data],$DD397,91),0)</f>
        <v/>
      </c>
      <c r="CP397">
        <f>IFERROR(INDEX(PP_Grid[#Data],$DD397,92),0)</f>
        <v/>
      </c>
      <c r="CQ397">
        <f>IFERROR(INDEX(PP_Grid[#Data],$DD397,93),0)</f>
        <v/>
      </c>
      <c r="CR397">
        <f>IFERROR(INDEX(PP_Grid[#Data],$DD397,94),0)</f>
        <v/>
      </c>
      <c r="CS397">
        <f>IFERROR(INDEX(PP_Grid[#Data],$DD397,95),0)</f>
        <v/>
      </c>
      <c r="CT397">
        <f>IFERROR(INDEX(PP_Grid[#Data],$DD397,96),0)</f>
        <v/>
      </c>
      <c r="CU397">
        <f>IFERROR(INDEX(PP_Grid[#Data],$DD397,97),0)</f>
        <v/>
      </c>
      <c r="CV397">
        <f>IFERROR(INDEX(PP_Grid[#Data],$DD397,98),0)</f>
        <v/>
      </c>
      <c r="CW397">
        <f>IFERROR(INDEX(PP_Grid[#Data],$DD397,99),0)</f>
        <v/>
      </c>
      <c r="CX397">
        <f>IFERROR(INDEX(PP_Grid[#Data],$DD397,100),0)</f>
        <v/>
      </c>
      <c r="CY397">
        <f>IFERROR(INDEX(PP_Grid[#Data],$DD397,101),0)</f>
        <v/>
      </c>
      <c r="CZ397">
        <f>IFERROR(INDEX(PP_Grid[#Data],$DD397,102),0)</f>
        <v/>
      </c>
      <c r="DA397">
        <f>IFERROR(INDEX(PP_Grid[#Data],$DD397,103),0)</f>
        <v/>
      </c>
      <c r="DB397">
        <f>IFERROR(INDEX(PP_Grid[#Data],$DD397,104),0)</f>
        <v/>
      </c>
      <c r="DC397">
        <f>IFERROR(INDEX(PP_Grid[#Data],$DD397,105),0)</f>
        <v/>
      </c>
      <c r="DD397" s="7">
        <f>IFERROR(MATCH($B397,PP_Grid[Intermediate],0),99999)</f>
        <v/>
      </c>
    </row>
    <row r="398">
      <c r="B398" t="inlineStr">
        <is>
          <t>使用量(kg)</t>
        </is>
      </c>
      <c r="C398">
        <f>SUMIFS(M_BOM[RM_Qty_Per_Batch],M_BOM[Intermediate],$B397,M_BOM[Part Name],$A340)</f>
        <v/>
      </c>
      <c r="D398">
        <f>$C398*D397</f>
        <v/>
      </c>
      <c r="E398">
        <f>$C398*E397</f>
        <v/>
      </c>
      <c r="F398">
        <f>$C398*F397</f>
        <v/>
      </c>
      <c r="G398">
        <f>$C398*G397</f>
        <v/>
      </c>
      <c r="H398">
        <f>$C398*H397</f>
        <v/>
      </c>
      <c r="I398">
        <f>$C398*I397</f>
        <v/>
      </c>
      <c r="J398">
        <f>$C398*J397</f>
        <v/>
      </c>
      <c r="K398">
        <f>$C398*K397</f>
        <v/>
      </c>
      <c r="L398">
        <f>$C398*L397</f>
        <v/>
      </c>
      <c r="M398">
        <f>$C398*M397</f>
        <v/>
      </c>
      <c r="N398">
        <f>$C398*N397</f>
        <v/>
      </c>
      <c r="O398">
        <f>$C398*O397</f>
        <v/>
      </c>
      <c r="P398">
        <f>$C398*P397</f>
        <v/>
      </c>
      <c r="Q398">
        <f>$C398*Q397</f>
        <v/>
      </c>
      <c r="R398">
        <f>$C398*R397</f>
        <v/>
      </c>
      <c r="S398">
        <f>$C398*S397</f>
        <v/>
      </c>
      <c r="T398">
        <f>$C398*T397</f>
        <v/>
      </c>
      <c r="U398">
        <f>$C398*U397</f>
        <v/>
      </c>
      <c r="V398">
        <f>$C398*V397</f>
        <v/>
      </c>
      <c r="W398">
        <f>$C398*W397</f>
        <v/>
      </c>
      <c r="X398">
        <f>$C398*X397</f>
        <v/>
      </c>
      <c r="Y398">
        <f>$C398*Y397</f>
        <v/>
      </c>
      <c r="Z398">
        <f>$C398*Z397</f>
        <v/>
      </c>
      <c r="AA398">
        <f>$C398*AA397</f>
        <v/>
      </c>
      <c r="AB398">
        <f>$C398*AB397</f>
        <v/>
      </c>
      <c r="AC398">
        <f>$C398*AC397</f>
        <v/>
      </c>
      <c r="AD398">
        <f>$C398*AD397</f>
        <v/>
      </c>
      <c r="AE398">
        <f>$C398*AE397</f>
        <v/>
      </c>
      <c r="AF398">
        <f>$C398*AF397</f>
        <v/>
      </c>
      <c r="AG398">
        <f>$C398*AG397</f>
        <v/>
      </c>
      <c r="AH398">
        <f>$C398*AH397</f>
        <v/>
      </c>
      <c r="AI398">
        <f>$C398*AI397</f>
        <v/>
      </c>
      <c r="AJ398">
        <f>$C398*AJ397</f>
        <v/>
      </c>
      <c r="AK398">
        <f>$C398*AK397</f>
        <v/>
      </c>
      <c r="AL398">
        <f>$C398*AL397</f>
        <v/>
      </c>
      <c r="AM398">
        <f>$C398*AM397</f>
        <v/>
      </c>
      <c r="AN398">
        <f>$C398*AN397</f>
        <v/>
      </c>
      <c r="AO398">
        <f>$C398*AO397</f>
        <v/>
      </c>
      <c r="AP398">
        <f>$C398*AP397</f>
        <v/>
      </c>
      <c r="AQ398">
        <f>$C398*AQ397</f>
        <v/>
      </c>
      <c r="AR398">
        <f>$C398*AR397</f>
        <v/>
      </c>
      <c r="AS398">
        <f>$C398*AS397</f>
        <v/>
      </c>
      <c r="AT398">
        <f>$C398*AT397</f>
        <v/>
      </c>
      <c r="AU398">
        <f>$C398*AU397</f>
        <v/>
      </c>
      <c r="AV398">
        <f>$C398*AV397</f>
        <v/>
      </c>
      <c r="AW398">
        <f>$C398*AW397</f>
        <v/>
      </c>
      <c r="AX398">
        <f>$C398*AX397</f>
        <v/>
      </c>
      <c r="AY398">
        <f>$C398*AY397</f>
        <v/>
      </c>
      <c r="AZ398">
        <f>$C398*AZ397</f>
        <v/>
      </c>
      <c r="BA398">
        <f>$C398*BA397</f>
        <v/>
      </c>
      <c r="BB398">
        <f>$C398*BB397</f>
        <v/>
      </c>
      <c r="BC398">
        <f>$C398*BC397</f>
        <v/>
      </c>
      <c r="BD398">
        <f>$C398*BD397</f>
        <v/>
      </c>
      <c r="BE398">
        <f>$C398*BE397</f>
        <v/>
      </c>
      <c r="BF398">
        <f>$C398*BF397</f>
        <v/>
      </c>
      <c r="BG398">
        <f>$C398*BG397</f>
        <v/>
      </c>
      <c r="BH398">
        <f>$C398*BH397</f>
        <v/>
      </c>
      <c r="BI398">
        <f>$C398*BI397</f>
        <v/>
      </c>
      <c r="BJ398">
        <f>$C398*BJ397</f>
        <v/>
      </c>
      <c r="BK398">
        <f>$C398*BK397</f>
        <v/>
      </c>
      <c r="BL398">
        <f>$C398*BL397</f>
        <v/>
      </c>
      <c r="BM398">
        <f>$C398*BM397</f>
        <v/>
      </c>
      <c r="BN398">
        <f>$C398*BN397</f>
        <v/>
      </c>
      <c r="BO398">
        <f>$C398*BO397</f>
        <v/>
      </c>
      <c r="BP398">
        <f>$C398*BP397</f>
        <v/>
      </c>
      <c r="BQ398">
        <f>$C398*BQ397</f>
        <v/>
      </c>
      <c r="BR398">
        <f>$C398*BR397</f>
        <v/>
      </c>
      <c r="BS398">
        <f>$C398*BS397</f>
        <v/>
      </c>
      <c r="BT398">
        <f>$C398*BT397</f>
        <v/>
      </c>
      <c r="BU398">
        <f>$C398*BU397</f>
        <v/>
      </c>
      <c r="BV398">
        <f>$C398*BV397</f>
        <v/>
      </c>
      <c r="BW398">
        <f>$C398*BW397</f>
        <v/>
      </c>
      <c r="BX398">
        <f>$C398*BX397</f>
        <v/>
      </c>
      <c r="BY398">
        <f>$C398*BY397</f>
        <v/>
      </c>
      <c r="BZ398">
        <f>$C398*BZ397</f>
        <v/>
      </c>
      <c r="CA398">
        <f>$C398*CA397</f>
        <v/>
      </c>
      <c r="CB398">
        <f>$C398*CB397</f>
        <v/>
      </c>
      <c r="CC398">
        <f>$C398*CC397</f>
        <v/>
      </c>
      <c r="CD398">
        <f>$C398*CD397</f>
        <v/>
      </c>
      <c r="CE398">
        <f>$C398*CE397</f>
        <v/>
      </c>
      <c r="CF398">
        <f>$C398*CF397</f>
        <v/>
      </c>
      <c r="CG398">
        <f>$C398*CG397</f>
        <v/>
      </c>
      <c r="CH398">
        <f>$C398*CH397</f>
        <v/>
      </c>
      <c r="CI398">
        <f>$C398*CI397</f>
        <v/>
      </c>
      <c r="CJ398">
        <f>$C398*CJ397</f>
        <v/>
      </c>
      <c r="CK398">
        <f>$C398*CK397</f>
        <v/>
      </c>
      <c r="CL398">
        <f>$C398*CL397</f>
        <v/>
      </c>
      <c r="CM398">
        <f>$C398*CM397</f>
        <v/>
      </c>
      <c r="CN398">
        <f>$C398*CN397</f>
        <v/>
      </c>
      <c r="CO398">
        <f>$C398*CO397</f>
        <v/>
      </c>
      <c r="CP398">
        <f>$C398*CP397</f>
        <v/>
      </c>
      <c r="CQ398">
        <f>$C398*CQ397</f>
        <v/>
      </c>
      <c r="CR398">
        <f>$C398*CR397</f>
        <v/>
      </c>
      <c r="CS398">
        <f>$C398*CS397</f>
        <v/>
      </c>
      <c r="CT398">
        <f>$C398*CT397</f>
        <v/>
      </c>
      <c r="CU398">
        <f>$C398*CU397</f>
        <v/>
      </c>
      <c r="CV398">
        <f>$C398*CV397</f>
        <v/>
      </c>
      <c r="CW398">
        <f>$C398*CW397</f>
        <v/>
      </c>
      <c r="CX398">
        <f>$C398*CX397</f>
        <v/>
      </c>
      <c r="CY398">
        <f>$C398*CY397</f>
        <v/>
      </c>
      <c r="CZ398">
        <f>$C398*CZ397</f>
        <v/>
      </c>
      <c r="DA398">
        <f>$C398*DA397</f>
        <v/>
      </c>
      <c r="DB398">
        <f>$C398*DB397</f>
        <v/>
      </c>
      <c r="DC398">
        <f>$C398*DC397</f>
        <v/>
      </c>
    </row>
    <row r="399">
      <c r="B399" t="inlineStr">
        <is>
          <t>VSP-567</t>
        </is>
      </c>
      <c r="C399" t="inlineStr">
        <is>
          <t>No. of batches</t>
        </is>
      </c>
      <c r="D399">
        <f>IFERROR(INDEX(PP_Grid[#Data],$DD399,2),0)</f>
        <v/>
      </c>
      <c r="E399">
        <f>IFERROR(INDEX(PP_Grid[#Data],$DD399,3),0)</f>
        <v/>
      </c>
      <c r="F399">
        <f>IFERROR(INDEX(PP_Grid[#Data],$DD399,4),0)</f>
        <v/>
      </c>
      <c r="G399">
        <f>IFERROR(INDEX(PP_Grid[#Data],$DD399,5),0)</f>
        <v/>
      </c>
      <c r="H399">
        <f>IFERROR(INDEX(PP_Grid[#Data],$DD399,6),0)</f>
        <v/>
      </c>
      <c r="I399">
        <f>IFERROR(INDEX(PP_Grid[#Data],$DD399,7),0)</f>
        <v/>
      </c>
      <c r="J399">
        <f>IFERROR(INDEX(PP_Grid[#Data],$DD399,8),0)</f>
        <v/>
      </c>
      <c r="K399">
        <f>IFERROR(INDEX(PP_Grid[#Data],$DD399,9),0)</f>
        <v/>
      </c>
      <c r="L399">
        <f>IFERROR(INDEX(PP_Grid[#Data],$DD399,10),0)</f>
        <v/>
      </c>
      <c r="M399">
        <f>IFERROR(INDEX(PP_Grid[#Data],$DD399,11),0)</f>
        <v/>
      </c>
      <c r="N399">
        <f>IFERROR(INDEX(PP_Grid[#Data],$DD399,12),0)</f>
        <v/>
      </c>
      <c r="O399">
        <f>IFERROR(INDEX(PP_Grid[#Data],$DD399,13),0)</f>
        <v/>
      </c>
      <c r="P399">
        <f>IFERROR(INDEX(PP_Grid[#Data],$DD399,14),0)</f>
        <v/>
      </c>
      <c r="Q399">
        <f>IFERROR(INDEX(PP_Grid[#Data],$DD399,15),0)</f>
        <v/>
      </c>
      <c r="R399">
        <f>IFERROR(INDEX(PP_Grid[#Data],$DD399,16),0)</f>
        <v/>
      </c>
      <c r="S399">
        <f>IFERROR(INDEX(PP_Grid[#Data],$DD399,17),0)</f>
        <v/>
      </c>
      <c r="T399">
        <f>IFERROR(INDEX(PP_Grid[#Data],$DD399,18),0)</f>
        <v/>
      </c>
      <c r="U399">
        <f>IFERROR(INDEX(PP_Grid[#Data],$DD399,19),0)</f>
        <v/>
      </c>
      <c r="V399">
        <f>IFERROR(INDEX(PP_Grid[#Data],$DD399,20),0)</f>
        <v/>
      </c>
      <c r="W399">
        <f>IFERROR(INDEX(PP_Grid[#Data],$DD399,21),0)</f>
        <v/>
      </c>
      <c r="X399">
        <f>IFERROR(INDEX(PP_Grid[#Data],$DD399,22),0)</f>
        <v/>
      </c>
      <c r="Y399">
        <f>IFERROR(INDEX(PP_Grid[#Data],$DD399,23),0)</f>
        <v/>
      </c>
      <c r="Z399">
        <f>IFERROR(INDEX(PP_Grid[#Data],$DD399,24),0)</f>
        <v/>
      </c>
      <c r="AA399">
        <f>IFERROR(INDEX(PP_Grid[#Data],$DD399,25),0)</f>
        <v/>
      </c>
      <c r="AB399">
        <f>IFERROR(INDEX(PP_Grid[#Data],$DD399,26),0)</f>
        <v/>
      </c>
      <c r="AC399">
        <f>IFERROR(INDEX(PP_Grid[#Data],$DD399,27),0)</f>
        <v/>
      </c>
      <c r="AD399">
        <f>IFERROR(INDEX(PP_Grid[#Data],$DD399,28),0)</f>
        <v/>
      </c>
      <c r="AE399">
        <f>IFERROR(INDEX(PP_Grid[#Data],$DD399,29),0)</f>
        <v/>
      </c>
      <c r="AF399">
        <f>IFERROR(INDEX(PP_Grid[#Data],$DD399,30),0)</f>
        <v/>
      </c>
      <c r="AG399">
        <f>IFERROR(INDEX(PP_Grid[#Data],$DD399,31),0)</f>
        <v/>
      </c>
      <c r="AH399">
        <f>IFERROR(INDEX(PP_Grid[#Data],$DD399,32),0)</f>
        <v/>
      </c>
      <c r="AI399">
        <f>IFERROR(INDEX(PP_Grid[#Data],$DD399,33),0)</f>
        <v/>
      </c>
      <c r="AJ399">
        <f>IFERROR(INDEX(PP_Grid[#Data],$DD399,34),0)</f>
        <v/>
      </c>
      <c r="AK399">
        <f>IFERROR(INDEX(PP_Grid[#Data],$DD399,35),0)</f>
        <v/>
      </c>
      <c r="AL399">
        <f>IFERROR(INDEX(PP_Grid[#Data],$DD399,36),0)</f>
        <v/>
      </c>
      <c r="AM399">
        <f>IFERROR(INDEX(PP_Grid[#Data],$DD399,37),0)</f>
        <v/>
      </c>
      <c r="AN399">
        <f>IFERROR(INDEX(PP_Grid[#Data],$DD399,38),0)</f>
        <v/>
      </c>
      <c r="AO399">
        <f>IFERROR(INDEX(PP_Grid[#Data],$DD399,39),0)</f>
        <v/>
      </c>
      <c r="AP399">
        <f>IFERROR(INDEX(PP_Grid[#Data],$DD399,40),0)</f>
        <v/>
      </c>
      <c r="AQ399">
        <f>IFERROR(INDEX(PP_Grid[#Data],$DD399,41),0)</f>
        <v/>
      </c>
      <c r="AR399">
        <f>IFERROR(INDEX(PP_Grid[#Data],$DD399,42),0)</f>
        <v/>
      </c>
      <c r="AS399">
        <f>IFERROR(INDEX(PP_Grid[#Data],$DD399,43),0)</f>
        <v/>
      </c>
      <c r="AT399">
        <f>IFERROR(INDEX(PP_Grid[#Data],$DD399,44),0)</f>
        <v/>
      </c>
      <c r="AU399">
        <f>IFERROR(INDEX(PP_Grid[#Data],$DD399,45),0)</f>
        <v/>
      </c>
      <c r="AV399">
        <f>IFERROR(INDEX(PP_Grid[#Data],$DD399,46),0)</f>
        <v/>
      </c>
      <c r="AW399">
        <f>IFERROR(INDEX(PP_Grid[#Data],$DD399,47),0)</f>
        <v/>
      </c>
      <c r="AX399">
        <f>IFERROR(INDEX(PP_Grid[#Data],$DD399,48),0)</f>
        <v/>
      </c>
      <c r="AY399">
        <f>IFERROR(INDEX(PP_Grid[#Data],$DD399,49),0)</f>
        <v/>
      </c>
      <c r="AZ399">
        <f>IFERROR(INDEX(PP_Grid[#Data],$DD399,50),0)</f>
        <v/>
      </c>
      <c r="BA399">
        <f>IFERROR(INDEX(PP_Grid[#Data],$DD399,51),0)</f>
        <v/>
      </c>
      <c r="BB399">
        <f>IFERROR(INDEX(PP_Grid[#Data],$DD399,52),0)</f>
        <v/>
      </c>
      <c r="BC399">
        <f>IFERROR(INDEX(PP_Grid[#Data],$DD399,53),0)</f>
        <v/>
      </c>
      <c r="BD399">
        <f>IFERROR(INDEX(PP_Grid[#Data],$DD399,54),0)</f>
        <v/>
      </c>
      <c r="BE399">
        <f>IFERROR(INDEX(PP_Grid[#Data],$DD399,55),0)</f>
        <v/>
      </c>
      <c r="BF399">
        <f>IFERROR(INDEX(PP_Grid[#Data],$DD399,56),0)</f>
        <v/>
      </c>
      <c r="BG399">
        <f>IFERROR(INDEX(PP_Grid[#Data],$DD399,57),0)</f>
        <v/>
      </c>
      <c r="BH399">
        <f>IFERROR(INDEX(PP_Grid[#Data],$DD399,58),0)</f>
        <v/>
      </c>
      <c r="BI399">
        <f>IFERROR(INDEX(PP_Grid[#Data],$DD399,59),0)</f>
        <v/>
      </c>
      <c r="BJ399">
        <f>IFERROR(INDEX(PP_Grid[#Data],$DD399,60),0)</f>
        <v/>
      </c>
      <c r="BK399">
        <f>IFERROR(INDEX(PP_Grid[#Data],$DD399,61),0)</f>
        <v/>
      </c>
      <c r="BL399">
        <f>IFERROR(INDEX(PP_Grid[#Data],$DD399,62),0)</f>
        <v/>
      </c>
      <c r="BM399">
        <f>IFERROR(INDEX(PP_Grid[#Data],$DD399,63),0)</f>
        <v/>
      </c>
      <c r="BN399">
        <f>IFERROR(INDEX(PP_Grid[#Data],$DD399,64),0)</f>
        <v/>
      </c>
      <c r="BO399">
        <f>IFERROR(INDEX(PP_Grid[#Data],$DD399,65),0)</f>
        <v/>
      </c>
      <c r="BP399">
        <f>IFERROR(INDEX(PP_Grid[#Data],$DD399,66),0)</f>
        <v/>
      </c>
      <c r="BQ399">
        <f>IFERROR(INDEX(PP_Grid[#Data],$DD399,67),0)</f>
        <v/>
      </c>
      <c r="BR399">
        <f>IFERROR(INDEX(PP_Grid[#Data],$DD399,68),0)</f>
        <v/>
      </c>
      <c r="BS399">
        <f>IFERROR(INDEX(PP_Grid[#Data],$DD399,69),0)</f>
        <v/>
      </c>
      <c r="BT399">
        <f>IFERROR(INDEX(PP_Grid[#Data],$DD399,70),0)</f>
        <v/>
      </c>
      <c r="BU399">
        <f>IFERROR(INDEX(PP_Grid[#Data],$DD399,71),0)</f>
        <v/>
      </c>
      <c r="BV399">
        <f>IFERROR(INDEX(PP_Grid[#Data],$DD399,72),0)</f>
        <v/>
      </c>
      <c r="BW399">
        <f>IFERROR(INDEX(PP_Grid[#Data],$DD399,73),0)</f>
        <v/>
      </c>
      <c r="BX399">
        <f>IFERROR(INDEX(PP_Grid[#Data],$DD399,74),0)</f>
        <v/>
      </c>
      <c r="BY399">
        <f>IFERROR(INDEX(PP_Grid[#Data],$DD399,75),0)</f>
        <v/>
      </c>
      <c r="BZ399">
        <f>IFERROR(INDEX(PP_Grid[#Data],$DD399,76),0)</f>
        <v/>
      </c>
      <c r="CA399">
        <f>IFERROR(INDEX(PP_Grid[#Data],$DD399,77),0)</f>
        <v/>
      </c>
      <c r="CB399">
        <f>IFERROR(INDEX(PP_Grid[#Data],$DD399,78),0)</f>
        <v/>
      </c>
      <c r="CC399">
        <f>IFERROR(INDEX(PP_Grid[#Data],$DD399,79),0)</f>
        <v/>
      </c>
      <c r="CD399">
        <f>IFERROR(INDEX(PP_Grid[#Data],$DD399,80),0)</f>
        <v/>
      </c>
      <c r="CE399">
        <f>IFERROR(INDEX(PP_Grid[#Data],$DD399,81),0)</f>
        <v/>
      </c>
      <c r="CF399">
        <f>IFERROR(INDEX(PP_Grid[#Data],$DD399,82),0)</f>
        <v/>
      </c>
      <c r="CG399">
        <f>IFERROR(INDEX(PP_Grid[#Data],$DD399,83),0)</f>
        <v/>
      </c>
      <c r="CH399">
        <f>IFERROR(INDEX(PP_Grid[#Data],$DD399,84),0)</f>
        <v/>
      </c>
      <c r="CI399">
        <f>IFERROR(INDEX(PP_Grid[#Data],$DD399,85),0)</f>
        <v/>
      </c>
      <c r="CJ399">
        <f>IFERROR(INDEX(PP_Grid[#Data],$DD399,86),0)</f>
        <v/>
      </c>
      <c r="CK399">
        <f>IFERROR(INDEX(PP_Grid[#Data],$DD399,87),0)</f>
        <v/>
      </c>
      <c r="CL399">
        <f>IFERROR(INDEX(PP_Grid[#Data],$DD399,88),0)</f>
        <v/>
      </c>
      <c r="CM399">
        <f>IFERROR(INDEX(PP_Grid[#Data],$DD399,89),0)</f>
        <v/>
      </c>
      <c r="CN399">
        <f>IFERROR(INDEX(PP_Grid[#Data],$DD399,90),0)</f>
        <v/>
      </c>
      <c r="CO399">
        <f>IFERROR(INDEX(PP_Grid[#Data],$DD399,91),0)</f>
        <v/>
      </c>
      <c r="CP399">
        <f>IFERROR(INDEX(PP_Grid[#Data],$DD399,92),0)</f>
        <v/>
      </c>
      <c r="CQ399">
        <f>IFERROR(INDEX(PP_Grid[#Data],$DD399,93),0)</f>
        <v/>
      </c>
      <c r="CR399">
        <f>IFERROR(INDEX(PP_Grid[#Data],$DD399,94),0)</f>
        <v/>
      </c>
      <c r="CS399">
        <f>IFERROR(INDEX(PP_Grid[#Data],$DD399,95),0)</f>
        <v/>
      </c>
      <c r="CT399">
        <f>IFERROR(INDEX(PP_Grid[#Data],$DD399,96),0)</f>
        <v/>
      </c>
      <c r="CU399">
        <f>IFERROR(INDEX(PP_Grid[#Data],$DD399,97),0)</f>
        <v/>
      </c>
      <c r="CV399">
        <f>IFERROR(INDEX(PP_Grid[#Data],$DD399,98),0)</f>
        <v/>
      </c>
      <c r="CW399">
        <f>IFERROR(INDEX(PP_Grid[#Data],$DD399,99),0)</f>
        <v/>
      </c>
      <c r="CX399">
        <f>IFERROR(INDEX(PP_Grid[#Data],$DD399,100),0)</f>
        <v/>
      </c>
      <c r="CY399">
        <f>IFERROR(INDEX(PP_Grid[#Data],$DD399,101),0)</f>
        <v/>
      </c>
      <c r="CZ399">
        <f>IFERROR(INDEX(PP_Grid[#Data],$DD399,102),0)</f>
        <v/>
      </c>
      <c r="DA399">
        <f>IFERROR(INDEX(PP_Grid[#Data],$DD399,103),0)</f>
        <v/>
      </c>
      <c r="DB399">
        <f>IFERROR(INDEX(PP_Grid[#Data],$DD399,104),0)</f>
        <v/>
      </c>
      <c r="DC399">
        <f>IFERROR(INDEX(PP_Grid[#Data],$DD399,105),0)</f>
        <v/>
      </c>
      <c r="DD399" s="7">
        <f>IFERROR(MATCH($B399,PP_Grid[Intermediate],0),99999)</f>
        <v/>
      </c>
    </row>
    <row r="400">
      <c r="B400" t="inlineStr">
        <is>
          <t>使用量(kg)</t>
        </is>
      </c>
      <c r="C400">
        <f>SUMIFS(M_BOM[RM_Qty_Per_Batch],M_BOM[Intermediate],$B399,M_BOM[Part Name],$A340)</f>
        <v/>
      </c>
      <c r="D400">
        <f>$C400*D399</f>
        <v/>
      </c>
      <c r="E400">
        <f>$C400*E399</f>
        <v/>
      </c>
      <c r="F400">
        <f>$C400*F399</f>
        <v/>
      </c>
      <c r="G400">
        <f>$C400*G399</f>
        <v/>
      </c>
      <c r="H400">
        <f>$C400*H399</f>
        <v/>
      </c>
      <c r="I400">
        <f>$C400*I399</f>
        <v/>
      </c>
      <c r="J400">
        <f>$C400*J399</f>
        <v/>
      </c>
      <c r="K400">
        <f>$C400*K399</f>
        <v/>
      </c>
      <c r="L400">
        <f>$C400*L399</f>
        <v/>
      </c>
      <c r="M400">
        <f>$C400*M399</f>
        <v/>
      </c>
      <c r="N400">
        <f>$C400*N399</f>
        <v/>
      </c>
      <c r="O400">
        <f>$C400*O399</f>
        <v/>
      </c>
      <c r="P400">
        <f>$C400*P399</f>
        <v/>
      </c>
      <c r="Q400">
        <f>$C400*Q399</f>
        <v/>
      </c>
      <c r="R400">
        <f>$C400*R399</f>
        <v/>
      </c>
      <c r="S400">
        <f>$C400*S399</f>
        <v/>
      </c>
      <c r="T400">
        <f>$C400*T399</f>
        <v/>
      </c>
      <c r="U400">
        <f>$C400*U399</f>
        <v/>
      </c>
      <c r="V400">
        <f>$C400*V399</f>
        <v/>
      </c>
      <c r="W400">
        <f>$C400*W399</f>
        <v/>
      </c>
      <c r="X400">
        <f>$C400*X399</f>
        <v/>
      </c>
      <c r="Y400">
        <f>$C400*Y399</f>
        <v/>
      </c>
      <c r="Z400">
        <f>$C400*Z399</f>
        <v/>
      </c>
      <c r="AA400">
        <f>$C400*AA399</f>
        <v/>
      </c>
      <c r="AB400">
        <f>$C400*AB399</f>
        <v/>
      </c>
      <c r="AC400">
        <f>$C400*AC399</f>
        <v/>
      </c>
      <c r="AD400">
        <f>$C400*AD399</f>
        <v/>
      </c>
      <c r="AE400">
        <f>$C400*AE399</f>
        <v/>
      </c>
      <c r="AF400">
        <f>$C400*AF399</f>
        <v/>
      </c>
      <c r="AG400">
        <f>$C400*AG399</f>
        <v/>
      </c>
      <c r="AH400">
        <f>$C400*AH399</f>
        <v/>
      </c>
      <c r="AI400">
        <f>$C400*AI399</f>
        <v/>
      </c>
      <c r="AJ400">
        <f>$C400*AJ399</f>
        <v/>
      </c>
      <c r="AK400">
        <f>$C400*AK399</f>
        <v/>
      </c>
      <c r="AL400">
        <f>$C400*AL399</f>
        <v/>
      </c>
      <c r="AM400">
        <f>$C400*AM399</f>
        <v/>
      </c>
      <c r="AN400">
        <f>$C400*AN399</f>
        <v/>
      </c>
      <c r="AO400">
        <f>$C400*AO399</f>
        <v/>
      </c>
      <c r="AP400">
        <f>$C400*AP399</f>
        <v/>
      </c>
      <c r="AQ400">
        <f>$C400*AQ399</f>
        <v/>
      </c>
      <c r="AR400">
        <f>$C400*AR399</f>
        <v/>
      </c>
      <c r="AS400">
        <f>$C400*AS399</f>
        <v/>
      </c>
      <c r="AT400">
        <f>$C400*AT399</f>
        <v/>
      </c>
      <c r="AU400">
        <f>$C400*AU399</f>
        <v/>
      </c>
      <c r="AV400">
        <f>$C400*AV399</f>
        <v/>
      </c>
      <c r="AW400">
        <f>$C400*AW399</f>
        <v/>
      </c>
      <c r="AX400">
        <f>$C400*AX399</f>
        <v/>
      </c>
      <c r="AY400">
        <f>$C400*AY399</f>
        <v/>
      </c>
      <c r="AZ400">
        <f>$C400*AZ399</f>
        <v/>
      </c>
      <c r="BA400">
        <f>$C400*BA399</f>
        <v/>
      </c>
      <c r="BB400">
        <f>$C400*BB399</f>
        <v/>
      </c>
      <c r="BC400">
        <f>$C400*BC399</f>
        <v/>
      </c>
      <c r="BD400">
        <f>$C400*BD399</f>
        <v/>
      </c>
      <c r="BE400">
        <f>$C400*BE399</f>
        <v/>
      </c>
      <c r="BF400">
        <f>$C400*BF399</f>
        <v/>
      </c>
      <c r="BG400">
        <f>$C400*BG399</f>
        <v/>
      </c>
      <c r="BH400">
        <f>$C400*BH399</f>
        <v/>
      </c>
      <c r="BI400">
        <f>$C400*BI399</f>
        <v/>
      </c>
      <c r="BJ400">
        <f>$C400*BJ399</f>
        <v/>
      </c>
      <c r="BK400">
        <f>$C400*BK399</f>
        <v/>
      </c>
      <c r="BL400">
        <f>$C400*BL399</f>
        <v/>
      </c>
      <c r="BM400">
        <f>$C400*BM399</f>
        <v/>
      </c>
      <c r="BN400">
        <f>$C400*BN399</f>
        <v/>
      </c>
      <c r="BO400">
        <f>$C400*BO399</f>
        <v/>
      </c>
      <c r="BP400">
        <f>$C400*BP399</f>
        <v/>
      </c>
      <c r="BQ400">
        <f>$C400*BQ399</f>
        <v/>
      </c>
      <c r="BR400">
        <f>$C400*BR399</f>
        <v/>
      </c>
      <c r="BS400">
        <f>$C400*BS399</f>
        <v/>
      </c>
      <c r="BT400">
        <f>$C400*BT399</f>
        <v/>
      </c>
      <c r="BU400">
        <f>$C400*BU399</f>
        <v/>
      </c>
      <c r="BV400">
        <f>$C400*BV399</f>
        <v/>
      </c>
      <c r="BW400">
        <f>$C400*BW399</f>
        <v/>
      </c>
      <c r="BX400">
        <f>$C400*BX399</f>
        <v/>
      </c>
      <c r="BY400">
        <f>$C400*BY399</f>
        <v/>
      </c>
      <c r="BZ400">
        <f>$C400*BZ399</f>
        <v/>
      </c>
      <c r="CA400">
        <f>$C400*CA399</f>
        <v/>
      </c>
      <c r="CB400">
        <f>$C400*CB399</f>
        <v/>
      </c>
      <c r="CC400">
        <f>$C400*CC399</f>
        <v/>
      </c>
      <c r="CD400">
        <f>$C400*CD399</f>
        <v/>
      </c>
      <c r="CE400">
        <f>$C400*CE399</f>
        <v/>
      </c>
      <c r="CF400">
        <f>$C400*CF399</f>
        <v/>
      </c>
      <c r="CG400">
        <f>$C400*CG399</f>
        <v/>
      </c>
      <c r="CH400">
        <f>$C400*CH399</f>
        <v/>
      </c>
      <c r="CI400">
        <f>$C400*CI399</f>
        <v/>
      </c>
      <c r="CJ400">
        <f>$C400*CJ399</f>
        <v/>
      </c>
      <c r="CK400">
        <f>$C400*CK399</f>
        <v/>
      </c>
      <c r="CL400">
        <f>$C400*CL399</f>
        <v/>
      </c>
      <c r="CM400">
        <f>$C400*CM399</f>
        <v/>
      </c>
      <c r="CN400">
        <f>$C400*CN399</f>
        <v/>
      </c>
      <c r="CO400">
        <f>$C400*CO399</f>
        <v/>
      </c>
      <c r="CP400">
        <f>$C400*CP399</f>
        <v/>
      </c>
      <c r="CQ400">
        <f>$C400*CQ399</f>
        <v/>
      </c>
      <c r="CR400">
        <f>$C400*CR399</f>
        <v/>
      </c>
      <c r="CS400">
        <f>$C400*CS399</f>
        <v/>
      </c>
      <c r="CT400">
        <f>$C400*CT399</f>
        <v/>
      </c>
      <c r="CU400">
        <f>$C400*CU399</f>
        <v/>
      </c>
      <c r="CV400">
        <f>$C400*CV399</f>
        <v/>
      </c>
      <c r="CW400">
        <f>$C400*CW399</f>
        <v/>
      </c>
      <c r="CX400">
        <f>$C400*CX399</f>
        <v/>
      </c>
      <c r="CY400">
        <f>$C400*CY399</f>
        <v/>
      </c>
      <c r="CZ400">
        <f>$C400*CZ399</f>
        <v/>
      </c>
      <c r="DA400">
        <f>$C400*DA399</f>
        <v/>
      </c>
      <c r="DB400">
        <f>$C400*DB399</f>
        <v/>
      </c>
      <c r="DC400">
        <f>$C400*DC399</f>
        <v/>
      </c>
    </row>
    <row r="401">
      <c r="B401" t="inlineStr">
        <is>
          <t>VSP-600</t>
        </is>
      </c>
      <c r="C401" t="inlineStr">
        <is>
          <t>No. of batches</t>
        </is>
      </c>
      <c r="D401">
        <f>IFERROR(INDEX(PP_Grid[#Data],$DD401,2),0)</f>
        <v/>
      </c>
      <c r="E401">
        <f>IFERROR(INDEX(PP_Grid[#Data],$DD401,3),0)</f>
        <v/>
      </c>
      <c r="F401">
        <f>IFERROR(INDEX(PP_Grid[#Data],$DD401,4),0)</f>
        <v/>
      </c>
      <c r="G401">
        <f>IFERROR(INDEX(PP_Grid[#Data],$DD401,5),0)</f>
        <v/>
      </c>
      <c r="H401">
        <f>IFERROR(INDEX(PP_Grid[#Data],$DD401,6),0)</f>
        <v/>
      </c>
      <c r="I401">
        <f>IFERROR(INDEX(PP_Grid[#Data],$DD401,7),0)</f>
        <v/>
      </c>
      <c r="J401">
        <f>IFERROR(INDEX(PP_Grid[#Data],$DD401,8),0)</f>
        <v/>
      </c>
      <c r="K401">
        <f>IFERROR(INDEX(PP_Grid[#Data],$DD401,9),0)</f>
        <v/>
      </c>
      <c r="L401">
        <f>IFERROR(INDEX(PP_Grid[#Data],$DD401,10),0)</f>
        <v/>
      </c>
      <c r="M401">
        <f>IFERROR(INDEX(PP_Grid[#Data],$DD401,11),0)</f>
        <v/>
      </c>
      <c r="N401">
        <f>IFERROR(INDEX(PP_Grid[#Data],$DD401,12),0)</f>
        <v/>
      </c>
      <c r="O401">
        <f>IFERROR(INDEX(PP_Grid[#Data],$DD401,13),0)</f>
        <v/>
      </c>
      <c r="P401">
        <f>IFERROR(INDEX(PP_Grid[#Data],$DD401,14),0)</f>
        <v/>
      </c>
      <c r="Q401">
        <f>IFERROR(INDEX(PP_Grid[#Data],$DD401,15),0)</f>
        <v/>
      </c>
      <c r="R401">
        <f>IFERROR(INDEX(PP_Grid[#Data],$DD401,16),0)</f>
        <v/>
      </c>
      <c r="S401">
        <f>IFERROR(INDEX(PP_Grid[#Data],$DD401,17),0)</f>
        <v/>
      </c>
      <c r="T401">
        <f>IFERROR(INDEX(PP_Grid[#Data],$DD401,18),0)</f>
        <v/>
      </c>
      <c r="U401">
        <f>IFERROR(INDEX(PP_Grid[#Data],$DD401,19),0)</f>
        <v/>
      </c>
      <c r="V401">
        <f>IFERROR(INDEX(PP_Grid[#Data],$DD401,20),0)</f>
        <v/>
      </c>
      <c r="W401">
        <f>IFERROR(INDEX(PP_Grid[#Data],$DD401,21),0)</f>
        <v/>
      </c>
      <c r="X401">
        <f>IFERROR(INDEX(PP_Grid[#Data],$DD401,22),0)</f>
        <v/>
      </c>
      <c r="Y401">
        <f>IFERROR(INDEX(PP_Grid[#Data],$DD401,23),0)</f>
        <v/>
      </c>
      <c r="Z401">
        <f>IFERROR(INDEX(PP_Grid[#Data],$DD401,24),0)</f>
        <v/>
      </c>
      <c r="AA401">
        <f>IFERROR(INDEX(PP_Grid[#Data],$DD401,25),0)</f>
        <v/>
      </c>
      <c r="AB401">
        <f>IFERROR(INDEX(PP_Grid[#Data],$DD401,26),0)</f>
        <v/>
      </c>
      <c r="AC401">
        <f>IFERROR(INDEX(PP_Grid[#Data],$DD401,27),0)</f>
        <v/>
      </c>
      <c r="AD401">
        <f>IFERROR(INDEX(PP_Grid[#Data],$DD401,28),0)</f>
        <v/>
      </c>
      <c r="AE401">
        <f>IFERROR(INDEX(PP_Grid[#Data],$DD401,29),0)</f>
        <v/>
      </c>
      <c r="AF401">
        <f>IFERROR(INDEX(PP_Grid[#Data],$DD401,30),0)</f>
        <v/>
      </c>
      <c r="AG401">
        <f>IFERROR(INDEX(PP_Grid[#Data],$DD401,31),0)</f>
        <v/>
      </c>
      <c r="AH401">
        <f>IFERROR(INDEX(PP_Grid[#Data],$DD401,32),0)</f>
        <v/>
      </c>
      <c r="AI401">
        <f>IFERROR(INDEX(PP_Grid[#Data],$DD401,33),0)</f>
        <v/>
      </c>
      <c r="AJ401">
        <f>IFERROR(INDEX(PP_Grid[#Data],$DD401,34),0)</f>
        <v/>
      </c>
      <c r="AK401">
        <f>IFERROR(INDEX(PP_Grid[#Data],$DD401,35),0)</f>
        <v/>
      </c>
      <c r="AL401">
        <f>IFERROR(INDEX(PP_Grid[#Data],$DD401,36),0)</f>
        <v/>
      </c>
      <c r="AM401">
        <f>IFERROR(INDEX(PP_Grid[#Data],$DD401,37),0)</f>
        <v/>
      </c>
      <c r="AN401">
        <f>IFERROR(INDEX(PP_Grid[#Data],$DD401,38),0)</f>
        <v/>
      </c>
      <c r="AO401">
        <f>IFERROR(INDEX(PP_Grid[#Data],$DD401,39),0)</f>
        <v/>
      </c>
      <c r="AP401">
        <f>IFERROR(INDEX(PP_Grid[#Data],$DD401,40),0)</f>
        <v/>
      </c>
      <c r="AQ401">
        <f>IFERROR(INDEX(PP_Grid[#Data],$DD401,41),0)</f>
        <v/>
      </c>
      <c r="AR401">
        <f>IFERROR(INDEX(PP_Grid[#Data],$DD401,42),0)</f>
        <v/>
      </c>
      <c r="AS401">
        <f>IFERROR(INDEX(PP_Grid[#Data],$DD401,43),0)</f>
        <v/>
      </c>
      <c r="AT401">
        <f>IFERROR(INDEX(PP_Grid[#Data],$DD401,44),0)</f>
        <v/>
      </c>
      <c r="AU401">
        <f>IFERROR(INDEX(PP_Grid[#Data],$DD401,45),0)</f>
        <v/>
      </c>
      <c r="AV401">
        <f>IFERROR(INDEX(PP_Grid[#Data],$DD401,46),0)</f>
        <v/>
      </c>
      <c r="AW401">
        <f>IFERROR(INDEX(PP_Grid[#Data],$DD401,47),0)</f>
        <v/>
      </c>
      <c r="AX401">
        <f>IFERROR(INDEX(PP_Grid[#Data],$DD401,48),0)</f>
        <v/>
      </c>
      <c r="AY401">
        <f>IFERROR(INDEX(PP_Grid[#Data],$DD401,49),0)</f>
        <v/>
      </c>
      <c r="AZ401">
        <f>IFERROR(INDEX(PP_Grid[#Data],$DD401,50),0)</f>
        <v/>
      </c>
      <c r="BA401">
        <f>IFERROR(INDEX(PP_Grid[#Data],$DD401,51),0)</f>
        <v/>
      </c>
      <c r="BB401">
        <f>IFERROR(INDEX(PP_Grid[#Data],$DD401,52),0)</f>
        <v/>
      </c>
      <c r="BC401">
        <f>IFERROR(INDEX(PP_Grid[#Data],$DD401,53),0)</f>
        <v/>
      </c>
      <c r="BD401">
        <f>IFERROR(INDEX(PP_Grid[#Data],$DD401,54),0)</f>
        <v/>
      </c>
      <c r="BE401">
        <f>IFERROR(INDEX(PP_Grid[#Data],$DD401,55),0)</f>
        <v/>
      </c>
      <c r="BF401">
        <f>IFERROR(INDEX(PP_Grid[#Data],$DD401,56),0)</f>
        <v/>
      </c>
      <c r="BG401">
        <f>IFERROR(INDEX(PP_Grid[#Data],$DD401,57),0)</f>
        <v/>
      </c>
      <c r="BH401">
        <f>IFERROR(INDEX(PP_Grid[#Data],$DD401,58),0)</f>
        <v/>
      </c>
      <c r="BI401">
        <f>IFERROR(INDEX(PP_Grid[#Data],$DD401,59),0)</f>
        <v/>
      </c>
      <c r="BJ401">
        <f>IFERROR(INDEX(PP_Grid[#Data],$DD401,60),0)</f>
        <v/>
      </c>
      <c r="BK401">
        <f>IFERROR(INDEX(PP_Grid[#Data],$DD401,61),0)</f>
        <v/>
      </c>
      <c r="BL401">
        <f>IFERROR(INDEX(PP_Grid[#Data],$DD401,62),0)</f>
        <v/>
      </c>
      <c r="BM401">
        <f>IFERROR(INDEX(PP_Grid[#Data],$DD401,63),0)</f>
        <v/>
      </c>
      <c r="BN401">
        <f>IFERROR(INDEX(PP_Grid[#Data],$DD401,64),0)</f>
        <v/>
      </c>
      <c r="BO401">
        <f>IFERROR(INDEX(PP_Grid[#Data],$DD401,65),0)</f>
        <v/>
      </c>
      <c r="BP401">
        <f>IFERROR(INDEX(PP_Grid[#Data],$DD401,66),0)</f>
        <v/>
      </c>
      <c r="BQ401">
        <f>IFERROR(INDEX(PP_Grid[#Data],$DD401,67),0)</f>
        <v/>
      </c>
      <c r="BR401">
        <f>IFERROR(INDEX(PP_Grid[#Data],$DD401,68),0)</f>
        <v/>
      </c>
      <c r="BS401">
        <f>IFERROR(INDEX(PP_Grid[#Data],$DD401,69),0)</f>
        <v/>
      </c>
      <c r="BT401">
        <f>IFERROR(INDEX(PP_Grid[#Data],$DD401,70),0)</f>
        <v/>
      </c>
      <c r="BU401">
        <f>IFERROR(INDEX(PP_Grid[#Data],$DD401,71),0)</f>
        <v/>
      </c>
      <c r="BV401">
        <f>IFERROR(INDEX(PP_Grid[#Data],$DD401,72),0)</f>
        <v/>
      </c>
      <c r="BW401">
        <f>IFERROR(INDEX(PP_Grid[#Data],$DD401,73),0)</f>
        <v/>
      </c>
      <c r="BX401">
        <f>IFERROR(INDEX(PP_Grid[#Data],$DD401,74),0)</f>
        <v/>
      </c>
      <c r="BY401">
        <f>IFERROR(INDEX(PP_Grid[#Data],$DD401,75),0)</f>
        <v/>
      </c>
      <c r="BZ401">
        <f>IFERROR(INDEX(PP_Grid[#Data],$DD401,76),0)</f>
        <v/>
      </c>
      <c r="CA401">
        <f>IFERROR(INDEX(PP_Grid[#Data],$DD401,77),0)</f>
        <v/>
      </c>
      <c r="CB401">
        <f>IFERROR(INDEX(PP_Grid[#Data],$DD401,78),0)</f>
        <v/>
      </c>
      <c r="CC401">
        <f>IFERROR(INDEX(PP_Grid[#Data],$DD401,79),0)</f>
        <v/>
      </c>
      <c r="CD401">
        <f>IFERROR(INDEX(PP_Grid[#Data],$DD401,80),0)</f>
        <v/>
      </c>
      <c r="CE401">
        <f>IFERROR(INDEX(PP_Grid[#Data],$DD401,81),0)</f>
        <v/>
      </c>
      <c r="CF401">
        <f>IFERROR(INDEX(PP_Grid[#Data],$DD401,82),0)</f>
        <v/>
      </c>
      <c r="CG401">
        <f>IFERROR(INDEX(PP_Grid[#Data],$DD401,83),0)</f>
        <v/>
      </c>
      <c r="CH401">
        <f>IFERROR(INDEX(PP_Grid[#Data],$DD401,84),0)</f>
        <v/>
      </c>
      <c r="CI401">
        <f>IFERROR(INDEX(PP_Grid[#Data],$DD401,85),0)</f>
        <v/>
      </c>
      <c r="CJ401">
        <f>IFERROR(INDEX(PP_Grid[#Data],$DD401,86),0)</f>
        <v/>
      </c>
      <c r="CK401">
        <f>IFERROR(INDEX(PP_Grid[#Data],$DD401,87),0)</f>
        <v/>
      </c>
      <c r="CL401">
        <f>IFERROR(INDEX(PP_Grid[#Data],$DD401,88),0)</f>
        <v/>
      </c>
      <c r="CM401">
        <f>IFERROR(INDEX(PP_Grid[#Data],$DD401,89),0)</f>
        <v/>
      </c>
      <c r="CN401">
        <f>IFERROR(INDEX(PP_Grid[#Data],$DD401,90),0)</f>
        <v/>
      </c>
      <c r="CO401">
        <f>IFERROR(INDEX(PP_Grid[#Data],$DD401,91),0)</f>
        <v/>
      </c>
      <c r="CP401">
        <f>IFERROR(INDEX(PP_Grid[#Data],$DD401,92),0)</f>
        <v/>
      </c>
      <c r="CQ401">
        <f>IFERROR(INDEX(PP_Grid[#Data],$DD401,93),0)</f>
        <v/>
      </c>
      <c r="CR401">
        <f>IFERROR(INDEX(PP_Grid[#Data],$DD401,94),0)</f>
        <v/>
      </c>
      <c r="CS401">
        <f>IFERROR(INDEX(PP_Grid[#Data],$DD401,95),0)</f>
        <v/>
      </c>
      <c r="CT401">
        <f>IFERROR(INDEX(PP_Grid[#Data],$DD401,96),0)</f>
        <v/>
      </c>
      <c r="CU401">
        <f>IFERROR(INDEX(PP_Grid[#Data],$DD401,97),0)</f>
        <v/>
      </c>
      <c r="CV401">
        <f>IFERROR(INDEX(PP_Grid[#Data],$DD401,98),0)</f>
        <v/>
      </c>
      <c r="CW401">
        <f>IFERROR(INDEX(PP_Grid[#Data],$DD401,99),0)</f>
        <v/>
      </c>
      <c r="CX401">
        <f>IFERROR(INDEX(PP_Grid[#Data],$DD401,100),0)</f>
        <v/>
      </c>
      <c r="CY401">
        <f>IFERROR(INDEX(PP_Grid[#Data],$DD401,101),0)</f>
        <v/>
      </c>
      <c r="CZ401">
        <f>IFERROR(INDEX(PP_Grid[#Data],$DD401,102),0)</f>
        <v/>
      </c>
      <c r="DA401">
        <f>IFERROR(INDEX(PP_Grid[#Data],$DD401,103),0)</f>
        <v/>
      </c>
      <c r="DB401">
        <f>IFERROR(INDEX(PP_Grid[#Data],$DD401,104),0)</f>
        <v/>
      </c>
      <c r="DC401">
        <f>IFERROR(INDEX(PP_Grid[#Data],$DD401,105),0)</f>
        <v/>
      </c>
      <c r="DD401" s="7">
        <f>IFERROR(MATCH($B401,PP_Grid[Intermediate],0),99999)</f>
        <v/>
      </c>
    </row>
    <row r="402">
      <c r="B402" t="inlineStr">
        <is>
          <t>使用量(kg)</t>
        </is>
      </c>
      <c r="C402">
        <f>SUMIFS(M_BOM[RM_Qty_Per_Batch],M_BOM[Intermediate],$B401,M_BOM[Part Name],$A340)</f>
        <v/>
      </c>
      <c r="D402">
        <f>$C402*D401</f>
        <v/>
      </c>
      <c r="E402">
        <f>$C402*E401</f>
        <v/>
      </c>
      <c r="F402">
        <f>$C402*F401</f>
        <v/>
      </c>
      <c r="G402">
        <f>$C402*G401</f>
        <v/>
      </c>
      <c r="H402">
        <f>$C402*H401</f>
        <v/>
      </c>
      <c r="I402">
        <f>$C402*I401</f>
        <v/>
      </c>
      <c r="J402">
        <f>$C402*J401</f>
        <v/>
      </c>
      <c r="K402">
        <f>$C402*K401</f>
        <v/>
      </c>
      <c r="L402">
        <f>$C402*L401</f>
        <v/>
      </c>
      <c r="M402">
        <f>$C402*M401</f>
        <v/>
      </c>
      <c r="N402">
        <f>$C402*N401</f>
        <v/>
      </c>
      <c r="O402">
        <f>$C402*O401</f>
        <v/>
      </c>
      <c r="P402">
        <f>$C402*P401</f>
        <v/>
      </c>
      <c r="Q402">
        <f>$C402*Q401</f>
        <v/>
      </c>
      <c r="R402">
        <f>$C402*R401</f>
        <v/>
      </c>
      <c r="S402">
        <f>$C402*S401</f>
        <v/>
      </c>
      <c r="T402">
        <f>$C402*T401</f>
        <v/>
      </c>
      <c r="U402">
        <f>$C402*U401</f>
        <v/>
      </c>
      <c r="V402">
        <f>$C402*V401</f>
        <v/>
      </c>
      <c r="W402">
        <f>$C402*W401</f>
        <v/>
      </c>
      <c r="X402">
        <f>$C402*X401</f>
        <v/>
      </c>
      <c r="Y402">
        <f>$C402*Y401</f>
        <v/>
      </c>
      <c r="Z402">
        <f>$C402*Z401</f>
        <v/>
      </c>
      <c r="AA402">
        <f>$C402*AA401</f>
        <v/>
      </c>
      <c r="AB402">
        <f>$C402*AB401</f>
        <v/>
      </c>
      <c r="AC402">
        <f>$C402*AC401</f>
        <v/>
      </c>
      <c r="AD402">
        <f>$C402*AD401</f>
        <v/>
      </c>
      <c r="AE402">
        <f>$C402*AE401</f>
        <v/>
      </c>
      <c r="AF402">
        <f>$C402*AF401</f>
        <v/>
      </c>
      <c r="AG402">
        <f>$C402*AG401</f>
        <v/>
      </c>
      <c r="AH402">
        <f>$C402*AH401</f>
        <v/>
      </c>
      <c r="AI402">
        <f>$C402*AI401</f>
        <v/>
      </c>
      <c r="AJ402">
        <f>$C402*AJ401</f>
        <v/>
      </c>
      <c r="AK402">
        <f>$C402*AK401</f>
        <v/>
      </c>
      <c r="AL402">
        <f>$C402*AL401</f>
        <v/>
      </c>
      <c r="AM402">
        <f>$C402*AM401</f>
        <v/>
      </c>
      <c r="AN402">
        <f>$C402*AN401</f>
        <v/>
      </c>
      <c r="AO402">
        <f>$C402*AO401</f>
        <v/>
      </c>
      <c r="AP402">
        <f>$C402*AP401</f>
        <v/>
      </c>
      <c r="AQ402">
        <f>$C402*AQ401</f>
        <v/>
      </c>
      <c r="AR402">
        <f>$C402*AR401</f>
        <v/>
      </c>
      <c r="AS402">
        <f>$C402*AS401</f>
        <v/>
      </c>
      <c r="AT402">
        <f>$C402*AT401</f>
        <v/>
      </c>
      <c r="AU402">
        <f>$C402*AU401</f>
        <v/>
      </c>
      <c r="AV402">
        <f>$C402*AV401</f>
        <v/>
      </c>
      <c r="AW402">
        <f>$C402*AW401</f>
        <v/>
      </c>
      <c r="AX402">
        <f>$C402*AX401</f>
        <v/>
      </c>
      <c r="AY402">
        <f>$C402*AY401</f>
        <v/>
      </c>
      <c r="AZ402">
        <f>$C402*AZ401</f>
        <v/>
      </c>
      <c r="BA402">
        <f>$C402*BA401</f>
        <v/>
      </c>
      <c r="BB402">
        <f>$C402*BB401</f>
        <v/>
      </c>
      <c r="BC402">
        <f>$C402*BC401</f>
        <v/>
      </c>
      <c r="BD402">
        <f>$C402*BD401</f>
        <v/>
      </c>
      <c r="BE402">
        <f>$C402*BE401</f>
        <v/>
      </c>
      <c r="BF402">
        <f>$C402*BF401</f>
        <v/>
      </c>
      <c r="BG402">
        <f>$C402*BG401</f>
        <v/>
      </c>
      <c r="BH402">
        <f>$C402*BH401</f>
        <v/>
      </c>
      <c r="BI402">
        <f>$C402*BI401</f>
        <v/>
      </c>
      <c r="BJ402">
        <f>$C402*BJ401</f>
        <v/>
      </c>
      <c r="BK402">
        <f>$C402*BK401</f>
        <v/>
      </c>
      <c r="BL402">
        <f>$C402*BL401</f>
        <v/>
      </c>
      <c r="BM402">
        <f>$C402*BM401</f>
        <v/>
      </c>
      <c r="BN402">
        <f>$C402*BN401</f>
        <v/>
      </c>
      <c r="BO402">
        <f>$C402*BO401</f>
        <v/>
      </c>
      <c r="BP402">
        <f>$C402*BP401</f>
        <v/>
      </c>
      <c r="BQ402">
        <f>$C402*BQ401</f>
        <v/>
      </c>
      <c r="BR402">
        <f>$C402*BR401</f>
        <v/>
      </c>
      <c r="BS402">
        <f>$C402*BS401</f>
        <v/>
      </c>
      <c r="BT402">
        <f>$C402*BT401</f>
        <v/>
      </c>
      <c r="BU402">
        <f>$C402*BU401</f>
        <v/>
      </c>
      <c r="BV402">
        <f>$C402*BV401</f>
        <v/>
      </c>
      <c r="BW402">
        <f>$C402*BW401</f>
        <v/>
      </c>
      <c r="BX402">
        <f>$C402*BX401</f>
        <v/>
      </c>
      <c r="BY402">
        <f>$C402*BY401</f>
        <v/>
      </c>
      <c r="BZ402">
        <f>$C402*BZ401</f>
        <v/>
      </c>
      <c r="CA402">
        <f>$C402*CA401</f>
        <v/>
      </c>
      <c r="CB402">
        <f>$C402*CB401</f>
        <v/>
      </c>
      <c r="CC402">
        <f>$C402*CC401</f>
        <v/>
      </c>
      <c r="CD402">
        <f>$C402*CD401</f>
        <v/>
      </c>
      <c r="CE402">
        <f>$C402*CE401</f>
        <v/>
      </c>
      <c r="CF402">
        <f>$C402*CF401</f>
        <v/>
      </c>
      <c r="CG402">
        <f>$C402*CG401</f>
        <v/>
      </c>
      <c r="CH402">
        <f>$C402*CH401</f>
        <v/>
      </c>
      <c r="CI402">
        <f>$C402*CI401</f>
        <v/>
      </c>
      <c r="CJ402">
        <f>$C402*CJ401</f>
        <v/>
      </c>
      <c r="CK402">
        <f>$C402*CK401</f>
        <v/>
      </c>
      <c r="CL402">
        <f>$C402*CL401</f>
        <v/>
      </c>
      <c r="CM402">
        <f>$C402*CM401</f>
        <v/>
      </c>
      <c r="CN402">
        <f>$C402*CN401</f>
        <v/>
      </c>
      <c r="CO402">
        <f>$C402*CO401</f>
        <v/>
      </c>
      <c r="CP402">
        <f>$C402*CP401</f>
        <v/>
      </c>
      <c r="CQ402">
        <f>$C402*CQ401</f>
        <v/>
      </c>
      <c r="CR402">
        <f>$C402*CR401</f>
        <v/>
      </c>
      <c r="CS402">
        <f>$C402*CS401</f>
        <v/>
      </c>
      <c r="CT402">
        <f>$C402*CT401</f>
        <v/>
      </c>
      <c r="CU402">
        <f>$C402*CU401</f>
        <v/>
      </c>
      <c r="CV402">
        <f>$C402*CV401</f>
        <v/>
      </c>
      <c r="CW402">
        <f>$C402*CW401</f>
        <v/>
      </c>
      <c r="CX402">
        <f>$C402*CX401</f>
        <v/>
      </c>
      <c r="CY402">
        <f>$C402*CY401</f>
        <v/>
      </c>
      <c r="CZ402">
        <f>$C402*CZ401</f>
        <v/>
      </c>
      <c r="DA402">
        <f>$C402*DA401</f>
        <v/>
      </c>
      <c r="DB402">
        <f>$C402*DB401</f>
        <v/>
      </c>
      <c r="DC402">
        <f>$C402*DC401</f>
        <v/>
      </c>
    </row>
    <row r="403">
      <c r="B403" t="inlineStr">
        <is>
          <t>VSP-601</t>
        </is>
      </c>
      <c r="C403" t="inlineStr">
        <is>
          <t>No. of batches</t>
        </is>
      </c>
      <c r="D403">
        <f>IFERROR(INDEX(PP_Grid[#Data],$DD403,2),0)</f>
        <v/>
      </c>
      <c r="E403">
        <f>IFERROR(INDEX(PP_Grid[#Data],$DD403,3),0)</f>
        <v/>
      </c>
      <c r="F403">
        <f>IFERROR(INDEX(PP_Grid[#Data],$DD403,4),0)</f>
        <v/>
      </c>
      <c r="G403">
        <f>IFERROR(INDEX(PP_Grid[#Data],$DD403,5),0)</f>
        <v/>
      </c>
      <c r="H403">
        <f>IFERROR(INDEX(PP_Grid[#Data],$DD403,6),0)</f>
        <v/>
      </c>
      <c r="I403">
        <f>IFERROR(INDEX(PP_Grid[#Data],$DD403,7),0)</f>
        <v/>
      </c>
      <c r="J403">
        <f>IFERROR(INDEX(PP_Grid[#Data],$DD403,8),0)</f>
        <v/>
      </c>
      <c r="K403">
        <f>IFERROR(INDEX(PP_Grid[#Data],$DD403,9),0)</f>
        <v/>
      </c>
      <c r="L403">
        <f>IFERROR(INDEX(PP_Grid[#Data],$DD403,10),0)</f>
        <v/>
      </c>
      <c r="M403">
        <f>IFERROR(INDEX(PP_Grid[#Data],$DD403,11),0)</f>
        <v/>
      </c>
      <c r="N403">
        <f>IFERROR(INDEX(PP_Grid[#Data],$DD403,12),0)</f>
        <v/>
      </c>
      <c r="O403">
        <f>IFERROR(INDEX(PP_Grid[#Data],$DD403,13),0)</f>
        <v/>
      </c>
      <c r="P403">
        <f>IFERROR(INDEX(PP_Grid[#Data],$DD403,14),0)</f>
        <v/>
      </c>
      <c r="Q403">
        <f>IFERROR(INDEX(PP_Grid[#Data],$DD403,15),0)</f>
        <v/>
      </c>
      <c r="R403">
        <f>IFERROR(INDEX(PP_Grid[#Data],$DD403,16),0)</f>
        <v/>
      </c>
      <c r="S403">
        <f>IFERROR(INDEX(PP_Grid[#Data],$DD403,17),0)</f>
        <v/>
      </c>
      <c r="T403">
        <f>IFERROR(INDEX(PP_Grid[#Data],$DD403,18),0)</f>
        <v/>
      </c>
      <c r="U403">
        <f>IFERROR(INDEX(PP_Grid[#Data],$DD403,19),0)</f>
        <v/>
      </c>
      <c r="V403">
        <f>IFERROR(INDEX(PP_Grid[#Data],$DD403,20),0)</f>
        <v/>
      </c>
      <c r="W403">
        <f>IFERROR(INDEX(PP_Grid[#Data],$DD403,21),0)</f>
        <v/>
      </c>
      <c r="X403">
        <f>IFERROR(INDEX(PP_Grid[#Data],$DD403,22),0)</f>
        <v/>
      </c>
      <c r="Y403">
        <f>IFERROR(INDEX(PP_Grid[#Data],$DD403,23),0)</f>
        <v/>
      </c>
      <c r="Z403">
        <f>IFERROR(INDEX(PP_Grid[#Data],$DD403,24),0)</f>
        <v/>
      </c>
      <c r="AA403">
        <f>IFERROR(INDEX(PP_Grid[#Data],$DD403,25),0)</f>
        <v/>
      </c>
      <c r="AB403">
        <f>IFERROR(INDEX(PP_Grid[#Data],$DD403,26),0)</f>
        <v/>
      </c>
      <c r="AC403">
        <f>IFERROR(INDEX(PP_Grid[#Data],$DD403,27),0)</f>
        <v/>
      </c>
      <c r="AD403">
        <f>IFERROR(INDEX(PP_Grid[#Data],$DD403,28),0)</f>
        <v/>
      </c>
      <c r="AE403">
        <f>IFERROR(INDEX(PP_Grid[#Data],$DD403,29),0)</f>
        <v/>
      </c>
      <c r="AF403">
        <f>IFERROR(INDEX(PP_Grid[#Data],$DD403,30),0)</f>
        <v/>
      </c>
      <c r="AG403">
        <f>IFERROR(INDEX(PP_Grid[#Data],$DD403,31),0)</f>
        <v/>
      </c>
      <c r="AH403">
        <f>IFERROR(INDEX(PP_Grid[#Data],$DD403,32),0)</f>
        <v/>
      </c>
      <c r="AI403">
        <f>IFERROR(INDEX(PP_Grid[#Data],$DD403,33),0)</f>
        <v/>
      </c>
      <c r="AJ403">
        <f>IFERROR(INDEX(PP_Grid[#Data],$DD403,34),0)</f>
        <v/>
      </c>
      <c r="AK403">
        <f>IFERROR(INDEX(PP_Grid[#Data],$DD403,35),0)</f>
        <v/>
      </c>
      <c r="AL403">
        <f>IFERROR(INDEX(PP_Grid[#Data],$DD403,36),0)</f>
        <v/>
      </c>
      <c r="AM403">
        <f>IFERROR(INDEX(PP_Grid[#Data],$DD403,37),0)</f>
        <v/>
      </c>
      <c r="AN403">
        <f>IFERROR(INDEX(PP_Grid[#Data],$DD403,38),0)</f>
        <v/>
      </c>
      <c r="AO403">
        <f>IFERROR(INDEX(PP_Grid[#Data],$DD403,39),0)</f>
        <v/>
      </c>
      <c r="AP403">
        <f>IFERROR(INDEX(PP_Grid[#Data],$DD403,40),0)</f>
        <v/>
      </c>
      <c r="AQ403">
        <f>IFERROR(INDEX(PP_Grid[#Data],$DD403,41),0)</f>
        <v/>
      </c>
      <c r="AR403">
        <f>IFERROR(INDEX(PP_Grid[#Data],$DD403,42),0)</f>
        <v/>
      </c>
      <c r="AS403">
        <f>IFERROR(INDEX(PP_Grid[#Data],$DD403,43),0)</f>
        <v/>
      </c>
      <c r="AT403">
        <f>IFERROR(INDEX(PP_Grid[#Data],$DD403,44),0)</f>
        <v/>
      </c>
      <c r="AU403">
        <f>IFERROR(INDEX(PP_Grid[#Data],$DD403,45),0)</f>
        <v/>
      </c>
      <c r="AV403">
        <f>IFERROR(INDEX(PP_Grid[#Data],$DD403,46),0)</f>
        <v/>
      </c>
      <c r="AW403">
        <f>IFERROR(INDEX(PP_Grid[#Data],$DD403,47),0)</f>
        <v/>
      </c>
      <c r="AX403">
        <f>IFERROR(INDEX(PP_Grid[#Data],$DD403,48),0)</f>
        <v/>
      </c>
      <c r="AY403">
        <f>IFERROR(INDEX(PP_Grid[#Data],$DD403,49),0)</f>
        <v/>
      </c>
      <c r="AZ403">
        <f>IFERROR(INDEX(PP_Grid[#Data],$DD403,50),0)</f>
        <v/>
      </c>
      <c r="BA403">
        <f>IFERROR(INDEX(PP_Grid[#Data],$DD403,51),0)</f>
        <v/>
      </c>
      <c r="BB403">
        <f>IFERROR(INDEX(PP_Grid[#Data],$DD403,52),0)</f>
        <v/>
      </c>
      <c r="BC403">
        <f>IFERROR(INDEX(PP_Grid[#Data],$DD403,53),0)</f>
        <v/>
      </c>
      <c r="BD403">
        <f>IFERROR(INDEX(PP_Grid[#Data],$DD403,54),0)</f>
        <v/>
      </c>
      <c r="BE403">
        <f>IFERROR(INDEX(PP_Grid[#Data],$DD403,55),0)</f>
        <v/>
      </c>
      <c r="BF403">
        <f>IFERROR(INDEX(PP_Grid[#Data],$DD403,56),0)</f>
        <v/>
      </c>
      <c r="BG403">
        <f>IFERROR(INDEX(PP_Grid[#Data],$DD403,57),0)</f>
        <v/>
      </c>
      <c r="BH403">
        <f>IFERROR(INDEX(PP_Grid[#Data],$DD403,58),0)</f>
        <v/>
      </c>
      <c r="BI403">
        <f>IFERROR(INDEX(PP_Grid[#Data],$DD403,59),0)</f>
        <v/>
      </c>
      <c r="BJ403">
        <f>IFERROR(INDEX(PP_Grid[#Data],$DD403,60),0)</f>
        <v/>
      </c>
      <c r="BK403">
        <f>IFERROR(INDEX(PP_Grid[#Data],$DD403,61),0)</f>
        <v/>
      </c>
      <c r="BL403">
        <f>IFERROR(INDEX(PP_Grid[#Data],$DD403,62),0)</f>
        <v/>
      </c>
      <c r="BM403">
        <f>IFERROR(INDEX(PP_Grid[#Data],$DD403,63),0)</f>
        <v/>
      </c>
      <c r="BN403">
        <f>IFERROR(INDEX(PP_Grid[#Data],$DD403,64),0)</f>
        <v/>
      </c>
      <c r="BO403">
        <f>IFERROR(INDEX(PP_Grid[#Data],$DD403,65),0)</f>
        <v/>
      </c>
      <c r="BP403">
        <f>IFERROR(INDEX(PP_Grid[#Data],$DD403,66),0)</f>
        <v/>
      </c>
      <c r="BQ403">
        <f>IFERROR(INDEX(PP_Grid[#Data],$DD403,67),0)</f>
        <v/>
      </c>
      <c r="BR403">
        <f>IFERROR(INDEX(PP_Grid[#Data],$DD403,68),0)</f>
        <v/>
      </c>
      <c r="BS403">
        <f>IFERROR(INDEX(PP_Grid[#Data],$DD403,69),0)</f>
        <v/>
      </c>
      <c r="BT403">
        <f>IFERROR(INDEX(PP_Grid[#Data],$DD403,70),0)</f>
        <v/>
      </c>
      <c r="BU403">
        <f>IFERROR(INDEX(PP_Grid[#Data],$DD403,71),0)</f>
        <v/>
      </c>
      <c r="BV403">
        <f>IFERROR(INDEX(PP_Grid[#Data],$DD403,72),0)</f>
        <v/>
      </c>
      <c r="BW403">
        <f>IFERROR(INDEX(PP_Grid[#Data],$DD403,73),0)</f>
        <v/>
      </c>
      <c r="BX403">
        <f>IFERROR(INDEX(PP_Grid[#Data],$DD403,74),0)</f>
        <v/>
      </c>
      <c r="BY403">
        <f>IFERROR(INDEX(PP_Grid[#Data],$DD403,75),0)</f>
        <v/>
      </c>
      <c r="BZ403">
        <f>IFERROR(INDEX(PP_Grid[#Data],$DD403,76),0)</f>
        <v/>
      </c>
      <c r="CA403">
        <f>IFERROR(INDEX(PP_Grid[#Data],$DD403,77),0)</f>
        <v/>
      </c>
      <c r="CB403">
        <f>IFERROR(INDEX(PP_Grid[#Data],$DD403,78),0)</f>
        <v/>
      </c>
      <c r="CC403">
        <f>IFERROR(INDEX(PP_Grid[#Data],$DD403,79),0)</f>
        <v/>
      </c>
      <c r="CD403">
        <f>IFERROR(INDEX(PP_Grid[#Data],$DD403,80),0)</f>
        <v/>
      </c>
      <c r="CE403">
        <f>IFERROR(INDEX(PP_Grid[#Data],$DD403,81),0)</f>
        <v/>
      </c>
      <c r="CF403">
        <f>IFERROR(INDEX(PP_Grid[#Data],$DD403,82),0)</f>
        <v/>
      </c>
      <c r="CG403">
        <f>IFERROR(INDEX(PP_Grid[#Data],$DD403,83),0)</f>
        <v/>
      </c>
      <c r="CH403">
        <f>IFERROR(INDEX(PP_Grid[#Data],$DD403,84),0)</f>
        <v/>
      </c>
      <c r="CI403">
        <f>IFERROR(INDEX(PP_Grid[#Data],$DD403,85),0)</f>
        <v/>
      </c>
      <c r="CJ403">
        <f>IFERROR(INDEX(PP_Grid[#Data],$DD403,86),0)</f>
        <v/>
      </c>
      <c r="CK403">
        <f>IFERROR(INDEX(PP_Grid[#Data],$DD403,87),0)</f>
        <v/>
      </c>
      <c r="CL403">
        <f>IFERROR(INDEX(PP_Grid[#Data],$DD403,88),0)</f>
        <v/>
      </c>
      <c r="CM403">
        <f>IFERROR(INDEX(PP_Grid[#Data],$DD403,89),0)</f>
        <v/>
      </c>
      <c r="CN403">
        <f>IFERROR(INDEX(PP_Grid[#Data],$DD403,90),0)</f>
        <v/>
      </c>
      <c r="CO403">
        <f>IFERROR(INDEX(PP_Grid[#Data],$DD403,91),0)</f>
        <v/>
      </c>
      <c r="CP403">
        <f>IFERROR(INDEX(PP_Grid[#Data],$DD403,92),0)</f>
        <v/>
      </c>
      <c r="CQ403">
        <f>IFERROR(INDEX(PP_Grid[#Data],$DD403,93),0)</f>
        <v/>
      </c>
      <c r="CR403">
        <f>IFERROR(INDEX(PP_Grid[#Data],$DD403,94),0)</f>
        <v/>
      </c>
      <c r="CS403">
        <f>IFERROR(INDEX(PP_Grid[#Data],$DD403,95),0)</f>
        <v/>
      </c>
      <c r="CT403">
        <f>IFERROR(INDEX(PP_Grid[#Data],$DD403,96),0)</f>
        <v/>
      </c>
      <c r="CU403">
        <f>IFERROR(INDEX(PP_Grid[#Data],$DD403,97),0)</f>
        <v/>
      </c>
      <c r="CV403">
        <f>IFERROR(INDEX(PP_Grid[#Data],$DD403,98),0)</f>
        <v/>
      </c>
      <c r="CW403">
        <f>IFERROR(INDEX(PP_Grid[#Data],$DD403,99),0)</f>
        <v/>
      </c>
      <c r="CX403">
        <f>IFERROR(INDEX(PP_Grid[#Data],$DD403,100),0)</f>
        <v/>
      </c>
      <c r="CY403">
        <f>IFERROR(INDEX(PP_Grid[#Data],$DD403,101),0)</f>
        <v/>
      </c>
      <c r="CZ403">
        <f>IFERROR(INDEX(PP_Grid[#Data],$DD403,102),0)</f>
        <v/>
      </c>
      <c r="DA403">
        <f>IFERROR(INDEX(PP_Grid[#Data],$DD403,103),0)</f>
        <v/>
      </c>
      <c r="DB403">
        <f>IFERROR(INDEX(PP_Grid[#Data],$DD403,104),0)</f>
        <v/>
      </c>
      <c r="DC403">
        <f>IFERROR(INDEX(PP_Grid[#Data],$DD403,105),0)</f>
        <v/>
      </c>
      <c r="DD403" s="7">
        <f>IFERROR(MATCH($B403,PP_Grid[Intermediate],0),99999)</f>
        <v/>
      </c>
    </row>
    <row r="404">
      <c r="B404" t="inlineStr">
        <is>
          <t>使用量(kg)</t>
        </is>
      </c>
      <c r="C404">
        <f>SUMIFS(M_BOM[RM_Qty_Per_Batch],M_BOM[Intermediate],$B403,M_BOM[Part Name],$A340)</f>
        <v/>
      </c>
      <c r="D404">
        <f>$C404*D403</f>
        <v/>
      </c>
      <c r="E404">
        <f>$C404*E403</f>
        <v/>
      </c>
      <c r="F404">
        <f>$C404*F403</f>
        <v/>
      </c>
      <c r="G404">
        <f>$C404*G403</f>
        <v/>
      </c>
      <c r="H404">
        <f>$C404*H403</f>
        <v/>
      </c>
      <c r="I404">
        <f>$C404*I403</f>
        <v/>
      </c>
      <c r="J404">
        <f>$C404*J403</f>
        <v/>
      </c>
      <c r="K404">
        <f>$C404*K403</f>
        <v/>
      </c>
      <c r="L404">
        <f>$C404*L403</f>
        <v/>
      </c>
      <c r="M404">
        <f>$C404*M403</f>
        <v/>
      </c>
      <c r="N404">
        <f>$C404*N403</f>
        <v/>
      </c>
      <c r="O404">
        <f>$C404*O403</f>
        <v/>
      </c>
      <c r="P404">
        <f>$C404*P403</f>
        <v/>
      </c>
      <c r="Q404">
        <f>$C404*Q403</f>
        <v/>
      </c>
      <c r="R404">
        <f>$C404*R403</f>
        <v/>
      </c>
      <c r="S404">
        <f>$C404*S403</f>
        <v/>
      </c>
      <c r="T404">
        <f>$C404*T403</f>
        <v/>
      </c>
      <c r="U404">
        <f>$C404*U403</f>
        <v/>
      </c>
      <c r="V404">
        <f>$C404*V403</f>
        <v/>
      </c>
      <c r="W404">
        <f>$C404*W403</f>
        <v/>
      </c>
      <c r="X404">
        <f>$C404*X403</f>
        <v/>
      </c>
      <c r="Y404">
        <f>$C404*Y403</f>
        <v/>
      </c>
      <c r="Z404">
        <f>$C404*Z403</f>
        <v/>
      </c>
      <c r="AA404">
        <f>$C404*AA403</f>
        <v/>
      </c>
      <c r="AB404">
        <f>$C404*AB403</f>
        <v/>
      </c>
      <c r="AC404">
        <f>$C404*AC403</f>
        <v/>
      </c>
      <c r="AD404">
        <f>$C404*AD403</f>
        <v/>
      </c>
      <c r="AE404">
        <f>$C404*AE403</f>
        <v/>
      </c>
      <c r="AF404">
        <f>$C404*AF403</f>
        <v/>
      </c>
      <c r="AG404">
        <f>$C404*AG403</f>
        <v/>
      </c>
      <c r="AH404">
        <f>$C404*AH403</f>
        <v/>
      </c>
      <c r="AI404">
        <f>$C404*AI403</f>
        <v/>
      </c>
      <c r="AJ404">
        <f>$C404*AJ403</f>
        <v/>
      </c>
      <c r="AK404">
        <f>$C404*AK403</f>
        <v/>
      </c>
      <c r="AL404">
        <f>$C404*AL403</f>
        <v/>
      </c>
      <c r="AM404">
        <f>$C404*AM403</f>
        <v/>
      </c>
      <c r="AN404">
        <f>$C404*AN403</f>
        <v/>
      </c>
      <c r="AO404">
        <f>$C404*AO403</f>
        <v/>
      </c>
      <c r="AP404">
        <f>$C404*AP403</f>
        <v/>
      </c>
      <c r="AQ404">
        <f>$C404*AQ403</f>
        <v/>
      </c>
      <c r="AR404">
        <f>$C404*AR403</f>
        <v/>
      </c>
      <c r="AS404">
        <f>$C404*AS403</f>
        <v/>
      </c>
      <c r="AT404">
        <f>$C404*AT403</f>
        <v/>
      </c>
      <c r="AU404">
        <f>$C404*AU403</f>
        <v/>
      </c>
      <c r="AV404">
        <f>$C404*AV403</f>
        <v/>
      </c>
      <c r="AW404">
        <f>$C404*AW403</f>
        <v/>
      </c>
      <c r="AX404">
        <f>$C404*AX403</f>
        <v/>
      </c>
      <c r="AY404">
        <f>$C404*AY403</f>
        <v/>
      </c>
      <c r="AZ404">
        <f>$C404*AZ403</f>
        <v/>
      </c>
      <c r="BA404">
        <f>$C404*BA403</f>
        <v/>
      </c>
      <c r="BB404">
        <f>$C404*BB403</f>
        <v/>
      </c>
      <c r="BC404">
        <f>$C404*BC403</f>
        <v/>
      </c>
      <c r="BD404">
        <f>$C404*BD403</f>
        <v/>
      </c>
      <c r="BE404">
        <f>$C404*BE403</f>
        <v/>
      </c>
      <c r="BF404">
        <f>$C404*BF403</f>
        <v/>
      </c>
      <c r="BG404">
        <f>$C404*BG403</f>
        <v/>
      </c>
      <c r="BH404">
        <f>$C404*BH403</f>
        <v/>
      </c>
      <c r="BI404">
        <f>$C404*BI403</f>
        <v/>
      </c>
      <c r="BJ404">
        <f>$C404*BJ403</f>
        <v/>
      </c>
      <c r="BK404">
        <f>$C404*BK403</f>
        <v/>
      </c>
      <c r="BL404">
        <f>$C404*BL403</f>
        <v/>
      </c>
      <c r="BM404">
        <f>$C404*BM403</f>
        <v/>
      </c>
      <c r="BN404">
        <f>$C404*BN403</f>
        <v/>
      </c>
      <c r="BO404">
        <f>$C404*BO403</f>
        <v/>
      </c>
      <c r="BP404">
        <f>$C404*BP403</f>
        <v/>
      </c>
      <c r="BQ404">
        <f>$C404*BQ403</f>
        <v/>
      </c>
      <c r="BR404">
        <f>$C404*BR403</f>
        <v/>
      </c>
      <c r="BS404">
        <f>$C404*BS403</f>
        <v/>
      </c>
      <c r="BT404">
        <f>$C404*BT403</f>
        <v/>
      </c>
      <c r="BU404">
        <f>$C404*BU403</f>
        <v/>
      </c>
      <c r="BV404">
        <f>$C404*BV403</f>
        <v/>
      </c>
      <c r="BW404">
        <f>$C404*BW403</f>
        <v/>
      </c>
      <c r="BX404">
        <f>$C404*BX403</f>
        <v/>
      </c>
      <c r="BY404">
        <f>$C404*BY403</f>
        <v/>
      </c>
      <c r="BZ404">
        <f>$C404*BZ403</f>
        <v/>
      </c>
      <c r="CA404">
        <f>$C404*CA403</f>
        <v/>
      </c>
      <c r="CB404">
        <f>$C404*CB403</f>
        <v/>
      </c>
      <c r="CC404">
        <f>$C404*CC403</f>
        <v/>
      </c>
      <c r="CD404">
        <f>$C404*CD403</f>
        <v/>
      </c>
      <c r="CE404">
        <f>$C404*CE403</f>
        <v/>
      </c>
      <c r="CF404">
        <f>$C404*CF403</f>
        <v/>
      </c>
      <c r="CG404">
        <f>$C404*CG403</f>
        <v/>
      </c>
      <c r="CH404">
        <f>$C404*CH403</f>
        <v/>
      </c>
      <c r="CI404">
        <f>$C404*CI403</f>
        <v/>
      </c>
      <c r="CJ404">
        <f>$C404*CJ403</f>
        <v/>
      </c>
      <c r="CK404">
        <f>$C404*CK403</f>
        <v/>
      </c>
      <c r="CL404">
        <f>$C404*CL403</f>
        <v/>
      </c>
      <c r="CM404">
        <f>$C404*CM403</f>
        <v/>
      </c>
      <c r="CN404">
        <f>$C404*CN403</f>
        <v/>
      </c>
      <c r="CO404">
        <f>$C404*CO403</f>
        <v/>
      </c>
      <c r="CP404">
        <f>$C404*CP403</f>
        <v/>
      </c>
      <c r="CQ404">
        <f>$C404*CQ403</f>
        <v/>
      </c>
      <c r="CR404">
        <f>$C404*CR403</f>
        <v/>
      </c>
      <c r="CS404">
        <f>$C404*CS403</f>
        <v/>
      </c>
      <c r="CT404">
        <f>$C404*CT403</f>
        <v/>
      </c>
      <c r="CU404">
        <f>$C404*CU403</f>
        <v/>
      </c>
      <c r="CV404">
        <f>$C404*CV403</f>
        <v/>
      </c>
      <c r="CW404">
        <f>$C404*CW403</f>
        <v/>
      </c>
      <c r="CX404">
        <f>$C404*CX403</f>
        <v/>
      </c>
      <c r="CY404">
        <f>$C404*CY403</f>
        <v/>
      </c>
      <c r="CZ404">
        <f>$C404*CZ403</f>
        <v/>
      </c>
      <c r="DA404">
        <f>$C404*DA403</f>
        <v/>
      </c>
      <c r="DB404">
        <f>$C404*DB403</f>
        <v/>
      </c>
      <c r="DC404">
        <f>$C404*DC403</f>
        <v/>
      </c>
    </row>
    <row r="405">
      <c r="B405" t="inlineStr">
        <is>
          <t>VSP-602</t>
        </is>
      </c>
      <c r="C405" t="inlineStr">
        <is>
          <t>No. of batches</t>
        </is>
      </c>
      <c r="D405">
        <f>IFERROR(INDEX(PP_Grid[#Data],$DD405,2),0)</f>
        <v/>
      </c>
      <c r="E405">
        <f>IFERROR(INDEX(PP_Grid[#Data],$DD405,3),0)</f>
        <v/>
      </c>
      <c r="F405">
        <f>IFERROR(INDEX(PP_Grid[#Data],$DD405,4),0)</f>
        <v/>
      </c>
      <c r="G405">
        <f>IFERROR(INDEX(PP_Grid[#Data],$DD405,5),0)</f>
        <v/>
      </c>
      <c r="H405">
        <f>IFERROR(INDEX(PP_Grid[#Data],$DD405,6),0)</f>
        <v/>
      </c>
      <c r="I405">
        <f>IFERROR(INDEX(PP_Grid[#Data],$DD405,7),0)</f>
        <v/>
      </c>
      <c r="J405">
        <f>IFERROR(INDEX(PP_Grid[#Data],$DD405,8),0)</f>
        <v/>
      </c>
      <c r="K405">
        <f>IFERROR(INDEX(PP_Grid[#Data],$DD405,9),0)</f>
        <v/>
      </c>
      <c r="L405">
        <f>IFERROR(INDEX(PP_Grid[#Data],$DD405,10),0)</f>
        <v/>
      </c>
      <c r="M405">
        <f>IFERROR(INDEX(PP_Grid[#Data],$DD405,11),0)</f>
        <v/>
      </c>
      <c r="N405">
        <f>IFERROR(INDEX(PP_Grid[#Data],$DD405,12),0)</f>
        <v/>
      </c>
      <c r="O405">
        <f>IFERROR(INDEX(PP_Grid[#Data],$DD405,13),0)</f>
        <v/>
      </c>
      <c r="P405">
        <f>IFERROR(INDEX(PP_Grid[#Data],$DD405,14),0)</f>
        <v/>
      </c>
      <c r="Q405">
        <f>IFERROR(INDEX(PP_Grid[#Data],$DD405,15),0)</f>
        <v/>
      </c>
      <c r="R405">
        <f>IFERROR(INDEX(PP_Grid[#Data],$DD405,16),0)</f>
        <v/>
      </c>
      <c r="S405">
        <f>IFERROR(INDEX(PP_Grid[#Data],$DD405,17),0)</f>
        <v/>
      </c>
      <c r="T405">
        <f>IFERROR(INDEX(PP_Grid[#Data],$DD405,18),0)</f>
        <v/>
      </c>
      <c r="U405">
        <f>IFERROR(INDEX(PP_Grid[#Data],$DD405,19),0)</f>
        <v/>
      </c>
      <c r="V405">
        <f>IFERROR(INDEX(PP_Grid[#Data],$DD405,20),0)</f>
        <v/>
      </c>
      <c r="W405">
        <f>IFERROR(INDEX(PP_Grid[#Data],$DD405,21),0)</f>
        <v/>
      </c>
      <c r="X405">
        <f>IFERROR(INDEX(PP_Grid[#Data],$DD405,22),0)</f>
        <v/>
      </c>
      <c r="Y405">
        <f>IFERROR(INDEX(PP_Grid[#Data],$DD405,23),0)</f>
        <v/>
      </c>
      <c r="Z405">
        <f>IFERROR(INDEX(PP_Grid[#Data],$DD405,24),0)</f>
        <v/>
      </c>
      <c r="AA405">
        <f>IFERROR(INDEX(PP_Grid[#Data],$DD405,25),0)</f>
        <v/>
      </c>
      <c r="AB405">
        <f>IFERROR(INDEX(PP_Grid[#Data],$DD405,26),0)</f>
        <v/>
      </c>
      <c r="AC405">
        <f>IFERROR(INDEX(PP_Grid[#Data],$DD405,27),0)</f>
        <v/>
      </c>
      <c r="AD405">
        <f>IFERROR(INDEX(PP_Grid[#Data],$DD405,28),0)</f>
        <v/>
      </c>
      <c r="AE405">
        <f>IFERROR(INDEX(PP_Grid[#Data],$DD405,29),0)</f>
        <v/>
      </c>
      <c r="AF405">
        <f>IFERROR(INDEX(PP_Grid[#Data],$DD405,30),0)</f>
        <v/>
      </c>
      <c r="AG405">
        <f>IFERROR(INDEX(PP_Grid[#Data],$DD405,31),0)</f>
        <v/>
      </c>
      <c r="AH405">
        <f>IFERROR(INDEX(PP_Grid[#Data],$DD405,32),0)</f>
        <v/>
      </c>
      <c r="AI405">
        <f>IFERROR(INDEX(PP_Grid[#Data],$DD405,33),0)</f>
        <v/>
      </c>
      <c r="AJ405">
        <f>IFERROR(INDEX(PP_Grid[#Data],$DD405,34),0)</f>
        <v/>
      </c>
      <c r="AK405">
        <f>IFERROR(INDEX(PP_Grid[#Data],$DD405,35),0)</f>
        <v/>
      </c>
      <c r="AL405">
        <f>IFERROR(INDEX(PP_Grid[#Data],$DD405,36),0)</f>
        <v/>
      </c>
      <c r="AM405">
        <f>IFERROR(INDEX(PP_Grid[#Data],$DD405,37),0)</f>
        <v/>
      </c>
      <c r="AN405">
        <f>IFERROR(INDEX(PP_Grid[#Data],$DD405,38),0)</f>
        <v/>
      </c>
      <c r="AO405">
        <f>IFERROR(INDEX(PP_Grid[#Data],$DD405,39),0)</f>
        <v/>
      </c>
      <c r="AP405">
        <f>IFERROR(INDEX(PP_Grid[#Data],$DD405,40),0)</f>
        <v/>
      </c>
      <c r="AQ405">
        <f>IFERROR(INDEX(PP_Grid[#Data],$DD405,41),0)</f>
        <v/>
      </c>
      <c r="AR405">
        <f>IFERROR(INDEX(PP_Grid[#Data],$DD405,42),0)</f>
        <v/>
      </c>
      <c r="AS405">
        <f>IFERROR(INDEX(PP_Grid[#Data],$DD405,43),0)</f>
        <v/>
      </c>
      <c r="AT405">
        <f>IFERROR(INDEX(PP_Grid[#Data],$DD405,44),0)</f>
        <v/>
      </c>
      <c r="AU405">
        <f>IFERROR(INDEX(PP_Grid[#Data],$DD405,45),0)</f>
        <v/>
      </c>
      <c r="AV405">
        <f>IFERROR(INDEX(PP_Grid[#Data],$DD405,46),0)</f>
        <v/>
      </c>
      <c r="AW405">
        <f>IFERROR(INDEX(PP_Grid[#Data],$DD405,47),0)</f>
        <v/>
      </c>
      <c r="AX405">
        <f>IFERROR(INDEX(PP_Grid[#Data],$DD405,48),0)</f>
        <v/>
      </c>
      <c r="AY405">
        <f>IFERROR(INDEX(PP_Grid[#Data],$DD405,49),0)</f>
        <v/>
      </c>
      <c r="AZ405">
        <f>IFERROR(INDEX(PP_Grid[#Data],$DD405,50),0)</f>
        <v/>
      </c>
      <c r="BA405">
        <f>IFERROR(INDEX(PP_Grid[#Data],$DD405,51),0)</f>
        <v/>
      </c>
      <c r="BB405">
        <f>IFERROR(INDEX(PP_Grid[#Data],$DD405,52),0)</f>
        <v/>
      </c>
      <c r="BC405">
        <f>IFERROR(INDEX(PP_Grid[#Data],$DD405,53),0)</f>
        <v/>
      </c>
      <c r="BD405">
        <f>IFERROR(INDEX(PP_Grid[#Data],$DD405,54),0)</f>
        <v/>
      </c>
      <c r="BE405">
        <f>IFERROR(INDEX(PP_Grid[#Data],$DD405,55),0)</f>
        <v/>
      </c>
      <c r="BF405">
        <f>IFERROR(INDEX(PP_Grid[#Data],$DD405,56),0)</f>
        <v/>
      </c>
      <c r="BG405">
        <f>IFERROR(INDEX(PP_Grid[#Data],$DD405,57),0)</f>
        <v/>
      </c>
      <c r="BH405">
        <f>IFERROR(INDEX(PP_Grid[#Data],$DD405,58),0)</f>
        <v/>
      </c>
      <c r="BI405">
        <f>IFERROR(INDEX(PP_Grid[#Data],$DD405,59),0)</f>
        <v/>
      </c>
      <c r="BJ405">
        <f>IFERROR(INDEX(PP_Grid[#Data],$DD405,60),0)</f>
        <v/>
      </c>
      <c r="BK405">
        <f>IFERROR(INDEX(PP_Grid[#Data],$DD405,61),0)</f>
        <v/>
      </c>
      <c r="BL405">
        <f>IFERROR(INDEX(PP_Grid[#Data],$DD405,62),0)</f>
        <v/>
      </c>
      <c r="BM405">
        <f>IFERROR(INDEX(PP_Grid[#Data],$DD405,63),0)</f>
        <v/>
      </c>
      <c r="BN405">
        <f>IFERROR(INDEX(PP_Grid[#Data],$DD405,64),0)</f>
        <v/>
      </c>
      <c r="BO405">
        <f>IFERROR(INDEX(PP_Grid[#Data],$DD405,65),0)</f>
        <v/>
      </c>
      <c r="BP405">
        <f>IFERROR(INDEX(PP_Grid[#Data],$DD405,66),0)</f>
        <v/>
      </c>
      <c r="BQ405">
        <f>IFERROR(INDEX(PP_Grid[#Data],$DD405,67),0)</f>
        <v/>
      </c>
      <c r="BR405">
        <f>IFERROR(INDEX(PP_Grid[#Data],$DD405,68),0)</f>
        <v/>
      </c>
      <c r="BS405">
        <f>IFERROR(INDEX(PP_Grid[#Data],$DD405,69),0)</f>
        <v/>
      </c>
      <c r="BT405">
        <f>IFERROR(INDEX(PP_Grid[#Data],$DD405,70),0)</f>
        <v/>
      </c>
      <c r="BU405">
        <f>IFERROR(INDEX(PP_Grid[#Data],$DD405,71),0)</f>
        <v/>
      </c>
      <c r="BV405">
        <f>IFERROR(INDEX(PP_Grid[#Data],$DD405,72),0)</f>
        <v/>
      </c>
      <c r="BW405">
        <f>IFERROR(INDEX(PP_Grid[#Data],$DD405,73),0)</f>
        <v/>
      </c>
      <c r="BX405">
        <f>IFERROR(INDEX(PP_Grid[#Data],$DD405,74),0)</f>
        <v/>
      </c>
      <c r="BY405">
        <f>IFERROR(INDEX(PP_Grid[#Data],$DD405,75),0)</f>
        <v/>
      </c>
      <c r="BZ405">
        <f>IFERROR(INDEX(PP_Grid[#Data],$DD405,76),0)</f>
        <v/>
      </c>
      <c r="CA405">
        <f>IFERROR(INDEX(PP_Grid[#Data],$DD405,77),0)</f>
        <v/>
      </c>
      <c r="CB405">
        <f>IFERROR(INDEX(PP_Grid[#Data],$DD405,78),0)</f>
        <v/>
      </c>
      <c r="CC405">
        <f>IFERROR(INDEX(PP_Grid[#Data],$DD405,79),0)</f>
        <v/>
      </c>
      <c r="CD405">
        <f>IFERROR(INDEX(PP_Grid[#Data],$DD405,80),0)</f>
        <v/>
      </c>
      <c r="CE405">
        <f>IFERROR(INDEX(PP_Grid[#Data],$DD405,81),0)</f>
        <v/>
      </c>
      <c r="CF405">
        <f>IFERROR(INDEX(PP_Grid[#Data],$DD405,82),0)</f>
        <v/>
      </c>
      <c r="CG405">
        <f>IFERROR(INDEX(PP_Grid[#Data],$DD405,83),0)</f>
        <v/>
      </c>
      <c r="CH405">
        <f>IFERROR(INDEX(PP_Grid[#Data],$DD405,84),0)</f>
        <v/>
      </c>
      <c r="CI405">
        <f>IFERROR(INDEX(PP_Grid[#Data],$DD405,85),0)</f>
        <v/>
      </c>
      <c r="CJ405">
        <f>IFERROR(INDEX(PP_Grid[#Data],$DD405,86),0)</f>
        <v/>
      </c>
      <c r="CK405">
        <f>IFERROR(INDEX(PP_Grid[#Data],$DD405,87),0)</f>
        <v/>
      </c>
      <c r="CL405">
        <f>IFERROR(INDEX(PP_Grid[#Data],$DD405,88),0)</f>
        <v/>
      </c>
      <c r="CM405">
        <f>IFERROR(INDEX(PP_Grid[#Data],$DD405,89),0)</f>
        <v/>
      </c>
      <c r="CN405">
        <f>IFERROR(INDEX(PP_Grid[#Data],$DD405,90),0)</f>
        <v/>
      </c>
      <c r="CO405">
        <f>IFERROR(INDEX(PP_Grid[#Data],$DD405,91),0)</f>
        <v/>
      </c>
      <c r="CP405">
        <f>IFERROR(INDEX(PP_Grid[#Data],$DD405,92),0)</f>
        <v/>
      </c>
      <c r="CQ405">
        <f>IFERROR(INDEX(PP_Grid[#Data],$DD405,93),0)</f>
        <v/>
      </c>
      <c r="CR405">
        <f>IFERROR(INDEX(PP_Grid[#Data],$DD405,94),0)</f>
        <v/>
      </c>
      <c r="CS405">
        <f>IFERROR(INDEX(PP_Grid[#Data],$DD405,95),0)</f>
        <v/>
      </c>
      <c r="CT405">
        <f>IFERROR(INDEX(PP_Grid[#Data],$DD405,96),0)</f>
        <v/>
      </c>
      <c r="CU405">
        <f>IFERROR(INDEX(PP_Grid[#Data],$DD405,97),0)</f>
        <v/>
      </c>
      <c r="CV405">
        <f>IFERROR(INDEX(PP_Grid[#Data],$DD405,98),0)</f>
        <v/>
      </c>
      <c r="CW405">
        <f>IFERROR(INDEX(PP_Grid[#Data],$DD405,99),0)</f>
        <v/>
      </c>
      <c r="CX405">
        <f>IFERROR(INDEX(PP_Grid[#Data],$DD405,100),0)</f>
        <v/>
      </c>
      <c r="CY405">
        <f>IFERROR(INDEX(PP_Grid[#Data],$DD405,101),0)</f>
        <v/>
      </c>
      <c r="CZ405">
        <f>IFERROR(INDEX(PP_Grid[#Data],$DD405,102),0)</f>
        <v/>
      </c>
      <c r="DA405">
        <f>IFERROR(INDEX(PP_Grid[#Data],$DD405,103),0)</f>
        <v/>
      </c>
      <c r="DB405">
        <f>IFERROR(INDEX(PP_Grid[#Data],$DD405,104),0)</f>
        <v/>
      </c>
      <c r="DC405">
        <f>IFERROR(INDEX(PP_Grid[#Data],$DD405,105),0)</f>
        <v/>
      </c>
      <c r="DD405" s="7">
        <f>IFERROR(MATCH($B405,PP_Grid[Intermediate],0),99999)</f>
        <v/>
      </c>
    </row>
    <row r="406">
      <c r="B406" t="inlineStr">
        <is>
          <t>使用量(kg)</t>
        </is>
      </c>
      <c r="C406">
        <f>SUMIFS(M_BOM[RM_Qty_Per_Batch],M_BOM[Intermediate],$B405,M_BOM[Part Name],$A340)</f>
        <v/>
      </c>
      <c r="D406">
        <f>$C406*D405</f>
        <v/>
      </c>
      <c r="E406">
        <f>$C406*E405</f>
        <v/>
      </c>
      <c r="F406">
        <f>$C406*F405</f>
        <v/>
      </c>
      <c r="G406">
        <f>$C406*G405</f>
        <v/>
      </c>
      <c r="H406">
        <f>$C406*H405</f>
        <v/>
      </c>
      <c r="I406">
        <f>$C406*I405</f>
        <v/>
      </c>
      <c r="J406">
        <f>$C406*J405</f>
        <v/>
      </c>
      <c r="K406">
        <f>$C406*K405</f>
        <v/>
      </c>
      <c r="L406">
        <f>$C406*L405</f>
        <v/>
      </c>
      <c r="M406">
        <f>$C406*M405</f>
        <v/>
      </c>
      <c r="N406">
        <f>$C406*N405</f>
        <v/>
      </c>
      <c r="O406">
        <f>$C406*O405</f>
        <v/>
      </c>
      <c r="P406">
        <f>$C406*P405</f>
        <v/>
      </c>
      <c r="Q406">
        <f>$C406*Q405</f>
        <v/>
      </c>
      <c r="R406">
        <f>$C406*R405</f>
        <v/>
      </c>
      <c r="S406">
        <f>$C406*S405</f>
        <v/>
      </c>
      <c r="T406">
        <f>$C406*T405</f>
        <v/>
      </c>
      <c r="U406">
        <f>$C406*U405</f>
        <v/>
      </c>
      <c r="V406">
        <f>$C406*V405</f>
        <v/>
      </c>
      <c r="W406">
        <f>$C406*W405</f>
        <v/>
      </c>
      <c r="X406">
        <f>$C406*X405</f>
        <v/>
      </c>
      <c r="Y406">
        <f>$C406*Y405</f>
        <v/>
      </c>
      <c r="Z406">
        <f>$C406*Z405</f>
        <v/>
      </c>
      <c r="AA406">
        <f>$C406*AA405</f>
        <v/>
      </c>
      <c r="AB406">
        <f>$C406*AB405</f>
        <v/>
      </c>
      <c r="AC406">
        <f>$C406*AC405</f>
        <v/>
      </c>
      <c r="AD406">
        <f>$C406*AD405</f>
        <v/>
      </c>
      <c r="AE406">
        <f>$C406*AE405</f>
        <v/>
      </c>
      <c r="AF406">
        <f>$C406*AF405</f>
        <v/>
      </c>
      <c r="AG406">
        <f>$C406*AG405</f>
        <v/>
      </c>
      <c r="AH406">
        <f>$C406*AH405</f>
        <v/>
      </c>
      <c r="AI406">
        <f>$C406*AI405</f>
        <v/>
      </c>
      <c r="AJ406">
        <f>$C406*AJ405</f>
        <v/>
      </c>
      <c r="AK406">
        <f>$C406*AK405</f>
        <v/>
      </c>
      <c r="AL406">
        <f>$C406*AL405</f>
        <v/>
      </c>
      <c r="AM406">
        <f>$C406*AM405</f>
        <v/>
      </c>
      <c r="AN406">
        <f>$C406*AN405</f>
        <v/>
      </c>
      <c r="AO406">
        <f>$C406*AO405</f>
        <v/>
      </c>
      <c r="AP406">
        <f>$C406*AP405</f>
        <v/>
      </c>
      <c r="AQ406">
        <f>$C406*AQ405</f>
        <v/>
      </c>
      <c r="AR406">
        <f>$C406*AR405</f>
        <v/>
      </c>
      <c r="AS406">
        <f>$C406*AS405</f>
        <v/>
      </c>
      <c r="AT406">
        <f>$C406*AT405</f>
        <v/>
      </c>
      <c r="AU406">
        <f>$C406*AU405</f>
        <v/>
      </c>
      <c r="AV406">
        <f>$C406*AV405</f>
        <v/>
      </c>
      <c r="AW406">
        <f>$C406*AW405</f>
        <v/>
      </c>
      <c r="AX406">
        <f>$C406*AX405</f>
        <v/>
      </c>
      <c r="AY406">
        <f>$C406*AY405</f>
        <v/>
      </c>
      <c r="AZ406">
        <f>$C406*AZ405</f>
        <v/>
      </c>
      <c r="BA406">
        <f>$C406*BA405</f>
        <v/>
      </c>
      <c r="BB406">
        <f>$C406*BB405</f>
        <v/>
      </c>
      <c r="BC406">
        <f>$C406*BC405</f>
        <v/>
      </c>
      <c r="BD406">
        <f>$C406*BD405</f>
        <v/>
      </c>
      <c r="BE406">
        <f>$C406*BE405</f>
        <v/>
      </c>
      <c r="BF406">
        <f>$C406*BF405</f>
        <v/>
      </c>
      <c r="BG406">
        <f>$C406*BG405</f>
        <v/>
      </c>
      <c r="BH406">
        <f>$C406*BH405</f>
        <v/>
      </c>
      <c r="BI406">
        <f>$C406*BI405</f>
        <v/>
      </c>
      <c r="BJ406">
        <f>$C406*BJ405</f>
        <v/>
      </c>
      <c r="BK406">
        <f>$C406*BK405</f>
        <v/>
      </c>
      <c r="BL406">
        <f>$C406*BL405</f>
        <v/>
      </c>
      <c r="BM406">
        <f>$C406*BM405</f>
        <v/>
      </c>
      <c r="BN406">
        <f>$C406*BN405</f>
        <v/>
      </c>
      <c r="BO406">
        <f>$C406*BO405</f>
        <v/>
      </c>
      <c r="BP406">
        <f>$C406*BP405</f>
        <v/>
      </c>
      <c r="BQ406">
        <f>$C406*BQ405</f>
        <v/>
      </c>
      <c r="BR406">
        <f>$C406*BR405</f>
        <v/>
      </c>
      <c r="BS406">
        <f>$C406*BS405</f>
        <v/>
      </c>
      <c r="BT406">
        <f>$C406*BT405</f>
        <v/>
      </c>
      <c r="BU406">
        <f>$C406*BU405</f>
        <v/>
      </c>
      <c r="BV406">
        <f>$C406*BV405</f>
        <v/>
      </c>
      <c r="BW406">
        <f>$C406*BW405</f>
        <v/>
      </c>
      <c r="BX406">
        <f>$C406*BX405</f>
        <v/>
      </c>
      <c r="BY406">
        <f>$C406*BY405</f>
        <v/>
      </c>
      <c r="BZ406">
        <f>$C406*BZ405</f>
        <v/>
      </c>
      <c r="CA406">
        <f>$C406*CA405</f>
        <v/>
      </c>
      <c r="CB406">
        <f>$C406*CB405</f>
        <v/>
      </c>
      <c r="CC406">
        <f>$C406*CC405</f>
        <v/>
      </c>
      <c r="CD406">
        <f>$C406*CD405</f>
        <v/>
      </c>
      <c r="CE406">
        <f>$C406*CE405</f>
        <v/>
      </c>
      <c r="CF406">
        <f>$C406*CF405</f>
        <v/>
      </c>
      <c r="CG406">
        <f>$C406*CG405</f>
        <v/>
      </c>
      <c r="CH406">
        <f>$C406*CH405</f>
        <v/>
      </c>
      <c r="CI406">
        <f>$C406*CI405</f>
        <v/>
      </c>
      <c r="CJ406">
        <f>$C406*CJ405</f>
        <v/>
      </c>
      <c r="CK406">
        <f>$C406*CK405</f>
        <v/>
      </c>
      <c r="CL406">
        <f>$C406*CL405</f>
        <v/>
      </c>
      <c r="CM406">
        <f>$C406*CM405</f>
        <v/>
      </c>
      <c r="CN406">
        <f>$C406*CN405</f>
        <v/>
      </c>
      <c r="CO406">
        <f>$C406*CO405</f>
        <v/>
      </c>
      <c r="CP406">
        <f>$C406*CP405</f>
        <v/>
      </c>
      <c r="CQ406">
        <f>$C406*CQ405</f>
        <v/>
      </c>
      <c r="CR406">
        <f>$C406*CR405</f>
        <v/>
      </c>
      <c r="CS406">
        <f>$C406*CS405</f>
        <v/>
      </c>
      <c r="CT406">
        <f>$C406*CT405</f>
        <v/>
      </c>
      <c r="CU406">
        <f>$C406*CU405</f>
        <v/>
      </c>
      <c r="CV406">
        <f>$C406*CV405</f>
        <v/>
      </c>
      <c r="CW406">
        <f>$C406*CW405</f>
        <v/>
      </c>
      <c r="CX406">
        <f>$C406*CX405</f>
        <v/>
      </c>
      <c r="CY406">
        <f>$C406*CY405</f>
        <v/>
      </c>
      <c r="CZ406">
        <f>$C406*CZ405</f>
        <v/>
      </c>
      <c r="DA406">
        <f>$C406*DA405</f>
        <v/>
      </c>
      <c r="DB406">
        <f>$C406*DB405</f>
        <v/>
      </c>
      <c r="DC406">
        <f>$C406*DC405</f>
        <v/>
      </c>
    </row>
    <row r="407">
      <c r="B407" t="inlineStr">
        <is>
          <t>VSP-603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7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Name],$A340)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VSP-604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7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Name],$A340)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VSP-605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7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Name],$A340)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VSP-606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7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Name],$A340)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VSP-607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7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Name],$A340)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VSP-738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7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Name],$A340)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VSP-739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7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Name],$A340)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VSP-740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7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Name],$A340)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VSP-746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7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Name],$A340)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VSP-820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7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Name],$A340)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VSP-822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7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Name],$A340)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VSP-869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7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Name],$A340)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VSP-870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7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Name],$A340)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VSP-910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7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Name],$A340)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VSP-989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7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Name],$A340)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VSP-990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7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Name],$A340)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VSZ-745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7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Name],$A340)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TSP-1499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7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Name],$A340)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s="4" t="inlineStr">
        <is>
          <t>合計使用量(kg)/週</t>
        </is>
      </c>
      <c r="D443">
        <f>'Grid_Requirement'!B15</f>
        <v/>
      </c>
      <c r="E443">
        <f>'Grid_Requirement'!C15</f>
        <v/>
      </c>
      <c r="F443">
        <f>'Grid_Requirement'!D15</f>
        <v/>
      </c>
      <c r="G443">
        <f>'Grid_Requirement'!E15</f>
        <v/>
      </c>
      <c r="H443">
        <f>'Grid_Requirement'!F15</f>
        <v/>
      </c>
      <c r="I443">
        <f>'Grid_Requirement'!G15</f>
        <v/>
      </c>
      <c r="J443">
        <f>'Grid_Requirement'!H15</f>
        <v/>
      </c>
      <c r="K443">
        <f>'Grid_Requirement'!I15</f>
        <v/>
      </c>
      <c r="L443">
        <f>'Grid_Requirement'!J15</f>
        <v/>
      </c>
      <c r="M443">
        <f>'Grid_Requirement'!K15</f>
        <v/>
      </c>
      <c r="N443">
        <f>'Grid_Requirement'!L15</f>
        <v/>
      </c>
      <c r="O443">
        <f>'Grid_Requirement'!M15</f>
        <v/>
      </c>
      <c r="P443">
        <f>'Grid_Requirement'!N15</f>
        <v/>
      </c>
      <c r="Q443">
        <f>'Grid_Requirement'!O15</f>
        <v/>
      </c>
      <c r="R443">
        <f>'Grid_Requirement'!P15</f>
        <v/>
      </c>
      <c r="S443">
        <f>'Grid_Requirement'!Q15</f>
        <v/>
      </c>
      <c r="T443">
        <f>'Grid_Requirement'!R15</f>
        <v/>
      </c>
      <c r="U443">
        <f>'Grid_Requirement'!S15</f>
        <v/>
      </c>
      <c r="V443">
        <f>'Grid_Requirement'!T15</f>
        <v/>
      </c>
      <c r="W443">
        <f>'Grid_Requirement'!U15</f>
        <v/>
      </c>
      <c r="X443">
        <f>'Grid_Requirement'!V15</f>
        <v/>
      </c>
      <c r="Y443">
        <f>'Grid_Requirement'!W15</f>
        <v/>
      </c>
      <c r="Z443">
        <f>'Grid_Requirement'!X15</f>
        <v/>
      </c>
      <c r="AA443">
        <f>'Grid_Requirement'!Y15</f>
        <v/>
      </c>
      <c r="AB443">
        <f>'Grid_Requirement'!Z15</f>
        <v/>
      </c>
      <c r="AC443">
        <f>'Grid_Requirement'!AA15</f>
        <v/>
      </c>
      <c r="AD443">
        <f>'Grid_Requirement'!AB15</f>
        <v/>
      </c>
      <c r="AE443">
        <f>'Grid_Requirement'!AC15</f>
        <v/>
      </c>
      <c r="AF443">
        <f>'Grid_Requirement'!AD15</f>
        <v/>
      </c>
      <c r="AG443">
        <f>'Grid_Requirement'!AE15</f>
        <v/>
      </c>
      <c r="AH443">
        <f>'Grid_Requirement'!AF15</f>
        <v/>
      </c>
      <c r="AI443">
        <f>'Grid_Requirement'!AG15</f>
        <v/>
      </c>
      <c r="AJ443">
        <f>'Grid_Requirement'!AH15</f>
        <v/>
      </c>
      <c r="AK443">
        <f>'Grid_Requirement'!AI15</f>
        <v/>
      </c>
      <c r="AL443">
        <f>'Grid_Requirement'!AJ15</f>
        <v/>
      </c>
      <c r="AM443">
        <f>'Grid_Requirement'!AK15</f>
        <v/>
      </c>
      <c r="AN443">
        <f>'Grid_Requirement'!AL15</f>
        <v/>
      </c>
      <c r="AO443">
        <f>'Grid_Requirement'!AM15</f>
        <v/>
      </c>
      <c r="AP443">
        <f>'Grid_Requirement'!AN15</f>
        <v/>
      </c>
      <c r="AQ443">
        <f>'Grid_Requirement'!AO15</f>
        <v/>
      </c>
      <c r="AR443">
        <f>'Grid_Requirement'!AP15</f>
        <v/>
      </c>
      <c r="AS443">
        <f>'Grid_Requirement'!AQ15</f>
        <v/>
      </c>
      <c r="AT443">
        <f>'Grid_Requirement'!AR15</f>
        <v/>
      </c>
      <c r="AU443">
        <f>'Grid_Requirement'!AS15</f>
        <v/>
      </c>
      <c r="AV443">
        <f>'Grid_Requirement'!AT15</f>
        <v/>
      </c>
      <c r="AW443">
        <f>'Grid_Requirement'!AU15</f>
        <v/>
      </c>
      <c r="AX443">
        <f>'Grid_Requirement'!AV15</f>
        <v/>
      </c>
      <c r="AY443">
        <f>'Grid_Requirement'!AW15</f>
        <v/>
      </c>
      <c r="AZ443">
        <f>'Grid_Requirement'!AX15</f>
        <v/>
      </c>
      <c r="BA443">
        <f>'Grid_Requirement'!AY15</f>
        <v/>
      </c>
      <c r="BB443">
        <f>'Grid_Requirement'!AZ15</f>
        <v/>
      </c>
      <c r="BC443">
        <f>'Grid_Requirement'!BA15</f>
        <v/>
      </c>
      <c r="BD443">
        <f>'Grid_Requirement'!BB15</f>
        <v/>
      </c>
      <c r="BE443">
        <f>'Grid_Requirement'!BC15</f>
        <v/>
      </c>
      <c r="BF443">
        <f>'Grid_Requirement'!BD15</f>
        <v/>
      </c>
      <c r="BG443">
        <f>'Grid_Requirement'!BE15</f>
        <v/>
      </c>
      <c r="BH443">
        <f>'Grid_Requirement'!BF15</f>
        <v/>
      </c>
      <c r="BI443">
        <f>'Grid_Requirement'!BG15</f>
        <v/>
      </c>
      <c r="BJ443">
        <f>'Grid_Requirement'!BH15</f>
        <v/>
      </c>
      <c r="BK443">
        <f>'Grid_Requirement'!BI15</f>
        <v/>
      </c>
      <c r="BL443">
        <f>'Grid_Requirement'!BJ15</f>
        <v/>
      </c>
      <c r="BM443">
        <f>'Grid_Requirement'!BK15</f>
        <v/>
      </c>
      <c r="BN443">
        <f>'Grid_Requirement'!BL15</f>
        <v/>
      </c>
      <c r="BO443">
        <f>'Grid_Requirement'!BM15</f>
        <v/>
      </c>
      <c r="BP443">
        <f>'Grid_Requirement'!BN15</f>
        <v/>
      </c>
      <c r="BQ443">
        <f>'Grid_Requirement'!BO15</f>
        <v/>
      </c>
      <c r="BR443">
        <f>'Grid_Requirement'!BP15</f>
        <v/>
      </c>
      <c r="BS443">
        <f>'Grid_Requirement'!BQ15</f>
        <v/>
      </c>
      <c r="BT443">
        <f>'Grid_Requirement'!BR15</f>
        <v/>
      </c>
      <c r="BU443">
        <f>'Grid_Requirement'!BS15</f>
        <v/>
      </c>
      <c r="BV443">
        <f>'Grid_Requirement'!BT15</f>
        <v/>
      </c>
      <c r="BW443">
        <f>'Grid_Requirement'!BU15</f>
        <v/>
      </c>
      <c r="BX443">
        <f>'Grid_Requirement'!BV15</f>
        <v/>
      </c>
      <c r="BY443">
        <f>'Grid_Requirement'!BW15</f>
        <v/>
      </c>
      <c r="BZ443">
        <f>'Grid_Requirement'!BX15</f>
        <v/>
      </c>
      <c r="CA443">
        <f>'Grid_Requirement'!BY15</f>
        <v/>
      </c>
      <c r="CB443">
        <f>'Grid_Requirement'!BZ15</f>
        <v/>
      </c>
      <c r="CC443">
        <f>'Grid_Requirement'!CA15</f>
        <v/>
      </c>
      <c r="CD443">
        <f>'Grid_Requirement'!CB15</f>
        <v/>
      </c>
      <c r="CE443">
        <f>'Grid_Requirement'!CC15</f>
        <v/>
      </c>
      <c r="CF443">
        <f>'Grid_Requirement'!CD15</f>
        <v/>
      </c>
      <c r="CG443">
        <f>'Grid_Requirement'!CE15</f>
        <v/>
      </c>
      <c r="CH443">
        <f>'Grid_Requirement'!CF15</f>
        <v/>
      </c>
      <c r="CI443">
        <f>'Grid_Requirement'!CG15</f>
        <v/>
      </c>
      <c r="CJ443">
        <f>'Grid_Requirement'!CH15</f>
        <v/>
      </c>
      <c r="CK443">
        <f>'Grid_Requirement'!CI15</f>
        <v/>
      </c>
      <c r="CL443">
        <f>'Grid_Requirement'!CJ15</f>
        <v/>
      </c>
      <c r="CM443">
        <f>'Grid_Requirement'!CK15</f>
        <v/>
      </c>
      <c r="CN443">
        <f>'Grid_Requirement'!CL15</f>
        <v/>
      </c>
      <c r="CO443">
        <f>'Grid_Requirement'!CM15</f>
        <v/>
      </c>
      <c r="CP443">
        <f>'Grid_Requirement'!CN15</f>
        <v/>
      </c>
      <c r="CQ443">
        <f>'Grid_Requirement'!CO15</f>
        <v/>
      </c>
      <c r="CR443">
        <f>'Grid_Requirement'!CP15</f>
        <v/>
      </c>
      <c r="CS443">
        <f>'Grid_Requirement'!CQ15</f>
        <v/>
      </c>
      <c r="CT443">
        <f>'Grid_Requirement'!CR15</f>
        <v/>
      </c>
      <c r="CU443">
        <f>'Grid_Requirement'!CS15</f>
        <v/>
      </c>
      <c r="CV443">
        <f>'Grid_Requirement'!CT15</f>
        <v/>
      </c>
      <c r="CW443">
        <f>'Grid_Requirement'!CU15</f>
        <v/>
      </c>
      <c r="CX443">
        <f>'Grid_Requirement'!CV15</f>
        <v/>
      </c>
      <c r="CY443">
        <f>'Grid_Requirement'!CW15</f>
        <v/>
      </c>
      <c r="CZ443">
        <f>'Grid_Requirement'!CX15</f>
        <v/>
      </c>
      <c r="DA443">
        <f>'Grid_Requirement'!CY15</f>
        <v/>
      </c>
      <c r="DB443">
        <f>'Grid_Requirement'!CZ15</f>
        <v/>
      </c>
      <c r="DC443">
        <f>'Grid_Requirement'!DA15</f>
        <v/>
      </c>
    </row>
    <row r="444">
      <c r="B444" t="inlineStr">
        <is>
          <t>TTAF在庫(実績,kg)</t>
        </is>
      </c>
      <c r="D444">
        <f>'T_TTAFStock'!B19</f>
        <v/>
      </c>
      <c r="E444">
        <f>'T_TTAFStock'!C19</f>
        <v/>
      </c>
      <c r="F444">
        <f>'T_TTAFStock'!D19</f>
        <v/>
      </c>
      <c r="G444">
        <f>'T_TTAFStock'!E19</f>
        <v/>
      </c>
      <c r="H444">
        <f>'T_TTAFStock'!F19</f>
        <v/>
      </c>
      <c r="I444">
        <f>'T_TTAFStock'!G19</f>
        <v/>
      </c>
      <c r="J444">
        <f>'T_TTAFStock'!H19</f>
        <v/>
      </c>
      <c r="K444">
        <f>'T_TTAFStock'!I19</f>
        <v/>
      </c>
      <c r="L444">
        <f>'T_TTAFStock'!J19</f>
        <v/>
      </c>
      <c r="M444">
        <f>'T_TTAFStock'!K19</f>
        <v/>
      </c>
      <c r="N444">
        <f>'T_TTAFStock'!L19</f>
        <v/>
      </c>
      <c r="O444">
        <f>'T_TTAFStock'!M19</f>
        <v/>
      </c>
      <c r="P444">
        <f>'T_TTAFStock'!N19</f>
        <v/>
      </c>
      <c r="Q444">
        <f>'T_TTAFStock'!O19</f>
        <v/>
      </c>
      <c r="R444">
        <f>'T_TTAFStock'!P19</f>
        <v/>
      </c>
      <c r="S444">
        <f>'T_TTAFStock'!Q19</f>
        <v/>
      </c>
      <c r="T444">
        <f>'T_TTAFStock'!R19</f>
        <v/>
      </c>
      <c r="U444">
        <f>'T_TTAFStock'!S19</f>
        <v/>
      </c>
      <c r="V444">
        <f>'T_TTAFStock'!T19</f>
        <v/>
      </c>
      <c r="W444">
        <f>'T_TTAFStock'!U19</f>
        <v/>
      </c>
      <c r="X444">
        <f>'T_TTAFStock'!V19</f>
        <v/>
      </c>
      <c r="Y444">
        <f>'T_TTAFStock'!W19</f>
        <v/>
      </c>
      <c r="Z444">
        <f>'T_TTAFStock'!X19</f>
        <v/>
      </c>
      <c r="AA444">
        <f>'T_TTAFStock'!Y19</f>
        <v/>
      </c>
      <c r="AB444">
        <f>'T_TTAFStock'!Z19</f>
        <v/>
      </c>
      <c r="AC444">
        <f>'T_TTAFStock'!AA19</f>
        <v/>
      </c>
      <c r="AD444">
        <f>'T_TTAFStock'!AB19</f>
        <v/>
      </c>
      <c r="AE444">
        <f>'T_TTAFStock'!AC19</f>
        <v/>
      </c>
      <c r="AF444">
        <f>'T_TTAFStock'!AD19</f>
        <v/>
      </c>
      <c r="AG444">
        <f>'T_TTAFStock'!AE19</f>
        <v/>
      </c>
      <c r="AH444">
        <f>'T_TTAFStock'!AF19</f>
        <v/>
      </c>
      <c r="AI444">
        <f>'T_TTAFStock'!AG19</f>
        <v/>
      </c>
      <c r="AJ444">
        <f>'T_TTAFStock'!AH19</f>
        <v/>
      </c>
      <c r="AK444">
        <f>'T_TTAFStock'!AI19</f>
        <v/>
      </c>
      <c r="AL444">
        <f>'T_TTAFStock'!AJ19</f>
        <v/>
      </c>
      <c r="AM444">
        <f>'T_TTAFStock'!AK19</f>
        <v/>
      </c>
      <c r="AN444">
        <f>'T_TTAFStock'!AL19</f>
        <v/>
      </c>
      <c r="AO444">
        <f>'T_TTAFStock'!AM19</f>
        <v/>
      </c>
      <c r="AP444">
        <f>'T_TTAFStock'!AN19</f>
        <v/>
      </c>
      <c r="AQ444">
        <f>'T_TTAFStock'!AO19</f>
        <v/>
      </c>
      <c r="AR444">
        <f>'T_TTAFStock'!AP19</f>
        <v/>
      </c>
      <c r="AS444">
        <f>'T_TTAFStock'!AQ19</f>
        <v/>
      </c>
      <c r="AT444">
        <f>'T_TTAFStock'!AR19</f>
        <v/>
      </c>
      <c r="AU444">
        <f>'T_TTAFStock'!AS19</f>
        <v/>
      </c>
      <c r="AV444">
        <f>'T_TTAFStock'!AT19</f>
        <v/>
      </c>
      <c r="AW444">
        <f>'T_TTAFStock'!AU19</f>
        <v/>
      </c>
      <c r="AX444">
        <f>'T_TTAFStock'!AV19</f>
        <v/>
      </c>
      <c r="AY444">
        <f>'T_TTAFStock'!AW19</f>
        <v/>
      </c>
      <c r="AZ444">
        <f>'T_TTAFStock'!AX19</f>
        <v/>
      </c>
      <c r="BA444">
        <f>'T_TTAFStock'!AY19</f>
        <v/>
      </c>
      <c r="BB444">
        <f>'T_TTAFStock'!AZ19</f>
        <v/>
      </c>
      <c r="BC444">
        <f>'T_TTAFStock'!BA19</f>
        <v/>
      </c>
      <c r="BD444">
        <f>'T_TTAFStock'!BB19</f>
        <v/>
      </c>
      <c r="BE444">
        <f>'T_TTAFStock'!BC19</f>
        <v/>
      </c>
      <c r="BF444">
        <f>'T_TTAFStock'!BD19</f>
        <v/>
      </c>
      <c r="BG444">
        <f>'T_TTAFStock'!BE19</f>
        <v/>
      </c>
      <c r="BH444">
        <f>'T_TTAFStock'!BF19</f>
        <v/>
      </c>
      <c r="BI444">
        <f>'T_TTAFStock'!BG19</f>
        <v/>
      </c>
      <c r="BJ444">
        <f>'T_TTAFStock'!BH19</f>
        <v/>
      </c>
      <c r="BK444">
        <f>'T_TTAFStock'!BI19</f>
        <v/>
      </c>
      <c r="BL444">
        <f>'T_TTAFStock'!BJ19</f>
        <v/>
      </c>
      <c r="BM444">
        <f>'T_TTAFStock'!BK19</f>
        <v/>
      </c>
      <c r="BN444">
        <f>'T_TTAFStock'!BL19</f>
        <v/>
      </c>
      <c r="BO444">
        <f>'T_TTAFStock'!BM19</f>
        <v/>
      </c>
      <c r="BP444">
        <f>'T_TTAFStock'!BN19</f>
        <v/>
      </c>
      <c r="BQ444">
        <f>'T_TTAFStock'!BO19</f>
        <v/>
      </c>
      <c r="BR444">
        <f>'T_TTAFStock'!BP19</f>
        <v/>
      </c>
      <c r="BS444">
        <f>'T_TTAFStock'!BQ19</f>
        <v/>
      </c>
      <c r="BT444">
        <f>'T_TTAFStock'!BR19</f>
        <v/>
      </c>
      <c r="BU444">
        <f>'T_TTAFStock'!BS19</f>
        <v/>
      </c>
      <c r="BV444">
        <f>'T_TTAFStock'!BT19</f>
        <v/>
      </c>
      <c r="BW444">
        <f>'T_TTAFStock'!BU19</f>
        <v/>
      </c>
      <c r="BX444">
        <f>'T_TTAFStock'!BV19</f>
        <v/>
      </c>
      <c r="BY444">
        <f>'T_TTAFStock'!BW19</f>
        <v/>
      </c>
      <c r="BZ444">
        <f>'T_TTAFStock'!BX19</f>
        <v/>
      </c>
      <c r="CA444">
        <f>'T_TTAFStock'!BY19</f>
        <v/>
      </c>
      <c r="CB444">
        <f>'T_TTAFStock'!BZ19</f>
        <v/>
      </c>
      <c r="CC444">
        <f>'T_TTAFStock'!CA19</f>
        <v/>
      </c>
      <c r="CD444">
        <f>'T_TTAFStock'!CB19</f>
        <v/>
      </c>
      <c r="CE444">
        <f>'T_TTAFStock'!CC19</f>
        <v/>
      </c>
      <c r="CF444">
        <f>'T_TTAFStock'!CD19</f>
        <v/>
      </c>
      <c r="CG444">
        <f>'T_TTAFStock'!CE19</f>
        <v/>
      </c>
      <c r="CH444">
        <f>'T_TTAFStock'!CF19</f>
        <v/>
      </c>
      <c r="CI444">
        <f>'T_TTAFStock'!CG19</f>
        <v/>
      </c>
      <c r="CJ444">
        <f>'T_TTAFStock'!CH19</f>
        <v/>
      </c>
      <c r="CK444">
        <f>'T_TTAFStock'!CI19</f>
        <v/>
      </c>
      <c r="CL444">
        <f>'T_TTAFStock'!CJ19</f>
        <v/>
      </c>
      <c r="CM444">
        <f>'T_TTAFStock'!CK19</f>
        <v/>
      </c>
      <c r="CN444">
        <f>'T_TTAFStock'!CL19</f>
        <v/>
      </c>
      <c r="CO444">
        <f>'T_TTAFStock'!CM19</f>
        <v/>
      </c>
      <c r="CP444">
        <f>'T_TTAFStock'!CN19</f>
        <v/>
      </c>
      <c r="CQ444">
        <f>'T_TTAFStock'!CO19</f>
        <v/>
      </c>
      <c r="CR444">
        <f>'T_TTAFStock'!CP19</f>
        <v/>
      </c>
      <c r="CS444">
        <f>'T_TTAFStock'!CQ19</f>
        <v/>
      </c>
      <c r="CT444">
        <f>'T_TTAFStock'!CR19</f>
        <v/>
      </c>
      <c r="CU444">
        <f>'T_TTAFStock'!CS19</f>
        <v/>
      </c>
      <c r="CV444">
        <f>'T_TTAFStock'!CT19</f>
        <v/>
      </c>
      <c r="CW444">
        <f>'T_TTAFStock'!CU19</f>
        <v/>
      </c>
      <c r="CX444">
        <f>'T_TTAFStock'!CV19</f>
        <v/>
      </c>
      <c r="CY444">
        <f>'T_TTAFStock'!CW19</f>
        <v/>
      </c>
      <c r="CZ444">
        <f>'T_TTAFStock'!CX19</f>
        <v/>
      </c>
      <c r="DA444">
        <f>'T_TTAFStock'!CY19</f>
        <v/>
      </c>
      <c r="DB444">
        <f>'T_TTAFStock'!CZ19</f>
        <v/>
      </c>
      <c r="DC444">
        <f>'T_TTAFStock'!DA19</f>
        <v/>
      </c>
    </row>
    <row r="445">
      <c r="B445" t="inlineStr">
        <is>
          <t>自社在庫(実績,kg)</t>
        </is>
      </c>
      <c r="D445">
        <f>'T_SelfStock'!B19</f>
        <v/>
      </c>
      <c r="E445">
        <f>'T_SelfStock'!C19</f>
        <v/>
      </c>
      <c r="F445">
        <f>'T_SelfStock'!D19</f>
        <v/>
      </c>
      <c r="G445">
        <f>'T_SelfStock'!E19</f>
        <v/>
      </c>
      <c r="H445">
        <f>'T_SelfStock'!F19</f>
        <v/>
      </c>
      <c r="I445">
        <f>'T_SelfStock'!G19</f>
        <v/>
      </c>
      <c r="J445">
        <f>'T_SelfStock'!H19</f>
        <v/>
      </c>
      <c r="K445">
        <f>'T_SelfStock'!I19</f>
        <v/>
      </c>
      <c r="L445">
        <f>'T_SelfStock'!J19</f>
        <v/>
      </c>
      <c r="M445">
        <f>'T_SelfStock'!K19</f>
        <v/>
      </c>
      <c r="N445">
        <f>'T_SelfStock'!L19</f>
        <v/>
      </c>
      <c r="O445">
        <f>'T_SelfStock'!M19</f>
        <v/>
      </c>
      <c r="P445">
        <f>'T_SelfStock'!N19</f>
        <v/>
      </c>
      <c r="Q445">
        <f>'T_SelfStock'!O19</f>
        <v/>
      </c>
      <c r="R445">
        <f>'T_SelfStock'!P19</f>
        <v/>
      </c>
      <c r="S445">
        <f>'T_SelfStock'!Q19</f>
        <v/>
      </c>
      <c r="T445">
        <f>'T_SelfStock'!R19</f>
        <v/>
      </c>
      <c r="U445">
        <f>'T_SelfStock'!S19</f>
        <v/>
      </c>
      <c r="V445">
        <f>'T_SelfStock'!T19</f>
        <v/>
      </c>
      <c r="W445">
        <f>'T_SelfStock'!U19</f>
        <v/>
      </c>
      <c r="X445">
        <f>'T_SelfStock'!V19</f>
        <v/>
      </c>
      <c r="Y445">
        <f>'T_SelfStock'!W19</f>
        <v/>
      </c>
      <c r="Z445">
        <f>'T_SelfStock'!X19</f>
        <v/>
      </c>
      <c r="AA445">
        <f>'T_SelfStock'!Y19</f>
        <v/>
      </c>
      <c r="AB445">
        <f>'T_SelfStock'!Z19</f>
        <v/>
      </c>
      <c r="AC445">
        <f>'T_SelfStock'!AA19</f>
        <v/>
      </c>
      <c r="AD445">
        <f>'T_SelfStock'!AB19</f>
        <v/>
      </c>
      <c r="AE445">
        <f>'T_SelfStock'!AC19</f>
        <v/>
      </c>
      <c r="AF445">
        <f>'T_SelfStock'!AD19</f>
        <v/>
      </c>
      <c r="AG445">
        <f>'T_SelfStock'!AE19</f>
        <v/>
      </c>
      <c r="AH445">
        <f>'T_SelfStock'!AF19</f>
        <v/>
      </c>
      <c r="AI445">
        <f>'T_SelfStock'!AG19</f>
        <v/>
      </c>
      <c r="AJ445">
        <f>'T_SelfStock'!AH19</f>
        <v/>
      </c>
      <c r="AK445">
        <f>'T_SelfStock'!AI19</f>
        <v/>
      </c>
      <c r="AL445">
        <f>'T_SelfStock'!AJ19</f>
        <v/>
      </c>
      <c r="AM445">
        <f>'T_SelfStock'!AK19</f>
        <v/>
      </c>
      <c r="AN445">
        <f>'T_SelfStock'!AL19</f>
        <v/>
      </c>
      <c r="AO445">
        <f>'T_SelfStock'!AM19</f>
        <v/>
      </c>
      <c r="AP445">
        <f>'T_SelfStock'!AN19</f>
        <v/>
      </c>
      <c r="AQ445">
        <f>'T_SelfStock'!AO19</f>
        <v/>
      </c>
      <c r="AR445">
        <f>'T_SelfStock'!AP19</f>
        <v/>
      </c>
      <c r="AS445">
        <f>'T_SelfStock'!AQ19</f>
        <v/>
      </c>
      <c r="AT445">
        <f>'T_SelfStock'!AR19</f>
        <v/>
      </c>
      <c r="AU445">
        <f>'T_SelfStock'!AS19</f>
        <v/>
      </c>
      <c r="AV445">
        <f>'T_SelfStock'!AT19</f>
        <v/>
      </c>
      <c r="AW445">
        <f>'T_SelfStock'!AU19</f>
        <v/>
      </c>
      <c r="AX445">
        <f>'T_SelfStock'!AV19</f>
        <v/>
      </c>
      <c r="AY445">
        <f>'T_SelfStock'!AW19</f>
        <v/>
      </c>
      <c r="AZ445">
        <f>'T_SelfStock'!AX19</f>
        <v/>
      </c>
      <c r="BA445">
        <f>'T_SelfStock'!AY19</f>
        <v/>
      </c>
      <c r="BB445">
        <f>'T_SelfStock'!AZ19</f>
        <v/>
      </c>
      <c r="BC445">
        <f>'T_SelfStock'!BA19</f>
        <v/>
      </c>
      <c r="BD445">
        <f>'T_SelfStock'!BB19</f>
        <v/>
      </c>
      <c r="BE445">
        <f>'T_SelfStock'!BC19</f>
        <v/>
      </c>
      <c r="BF445">
        <f>'T_SelfStock'!BD19</f>
        <v/>
      </c>
      <c r="BG445">
        <f>'T_SelfStock'!BE19</f>
        <v/>
      </c>
      <c r="BH445">
        <f>'T_SelfStock'!BF19</f>
        <v/>
      </c>
      <c r="BI445">
        <f>'T_SelfStock'!BG19</f>
        <v/>
      </c>
      <c r="BJ445">
        <f>'T_SelfStock'!BH19</f>
        <v/>
      </c>
      <c r="BK445">
        <f>'T_SelfStock'!BI19</f>
        <v/>
      </c>
      <c r="BL445">
        <f>'T_SelfStock'!BJ19</f>
        <v/>
      </c>
      <c r="BM445">
        <f>'T_SelfStock'!BK19</f>
        <v/>
      </c>
      <c r="BN445">
        <f>'T_SelfStock'!BL19</f>
        <v/>
      </c>
      <c r="BO445">
        <f>'T_SelfStock'!BM19</f>
        <v/>
      </c>
      <c r="BP445">
        <f>'T_SelfStock'!BN19</f>
        <v/>
      </c>
      <c r="BQ445">
        <f>'T_SelfStock'!BO19</f>
        <v/>
      </c>
      <c r="BR445">
        <f>'T_SelfStock'!BP19</f>
        <v/>
      </c>
      <c r="BS445">
        <f>'T_SelfStock'!BQ19</f>
        <v/>
      </c>
      <c r="BT445">
        <f>'T_SelfStock'!BR19</f>
        <v/>
      </c>
      <c r="BU445">
        <f>'T_SelfStock'!BS19</f>
        <v/>
      </c>
      <c r="BV445">
        <f>'T_SelfStock'!BT19</f>
        <v/>
      </c>
      <c r="BW445">
        <f>'T_SelfStock'!BU19</f>
        <v/>
      </c>
      <c r="BX445">
        <f>'T_SelfStock'!BV19</f>
        <v/>
      </c>
      <c r="BY445">
        <f>'T_SelfStock'!BW19</f>
        <v/>
      </c>
      <c r="BZ445">
        <f>'T_SelfStock'!BX19</f>
        <v/>
      </c>
      <c r="CA445">
        <f>'T_SelfStock'!BY19</f>
        <v/>
      </c>
      <c r="CB445">
        <f>'T_SelfStock'!BZ19</f>
        <v/>
      </c>
      <c r="CC445">
        <f>'T_SelfStock'!CA19</f>
        <v/>
      </c>
      <c r="CD445">
        <f>'T_SelfStock'!CB19</f>
        <v/>
      </c>
      <c r="CE445">
        <f>'T_SelfStock'!CC19</f>
        <v/>
      </c>
      <c r="CF445">
        <f>'T_SelfStock'!CD19</f>
        <v/>
      </c>
      <c r="CG445">
        <f>'T_SelfStock'!CE19</f>
        <v/>
      </c>
      <c r="CH445">
        <f>'T_SelfStock'!CF19</f>
        <v/>
      </c>
      <c r="CI445">
        <f>'T_SelfStock'!CG19</f>
        <v/>
      </c>
      <c r="CJ445">
        <f>'T_SelfStock'!CH19</f>
        <v/>
      </c>
      <c r="CK445">
        <f>'T_SelfStock'!CI19</f>
        <v/>
      </c>
      <c r="CL445">
        <f>'T_SelfStock'!CJ19</f>
        <v/>
      </c>
      <c r="CM445">
        <f>'T_SelfStock'!CK19</f>
        <v/>
      </c>
      <c r="CN445">
        <f>'T_SelfStock'!CL19</f>
        <v/>
      </c>
      <c r="CO445">
        <f>'T_SelfStock'!CM19</f>
        <v/>
      </c>
      <c r="CP445">
        <f>'T_SelfStock'!CN19</f>
        <v/>
      </c>
      <c r="CQ445">
        <f>'T_SelfStock'!CO19</f>
        <v/>
      </c>
      <c r="CR445">
        <f>'T_SelfStock'!CP19</f>
        <v/>
      </c>
      <c r="CS445">
        <f>'T_SelfStock'!CQ19</f>
        <v/>
      </c>
      <c r="CT445">
        <f>'T_SelfStock'!CR19</f>
        <v/>
      </c>
      <c r="CU445">
        <f>'T_SelfStock'!CS19</f>
        <v/>
      </c>
      <c r="CV445">
        <f>'T_SelfStock'!CT19</f>
        <v/>
      </c>
      <c r="CW445">
        <f>'T_SelfStock'!CU19</f>
        <v/>
      </c>
      <c r="CX445">
        <f>'T_SelfStock'!CV19</f>
        <v/>
      </c>
      <c r="CY445">
        <f>'T_SelfStock'!CW19</f>
        <v/>
      </c>
      <c r="CZ445">
        <f>'T_SelfStock'!CX19</f>
        <v/>
      </c>
      <c r="DA445">
        <f>'T_SelfStock'!CY19</f>
        <v/>
      </c>
      <c r="DB445">
        <f>'T_SelfStock'!CZ19</f>
        <v/>
      </c>
      <c r="DC445">
        <f>'T_SelfStock'!DA19</f>
        <v/>
      </c>
    </row>
    <row r="446">
      <c r="B446" s="4" t="inlineStr">
        <is>
          <t>合計在庫(週末時点,kg)</t>
        </is>
      </c>
      <c r="D446">
        <f>'Grid_Stock'!B15</f>
        <v/>
      </c>
      <c r="E446">
        <f>'Grid_Stock'!C15</f>
        <v/>
      </c>
      <c r="F446">
        <f>'Grid_Stock'!D15</f>
        <v/>
      </c>
      <c r="G446">
        <f>'Grid_Stock'!E15</f>
        <v/>
      </c>
      <c r="H446">
        <f>'Grid_Stock'!F15</f>
        <v/>
      </c>
      <c r="I446">
        <f>'Grid_Stock'!G15</f>
        <v/>
      </c>
      <c r="J446">
        <f>'Grid_Stock'!H15</f>
        <v/>
      </c>
      <c r="K446">
        <f>'Grid_Stock'!I15</f>
        <v/>
      </c>
      <c r="L446">
        <f>'Grid_Stock'!J15</f>
        <v/>
      </c>
      <c r="M446">
        <f>'Grid_Stock'!K15</f>
        <v/>
      </c>
      <c r="N446">
        <f>'Grid_Stock'!L15</f>
        <v/>
      </c>
      <c r="O446">
        <f>'Grid_Stock'!M15</f>
        <v/>
      </c>
      <c r="P446">
        <f>'Grid_Stock'!N15</f>
        <v/>
      </c>
      <c r="Q446">
        <f>'Grid_Stock'!O15</f>
        <v/>
      </c>
      <c r="R446">
        <f>'Grid_Stock'!P15</f>
        <v/>
      </c>
      <c r="S446">
        <f>'Grid_Stock'!Q15</f>
        <v/>
      </c>
      <c r="T446">
        <f>'Grid_Stock'!R15</f>
        <v/>
      </c>
      <c r="U446">
        <f>'Grid_Stock'!S15</f>
        <v/>
      </c>
      <c r="V446">
        <f>'Grid_Stock'!T15</f>
        <v/>
      </c>
      <c r="W446">
        <f>'Grid_Stock'!U15</f>
        <v/>
      </c>
      <c r="X446">
        <f>'Grid_Stock'!V15</f>
        <v/>
      </c>
      <c r="Y446">
        <f>'Grid_Stock'!W15</f>
        <v/>
      </c>
      <c r="Z446">
        <f>'Grid_Stock'!X15</f>
        <v/>
      </c>
      <c r="AA446">
        <f>'Grid_Stock'!Y15</f>
        <v/>
      </c>
      <c r="AB446">
        <f>'Grid_Stock'!Z15</f>
        <v/>
      </c>
      <c r="AC446">
        <f>'Grid_Stock'!AA15</f>
        <v/>
      </c>
      <c r="AD446">
        <f>'Grid_Stock'!AB15</f>
        <v/>
      </c>
      <c r="AE446">
        <f>'Grid_Stock'!AC15</f>
        <v/>
      </c>
      <c r="AF446">
        <f>'Grid_Stock'!AD15</f>
        <v/>
      </c>
      <c r="AG446">
        <f>'Grid_Stock'!AE15</f>
        <v/>
      </c>
      <c r="AH446">
        <f>'Grid_Stock'!AF15</f>
        <v/>
      </c>
      <c r="AI446">
        <f>'Grid_Stock'!AG15</f>
        <v/>
      </c>
      <c r="AJ446">
        <f>'Grid_Stock'!AH15</f>
        <v/>
      </c>
      <c r="AK446">
        <f>'Grid_Stock'!AI15</f>
        <v/>
      </c>
      <c r="AL446">
        <f>'Grid_Stock'!AJ15</f>
        <v/>
      </c>
      <c r="AM446">
        <f>'Grid_Stock'!AK15</f>
        <v/>
      </c>
      <c r="AN446">
        <f>'Grid_Stock'!AL15</f>
        <v/>
      </c>
      <c r="AO446">
        <f>'Grid_Stock'!AM15</f>
        <v/>
      </c>
      <c r="AP446">
        <f>'Grid_Stock'!AN15</f>
        <v/>
      </c>
      <c r="AQ446">
        <f>'Grid_Stock'!AO15</f>
        <v/>
      </c>
      <c r="AR446">
        <f>'Grid_Stock'!AP15</f>
        <v/>
      </c>
      <c r="AS446">
        <f>'Grid_Stock'!AQ15</f>
        <v/>
      </c>
      <c r="AT446">
        <f>'Grid_Stock'!AR15</f>
        <v/>
      </c>
      <c r="AU446">
        <f>'Grid_Stock'!AS15</f>
        <v/>
      </c>
      <c r="AV446">
        <f>'Grid_Stock'!AT15</f>
        <v/>
      </c>
      <c r="AW446">
        <f>'Grid_Stock'!AU15</f>
        <v/>
      </c>
      <c r="AX446">
        <f>'Grid_Stock'!AV15</f>
        <v/>
      </c>
      <c r="AY446">
        <f>'Grid_Stock'!AW15</f>
        <v/>
      </c>
      <c r="AZ446">
        <f>'Grid_Stock'!AX15</f>
        <v/>
      </c>
      <c r="BA446">
        <f>'Grid_Stock'!AY15</f>
        <v/>
      </c>
      <c r="BB446">
        <f>'Grid_Stock'!AZ15</f>
        <v/>
      </c>
      <c r="BC446">
        <f>'Grid_Stock'!BA15</f>
        <v/>
      </c>
      <c r="BD446">
        <f>'Grid_Stock'!BB15</f>
        <v/>
      </c>
      <c r="BE446">
        <f>'Grid_Stock'!BC15</f>
        <v/>
      </c>
      <c r="BF446">
        <f>'Grid_Stock'!BD15</f>
        <v/>
      </c>
      <c r="BG446">
        <f>'Grid_Stock'!BE15</f>
        <v/>
      </c>
      <c r="BH446">
        <f>'Grid_Stock'!BF15</f>
        <v/>
      </c>
      <c r="BI446">
        <f>'Grid_Stock'!BG15</f>
        <v/>
      </c>
      <c r="BJ446">
        <f>'Grid_Stock'!BH15</f>
        <v/>
      </c>
      <c r="BK446">
        <f>'Grid_Stock'!BI15</f>
        <v/>
      </c>
      <c r="BL446">
        <f>'Grid_Stock'!BJ15</f>
        <v/>
      </c>
      <c r="BM446">
        <f>'Grid_Stock'!BK15</f>
        <v/>
      </c>
      <c r="BN446">
        <f>'Grid_Stock'!BL15</f>
        <v/>
      </c>
      <c r="BO446">
        <f>'Grid_Stock'!BM15</f>
        <v/>
      </c>
      <c r="BP446">
        <f>'Grid_Stock'!BN15</f>
        <v/>
      </c>
      <c r="BQ446">
        <f>'Grid_Stock'!BO15</f>
        <v/>
      </c>
      <c r="BR446">
        <f>'Grid_Stock'!BP15</f>
        <v/>
      </c>
      <c r="BS446">
        <f>'Grid_Stock'!BQ15</f>
        <v/>
      </c>
      <c r="BT446">
        <f>'Grid_Stock'!BR15</f>
        <v/>
      </c>
      <c r="BU446">
        <f>'Grid_Stock'!BS15</f>
        <v/>
      </c>
      <c r="BV446">
        <f>'Grid_Stock'!BT15</f>
        <v/>
      </c>
      <c r="BW446">
        <f>'Grid_Stock'!BU15</f>
        <v/>
      </c>
      <c r="BX446">
        <f>'Grid_Stock'!BV15</f>
        <v/>
      </c>
      <c r="BY446">
        <f>'Grid_Stock'!BW15</f>
        <v/>
      </c>
      <c r="BZ446">
        <f>'Grid_Stock'!BX15</f>
        <v/>
      </c>
      <c r="CA446">
        <f>'Grid_Stock'!BY15</f>
        <v/>
      </c>
      <c r="CB446">
        <f>'Grid_Stock'!BZ15</f>
        <v/>
      </c>
      <c r="CC446">
        <f>'Grid_Stock'!CA15</f>
        <v/>
      </c>
      <c r="CD446">
        <f>'Grid_Stock'!CB15</f>
        <v/>
      </c>
      <c r="CE446">
        <f>'Grid_Stock'!CC15</f>
        <v/>
      </c>
      <c r="CF446">
        <f>'Grid_Stock'!CD15</f>
        <v/>
      </c>
      <c r="CG446">
        <f>'Grid_Stock'!CE15</f>
        <v/>
      </c>
      <c r="CH446">
        <f>'Grid_Stock'!CF15</f>
        <v/>
      </c>
      <c r="CI446">
        <f>'Grid_Stock'!CG15</f>
        <v/>
      </c>
      <c r="CJ446">
        <f>'Grid_Stock'!CH15</f>
        <v/>
      </c>
      <c r="CK446">
        <f>'Grid_Stock'!CI15</f>
        <v/>
      </c>
      <c r="CL446">
        <f>'Grid_Stock'!CJ15</f>
        <v/>
      </c>
      <c r="CM446">
        <f>'Grid_Stock'!CK15</f>
        <v/>
      </c>
      <c r="CN446">
        <f>'Grid_Stock'!CL15</f>
        <v/>
      </c>
      <c r="CO446">
        <f>'Grid_Stock'!CM15</f>
        <v/>
      </c>
      <c r="CP446">
        <f>'Grid_Stock'!CN15</f>
        <v/>
      </c>
      <c r="CQ446">
        <f>'Grid_Stock'!CO15</f>
        <v/>
      </c>
      <c r="CR446">
        <f>'Grid_Stock'!CP15</f>
        <v/>
      </c>
      <c r="CS446">
        <f>'Grid_Stock'!CQ15</f>
        <v/>
      </c>
      <c r="CT446">
        <f>'Grid_Stock'!CR15</f>
        <v/>
      </c>
      <c r="CU446">
        <f>'Grid_Stock'!CS15</f>
        <v/>
      </c>
      <c r="CV446">
        <f>'Grid_Stock'!CT15</f>
        <v/>
      </c>
      <c r="CW446">
        <f>'Grid_Stock'!CU15</f>
        <v/>
      </c>
      <c r="CX446">
        <f>'Grid_Stock'!CV15</f>
        <v/>
      </c>
      <c r="CY446">
        <f>'Grid_Stock'!CW15</f>
        <v/>
      </c>
      <c r="CZ446">
        <f>'Grid_Stock'!CX15</f>
        <v/>
      </c>
      <c r="DA446">
        <f>'Grid_Stock'!CY15</f>
        <v/>
      </c>
      <c r="DB446">
        <f>'Grid_Stock'!CZ15</f>
        <v/>
      </c>
      <c r="DC446">
        <f>'Grid_Stock'!DA15</f>
        <v/>
      </c>
    </row>
    <row r="447">
      <c r="B447" s="16" t="inlineStr">
        <is>
          <t>（発注の目安はDashboardの基準在庫[下限/上限]と色分けを参照）</t>
        </is>
      </c>
    </row>
    <row r="449">
      <c r="A449" s="14" t="inlineStr">
        <is>
          <t>CHEM-1430</t>
        </is>
      </c>
      <c r="B449" s="14" t="inlineStr">
        <is>
          <t>RCT22</t>
        </is>
      </c>
      <c r="C449" s="15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4" t="n"/>
      <c r="AB449" s="14" t="n"/>
      <c r="AC449" s="14" t="n"/>
      <c r="AD449" s="14" t="n"/>
      <c r="AE449" s="14" t="n"/>
      <c r="AF449" s="14" t="n"/>
      <c r="AG449" s="14" t="n"/>
      <c r="AH449" s="14" t="n"/>
      <c r="AI449" s="14" t="n"/>
      <c r="AJ449" s="14" t="n"/>
      <c r="AK449" s="14" t="n"/>
      <c r="AL449" s="14" t="n"/>
      <c r="AM449" s="14" t="n"/>
      <c r="AN449" s="14" t="n"/>
      <c r="AO449" s="14" t="n"/>
      <c r="AP449" s="14" t="n"/>
      <c r="AQ449" s="14" t="n"/>
      <c r="AR449" s="14" t="n"/>
      <c r="AS449" s="14" t="n"/>
      <c r="AT449" s="14" t="n"/>
      <c r="AU449" s="14" t="n"/>
      <c r="AV449" s="14" t="n"/>
      <c r="AW449" s="14" t="n"/>
      <c r="AX449" s="14" t="n"/>
      <c r="AY449" s="14" t="n"/>
      <c r="AZ449" s="14" t="n"/>
      <c r="BA449" s="14" t="n"/>
      <c r="BB449" s="14" t="n"/>
      <c r="BC449" s="14" t="n"/>
      <c r="BD449" s="14" t="n"/>
      <c r="BE449" s="14" t="n"/>
      <c r="BF449" s="14" t="n"/>
      <c r="BG449" s="14" t="n"/>
      <c r="BH449" s="14" t="n"/>
      <c r="BI449" s="14" t="n"/>
      <c r="BJ449" s="14" t="n"/>
      <c r="BK449" s="14" t="n"/>
      <c r="BL449" s="14" t="n"/>
      <c r="BM449" s="14" t="n"/>
      <c r="BN449" s="14" t="n"/>
      <c r="BO449" s="14" t="n"/>
      <c r="BP449" s="14" t="n"/>
      <c r="BQ449" s="14" t="n"/>
      <c r="BR449" s="14" t="n"/>
      <c r="BS449" s="14" t="n"/>
      <c r="BT449" s="14" t="n"/>
      <c r="BU449" s="14" t="n"/>
      <c r="BV449" s="14" t="n"/>
      <c r="BW449" s="14" t="n"/>
      <c r="BX449" s="14" t="n"/>
      <c r="BY449" s="14" t="n"/>
      <c r="BZ449" s="14" t="n"/>
      <c r="CA449" s="14" t="n"/>
      <c r="CB449" s="14" t="n"/>
      <c r="CC449" s="14" t="n"/>
      <c r="CD449" s="14" t="n"/>
      <c r="CE449" s="14" t="n"/>
      <c r="CF449" s="14" t="n"/>
      <c r="CG449" s="14" t="n"/>
      <c r="CH449" s="14" t="n"/>
      <c r="CI449" s="14" t="n"/>
      <c r="CJ449" s="14" t="n"/>
      <c r="CK449" s="14" t="n"/>
      <c r="CL449" s="14" t="n"/>
      <c r="CM449" s="14" t="n"/>
      <c r="CN449" s="14" t="n"/>
      <c r="CO449" s="14" t="n"/>
      <c r="CP449" s="14" t="n"/>
      <c r="CQ449" s="14" t="n"/>
      <c r="CR449" s="14" t="n"/>
      <c r="CS449" s="14" t="n"/>
      <c r="CT449" s="14" t="n"/>
      <c r="CU449" s="14" t="n"/>
      <c r="CV449" s="14" t="n"/>
      <c r="CW449" s="14" t="n"/>
      <c r="CX449" s="14" t="n"/>
      <c r="CY449" s="14" t="n"/>
      <c r="CZ449" s="14" t="n"/>
      <c r="DA449" s="14" t="n"/>
      <c r="DB449" s="14" t="n"/>
      <c r="DC449" s="14" t="n"/>
    </row>
    <row r="450">
      <c r="B450" t="inlineStr">
        <is>
          <t>TSP-050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7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Name],$A449)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TSP-078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7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Name],$A449)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TSP-080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Name],$A449)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TSP-088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Name],$A449)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TSP-089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Name],$A449)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TSP-105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Name],$A449)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TSP-225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Name],$A449)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s="4" t="inlineStr">
        <is>
          <t>合計使用量(kg)/週</t>
        </is>
      </c>
      <c r="D464">
        <f>'Grid_Requirement'!B32</f>
        <v/>
      </c>
      <c r="E464">
        <f>'Grid_Requirement'!C32</f>
        <v/>
      </c>
      <c r="F464">
        <f>'Grid_Requirement'!D32</f>
        <v/>
      </c>
      <c r="G464">
        <f>'Grid_Requirement'!E32</f>
        <v/>
      </c>
      <c r="H464">
        <f>'Grid_Requirement'!F32</f>
        <v/>
      </c>
      <c r="I464">
        <f>'Grid_Requirement'!G32</f>
        <v/>
      </c>
      <c r="J464">
        <f>'Grid_Requirement'!H32</f>
        <v/>
      </c>
      <c r="K464">
        <f>'Grid_Requirement'!I32</f>
        <v/>
      </c>
      <c r="L464">
        <f>'Grid_Requirement'!J32</f>
        <v/>
      </c>
      <c r="M464">
        <f>'Grid_Requirement'!K32</f>
        <v/>
      </c>
      <c r="N464">
        <f>'Grid_Requirement'!L32</f>
        <v/>
      </c>
      <c r="O464">
        <f>'Grid_Requirement'!M32</f>
        <v/>
      </c>
      <c r="P464">
        <f>'Grid_Requirement'!N32</f>
        <v/>
      </c>
      <c r="Q464">
        <f>'Grid_Requirement'!O32</f>
        <v/>
      </c>
      <c r="R464">
        <f>'Grid_Requirement'!P32</f>
        <v/>
      </c>
      <c r="S464">
        <f>'Grid_Requirement'!Q32</f>
        <v/>
      </c>
      <c r="T464">
        <f>'Grid_Requirement'!R32</f>
        <v/>
      </c>
      <c r="U464">
        <f>'Grid_Requirement'!S32</f>
        <v/>
      </c>
      <c r="V464">
        <f>'Grid_Requirement'!T32</f>
        <v/>
      </c>
      <c r="W464">
        <f>'Grid_Requirement'!U32</f>
        <v/>
      </c>
      <c r="X464">
        <f>'Grid_Requirement'!V32</f>
        <v/>
      </c>
      <c r="Y464">
        <f>'Grid_Requirement'!W32</f>
        <v/>
      </c>
      <c r="Z464">
        <f>'Grid_Requirement'!X32</f>
        <v/>
      </c>
      <c r="AA464">
        <f>'Grid_Requirement'!Y32</f>
        <v/>
      </c>
      <c r="AB464">
        <f>'Grid_Requirement'!Z32</f>
        <v/>
      </c>
      <c r="AC464">
        <f>'Grid_Requirement'!AA32</f>
        <v/>
      </c>
      <c r="AD464">
        <f>'Grid_Requirement'!AB32</f>
        <v/>
      </c>
      <c r="AE464">
        <f>'Grid_Requirement'!AC32</f>
        <v/>
      </c>
      <c r="AF464">
        <f>'Grid_Requirement'!AD32</f>
        <v/>
      </c>
      <c r="AG464">
        <f>'Grid_Requirement'!AE32</f>
        <v/>
      </c>
      <c r="AH464">
        <f>'Grid_Requirement'!AF32</f>
        <v/>
      </c>
      <c r="AI464">
        <f>'Grid_Requirement'!AG32</f>
        <v/>
      </c>
      <c r="AJ464">
        <f>'Grid_Requirement'!AH32</f>
        <v/>
      </c>
      <c r="AK464">
        <f>'Grid_Requirement'!AI32</f>
        <v/>
      </c>
      <c r="AL464">
        <f>'Grid_Requirement'!AJ32</f>
        <v/>
      </c>
      <c r="AM464">
        <f>'Grid_Requirement'!AK32</f>
        <v/>
      </c>
      <c r="AN464">
        <f>'Grid_Requirement'!AL32</f>
        <v/>
      </c>
      <c r="AO464">
        <f>'Grid_Requirement'!AM32</f>
        <v/>
      </c>
      <c r="AP464">
        <f>'Grid_Requirement'!AN32</f>
        <v/>
      </c>
      <c r="AQ464">
        <f>'Grid_Requirement'!AO32</f>
        <v/>
      </c>
      <c r="AR464">
        <f>'Grid_Requirement'!AP32</f>
        <v/>
      </c>
      <c r="AS464">
        <f>'Grid_Requirement'!AQ32</f>
        <v/>
      </c>
      <c r="AT464">
        <f>'Grid_Requirement'!AR32</f>
        <v/>
      </c>
      <c r="AU464">
        <f>'Grid_Requirement'!AS32</f>
        <v/>
      </c>
      <c r="AV464">
        <f>'Grid_Requirement'!AT32</f>
        <v/>
      </c>
      <c r="AW464">
        <f>'Grid_Requirement'!AU32</f>
        <v/>
      </c>
      <c r="AX464">
        <f>'Grid_Requirement'!AV32</f>
        <v/>
      </c>
      <c r="AY464">
        <f>'Grid_Requirement'!AW32</f>
        <v/>
      </c>
      <c r="AZ464">
        <f>'Grid_Requirement'!AX32</f>
        <v/>
      </c>
      <c r="BA464">
        <f>'Grid_Requirement'!AY32</f>
        <v/>
      </c>
      <c r="BB464">
        <f>'Grid_Requirement'!AZ32</f>
        <v/>
      </c>
      <c r="BC464">
        <f>'Grid_Requirement'!BA32</f>
        <v/>
      </c>
      <c r="BD464">
        <f>'Grid_Requirement'!BB32</f>
        <v/>
      </c>
      <c r="BE464">
        <f>'Grid_Requirement'!BC32</f>
        <v/>
      </c>
      <c r="BF464">
        <f>'Grid_Requirement'!BD32</f>
        <v/>
      </c>
      <c r="BG464">
        <f>'Grid_Requirement'!BE32</f>
        <v/>
      </c>
      <c r="BH464">
        <f>'Grid_Requirement'!BF32</f>
        <v/>
      </c>
      <c r="BI464">
        <f>'Grid_Requirement'!BG32</f>
        <v/>
      </c>
      <c r="BJ464">
        <f>'Grid_Requirement'!BH32</f>
        <v/>
      </c>
      <c r="BK464">
        <f>'Grid_Requirement'!BI32</f>
        <v/>
      </c>
      <c r="BL464">
        <f>'Grid_Requirement'!BJ32</f>
        <v/>
      </c>
      <c r="BM464">
        <f>'Grid_Requirement'!BK32</f>
        <v/>
      </c>
      <c r="BN464">
        <f>'Grid_Requirement'!BL32</f>
        <v/>
      </c>
      <c r="BO464">
        <f>'Grid_Requirement'!BM32</f>
        <v/>
      </c>
      <c r="BP464">
        <f>'Grid_Requirement'!BN32</f>
        <v/>
      </c>
      <c r="BQ464">
        <f>'Grid_Requirement'!BO32</f>
        <v/>
      </c>
      <c r="BR464">
        <f>'Grid_Requirement'!BP32</f>
        <v/>
      </c>
      <c r="BS464">
        <f>'Grid_Requirement'!BQ32</f>
        <v/>
      </c>
      <c r="BT464">
        <f>'Grid_Requirement'!BR32</f>
        <v/>
      </c>
      <c r="BU464">
        <f>'Grid_Requirement'!BS32</f>
        <v/>
      </c>
      <c r="BV464">
        <f>'Grid_Requirement'!BT32</f>
        <v/>
      </c>
      <c r="BW464">
        <f>'Grid_Requirement'!BU32</f>
        <v/>
      </c>
      <c r="BX464">
        <f>'Grid_Requirement'!BV32</f>
        <v/>
      </c>
      <c r="BY464">
        <f>'Grid_Requirement'!BW32</f>
        <v/>
      </c>
      <c r="BZ464">
        <f>'Grid_Requirement'!BX32</f>
        <v/>
      </c>
      <c r="CA464">
        <f>'Grid_Requirement'!BY32</f>
        <v/>
      </c>
      <c r="CB464">
        <f>'Grid_Requirement'!BZ32</f>
        <v/>
      </c>
      <c r="CC464">
        <f>'Grid_Requirement'!CA32</f>
        <v/>
      </c>
      <c r="CD464">
        <f>'Grid_Requirement'!CB32</f>
        <v/>
      </c>
      <c r="CE464">
        <f>'Grid_Requirement'!CC32</f>
        <v/>
      </c>
      <c r="CF464">
        <f>'Grid_Requirement'!CD32</f>
        <v/>
      </c>
      <c r="CG464">
        <f>'Grid_Requirement'!CE32</f>
        <v/>
      </c>
      <c r="CH464">
        <f>'Grid_Requirement'!CF32</f>
        <v/>
      </c>
      <c r="CI464">
        <f>'Grid_Requirement'!CG32</f>
        <v/>
      </c>
      <c r="CJ464">
        <f>'Grid_Requirement'!CH32</f>
        <v/>
      </c>
      <c r="CK464">
        <f>'Grid_Requirement'!CI32</f>
        <v/>
      </c>
      <c r="CL464">
        <f>'Grid_Requirement'!CJ32</f>
        <v/>
      </c>
      <c r="CM464">
        <f>'Grid_Requirement'!CK32</f>
        <v/>
      </c>
      <c r="CN464">
        <f>'Grid_Requirement'!CL32</f>
        <v/>
      </c>
      <c r="CO464">
        <f>'Grid_Requirement'!CM32</f>
        <v/>
      </c>
      <c r="CP464">
        <f>'Grid_Requirement'!CN32</f>
        <v/>
      </c>
      <c r="CQ464">
        <f>'Grid_Requirement'!CO32</f>
        <v/>
      </c>
      <c r="CR464">
        <f>'Grid_Requirement'!CP32</f>
        <v/>
      </c>
      <c r="CS464">
        <f>'Grid_Requirement'!CQ32</f>
        <v/>
      </c>
      <c r="CT464">
        <f>'Grid_Requirement'!CR32</f>
        <v/>
      </c>
      <c r="CU464">
        <f>'Grid_Requirement'!CS32</f>
        <v/>
      </c>
      <c r="CV464">
        <f>'Grid_Requirement'!CT32</f>
        <v/>
      </c>
      <c r="CW464">
        <f>'Grid_Requirement'!CU32</f>
        <v/>
      </c>
      <c r="CX464">
        <f>'Grid_Requirement'!CV32</f>
        <v/>
      </c>
      <c r="CY464">
        <f>'Grid_Requirement'!CW32</f>
        <v/>
      </c>
      <c r="CZ464">
        <f>'Grid_Requirement'!CX32</f>
        <v/>
      </c>
      <c r="DA464">
        <f>'Grid_Requirement'!CY32</f>
        <v/>
      </c>
      <c r="DB464">
        <f>'Grid_Requirement'!CZ32</f>
        <v/>
      </c>
      <c r="DC464">
        <f>'Grid_Requirement'!DA32</f>
        <v/>
      </c>
    </row>
    <row r="465">
      <c r="B465" t="inlineStr">
        <is>
          <t>TTAF在庫(実績,kg)</t>
        </is>
      </c>
      <c r="D465">
        <f>'T_TTAFStock'!B36</f>
        <v/>
      </c>
      <c r="E465">
        <f>'T_TTAFStock'!C36</f>
        <v/>
      </c>
      <c r="F465">
        <f>'T_TTAFStock'!D36</f>
        <v/>
      </c>
      <c r="G465">
        <f>'T_TTAFStock'!E36</f>
        <v/>
      </c>
      <c r="H465">
        <f>'T_TTAFStock'!F36</f>
        <v/>
      </c>
      <c r="I465">
        <f>'T_TTAFStock'!G36</f>
        <v/>
      </c>
      <c r="J465">
        <f>'T_TTAFStock'!H36</f>
        <v/>
      </c>
      <c r="K465">
        <f>'T_TTAFStock'!I36</f>
        <v/>
      </c>
      <c r="L465">
        <f>'T_TTAFStock'!J36</f>
        <v/>
      </c>
      <c r="M465">
        <f>'T_TTAFStock'!K36</f>
        <v/>
      </c>
      <c r="N465">
        <f>'T_TTAFStock'!L36</f>
        <v/>
      </c>
      <c r="O465">
        <f>'T_TTAFStock'!M36</f>
        <v/>
      </c>
      <c r="P465">
        <f>'T_TTAFStock'!N36</f>
        <v/>
      </c>
      <c r="Q465">
        <f>'T_TTAFStock'!O36</f>
        <v/>
      </c>
      <c r="R465">
        <f>'T_TTAFStock'!P36</f>
        <v/>
      </c>
      <c r="S465">
        <f>'T_TTAFStock'!Q36</f>
        <v/>
      </c>
      <c r="T465">
        <f>'T_TTAFStock'!R36</f>
        <v/>
      </c>
      <c r="U465">
        <f>'T_TTAFStock'!S36</f>
        <v/>
      </c>
      <c r="V465">
        <f>'T_TTAFStock'!T36</f>
        <v/>
      </c>
      <c r="W465">
        <f>'T_TTAFStock'!U36</f>
        <v/>
      </c>
      <c r="X465">
        <f>'T_TTAFStock'!V36</f>
        <v/>
      </c>
      <c r="Y465">
        <f>'T_TTAFStock'!W36</f>
        <v/>
      </c>
      <c r="Z465">
        <f>'T_TTAFStock'!X36</f>
        <v/>
      </c>
      <c r="AA465">
        <f>'T_TTAFStock'!Y36</f>
        <v/>
      </c>
      <c r="AB465">
        <f>'T_TTAFStock'!Z36</f>
        <v/>
      </c>
      <c r="AC465">
        <f>'T_TTAFStock'!AA36</f>
        <v/>
      </c>
      <c r="AD465">
        <f>'T_TTAFStock'!AB36</f>
        <v/>
      </c>
      <c r="AE465">
        <f>'T_TTAFStock'!AC36</f>
        <v/>
      </c>
      <c r="AF465">
        <f>'T_TTAFStock'!AD36</f>
        <v/>
      </c>
      <c r="AG465">
        <f>'T_TTAFStock'!AE36</f>
        <v/>
      </c>
      <c r="AH465">
        <f>'T_TTAFStock'!AF36</f>
        <v/>
      </c>
      <c r="AI465">
        <f>'T_TTAFStock'!AG36</f>
        <v/>
      </c>
      <c r="AJ465">
        <f>'T_TTAFStock'!AH36</f>
        <v/>
      </c>
      <c r="AK465">
        <f>'T_TTAFStock'!AI36</f>
        <v/>
      </c>
      <c r="AL465">
        <f>'T_TTAFStock'!AJ36</f>
        <v/>
      </c>
      <c r="AM465">
        <f>'T_TTAFStock'!AK36</f>
        <v/>
      </c>
      <c r="AN465">
        <f>'T_TTAFStock'!AL36</f>
        <v/>
      </c>
      <c r="AO465">
        <f>'T_TTAFStock'!AM36</f>
        <v/>
      </c>
      <c r="AP465">
        <f>'T_TTAFStock'!AN36</f>
        <v/>
      </c>
      <c r="AQ465">
        <f>'T_TTAFStock'!AO36</f>
        <v/>
      </c>
      <c r="AR465">
        <f>'T_TTAFStock'!AP36</f>
        <v/>
      </c>
      <c r="AS465">
        <f>'T_TTAFStock'!AQ36</f>
        <v/>
      </c>
      <c r="AT465">
        <f>'T_TTAFStock'!AR36</f>
        <v/>
      </c>
      <c r="AU465">
        <f>'T_TTAFStock'!AS36</f>
        <v/>
      </c>
      <c r="AV465">
        <f>'T_TTAFStock'!AT36</f>
        <v/>
      </c>
      <c r="AW465">
        <f>'T_TTAFStock'!AU36</f>
        <v/>
      </c>
      <c r="AX465">
        <f>'T_TTAFStock'!AV36</f>
        <v/>
      </c>
      <c r="AY465">
        <f>'T_TTAFStock'!AW36</f>
        <v/>
      </c>
      <c r="AZ465">
        <f>'T_TTAFStock'!AX36</f>
        <v/>
      </c>
      <c r="BA465">
        <f>'T_TTAFStock'!AY36</f>
        <v/>
      </c>
      <c r="BB465">
        <f>'T_TTAFStock'!AZ36</f>
        <v/>
      </c>
      <c r="BC465">
        <f>'T_TTAFStock'!BA36</f>
        <v/>
      </c>
      <c r="BD465">
        <f>'T_TTAFStock'!BB36</f>
        <v/>
      </c>
      <c r="BE465">
        <f>'T_TTAFStock'!BC36</f>
        <v/>
      </c>
      <c r="BF465">
        <f>'T_TTAFStock'!BD36</f>
        <v/>
      </c>
      <c r="BG465">
        <f>'T_TTAFStock'!BE36</f>
        <v/>
      </c>
      <c r="BH465">
        <f>'T_TTAFStock'!BF36</f>
        <v/>
      </c>
      <c r="BI465">
        <f>'T_TTAFStock'!BG36</f>
        <v/>
      </c>
      <c r="BJ465">
        <f>'T_TTAFStock'!BH36</f>
        <v/>
      </c>
      <c r="BK465">
        <f>'T_TTAFStock'!BI36</f>
        <v/>
      </c>
      <c r="BL465">
        <f>'T_TTAFStock'!BJ36</f>
        <v/>
      </c>
      <c r="BM465">
        <f>'T_TTAFStock'!BK36</f>
        <v/>
      </c>
      <c r="BN465">
        <f>'T_TTAFStock'!BL36</f>
        <v/>
      </c>
      <c r="BO465">
        <f>'T_TTAFStock'!BM36</f>
        <v/>
      </c>
      <c r="BP465">
        <f>'T_TTAFStock'!BN36</f>
        <v/>
      </c>
      <c r="BQ465">
        <f>'T_TTAFStock'!BO36</f>
        <v/>
      </c>
      <c r="BR465">
        <f>'T_TTAFStock'!BP36</f>
        <v/>
      </c>
      <c r="BS465">
        <f>'T_TTAFStock'!BQ36</f>
        <v/>
      </c>
      <c r="BT465">
        <f>'T_TTAFStock'!BR36</f>
        <v/>
      </c>
      <c r="BU465">
        <f>'T_TTAFStock'!BS36</f>
        <v/>
      </c>
      <c r="BV465">
        <f>'T_TTAFStock'!BT36</f>
        <v/>
      </c>
      <c r="BW465">
        <f>'T_TTAFStock'!BU36</f>
        <v/>
      </c>
      <c r="BX465">
        <f>'T_TTAFStock'!BV36</f>
        <v/>
      </c>
      <c r="BY465">
        <f>'T_TTAFStock'!BW36</f>
        <v/>
      </c>
      <c r="BZ465">
        <f>'T_TTAFStock'!BX36</f>
        <v/>
      </c>
      <c r="CA465">
        <f>'T_TTAFStock'!BY36</f>
        <v/>
      </c>
      <c r="CB465">
        <f>'T_TTAFStock'!BZ36</f>
        <v/>
      </c>
      <c r="CC465">
        <f>'T_TTAFStock'!CA36</f>
        <v/>
      </c>
      <c r="CD465">
        <f>'T_TTAFStock'!CB36</f>
        <v/>
      </c>
      <c r="CE465">
        <f>'T_TTAFStock'!CC36</f>
        <v/>
      </c>
      <c r="CF465">
        <f>'T_TTAFStock'!CD36</f>
        <v/>
      </c>
      <c r="CG465">
        <f>'T_TTAFStock'!CE36</f>
        <v/>
      </c>
      <c r="CH465">
        <f>'T_TTAFStock'!CF36</f>
        <v/>
      </c>
      <c r="CI465">
        <f>'T_TTAFStock'!CG36</f>
        <v/>
      </c>
      <c r="CJ465">
        <f>'T_TTAFStock'!CH36</f>
        <v/>
      </c>
      <c r="CK465">
        <f>'T_TTAFStock'!CI36</f>
        <v/>
      </c>
      <c r="CL465">
        <f>'T_TTAFStock'!CJ36</f>
        <v/>
      </c>
      <c r="CM465">
        <f>'T_TTAFStock'!CK36</f>
        <v/>
      </c>
      <c r="CN465">
        <f>'T_TTAFStock'!CL36</f>
        <v/>
      </c>
      <c r="CO465">
        <f>'T_TTAFStock'!CM36</f>
        <v/>
      </c>
      <c r="CP465">
        <f>'T_TTAFStock'!CN36</f>
        <v/>
      </c>
      <c r="CQ465">
        <f>'T_TTAFStock'!CO36</f>
        <v/>
      </c>
      <c r="CR465">
        <f>'T_TTAFStock'!CP36</f>
        <v/>
      </c>
      <c r="CS465">
        <f>'T_TTAFStock'!CQ36</f>
        <v/>
      </c>
      <c r="CT465">
        <f>'T_TTAFStock'!CR36</f>
        <v/>
      </c>
      <c r="CU465">
        <f>'T_TTAFStock'!CS36</f>
        <v/>
      </c>
      <c r="CV465">
        <f>'T_TTAFStock'!CT36</f>
        <v/>
      </c>
      <c r="CW465">
        <f>'T_TTAFStock'!CU36</f>
        <v/>
      </c>
      <c r="CX465">
        <f>'T_TTAFStock'!CV36</f>
        <v/>
      </c>
      <c r="CY465">
        <f>'T_TTAFStock'!CW36</f>
        <v/>
      </c>
      <c r="CZ465">
        <f>'T_TTAFStock'!CX36</f>
        <v/>
      </c>
      <c r="DA465">
        <f>'T_TTAFStock'!CY36</f>
        <v/>
      </c>
      <c r="DB465">
        <f>'T_TTAFStock'!CZ36</f>
        <v/>
      </c>
      <c r="DC465">
        <f>'T_TTAFStock'!DA36</f>
        <v/>
      </c>
    </row>
    <row r="466">
      <c r="B466" t="inlineStr">
        <is>
          <t>自社在庫(実績,kg)</t>
        </is>
      </c>
      <c r="D466">
        <f>'T_SelfStock'!B36</f>
        <v/>
      </c>
      <c r="E466">
        <f>'T_SelfStock'!C36</f>
        <v/>
      </c>
      <c r="F466">
        <f>'T_SelfStock'!D36</f>
        <v/>
      </c>
      <c r="G466">
        <f>'T_SelfStock'!E36</f>
        <v/>
      </c>
      <c r="H466">
        <f>'T_SelfStock'!F36</f>
        <v/>
      </c>
      <c r="I466">
        <f>'T_SelfStock'!G36</f>
        <v/>
      </c>
      <c r="J466">
        <f>'T_SelfStock'!H36</f>
        <v/>
      </c>
      <c r="K466">
        <f>'T_SelfStock'!I36</f>
        <v/>
      </c>
      <c r="L466">
        <f>'T_SelfStock'!J36</f>
        <v/>
      </c>
      <c r="M466">
        <f>'T_SelfStock'!K36</f>
        <v/>
      </c>
      <c r="N466">
        <f>'T_SelfStock'!L36</f>
        <v/>
      </c>
      <c r="O466">
        <f>'T_SelfStock'!M36</f>
        <v/>
      </c>
      <c r="P466">
        <f>'T_SelfStock'!N36</f>
        <v/>
      </c>
      <c r="Q466">
        <f>'T_SelfStock'!O36</f>
        <v/>
      </c>
      <c r="R466">
        <f>'T_SelfStock'!P36</f>
        <v/>
      </c>
      <c r="S466">
        <f>'T_SelfStock'!Q36</f>
        <v/>
      </c>
      <c r="T466">
        <f>'T_SelfStock'!R36</f>
        <v/>
      </c>
      <c r="U466">
        <f>'T_SelfStock'!S36</f>
        <v/>
      </c>
      <c r="V466">
        <f>'T_SelfStock'!T36</f>
        <v/>
      </c>
      <c r="W466">
        <f>'T_SelfStock'!U36</f>
        <v/>
      </c>
      <c r="X466">
        <f>'T_SelfStock'!V36</f>
        <v/>
      </c>
      <c r="Y466">
        <f>'T_SelfStock'!W36</f>
        <v/>
      </c>
      <c r="Z466">
        <f>'T_SelfStock'!X36</f>
        <v/>
      </c>
      <c r="AA466">
        <f>'T_SelfStock'!Y36</f>
        <v/>
      </c>
      <c r="AB466">
        <f>'T_SelfStock'!Z36</f>
        <v/>
      </c>
      <c r="AC466">
        <f>'T_SelfStock'!AA36</f>
        <v/>
      </c>
      <c r="AD466">
        <f>'T_SelfStock'!AB36</f>
        <v/>
      </c>
      <c r="AE466">
        <f>'T_SelfStock'!AC36</f>
        <v/>
      </c>
      <c r="AF466">
        <f>'T_SelfStock'!AD36</f>
        <v/>
      </c>
      <c r="AG466">
        <f>'T_SelfStock'!AE36</f>
        <v/>
      </c>
      <c r="AH466">
        <f>'T_SelfStock'!AF36</f>
        <v/>
      </c>
      <c r="AI466">
        <f>'T_SelfStock'!AG36</f>
        <v/>
      </c>
      <c r="AJ466">
        <f>'T_SelfStock'!AH36</f>
        <v/>
      </c>
      <c r="AK466">
        <f>'T_SelfStock'!AI36</f>
        <v/>
      </c>
      <c r="AL466">
        <f>'T_SelfStock'!AJ36</f>
        <v/>
      </c>
      <c r="AM466">
        <f>'T_SelfStock'!AK36</f>
        <v/>
      </c>
      <c r="AN466">
        <f>'T_SelfStock'!AL36</f>
        <v/>
      </c>
      <c r="AO466">
        <f>'T_SelfStock'!AM36</f>
        <v/>
      </c>
      <c r="AP466">
        <f>'T_SelfStock'!AN36</f>
        <v/>
      </c>
      <c r="AQ466">
        <f>'T_SelfStock'!AO36</f>
        <v/>
      </c>
      <c r="AR466">
        <f>'T_SelfStock'!AP36</f>
        <v/>
      </c>
      <c r="AS466">
        <f>'T_SelfStock'!AQ36</f>
        <v/>
      </c>
      <c r="AT466">
        <f>'T_SelfStock'!AR36</f>
        <v/>
      </c>
      <c r="AU466">
        <f>'T_SelfStock'!AS36</f>
        <v/>
      </c>
      <c r="AV466">
        <f>'T_SelfStock'!AT36</f>
        <v/>
      </c>
      <c r="AW466">
        <f>'T_SelfStock'!AU36</f>
        <v/>
      </c>
      <c r="AX466">
        <f>'T_SelfStock'!AV36</f>
        <v/>
      </c>
      <c r="AY466">
        <f>'T_SelfStock'!AW36</f>
        <v/>
      </c>
      <c r="AZ466">
        <f>'T_SelfStock'!AX36</f>
        <v/>
      </c>
      <c r="BA466">
        <f>'T_SelfStock'!AY36</f>
        <v/>
      </c>
      <c r="BB466">
        <f>'T_SelfStock'!AZ36</f>
        <v/>
      </c>
      <c r="BC466">
        <f>'T_SelfStock'!BA36</f>
        <v/>
      </c>
      <c r="BD466">
        <f>'T_SelfStock'!BB36</f>
        <v/>
      </c>
      <c r="BE466">
        <f>'T_SelfStock'!BC36</f>
        <v/>
      </c>
      <c r="BF466">
        <f>'T_SelfStock'!BD36</f>
        <v/>
      </c>
      <c r="BG466">
        <f>'T_SelfStock'!BE36</f>
        <v/>
      </c>
      <c r="BH466">
        <f>'T_SelfStock'!BF36</f>
        <v/>
      </c>
      <c r="BI466">
        <f>'T_SelfStock'!BG36</f>
        <v/>
      </c>
      <c r="BJ466">
        <f>'T_SelfStock'!BH36</f>
        <v/>
      </c>
      <c r="BK466">
        <f>'T_SelfStock'!BI36</f>
        <v/>
      </c>
      <c r="BL466">
        <f>'T_SelfStock'!BJ36</f>
        <v/>
      </c>
      <c r="BM466">
        <f>'T_SelfStock'!BK36</f>
        <v/>
      </c>
      <c r="BN466">
        <f>'T_SelfStock'!BL36</f>
        <v/>
      </c>
      <c r="BO466">
        <f>'T_SelfStock'!BM36</f>
        <v/>
      </c>
      <c r="BP466">
        <f>'T_SelfStock'!BN36</f>
        <v/>
      </c>
      <c r="BQ466">
        <f>'T_SelfStock'!BO36</f>
        <v/>
      </c>
      <c r="BR466">
        <f>'T_SelfStock'!BP36</f>
        <v/>
      </c>
      <c r="BS466">
        <f>'T_SelfStock'!BQ36</f>
        <v/>
      </c>
      <c r="BT466">
        <f>'T_SelfStock'!BR36</f>
        <v/>
      </c>
      <c r="BU466">
        <f>'T_SelfStock'!BS36</f>
        <v/>
      </c>
      <c r="BV466">
        <f>'T_SelfStock'!BT36</f>
        <v/>
      </c>
      <c r="BW466">
        <f>'T_SelfStock'!BU36</f>
        <v/>
      </c>
      <c r="BX466">
        <f>'T_SelfStock'!BV36</f>
        <v/>
      </c>
      <c r="BY466">
        <f>'T_SelfStock'!BW36</f>
        <v/>
      </c>
      <c r="BZ466">
        <f>'T_SelfStock'!BX36</f>
        <v/>
      </c>
      <c r="CA466">
        <f>'T_SelfStock'!BY36</f>
        <v/>
      </c>
      <c r="CB466">
        <f>'T_SelfStock'!BZ36</f>
        <v/>
      </c>
      <c r="CC466">
        <f>'T_SelfStock'!CA36</f>
        <v/>
      </c>
      <c r="CD466">
        <f>'T_SelfStock'!CB36</f>
        <v/>
      </c>
      <c r="CE466">
        <f>'T_SelfStock'!CC36</f>
        <v/>
      </c>
      <c r="CF466">
        <f>'T_SelfStock'!CD36</f>
        <v/>
      </c>
      <c r="CG466">
        <f>'T_SelfStock'!CE36</f>
        <v/>
      </c>
      <c r="CH466">
        <f>'T_SelfStock'!CF36</f>
        <v/>
      </c>
      <c r="CI466">
        <f>'T_SelfStock'!CG36</f>
        <v/>
      </c>
      <c r="CJ466">
        <f>'T_SelfStock'!CH36</f>
        <v/>
      </c>
      <c r="CK466">
        <f>'T_SelfStock'!CI36</f>
        <v/>
      </c>
      <c r="CL466">
        <f>'T_SelfStock'!CJ36</f>
        <v/>
      </c>
      <c r="CM466">
        <f>'T_SelfStock'!CK36</f>
        <v/>
      </c>
      <c r="CN466">
        <f>'T_SelfStock'!CL36</f>
        <v/>
      </c>
      <c r="CO466">
        <f>'T_SelfStock'!CM36</f>
        <v/>
      </c>
      <c r="CP466">
        <f>'T_SelfStock'!CN36</f>
        <v/>
      </c>
      <c r="CQ466">
        <f>'T_SelfStock'!CO36</f>
        <v/>
      </c>
      <c r="CR466">
        <f>'T_SelfStock'!CP36</f>
        <v/>
      </c>
      <c r="CS466">
        <f>'T_SelfStock'!CQ36</f>
        <v/>
      </c>
      <c r="CT466">
        <f>'T_SelfStock'!CR36</f>
        <v/>
      </c>
      <c r="CU466">
        <f>'T_SelfStock'!CS36</f>
        <v/>
      </c>
      <c r="CV466">
        <f>'T_SelfStock'!CT36</f>
        <v/>
      </c>
      <c r="CW466">
        <f>'T_SelfStock'!CU36</f>
        <v/>
      </c>
      <c r="CX466">
        <f>'T_SelfStock'!CV36</f>
        <v/>
      </c>
      <c r="CY466">
        <f>'T_SelfStock'!CW36</f>
        <v/>
      </c>
      <c r="CZ466">
        <f>'T_SelfStock'!CX36</f>
        <v/>
      </c>
      <c r="DA466">
        <f>'T_SelfStock'!CY36</f>
        <v/>
      </c>
      <c r="DB466">
        <f>'T_SelfStock'!CZ36</f>
        <v/>
      </c>
      <c r="DC466">
        <f>'T_SelfStock'!DA36</f>
        <v/>
      </c>
    </row>
    <row r="467">
      <c r="B467" s="4" t="inlineStr">
        <is>
          <t>合計在庫(週末時点,kg)</t>
        </is>
      </c>
      <c r="D467">
        <f>'Grid_Stock'!B32</f>
        <v/>
      </c>
      <c r="E467">
        <f>'Grid_Stock'!C32</f>
        <v/>
      </c>
      <c r="F467">
        <f>'Grid_Stock'!D32</f>
        <v/>
      </c>
      <c r="G467">
        <f>'Grid_Stock'!E32</f>
        <v/>
      </c>
      <c r="H467">
        <f>'Grid_Stock'!F32</f>
        <v/>
      </c>
      <c r="I467">
        <f>'Grid_Stock'!G32</f>
        <v/>
      </c>
      <c r="J467">
        <f>'Grid_Stock'!H32</f>
        <v/>
      </c>
      <c r="K467">
        <f>'Grid_Stock'!I32</f>
        <v/>
      </c>
      <c r="L467">
        <f>'Grid_Stock'!J32</f>
        <v/>
      </c>
      <c r="M467">
        <f>'Grid_Stock'!K32</f>
        <v/>
      </c>
      <c r="N467">
        <f>'Grid_Stock'!L32</f>
        <v/>
      </c>
      <c r="O467">
        <f>'Grid_Stock'!M32</f>
        <v/>
      </c>
      <c r="P467">
        <f>'Grid_Stock'!N32</f>
        <v/>
      </c>
      <c r="Q467">
        <f>'Grid_Stock'!O32</f>
        <v/>
      </c>
      <c r="R467">
        <f>'Grid_Stock'!P32</f>
        <v/>
      </c>
      <c r="S467">
        <f>'Grid_Stock'!Q32</f>
        <v/>
      </c>
      <c r="T467">
        <f>'Grid_Stock'!R32</f>
        <v/>
      </c>
      <c r="U467">
        <f>'Grid_Stock'!S32</f>
        <v/>
      </c>
      <c r="V467">
        <f>'Grid_Stock'!T32</f>
        <v/>
      </c>
      <c r="W467">
        <f>'Grid_Stock'!U32</f>
        <v/>
      </c>
      <c r="X467">
        <f>'Grid_Stock'!V32</f>
        <v/>
      </c>
      <c r="Y467">
        <f>'Grid_Stock'!W32</f>
        <v/>
      </c>
      <c r="Z467">
        <f>'Grid_Stock'!X32</f>
        <v/>
      </c>
      <c r="AA467">
        <f>'Grid_Stock'!Y32</f>
        <v/>
      </c>
      <c r="AB467">
        <f>'Grid_Stock'!Z32</f>
        <v/>
      </c>
      <c r="AC467">
        <f>'Grid_Stock'!AA32</f>
        <v/>
      </c>
      <c r="AD467">
        <f>'Grid_Stock'!AB32</f>
        <v/>
      </c>
      <c r="AE467">
        <f>'Grid_Stock'!AC32</f>
        <v/>
      </c>
      <c r="AF467">
        <f>'Grid_Stock'!AD32</f>
        <v/>
      </c>
      <c r="AG467">
        <f>'Grid_Stock'!AE32</f>
        <v/>
      </c>
      <c r="AH467">
        <f>'Grid_Stock'!AF32</f>
        <v/>
      </c>
      <c r="AI467">
        <f>'Grid_Stock'!AG32</f>
        <v/>
      </c>
      <c r="AJ467">
        <f>'Grid_Stock'!AH32</f>
        <v/>
      </c>
      <c r="AK467">
        <f>'Grid_Stock'!AI32</f>
        <v/>
      </c>
      <c r="AL467">
        <f>'Grid_Stock'!AJ32</f>
        <v/>
      </c>
      <c r="AM467">
        <f>'Grid_Stock'!AK32</f>
        <v/>
      </c>
      <c r="AN467">
        <f>'Grid_Stock'!AL32</f>
        <v/>
      </c>
      <c r="AO467">
        <f>'Grid_Stock'!AM32</f>
        <v/>
      </c>
      <c r="AP467">
        <f>'Grid_Stock'!AN32</f>
        <v/>
      </c>
      <c r="AQ467">
        <f>'Grid_Stock'!AO32</f>
        <v/>
      </c>
      <c r="AR467">
        <f>'Grid_Stock'!AP32</f>
        <v/>
      </c>
      <c r="AS467">
        <f>'Grid_Stock'!AQ32</f>
        <v/>
      </c>
      <c r="AT467">
        <f>'Grid_Stock'!AR32</f>
        <v/>
      </c>
      <c r="AU467">
        <f>'Grid_Stock'!AS32</f>
        <v/>
      </c>
      <c r="AV467">
        <f>'Grid_Stock'!AT32</f>
        <v/>
      </c>
      <c r="AW467">
        <f>'Grid_Stock'!AU32</f>
        <v/>
      </c>
      <c r="AX467">
        <f>'Grid_Stock'!AV32</f>
        <v/>
      </c>
      <c r="AY467">
        <f>'Grid_Stock'!AW32</f>
        <v/>
      </c>
      <c r="AZ467">
        <f>'Grid_Stock'!AX32</f>
        <v/>
      </c>
      <c r="BA467">
        <f>'Grid_Stock'!AY32</f>
        <v/>
      </c>
      <c r="BB467">
        <f>'Grid_Stock'!AZ32</f>
        <v/>
      </c>
      <c r="BC467">
        <f>'Grid_Stock'!BA32</f>
        <v/>
      </c>
      <c r="BD467">
        <f>'Grid_Stock'!BB32</f>
        <v/>
      </c>
      <c r="BE467">
        <f>'Grid_Stock'!BC32</f>
        <v/>
      </c>
      <c r="BF467">
        <f>'Grid_Stock'!BD32</f>
        <v/>
      </c>
      <c r="BG467">
        <f>'Grid_Stock'!BE32</f>
        <v/>
      </c>
      <c r="BH467">
        <f>'Grid_Stock'!BF32</f>
        <v/>
      </c>
      <c r="BI467">
        <f>'Grid_Stock'!BG32</f>
        <v/>
      </c>
      <c r="BJ467">
        <f>'Grid_Stock'!BH32</f>
        <v/>
      </c>
      <c r="BK467">
        <f>'Grid_Stock'!BI32</f>
        <v/>
      </c>
      <c r="BL467">
        <f>'Grid_Stock'!BJ32</f>
        <v/>
      </c>
      <c r="BM467">
        <f>'Grid_Stock'!BK32</f>
        <v/>
      </c>
      <c r="BN467">
        <f>'Grid_Stock'!BL32</f>
        <v/>
      </c>
      <c r="BO467">
        <f>'Grid_Stock'!BM32</f>
        <v/>
      </c>
      <c r="BP467">
        <f>'Grid_Stock'!BN32</f>
        <v/>
      </c>
      <c r="BQ467">
        <f>'Grid_Stock'!BO32</f>
        <v/>
      </c>
      <c r="BR467">
        <f>'Grid_Stock'!BP32</f>
        <v/>
      </c>
      <c r="BS467">
        <f>'Grid_Stock'!BQ32</f>
        <v/>
      </c>
      <c r="BT467">
        <f>'Grid_Stock'!BR32</f>
        <v/>
      </c>
      <c r="BU467">
        <f>'Grid_Stock'!BS32</f>
        <v/>
      </c>
      <c r="BV467">
        <f>'Grid_Stock'!BT32</f>
        <v/>
      </c>
      <c r="BW467">
        <f>'Grid_Stock'!BU32</f>
        <v/>
      </c>
      <c r="BX467">
        <f>'Grid_Stock'!BV32</f>
        <v/>
      </c>
      <c r="BY467">
        <f>'Grid_Stock'!BW32</f>
        <v/>
      </c>
      <c r="BZ467">
        <f>'Grid_Stock'!BX32</f>
        <v/>
      </c>
      <c r="CA467">
        <f>'Grid_Stock'!BY32</f>
        <v/>
      </c>
      <c r="CB467">
        <f>'Grid_Stock'!BZ32</f>
        <v/>
      </c>
      <c r="CC467">
        <f>'Grid_Stock'!CA32</f>
        <v/>
      </c>
      <c r="CD467">
        <f>'Grid_Stock'!CB32</f>
        <v/>
      </c>
      <c r="CE467">
        <f>'Grid_Stock'!CC32</f>
        <v/>
      </c>
      <c r="CF467">
        <f>'Grid_Stock'!CD32</f>
        <v/>
      </c>
      <c r="CG467">
        <f>'Grid_Stock'!CE32</f>
        <v/>
      </c>
      <c r="CH467">
        <f>'Grid_Stock'!CF32</f>
        <v/>
      </c>
      <c r="CI467">
        <f>'Grid_Stock'!CG32</f>
        <v/>
      </c>
      <c r="CJ467">
        <f>'Grid_Stock'!CH32</f>
        <v/>
      </c>
      <c r="CK467">
        <f>'Grid_Stock'!CI32</f>
        <v/>
      </c>
      <c r="CL467">
        <f>'Grid_Stock'!CJ32</f>
        <v/>
      </c>
      <c r="CM467">
        <f>'Grid_Stock'!CK32</f>
        <v/>
      </c>
      <c r="CN467">
        <f>'Grid_Stock'!CL32</f>
        <v/>
      </c>
      <c r="CO467">
        <f>'Grid_Stock'!CM32</f>
        <v/>
      </c>
      <c r="CP467">
        <f>'Grid_Stock'!CN32</f>
        <v/>
      </c>
      <c r="CQ467">
        <f>'Grid_Stock'!CO32</f>
        <v/>
      </c>
      <c r="CR467">
        <f>'Grid_Stock'!CP32</f>
        <v/>
      </c>
      <c r="CS467">
        <f>'Grid_Stock'!CQ32</f>
        <v/>
      </c>
      <c r="CT467">
        <f>'Grid_Stock'!CR32</f>
        <v/>
      </c>
      <c r="CU467">
        <f>'Grid_Stock'!CS32</f>
        <v/>
      </c>
      <c r="CV467">
        <f>'Grid_Stock'!CT32</f>
        <v/>
      </c>
      <c r="CW467">
        <f>'Grid_Stock'!CU32</f>
        <v/>
      </c>
      <c r="CX467">
        <f>'Grid_Stock'!CV32</f>
        <v/>
      </c>
      <c r="CY467">
        <f>'Grid_Stock'!CW32</f>
        <v/>
      </c>
      <c r="CZ467">
        <f>'Grid_Stock'!CX32</f>
        <v/>
      </c>
      <c r="DA467">
        <f>'Grid_Stock'!CY32</f>
        <v/>
      </c>
      <c r="DB467">
        <f>'Grid_Stock'!CZ32</f>
        <v/>
      </c>
      <c r="DC467">
        <f>'Grid_Stock'!DA32</f>
        <v/>
      </c>
    </row>
    <row r="468">
      <c r="B468" s="16" t="inlineStr">
        <is>
          <t>（発注の目安はDashboardの基準在庫[下限/上限]と色分けを参照）</t>
        </is>
      </c>
    </row>
    <row r="470">
      <c r="A470" s="14" t="inlineStr">
        <is>
          <t>CHEM-1480</t>
        </is>
      </c>
      <c r="B470" s="14" t="inlineStr">
        <is>
          <t>NAT-30</t>
        </is>
      </c>
      <c r="C470" s="15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  <c r="AA470" s="14" t="n"/>
      <c r="AB470" s="14" t="n"/>
      <c r="AC470" s="14" t="n"/>
      <c r="AD470" s="14" t="n"/>
      <c r="AE470" s="14" t="n"/>
      <c r="AF470" s="14" t="n"/>
      <c r="AG470" s="14" t="n"/>
      <c r="AH470" s="14" t="n"/>
      <c r="AI470" s="14" t="n"/>
      <c r="AJ470" s="14" t="n"/>
      <c r="AK470" s="14" t="n"/>
      <c r="AL470" s="14" t="n"/>
      <c r="AM470" s="14" t="n"/>
      <c r="AN470" s="14" t="n"/>
      <c r="AO470" s="14" t="n"/>
      <c r="AP470" s="14" t="n"/>
      <c r="AQ470" s="14" t="n"/>
      <c r="AR470" s="14" t="n"/>
      <c r="AS470" s="14" t="n"/>
      <c r="AT470" s="14" t="n"/>
      <c r="AU470" s="14" t="n"/>
      <c r="AV470" s="14" t="n"/>
      <c r="AW470" s="14" t="n"/>
      <c r="AX470" s="14" t="n"/>
      <c r="AY470" s="14" t="n"/>
      <c r="AZ470" s="14" t="n"/>
      <c r="BA470" s="14" t="n"/>
      <c r="BB470" s="14" t="n"/>
      <c r="BC470" s="14" t="n"/>
      <c r="BD470" s="14" t="n"/>
      <c r="BE470" s="14" t="n"/>
      <c r="BF470" s="14" t="n"/>
      <c r="BG470" s="14" t="n"/>
      <c r="BH470" s="14" t="n"/>
      <c r="BI470" s="14" t="n"/>
      <c r="BJ470" s="14" t="n"/>
      <c r="BK470" s="14" t="n"/>
      <c r="BL470" s="14" t="n"/>
      <c r="BM470" s="14" t="n"/>
      <c r="BN470" s="14" t="n"/>
      <c r="BO470" s="14" t="n"/>
      <c r="BP470" s="14" t="n"/>
      <c r="BQ470" s="14" t="n"/>
      <c r="BR470" s="14" t="n"/>
      <c r="BS470" s="14" t="n"/>
      <c r="BT470" s="14" t="n"/>
      <c r="BU470" s="14" t="n"/>
      <c r="BV470" s="14" t="n"/>
      <c r="BW470" s="14" t="n"/>
      <c r="BX470" s="14" t="n"/>
      <c r="BY470" s="14" t="n"/>
      <c r="BZ470" s="14" t="n"/>
      <c r="CA470" s="14" t="n"/>
      <c r="CB470" s="14" t="n"/>
      <c r="CC470" s="14" t="n"/>
      <c r="CD470" s="14" t="n"/>
      <c r="CE470" s="14" t="n"/>
      <c r="CF470" s="14" t="n"/>
      <c r="CG470" s="14" t="n"/>
      <c r="CH470" s="14" t="n"/>
      <c r="CI470" s="14" t="n"/>
      <c r="CJ470" s="14" t="n"/>
      <c r="CK470" s="14" t="n"/>
      <c r="CL470" s="14" t="n"/>
      <c r="CM470" s="14" t="n"/>
      <c r="CN470" s="14" t="n"/>
      <c r="CO470" s="14" t="n"/>
      <c r="CP470" s="14" t="n"/>
      <c r="CQ470" s="14" t="n"/>
      <c r="CR470" s="14" t="n"/>
      <c r="CS470" s="14" t="n"/>
      <c r="CT470" s="14" t="n"/>
      <c r="CU470" s="14" t="n"/>
      <c r="CV470" s="14" t="n"/>
      <c r="CW470" s="14" t="n"/>
      <c r="CX470" s="14" t="n"/>
      <c r="CY470" s="14" t="n"/>
      <c r="CZ470" s="14" t="n"/>
      <c r="DA470" s="14" t="n"/>
      <c r="DB470" s="14" t="n"/>
      <c r="DC470" s="14" t="n"/>
    </row>
    <row r="471">
      <c r="B471" t="inlineStr">
        <is>
          <t>TSP-206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7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Name],$A470)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s="4" t="inlineStr">
        <is>
          <t>合計使用量(kg)/週</t>
        </is>
      </c>
      <c r="D473">
        <f>'Grid_Requirement'!B33</f>
        <v/>
      </c>
      <c r="E473">
        <f>'Grid_Requirement'!C33</f>
        <v/>
      </c>
      <c r="F473">
        <f>'Grid_Requirement'!D33</f>
        <v/>
      </c>
      <c r="G473">
        <f>'Grid_Requirement'!E33</f>
        <v/>
      </c>
      <c r="H473">
        <f>'Grid_Requirement'!F33</f>
        <v/>
      </c>
      <c r="I473">
        <f>'Grid_Requirement'!G33</f>
        <v/>
      </c>
      <c r="J473">
        <f>'Grid_Requirement'!H33</f>
        <v/>
      </c>
      <c r="K473">
        <f>'Grid_Requirement'!I33</f>
        <v/>
      </c>
      <c r="L473">
        <f>'Grid_Requirement'!J33</f>
        <v/>
      </c>
      <c r="M473">
        <f>'Grid_Requirement'!K33</f>
        <v/>
      </c>
      <c r="N473">
        <f>'Grid_Requirement'!L33</f>
        <v/>
      </c>
      <c r="O473">
        <f>'Grid_Requirement'!M33</f>
        <v/>
      </c>
      <c r="P473">
        <f>'Grid_Requirement'!N33</f>
        <v/>
      </c>
      <c r="Q473">
        <f>'Grid_Requirement'!O33</f>
        <v/>
      </c>
      <c r="R473">
        <f>'Grid_Requirement'!P33</f>
        <v/>
      </c>
      <c r="S473">
        <f>'Grid_Requirement'!Q33</f>
        <v/>
      </c>
      <c r="T473">
        <f>'Grid_Requirement'!R33</f>
        <v/>
      </c>
      <c r="U473">
        <f>'Grid_Requirement'!S33</f>
        <v/>
      </c>
      <c r="V473">
        <f>'Grid_Requirement'!T33</f>
        <v/>
      </c>
      <c r="W473">
        <f>'Grid_Requirement'!U33</f>
        <v/>
      </c>
      <c r="X473">
        <f>'Grid_Requirement'!V33</f>
        <v/>
      </c>
      <c r="Y473">
        <f>'Grid_Requirement'!W33</f>
        <v/>
      </c>
      <c r="Z473">
        <f>'Grid_Requirement'!X33</f>
        <v/>
      </c>
      <c r="AA473">
        <f>'Grid_Requirement'!Y33</f>
        <v/>
      </c>
      <c r="AB473">
        <f>'Grid_Requirement'!Z33</f>
        <v/>
      </c>
      <c r="AC473">
        <f>'Grid_Requirement'!AA33</f>
        <v/>
      </c>
      <c r="AD473">
        <f>'Grid_Requirement'!AB33</f>
        <v/>
      </c>
      <c r="AE473">
        <f>'Grid_Requirement'!AC33</f>
        <v/>
      </c>
      <c r="AF473">
        <f>'Grid_Requirement'!AD33</f>
        <v/>
      </c>
      <c r="AG473">
        <f>'Grid_Requirement'!AE33</f>
        <v/>
      </c>
      <c r="AH473">
        <f>'Grid_Requirement'!AF33</f>
        <v/>
      </c>
      <c r="AI473">
        <f>'Grid_Requirement'!AG33</f>
        <v/>
      </c>
      <c r="AJ473">
        <f>'Grid_Requirement'!AH33</f>
        <v/>
      </c>
      <c r="AK473">
        <f>'Grid_Requirement'!AI33</f>
        <v/>
      </c>
      <c r="AL473">
        <f>'Grid_Requirement'!AJ33</f>
        <v/>
      </c>
      <c r="AM473">
        <f>'Grid_Requirement'!AK33</f>
        <v/>
      </c>
      <c r="AN473">
        <f>'Grid_Requirement'!AL33</f>
        <v/>
      </c>
      <c r="AO473">
        <f>'Grid_Requirement'!AM33</f>
        <v/>
      </c>
      <c r="AP473">
        <f>'Grid_Requirement'!AN33</f>
        <v/>
      </c>
      <c r="AQ473">
        <f>'Grid_Requirement'!AO33</f>
        <v/>
      </c>
      <c r="AR473">
        <f>'Grid_Requirement'!AP33</f>
        <v/>
      </c>
      <c r="AS473">
        <f>'Grid_Requirement'!AQ33</f>
        <v/>
      </c>
      <c r="AT473">
        <f>'Grid_Requirement'!AR33</f>
        <v/>
      </c>
      <c r="AU473">
        <f>'Grid_Requirement'!AS33</f>
        <v/>
      </c>
      <c r="AV473">
        <f>'Grid_Requirement'!AT33</f>
        <v/>
      </c>
      <c r="AW473">
        <f>'Grid_Requirement'!AU33</f>
        <v/>
      </c>
      <c r="AX473">
        <f>'Grid_Requirement'!AV33</f>
        <v/>
      </c>
      <c r="AY473">
        <f>'Grid_Requirement'!AW33</f>
        <v/>
      </c>
      <c r="AZ473">
        <f>'Grid_Requirement'!AX33</f>
        <v/>
      </c>
      <c r="BA473">
        <f>'Grid_Requirement'!AY33</f>
        <v/>
      </c>
      <c r="BB473">
        <f>'Grid_Requirement'!AZ33</f>
        <v/>
      </c>
      <c r="BC473">
        <f>'Grid_Requirement'!BA33</f>
        <v/>
      </c>
      <c r="BD473">
        <f>'Grid_Requirement'!BB33</f>
        <v/>
      </c>
      <c r="BE473">
        <f>'Grid_Requirement'!BC33</f>
        <v/>
      </c>
      <c r="BF473">
        <f>'Grid_Requirement'!BD33</f>
        <v/>
      </c>
      <c r="BG473">
        <f>'Grid_Requirement'!BE33</f>
        <v/>
      </c>
      <c r="BH473">
        <f>'Grid_Requirement'!BF33</f>
        <v/>
      </c>
      <c r="BI473">
        <f>'Grid_Requirement'!BG33</f>
        <v/>
      </c>
      <c r="BJ473">
        <f>'Grid_Requirement'!BH33</f>
        <v/>
      </c>
      <c r="BK473">
        <f>'Grid_Requirement'!BI33</f>
        <v/>
      </c>
      <c r="BL473">
        <f>'Grid_Requirement'!BJ33</f>
        <v/>
      </c>
      <c r="BM473">
        <f>'Grid_Requirement'!BK33</f>
        <v/>
      </c>
      <c r="BN473">
        <f>'Grid_Requirement'!BL33</f>
        <v/>
      </c>
      <c r="BO473">
        <f>'Grid_Requirement'!BM33</f>
        <v/>
      </c>
      <c r="BP473">
        <f>'Grid_Requirement'!BN33</f>
        <v/>
      </c>
      <c r="BQ473">
        <f>'Grid_Requirement'!BO33</f>
        <v/>
      </c>
      <c r="BR473">
        <f>'Grid_Requirement'!BP33</f>
        <v/>
      </c>
      <c r="BS473">
        <f>'Grid_Requirement'!BQ33</f>
        <v/>
      </c>
      <c r="BT473">
        <f>'Grid_Requirement'!BR33</f>
        <v/>
      </c>
      <c r="BU473">
        <f>'Grid_Requirement'!BS33</f>
        <v/>
      </c>
      <c r="BV473">
        <f>'Grid_Requirement'!BT33</f>
        <v/>
      </c>
      <c r="BW473">
        <f>'Grid_Requirement'!BU33</f>
        <v/>
      </c>
      <c r="BX473">
        <f>'Grid_Requirement'!BV33</f>
        <v/>
      </c>
      <c r="BY473">
        <f>'Grid_Requirement'!BW33</f>
        <v/>
      </c>
      <c r="BZ473">
        <f>'Grid_Requirement'!BX33</f>
        <v/>
      </c>
      <c r="CA473">
        <f>'Grid_Requirement'!BY33</f>
        <v/>
      </c>
      <c r="CB473">
        <f>'Grid_Requirement'!BZ33</f>
        <v/>
      </c>
      <c r="CC473">
        <f>'Grid_Requirement'!CA33</f>
        <v/>
      </c>
      <c r="CD473">
        <f>'Grid_Requirement'!CB33</f>
        <v/>
      </c>
      <c r="CE473">
        <f>'Grid_Requirement'!CC33</f>
        <v/>
      </c>
      <c r="CF473">
        <f>'Grid_Requirement'!CD33</f>
        <v/>
      </c>
      <c r="CG473">
        <f>'Grid_Requirement'!CE33</f>
        <v/>
      </c>
      <c r="CH473">
        <f>'Grid_Requirement'!CF33</f>
        <v/>
      </c>
      <c r="CI473">
        <f>'Grid_Requirement'!CG33</f>
        <v/>
      </c>
      <c r="CJ473">
        <f>'Grid_Requirement'!CH33</f>
        <v/>
      </c>
      <c r="CK473">
        <f>'Grid_Requirement'!CI33</f>
        <v/>
      </c>
      <c r="CL473">
        <f>'Grid_Requirement'!CJ33</f>
        <v/>
      </c>
      <c r="CM473">
        <f>'Grid_Requirement'!CK33</f>
        <v/>
      </c>
      <c r="CN473">
        <f>'Grid_Requirement'!CL33</f>
        <v/>
      </c>
      <c r="CO473">
        <f>'Grid_Requirement'!CM33</f>
        <v/>
      </c>
      <c r="CP473">
        <f>'Grid_Requirement'!CN33</f>
        <v/>
      </c>
      <c r="CQ473">
        <f>'Grid_Requirement'!CO33</f>
        <v/>
      </c>
      <c r="CR473">
        <f>'Grid_Requirement'!CP33</f>
        <v/>
      </c>
      <c r="CS473">
        <f>'Grid_Requirement'!CQ33</f>
        <v/>
      </c>
      <c r="CT473">
        <f>'Grid_Requirement'!CR33</f>
        <v/>
      </c>
      <c r="CU473">
        <f>'Grid_Requirement'!CS33</f>
        <v/>
      </c>
      <c r="CV473">
        <f>'Grid_Requirement'!CT33</f>
        <v/>
      </c>
      <c r="CW473">
        <f>'Grid_Requirement'!CU33</f>
        <v/>
      </c>
      <c r="CX473">
        <f>'Grid_Requirement'!CV33</f>
        <v/>
      </c>
      <c r="CY473">
        <f>'Grid_Requirement'!CW33</f>
        <v/>
      </c>
      <c r="CZ473">
        <f>'Grid_Requirement'!CX33</f>
        <v/>
      </c>
      <c r="DA473">
        <f>'Grid_Requirement'!CY33</f>
        <v/>
      </c>
      <c r="DB473">
        <f>'Grid_Requirement'!CZ33</f>
        <v/>
      </c>
      <c r="DC473">
        <f>'Grid_Requirement'!DA33</f>
        <v/>
      </c>
    </row>
    <row r="474">
      <c r="B474" t="inlineStr">
        <is>
          <t>TTAF在庫(実績,kg)</t>
        </is>
      </c>
      <c r="D474">
        <f>'T_TTAFStock'!B37</f>
        <v/>
      </c>
      <c r="E474">
        <f>'T_TTAFStock'!C37</f>
        <v/>
      </c>
      <c r="F474">
        <f>'T_TTAFStock'!D37</f>
        <v/>
      </c>
      <c r="G474">
        <f>'T_TTAFStock'!E37</f>
        <v/>
      </c>
      <c r="H474">
        <f>'T_TTAFStock'!F37</f>
        <v/>
      </c>
      <c r="I474">
        <f>'T_TTAFStock'!G37</f>
        <v/>
      </c>
      <c r="J474">
        <f>'T_TTAFStock'!H37</f>
        <v/>
      </c>
      <c r="K474">
        <f>'T_TTAFStock'!I37</f>
        <v/>
      </c>
      <c r="L474">
        <f>'T_TTAFStock'!J37</f>
        <v/>
      </c>
      <c r="M474">
        <f>'T_TTAFStock'!K37</f>
        <v/>
      </c>
      <c r="N474">
        <f>'T_TTAFStock'!L37</f>
        <v/>
      </c>
      <c r="O474">
        <f>'T_TTAFStock'!M37</f>
        <v/>
      </c>
      <c r="P474">
        <f>'T_TTAFStock'!N37</f>
        <v/>
      </c>
      <c r="Q474">
        <f>'T_TTAFStock'!O37</f>
        <v/>
      </c>
      <c r="R474">
        <f>'T_TTAFStock'!P37</f>
        <v/>
      </c>
      <c r="S474">
        <f>'T_TTAFStock'!Q37</f>
        <v/>
      </c>
      <c r="T474">
        <f>'T_TTAFStock'!R37</f>
        <v/>
      </c>
      <c r="U474">
        <f>'T_TTAFStock'!S37</f>
        <v/>
      </c>
      <c r="V474">
        <f>'T_TTAFStock'!T37</f>
        <v/>
      </c>
      <c r="W474">
        <f>'T_TTAFStock'!U37</f>
        <v/>
      </c>
      <c r="X474">
        <f>'T_TTAFStock'!V37</f>
        <v/>
      </c>
      <c r="Y474">
        <f>'T_TTAFStock'!W37</f>
        <v/>
      </c>
      <c r="Z474">
        <f>'T_TTAFStock'!X37</f>
        <v/>
      </c>
      <c r="AA474">
        <f>'T_TTAFStock'!Y37</f>
        <v/>
      </c>
      <c r="AB474">
        <f>'T_TTAFStock'!Z37</f>
        <v/>
      </c>
      <c r="AC474">
        <f>'T_TTAFStock'!AA37</f>
        <v/>
      </c>
      <c r="AD474">
        <f>'T_TTAFStock'!AB37</f>
        <v/>
      </c>
      <c r="AE474">
        <f>'T_TTAFStock'!AC37</f>
        <v/>
      </c>
      <c r="AF474">
        <f>'T_TTAFStock'!AD37</f>
        <v/>
      </c>
      <c r="AG474">
        <f>'T_TTAFStock'!AE37</f>
        <v/>
      </c>
      <c r="AH474">
        <f>'T_TTAFStock'!AF37</f>
        <v/>
      </c>
      <c r="AI474">
        <f>'T_TTAFStock'!AG37</f>
        <v/>
      </c>
      <c r="AJ474">
        <f>'T_TTAFStock'!AH37</f>
        <v/>
      </c>
      <c r="AK474">
        <f>'T_TTAFStock'!AI37</f>
        <v/>
      </c>
      <c r="AL474">
        <f>'T_TTAFStock'!AJ37</f>
        <v/>
      </c>
      <c r="AM474">
        <f>'T_TTAFStock'!AK37</f>
        <v/>
      </c>
      <c r="AN474">
        <f>'T_TTAFStock'!AL37</f>
        <v/>
      </c>
      <c r="AO474">
        <f>'T_TTAFStock'!AM37</f>
        <v/>
      </c>
      <c r="AP474">
        <f>'T_TTAFStock'!AN37</f>
        <v/>
      </c>
      <c r="AQ474">
        <f>'T_TTAFStock'!AO37</f>
        <v/>
      </c>
      <c r="AR474">
        <f>'T_TTAFStock'!AP37</f>
        <v/>
      </c>
      <c r="AS474">
        <f>'T_TTAFStock'!AQ37</f>
        <v/>
      </c>
      <c r="AT474">
        <f>'T_TTAFStock'!AR37</f>
        <v/>
      </c>
      <c r="AU474">
        <f>'T_TTAFStock'!AS37</f>
        <v/>
      </c>
      <c r="AV474">
        <f>'T_TTAFStock'!AT37</f>
        <v/>
      </c>
      <c r="AW474">
        <f>'T_TTAFStock'!AU37</f>
        <v/>
      </c>
      <c r="AX474">
        <f>'T_TTAFStock'!AV37</f>
        <v/>
      </c>
      <c r="AY474">
        <f>'T_TTAFStock'!AW37</f>
        <v/>
      </c>
      <c r="AZ474">
        <f>'T_TTAFStock'!AX37</f>
        <v/>
      </c>
      <c r="BA474">
        <f>'T_TTAFStock'!AY37</f>
        <v/>
      </c>
      <c r="BB474">
        <f>'T_TTAFStock'!AZ37</f>
        <v/>
      </c>
      <c r="BC474">
        <f>'T_TTAFStock'!BA37</f>
        <v/>
      </c>
      <c r="BD474">
        <f>'T_TTAFStock'!BB37</f>
        <v/>
      </c>
      <c r="BE474">
        <f>'T_TTAFStock'!BC37</f>
        <v/>
      </c>
      <c r="BF474">
        <f>'T_TTAFStock'!BD37</f>
        <v/>
      </c>
      <c r="BG474">
        <f>'T_TTAFStock'!BE37</f>
        <v/>
      </c>
      <c r="BH474">
        <f>'T_TTAFStock'!BF37</f>
        <v/>
      </c>
      <c r="BI474">
        <f>'T_TTAFStock'!BG37</f>
        <v/>
      </c>
      <c r="BJ474">
        <f>'T_TTAFStock'!BH37</f>
        <v/>
      </c>
      <c r="BK474">
        <f>'T_TTAFStock'!BI37</f>
        <v/>
      </c>
      <c r="BL474">
        <f>'T_TTAFStock'!BJ37</f>
        <v/>
      </c>
      <c r="BM474">
        <f>'T_TTAFStock'!BK37</f>
        <v/>
      </c>
      <c r="BN474">
        <f>'T_TTAFStock'!BL37</f>
        <v/>
      </c>
      <c r="BO474">
        <f>'T_TTAFStock'!BM37</f>
        <v/>
      </c>
      <c r="BP474">
        <f>'T_TTAFStock'!BN37</f>
        <v/>
      </c>
      <c r="BQ474">
        <f>'T_TTAFStock'!BO37</f>
        <v/>
      </c>
      <c r="BR474">
        <f>'T_TTAFStock'!BP37</f>
        <v/>
      </c>
      <c r="BS474">
        <f>'T_TTAFStock'!BQ37</f>
        <v/>
      </c>
      <c r="BT474">
        <f>'T_TTAFStock'!BR37</f>
        <v/>
      </c>
      <c r="BU474">
        <f>'T_TTAFStock'!BS37</f>
        <v/>
      </c>
      <c r="BV474">
        <f>'T_TTAFStock'!BT37</f>
        <v/>
      </c>
      <c r="BW474">
        <f>'T_TTAFStock'!BU37</f>
        <v/>
      </c>
      <c r="BX474">
        <f>'T_TTAFStock'!BV37</f>
        <v/>
      </c>
      <c r="BY474">
        <f>'T_TTAFStock'!BW37</f>
        <v/>
      </c>
      <c r="BZ474">
        <f>'T_TTAFStock'!BX37</f>
        <v/>
      </c>
      <c r="CA474">
        <f>'T_TTAFStock'!BY37</f>
        <v/>
      </c>
      <c r="CB474">
        <f>'T_TTAFStock'!BZ37</f>
        <v/>
      </c>
      <c r="CC474">
        <f>'T_TTAFStock'!CA37</f>
        <v/>
      </c>
      <c r="CD474">
        <f>'T_TTAFStock'!CB37</f>
        <v/>
      </c>
      <c r="CE474">
        <f>'T_TTAFStock'!CC37</f>
        <v/>
      </c>
      <c r="CF474">
        <f>'T_TTAFStock'!CD37</f>
        <v/>
      </c>
      <c r="CG474">
        <f>'T_TTAFStock'!CE37</f>
        <v/>
      </c>
      <c r="CH474">
        <f>'T_TTAFStock'!CF37</f>
        <v/>
      </c>
      <c r="CI474">
        <f>'T_TTAFStock'!CG37</f>
        <v/>
      </c>
      <c r="CJ474">
        <f>'T_TTAFStock'!CH37</f>
        <v/>
      </c>
      <c r="CK474">
        <f>'T_TTAFStock'!CI37</f>
        <v/>
      </c>
      <c r="CL474">
        <f>'T_TTAFStock'!CJ37</f>
        <v/>
      </c>
      <c r="CM474">
        <f>'T_TTAFStock'!CK37</f>
        <v/>
      </c>
      <c r="CN474">
        <f>'T_TTAFStock'!CL37</f>
        <v/>
      </c>
      <c r="CO474">
        <f>'T_TTAFStock'!CM37</f>
        <v/>
      </c>
      <c r="CP474">
        <f>'T_TTAFStock'!CN37</f>
        <v/>
      </c>
      <c r="CQ474">
        <f>'T_TTAFStock'!CO37</f>
        <v/>
      </c>
      <c r="CR474">
        <f>'T_TTAFStock'!CP37</f>
        <v/>
      </c>
      <c r="CS474">
        <f>'T_TTAFStock'!CQ37</f>
        <v/>
      </c>
      <c r="CT474">
        <f>'T_TTAFStock'!CR37</f>
        <v/>
      </c>
      <c r="CU474">
        <f>'T_TTAFStock'!CS37</f>
        <v/>
      </c>
      <c r="CV474">
        <f>'T_TTAFStock'!CT37</f>
        <v/>
      </c>
      <c r="CW474">
        <f>'T_TTAFStock'!CU37</f>
        <v/>
      </c>
      <c r="CX474">
        <f>'T_TTAFStock'!CV37</f>
        <v/>
      </c>
      <c r="CY474">
        <f>'T_TTAFStock'!CW37</f>
        <v/>
      </c>
      <c r="CZ474">
        <f>'T_TTAFStock'!CX37</f>
        <v/>
      </c>
      <c r="DA474">
        <f>'T_TTAFStock'!CY37</f>
        <v/>
      </c>
      <c r="DB474">
        <f>'T_TTAFStock'!CZ37</f>
        <v/>
      </c>
      <c r="DC474">
        <f>'T_TTAFStock'!DA37</f>
        <v/>
      </c>
    </row>
    <row r="475">
      <c r="B475" t="inlineStr">
        <is>
          <t>自社在庫(実績,kg)</t>
        </is>
      </c>
      <c r="D475">
        <f>'T_SelfStock'!B37</f>
        <v/>
      </c>
      <c r="E475">
        <f>'T_SelfStock'!C37</f>
        <v/>
      </c>
      <c r="F475">
        <f>'T_SelfStock'!D37</f>
        <v/>
      </c>
      <c r="G475">
        <f>'T_SelfStock'!E37</f>
        <v/>
      </c>
      <c r="H475">
        <f>'T_SelfStock'!F37</f>
        <v/>
      </c>
      <c r="I475">
        <f>'T_SelfStock'!G37</f>
        <v/>
      </c>
      <c r="J475">
        <f>'T_SelfStock'!H37</f>
        <v/>
      </c>
      <c r="K475">
        <f>'T_SelfStock'!I37</f>
        <v/>
      </c>
      <c r="L475">
        <f>'T_SelfStock'!J37</f>
        <v/>
      </c>
      <c r="M475">
        <f>'T_SelfStock'!K37</f>
        <v/>
      </c>
      <c r="N475">
        <f>'T_SelfStock'!L37</f>
        <v/>
      </c>
      <c r="O475">
        <f>'T_SelfStock'!M37</f>
        <v/>
      </c>
      <c r="P475">
        <f>'T_SelfStock'!N37</f>
        <v/>
      </c>
      <c r="Q475">
        <f>'T_SelfStock'!O37</f>
        <v/>
      </c>
      <c r="R475">
        <f>'T_SelfStock'!P37</f>
        <v/>
      </c>
      <c r="S475">
        <f>'T_SelfStock'!Q37</f>
        <v/>
      </c>
      <c r="T475">
        <f>'T_SelfStock'!R37</f>
        <v/>
      </c>
      <c r="U475">
        <f>'T_SelfStock'!S37</f>
        <v/>
      </c>
      <c r="V475">
        <f>'T_SelfStock'!T37</f>
        <v/>
      </c>
      <c r="W475">
        <f>'T_SelfStock'!U37</f>
        <v/>
      </c>
      <c r="X475">
        <f>'T_SelfStock'!V37</f>
        <v/>
      </c>
      <c r="Y475">
        <f>'T_SelfStock'!W37</f>
        <v/>
      </c>
      <c r="Z475">
        <f>'T_SelfStock'!X37</f>
        <v/>
      </c>
      <c r="AA475">
        <f>'T_SelfStock'!Y37</f>
        <v/>
      </c>
      <c r="AB475">
        <f>'T_SelfStock'!Z37</f>
        <v/>
      </c>
      <c r="AC475">
        <f>'T_SelfStock'!AA37</f>
        <v/>
      </c>
      <c r="AD475">
        <f>'T_SelfStock'!AB37</f>
        <v/>
      </c>
      <c r="AE475">
        <f>'T_SelfStock'!AC37</f>
        <v/>
      </c>
      <c r="AF475">
        <f>'T_SelfStock'!AD37</f>
        <v/>
      </c>
      <c r="AG475">
        <f>'T_SelfStock'!AE37</f>
        <v/>
      </c>
      <c r="AH475">
        <f>'T_SelfStock'!AF37</f>
        <v/>
      </c>
      <c r="AI475">
        <f>'T_SelfStock'!AG37</f>
        <v/>
      </c>
      <c r="AJ475">
        <f>'T_SelfStock'!AH37</f>
        <v/>
      </c>
      <c r="AK475">
        <f>'T_SelfStock'!AI37</f>
        <v/>
      </c>
      <c r="AL475">
        <f>'T_SelfStock'!AJ37</f>
        <v/>
      </c>
      <c r="AM475">
        <f>'T_SelfStock'!AK37</f>
        <v/>
      </c>
      <c r="AN475">
        <f>'T_SelfStock'!AL37</f>
        <v/>
      </c>
      <c r="AO475">
        <f>'T_SelfStock'!AM37</f>
        <v/>
      </c>
      <c r="AP475">
        <f>'T_SelfStock'!AN37</f>
        <v/>
      </c>
      <c r="AQ475">
        <f>'T_SelfStock'!AO37</f>
        <v/>
      </c>
      <c r="AR475">
        <f>'T_SelfStock'!AP37</f>
        <v/>
      </c>
      <c r="AS475">
        <f>'T_SelfStock'!AQ37</f>
        <v/>
      </c>
      <c r="AT475">
        <f>'T_SelfStock'!AR37</f>
        <v/>
      </c>
      <c r="AU475">
        <f>'T_SelfStock'!AS37</f>
        <v/>
      </c>
      <c r="AV475">
        <f>'T_SelfStock'!AT37</f>
        <v/>
      </c>
      <c r="AW475">
        <f>'T_SelfStock'!AU37</f>
        <v/>
      </c>
      <c r="AX475">
        <f>'T_SelfStock'!AV37</f>
        <v/>
      </c>
      <c r="AY475">
        <f>'T_SelfStock'!AW37</f>
        <v/>
      </c>
      <c r="AZ475">
        <f>'T_SelfStock'!AX37</f>
        <v/>
      </c>
      <c r="BA475">
        <f>'T_SelfStock'!AY37</f>
        <v/>
      </c>
      <c r="BB475">
        <f>'T_SelfStock'!AZ37</f>
        <v/>
      </c>
      <c r="BC475">
        <f>'T_SelfStock'!BA37</f>
        <v/>
      </c>
      <c r="BD475">
        <f>'T_SelfStock'!BB37</f>
        <v/>
      </c>
      <c r="BE475">
        <f>'T_SelfStock'!BC37</f>
        <v/>
      </c>
      <c r="BF475">
        <f>'T_SelfStock'!BD37</f>
        <v/>
      </c>
      <c r="BG475">
        <f>'T_SelfStock'!BE37</f>
        <v/>
      </c>
      <c r="BH475">
        <f>'T_SelfStock'!BF37</f>
        <v/>
      </c>
      <c r="BI475">
        <f>'T_SelfStock'!BG37</f>
        <v/>
      </c>
      <c r="BJ475">
        <f>'T_SelfStock'!BH37</f>
        <v/>
      </c>
      <c r="BK475">
        <f>'T_SelfStock'!BI37</f>
        <v/>
      </c>
      <c r="BL475">
        <f>'T_SelfStock'!BJ37</f>
        <v/>
      </c>
      <c r="BM475">
        <f>'T_SelfStock'!BK37</f>
        <v/>
      </c>
      <c r="BN475">
        <f>'T_SelfStock'!BL37</f>
        <v/>
      </c>
      <c r="BO475">
        <f>'T_SelfStock'!BM37</f>
        <v/>
      </c>
      <c r="BP475">
        <f>'T_SelfStock'!BN37</f>
        <v/>
      </c>
      <c r="BQ475">
        <f>'T_SelfStock'!BO37</f>
        <v/>
      </c>
      <c r="BR475">
        <f>'T_SelfStock'!BP37</f>
        <v/>
      </c>
      <c r="BS475">
        <f>'T_SelfStock'!BQ37</f>
        <v/>
      </c>
      <c r="BT475">
        <f>'T_SelfStock'!BR37</f>
        <v/>
      </c>
      <c r="BU475">
        <f>'T_SelfStock'!BS37</f>
        <v/>
      </c>
      <c r="BV475">
        <f>'T_SelfStock'!BT37</f>
        <v/>
      </c>
      <c r="BW475">
        <f>'T_SelfStock'!BU37</f>
        <v/>
      </c>
      <c r="BX475">
        <f>'T_SelfStock'!BV37</f>
        <v/>
      </c>
      <c r="BY475">
        <f>'T_SelfStock'!BW37</f>
        <v/>
      </c>
      <c r="BZ475">
        <f>'T_SelfStock'!BX37</f>
        <v/>
      </c>
      <c r="CA475">
        <f>'T_SelfStock'!BY37</f>
        <v/>
      </c>
      <c r="CB475">
        <f>'T_SelfStock'!BZ37</f>
        <v/>
      </c>
      <c r="CC475">
        <f>'T_SelfStock'!CA37</f>
        <v/>
      </c>
      <c r="CD475">
        <f>'T_SelfStock'!CB37</f>
        <v/>
      </c>
      <c r="CE475">
        <f>'T_SelfStock'!CC37</f>
        <v/>
      </c>
      <c r="CF475">
        <f>'T_SelfStock'!CD37</f>
        <v/>
      </c>
      <c r="CG475">
        <f>'T_SelfStock'!CE37</f>
        <v/>
      </c>
      <c r="CH475">
        <f>'T_SelfStock'!CF37</f>
        <v/>
      </c>
      <c r="CI475">
        <f>'T_SelfStock'!CG37</f>
        <v/>
      </c>
      <c r="CJ475">
        <f>'T_SelfStock'!CH37</f>
        <v/>
      </c>
      <c r="CK475">
        <f>'T_SelfStock'!CI37</f>
        <v/>
      </c>
      <c r="CL475">
        <f>'T_SelfStock'!CJ37</f>
        <v/>
      </c>
      <c r="CM475">
        <f>'T_SelfStock'!CK37</f>
        <v/>
      </c>
      <c r="CN475">
        <f>'T_SelfStock'!CL37</f>
        <v/>
      </c>
      <c r="CO475">
        <f>'T_SelfStock'!CM37</f>
        <v/>
      </c>
      <c r="CP475">
        <f>'T_SelfStock'!CN37</f>
        <v/>
      </c>
      <c r="CQ475">
        <f>'T_SelfStock'!CO37</f>
        <v/>
      </c>
      <c r="CR475">
        <f>'T_SelfStock'!CP37</f>
        <v/>
      </c>
      <c r="CS475">
        <f>'T_SelfStock'!CQ37</f>
        <v/>
      </c>
      <c r="CT475">
        <f>'T_SelfStock'!CR37</f>
        <v/>
      </c>
      <c r="CU475">
        <f>'T_SelfStock'!CS37</f>
        <v/>
      </c>
      <c r="CV475">
        <f>'T_SelfStock'!CT37</f>
        <v/>
      </c>
      <c r="CW475">
        <f>'T_SelfStock'!CU37</f>
        <v/>
      </c>
      <c r="CX475">
        <f>'T_SelfStock'!CV37</f>
        <v/>
      </c>
      <c r="CY475">
        <f>'T_SelfStock'!CW37</f>
        <v/>
      </c>
      <c r="CZ475">
        <f>'T_SelfStock'!CX37</f>
        <v/>
      </c>
      <c r="DA475">
        <f>'T_SelfStock'!CY37</f>
        <v/>
      </c>
      <c r="DB475">
        <f>'T_SelfStock'!CZ37</f>
        <v/>
      </c>
      <c r="DC475">
        <f>'T_SelfStock'!DA37</f>
        <v/>
      </c>
    </row>
    <row r="476">
      <c r="B476" s="4" t="inlineStr">
        <is>
          <t>合計在庫(週末時点,kg)</t>
        </is>
      </c>
      <c r="D476">
        <f>'Grid_Stock'!B33</f>
        <v/>
      </c>
      <c r="E476">
        <f>'Grid_Stock'!C33</f>
        <v/>
      </c>
      <c r="F476">
        <f>'Grid_Stock'!D33</f>
        <v/>
      </c>
      <c r="G476">
        <f>'Grid_Stock'!E33</f>
        <v/>
      </c>
      <c r="H476">
        <f>'Grid_Stock'!F33</f>
        <v/>
      </c>
      <c r="I476">
        <f>'Grid_Stock'!G33</f>
        <v/>
      </c>
      <c r="J476">
        <f>'Grid_Stock'!H33</f>
        <v/>
      </c>
      <c r="K476">
        <f>'Grid_Stock'!I33</f>
        <v/>
      </c>
      <c r="L476">
        <f>'Grid_Stock'!J33</f>
        <v/>
      </c>
      <c r="M476">
        <f>'Grid_Stock'!K33</f>
        <v/>
      </c>
      <c r="N476">
        <f>'Grid_Stock'!L33</f>
        <v/>
      </c>
      <c r="O476">
        <f>'Grid_Stock'!M33</f>
        <v/>
      </c>
      <c r="P476">
        <f>'Grid_Stock'!N33</f>
        <v/>
      </c>
      <c r="Q476">
        <f>'Grid_Stock'!O33</f>
        <v/>
      </c>
      <c r="R476">
        <f>'Grid_Stock'!P33</f>
        <v/>
      </c>
      <c r="S476">
        <f>'Grid_Stock'!Q33</f>
        <v/>
      </c>
      <c r="T476">
        <f>'Grid_Stock'!R33</f>
        <v/>
      </c>
      <c r="U476">
        <f>'Grid_Stock'!S33</f>
        <v/>
      </c>
      <c r="V476">
        <f>'Grid_Stock'!T33</f>
        <v/>
      </c>
      <c r="W476">
        <f>'Grid_Stock'!U33</f>
        <v/>
      </c>
      <c r="X476">
        <f>'Grid_Stock'!V33</f>
        <v/>
      </c>
      <c r="Y476">
        <f>'Grid_Stock'!W33</f>
        <v/>
      </c>
      <c r="Z476">
        <f>'Grid_Stock'!X33</f>
        <v/>
      </c>
      <c r="AA476">
        <f>'Grid_Stock'!Y33</f>
        <v/>
      </c>
      <c r="AB476">
        <f>'Grid_Stock'!Z33</f>
        <v/>
      </c>
      <c r="AC476">
        <f>'Grid_Stock'!AA33</f>
        <v/>
      </c>
      <c r="AD476">
        <f>'Grid_Stock'!AB33</f>
        <v/>
      </c>
      <c r="AE476">
        <f>'Grid_Stock'!AC33</f>
        <v/>
      </c>
      <c r="AF476">
        <f>'Grid_Stock'!AD33</f>
        <v/>
      </c>
      <c r="AG476">
        <f>'Grid_Stock'!AE33</f>
        <v/>
      </c>
      <c r="AH476">
        <f>'Grid_Stock'!AF33</f>
        <v/>
      </c>
      <c r="AI476">
        <f>'Grid_Stock'!AG33</f>
        <v/>
      </c>
      <c r="AJ476">
        <f>'Grid_Stock'!AH33</f>
        <v/>
      </c>
      <c r="AK476">
        <f>'Grid_Stock'!AI33</f>
        <v/>
      </c>
      <c r="AL476">
        <f>'Grid_Stock'!AJ33</f>
        <v/>
      </c>
      <c r="AM476">
        <f>'Grid_Stock'!AK33</f>
        <v/>
      </c>
      <c r="AN476">
        <f>'Grid_Stock'!AL33</f>
        <v/>
      </c>
      <c r="AO476">
        <f>'Grid_Stock'!AM33</f>
        <v/>
      </c>
      <c r="AP476">
        <f>'Grid_Stock'!AN33</f>
        <v/>
      </c>
      <c r="AQ476">
        <f>'Grid_Stock'!AO33</f>
        <v/>
      </c>
      <c r="AR476">
        <f>'Grid_Stock'!AP33</f>
        <v/>
      </c>
      <c r="AS476">
        <f>'Grid_Stock'!AQ33</f>
        <v/>
      </c>
      <c r="AT476">
        <f>'Grid_Stock'!AR33</f>
        <v/>
      </c>
      <c r="AU476">
        <f>'Grid_Stock'!AS33</f>
        <v/>
      </c>
      <c r="AV476">
        <f>'Grid_Stock'!AT33</f>
        <v/>
      </c>
      <c r="AW476">
        <f>'Grid_Stock'!AU33</f>
        <v/>
      </c>
      <c r="AX476">
        <f>'Grid_Stock'!AV33</f>
        <v/>
      </c>
      <c r="AY476">
        <f>'Grid_Stock'!AW33</f>
        <v/>
      </c>
      <c r="AZ476">
        <f>'Grid_Stock'!AX33</f>
        <v/>
      </c>
      <c r="BA476">
        <f>'Grid_Stock'!AY33</f>
        <v/>
      </c>
      <c r="BB476">
        <f>'Grid_Stock'!AZ33</f>
        <v/>
      </c>
      <c r="BC476">
        <f>'Grid_Stock'!BA33</f>
        <v/>
      </c>
      <c r="BD476">
        <f>'Grid_Stock'!BB33</f>
        <v/>
      </c>
      <c r="BE476">
        <f>'Grid_Stock'!BC33</f>
        <v/>
      </c>
      <c r="BF476">
        <f>'Grid_Stock'!BD33</f>
        <v/>
      </c>
      <c r="BG476">
        <f>'Grid_Stock'!BE33</f>
        <v/>
      </c>
      <c r="BH476">
        <f>'Grid_Stock'!BF33</f>
        <v/>
      </c>
      <c r="BI476">
        <f>'Grid_Stock'!BG33</f>
        <v/>
      </c>
      <c r="BJ476">
        <f>'Grid_Stock'!BH33</f>
        <v/>
      </c>
      <c r="BK476">
        <f>'Grid_Stock'!BI33</f>
        <v/>
      </c>
      <c r="BL476">
        <f>'Grid_Stock'!BJ33</f>
        <v/>
      </c>
      <c r="BM476">
        <f>'Grid_Stock'!BK33</f>
        <v/>
      </c>
      <c r="BN476">
        <f>'Grid_Stock'!BL33</f>
        <v/>
      </c>
      <c r="BO476">
        <f>'Grid_Stock'!BM33</f>
        <v/>
      </c>
      <c r="BP476">
        <f>'Grid_Stock'!BN33</f>
        <v/>
      </c>
      <c r="BQ476">
        <f>'Grid_Stock'!BO33</f>
        <v/>
      </c>
      <c r="BR476">
        <f>'Grid_Stock'!BP33</f>
        <v/>
      </c>
      <c r="BS476">
        <f>'Grid_Stock'!BQ33</f>
        <v/>
      </c>
      <c r="BT476">
        <f>'Grid_Stock'!BR33</f>
        <v/>
      </c>
      <c r="BU476">
        <f>'Grid_Stock'!BS33</f>
        <v/>
      </c>
      <c r="BV476">
        <f>'Grid_Stock'!BT33</f>
        <v/>
      </c>
      <c r="BW476">
        <f>'Grid_Stock'!BU33</f>
        <v/>
      </c>
      <c r="BX476">
        <f>'Grid_Stock'!BV33</f>
        <v/>
      </c>
      <c r="BY476">
        <f>'Grid_Stock'!BW33</f>
        <v/>
      </c>
      <c r="BZ476">
        <f>'Grid_Stock'!BX33</f>
        <v/>
      </c>
      <c r="CA476">
        <f>'Grid_Stock'!BY33</f>
        <v/>
      </c>
      <c r="CB476">
        <f>'Grid_Stock'!BZ33</f>
        <v/>
      </c>
      <c r="CC476">
        <f>'Grid_Stock'!CA33</f>
        <v/>
      </c>
      <c r="CD476">
        <f>'Grid_Stock'!CB33</f>
        <v/>
      </c>
      <c r="CE476">
        <f>'Grid_Stock'!CC33</f>
        <v/>
      </c>
      <c r="CF476">
        <f>'Grid_Stock'!CD33</f>
        <v/>
      </c>
      <c r="CG476">
        <f>'Grid_Stock'!CE33</f>
        <v/>
      </c>
      <c r="CH476">
        <f>'Grid_Stock'!CF33</f>
        <v/>
      </c>
      <c r="CI476">
        <f>'Grid_Stock'!CG33</f>
        <v/>
      </c>
      <c r="CJ476">
        <f>'Grid_Stock'!CH33</f>
        <v/>
      </c>
      <c r="CK476">
        <f>'Grid_Stock'!CI33</f>
        <v/>
      </c>
      <c r="CL476">
        <f>'Grid_Stock'!CJ33</f>
        <v/>
      </c>
      <c r="CM476">
        <f>'Grid_Stock'!CK33</f>
        <v/>
      </c>
      <c r="CN476">
        <f>'Grid_Stock'!CL33</f>
        <v/>
      </c>
      <c r="CO476">
        <f>'Grid_Stock'!CM33</f>
        <v/>
      </c>
      <c r="CP476">
        <f>'Grid_Stock'!CN33</f>
        <v/>
      </c>
      <c r="CQ476">
        <f>'Grid_Stock'!CO33</f>
        <v/>
      </c>
      <c r="CR476">
        <f>'Grid_Stock'!CP33</f>
        <v/>
      </c>
      <c r="CS476">
        <f>'Grid_Stock'!CQ33</f>
        <v/>
      </c>
      <c r="CT476">
        <f>'Grid_Stock'!CR33</f>
        <v/>
      </c>
      <c r="CU476">
        <f>'Grid_Stock'!CS33</f>
        <v/>
      </c>
      <c r="CV476">
        <f>'Grid_Stock'!CT33</f>
        <v/>
      </c>
      <c r="CW476">
        <f>'Grid_Stock'!CU33</f>
        <v/>
      </c>
      <c r="CX476">
        <f>'Grid_Stock'!CV33</f>
        <v/>
      </c>
      <c r="CY476">
        <f>'Grid_Stock'!CW33</f>
        <v/>
      </c>
      <c r="CZ476">
        <f>'Grid_Stock'!CX33</f>
        <v/>
      </c>
      <c r="DA476">
        <f>'Grid_Stock'!CY33</f>
        <v/>
      </c>
      <c r="DB476">
        <f>'Grid_Stock'!CZ33</f>
        <v/>
      </c>
      <c r="DC476">
        <f>'Grid_Stock'!DA33</f>
        <v/>
      </c>
    </row>
    <row r="477">
      <c r="B477" s="16" t="inlineStr">
        <is>
          <t>（発注の目安はDashboardの基準在庫[下限/上限]と色分けを参照）</t>
        </is>
      </c>
    </row>
    <row r="479">
      <c r="A479" s="14" t="inlineStr">
        <is>
          <t>CHEM-1670</t>
        </is>
      </c>
      <c r="B479" s="14" t="inlineStr">
        <is>
          <t>ALESPER 1065</t>
        </is>
      </c>
      <c r="C479" s="15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  <c r="AA479" s="14" t="n"/>
      <c r="AB479" s="14" t="n"/>
      <c r="AC479" s="14" t="n"/>
      <c r="AD479" s="14" t="n"/>
      <c r="AE479" s="14" t="n"/>
      <c r="AF479" s="14" t="n"/>
      <c r="AG479" s="14" t="n"/>
      <c r="AH479" s="14" t="n"/>
      <c r="AI479" s="14" t="n"/>
      <c r="AJ479" s="14" t="n"/>
      <c r="AK479" s="14" t="n"/>
      <c r="AL479" s="14" t="n"/>
      <c r="AM479" s="14" t="n"/>
      <c r="AN479" s="14" t="n"/>
      <c r="AO479" s="14" t="n"/>
      <c r="AP479" s="14" t="n"/>
      <c r="AQ479" s="14" t="n"/>
      <c r="AR479" s="14" t="n"/>
      <c r="AS479" s="14" t="n"/>
      <c r="AT479" s="14" t="n"/>
      <c r="AU479" s="14" t="n"/>
      <c r="AV479" s="14" t="n"/>
      <c r="AW479" s="14" t="n"/>
      <c r="AX479" s="14" t="n"/>
      <c r="AY479" s="14" t="n"/>
      <c r="AZ479" s="14" t="n"/>
      <c r="BA479" s="14" t="n"/>
      <c r="BB479" s="14" t="n"/>
      <c r="BC479" s="14" t="n"/>
      <c r="BD479" s="14" t="n"/>
      <c r="BE479" s="14" t="n"/>
      <c r="BF479" s="14" t="n"/>
      <c r="BG479" s="14" t="n"/>
      <c r="BH479" s="14" t="n"/>
      <c r="BI479" s="14" t="n"/>
      <c r="BJ479" s="14" t="n"/>
      <c r="BK479" s="14" t="n"/>
      <c r="BL479" s="14" t="n"/>
      <c r="BM479" s="14" t="n"/>
      <c r="BN479" s="14" t="n"/>
      <c r="BO479" s="14" t="n"/>
      <c r="BP479" s="14" t="n"/>
      <c r="BQ479" s="14" t="n"/>
      <c r="BR479" s="14" t="n"/>
      <c r="BS479" s="14" t="n"/>
      <c r="BT479" s="14" t="n"/>
      <c r="BU479" s="14" t="n"/>
      <c r="BV479" s="14" t="n"/>
      <c r="BW479" s="14" t="n"/>
      <c r="BX479" s="14" t="n"/>
      <c r="BY479" s="14" t="n"/>
      <c r="BZ479" s="14" t="n"/>
      <c r="CA479" s="14" t="n"/>
      <c r="CB479" s="14" t="n"/>
      <c r="CC479" s="14" t="n"/>
      <c r="CD479" s="14" t="n"/>
      <c r="CE479" s="14" t="n"/>
      <c r="CF479" s="14" t="n"/>
      <c r="CG479" s="14" t="n"/>
      <c r="CH479" s="14" t="n"/>
      <c r="CI479" s="14" t="n"/>
      <c r="CJ479" s="14" t="n"/>
      <c r="CK479" s="14" t="n"/>
      <c r="CL479" s="14" t="n"/>
      <c r="CM479" s="14" t="n"/>
      <c r="CN479" s="14" t="n"/>
      <c r="CO479" s="14" t="n"/>
      <c r="CP479" s="14" t="n"/>
      <c r="CQ479" s="14" t="n"/>
      <c r="CR479" s="14" t="n"/>
      <c r="CS479" s="14" t="n"/>
      <c r="CT479" s="14" t="n"/>
      <c r="CU479" s="14" t="n"/>
      <c r="CV479" s="14" t="n"/>
      <c r="CW479" s="14" t="n"/>
      <c r="CX479" s="14" t="n"/>
      <c r="CY479" s="14" t="n"/>
      <c r="CZ479" s="14" t="n"/>
      <c r="DA479" s="14" t="n"/>
      <c r="DB479" s="14" t="n"/>
      <c r="DC479" s="14" t="n"/>
    </row>
    <row r="480">
      <c r="B480" t="inlineStr">
        <is>
          <t>TSP-218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7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TSP-558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7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7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t="inlineStr">
        <is>
          <t>TSP-1444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Name],$A479)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TSP-1445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Name],$A479)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TSP-1446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Name],$A479)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TSP-1499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Name],$A479)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s="4" t="inlineStr">
        <is>
          <t>合計使用量(kg)/週</t>
        </is>
      </c>
      <c r="D494">
        <f>'Grid_Requirement'!B3</f>
        <v/>
      </c>
      <c r="E494">
        <f>'Grid_Requirement'!C3</f>
        <v/>
      </c>
      <c r="F494">
        <f>'Grid_Requirement'!D3</f>
        <v/>
      </c>
      <c r="G494">
        <f>'Grid_Requirement'!E3</f>
        <v/>
      </c>
      <c r="H494">
        <f>'Grid_Requirement'!F3</f>
        <v/>
      </c>
      <c r="I494">
        <f>'Grid_Requirement'!G3</f>
        <v/>
      </c>
      <c r="J494">
        <f>'Grid_Requirement'!H3</f>
        <v/>
      </c>
      <c r="K494">
        <f>'Grid_Requirement'!I3</f>
        <v/>
      </c>
      <c r="L494">
        <f>'Grid_Requirement'!J3</f>
        <v/>
      </c>
      <c r="M494">
        <f>'Grid_Requirement'!K3</f>
        <v/>
      </c>
      <c r="N494">
        <f>'Grid_Requirement'!L3</f>
        <v/>
      </c>
      <c r="O494">
        <f>'Grid_Requirement'!M3</f>
        <v/>
      </c>
      <c r="P494">
        <f>'Grid_Requirement'!N3</f>
        <v/>
      </c>
      <c r="Q494">
        <f>'Grid_Requirement'!O3</f>
        <v/>
      </c>
      <c r="R494">
        <f>'Grid_Requirement'!P3</f>
        <v/>
      </c>
      <c r="S494">
        <f>'Grid_Requirement'!Q3</f>
        <v/>
      </c>
      <c r="T494">
        <f>'Grid_Requirement'!R3</f>
        <v/>
      </c>
      <c r="U494">
        <f>'Grid_Requirement'!S3</f>
        <v/>
      </c>
      <c r="V494">
        <f>'Grid_Requirement'!T3</f>
        <v/>
      </c>
      <c r="W494">
        <f>'Grid_Requirement'!U3</f>
        <v/>
      </c>
      <c r="X494">
        <f>'Grid_Requirement'!V3</f>
        <v/>
      </c>
      <c r="Y494">
        <f>'Grid_Requirement'!W3</f>
        <v/>
      </c>
      <c r="Z494">
        <f>'Grid_Requirement'!X3</f>
        <v/>
      </c>
      <c r="AA494">
        <f>'Grid_Requirement'!Y3</f>
        <v/>
      </c>
      <c r="AB494">
        <f>'Grid_Requirement'!Z3</f>
        <v/>
      </c>
      <c r="AC494">
        <f>'Grid_Requirement'!AA3</f>
        <v/>
      </c>
      <c r="AD494">
        <f>'Grid_Requirement'!AB3</f>
        <v/>
      </c>
      <c r="AE494">
        <f>'Grid_Requirement'!AC3</f>
        <v/>
      </c>
      <c r="AF494">
        <f>'Grid_Requirement'!AD3</f>
        <v/>
      </c>
      <c r="AG494">
        <f>'Grid_Requirement'!AE3</f>
        <v/>
      </c>
      <c r="AH494">
        <f>'Grid_Requirement'!AF3</f>
        <v/>
      </c>
      <c r="AI494">
        <f>'Grid_Requirement'!AG3</f>
        <v/>
      </c>
      <c r="AJ494">
        <f>'Grid_Requirement'!AH3</f>
        <v/>
      </c>
      <c r="AK494">
        <f>'Grid_Requirement'!AI3</f>
        <v/>
      </c>
      <c r="AL494">
        <f>'Grid_Requirement'!AJ3</f>
        <v/>
      </c>
      <c r="AM494">
        <f>'Grid_Requirement'!AK3</f>
        <v/>
      </c>
      <c r="AN494">
        <f>'Grid_Requirement'!AL3</f>
        <v/>
      </c>
      <c r="AO494">
        <f>'Grid_Requirement'!AM3</f>
        <v/>
      </c>
      <c r="AP494">
        <f>'Grid_Requirement'!AN3</f>
        <v/>
      </c>
      <c r="AQ494">
        <f>'Grid_Requirement'!AO3</f>
        <v/>
      </c>
      <c r="AR494">
        <f>'Grid_Requirement'!AP3</f>
        <v/>
      </c>
      <c r="AS494">
        <f>'Grid_Requirement'!AQ3</f>
        <v/>
      </c>
      <c r="AT494">
        <f>'Grid_Requirement'!AR3</f>
        <v/>
      </c>
      <c r="AU494">
        <f>'Grid_Requirement'!AS3</f>
        <v/>
      </c>
      <c r="AV494">
        <f>'Grid_Requirement'!AT3</f>
        <v/>
      </c>
      <c r="AW494">
        <f>'Grid_Requirement'!AU3</f>
        <v/>
      </c>
      <c r="AX494">
        <f>'Grid_Requirement'!AV3</f>
        <v/>
      </c>
      <c r="AY494">
        <f>'Grid_Requirement'!AW3</f>
        <v/>
      </c>
      <c r="AZ494">
        <f>'Grid_Requirement'!AX3</f>
        <v/>
      </c>
      <c r="BA494">
        <f>'Grid_Requirement'!AY3</f>
        <v/>
      </c>
      <c r="BB494">
        <f>'Grid_Requirement'!AZ3</f>
        <v/>
      </c>
      <c r="BC494">
        <f>'Grid_Requirement'!BA3</f>
        <v/>
      </c>
      <c r="BD494">
        <f>'Grid_Requirement'!BB3</f>
        <v/>
      </c>
      <c r="BE494">
        <f>'Grid_Requirement'!BC3</f>
        <v/>
      </c>
      <c r="BF494">
        <f>'Grid_Requirement'!BD3</f>
        <v/>
      </c>
      <c r="BG494">
        <f>'Grid_Requirement'!BE3</f>
        <v/>
      </c>
      <c r="BH494">
        <f>'Grid_Requirement'!BF3</f>
        <v/>
      </c>
      <c r="BI494">
        <f>'Grid_Requirement'!BG3</f>
        <v/>
      </c>
      <c r="BJ494">
        <f>'Grid_Requirement'!BH3</f>
        <v/>
      </c>
      <c r="BK494">
        <f>'Grid_Requirement'!BI3</f>
        <v/>
      </c>
      <c r="BL494">
        <f>'Grid_Requirement'!BJ3</f>
        <v/>
      </c>
      <c r="BM494">
        <f>'Grid_Requirement'!BK3</f>
        <v/>
      </c>
      <c r="BN494">
        <f>'Grid_Requirement'!BL3</f>
        <v/>
      </c>
      <c r="BO494">
        <f>'Grid_Requirement'!BM3</f>
        <v/>
      </c>
      <c r="BP494">
        <f>'Grid_Requirement'!BN3</f>
        <v/>
      </c>
      <c r="BQ494">
        <f>'Grid_Requirement'!BO3</f>
        <v/>
      </c>
      <c r="BR494">
        <f>'Grid_Requirement'!BP3</f>
        <v/>
      </c>
      <c r="BS494">
        <f>'Grid_Requirement'!BQ3</f>
        <v/>
      </c>
      <c r="BT494">
        <f>'Grid_Requirement'!BR3</f>
        <v/>
      </c>
      <c r="BU494">
        <f>'Grid_Requirement'!BS3</f>
        <v/>
      </c>
      <c r="BV494">
        <f>'Grid_Requirement'!BT3</f>
        <v/>
      </c>
      <c r="BW494">
        <f>'Grid_Requirement'!BU3</f>
        <v/>
      </c>
      <c r="BX494">
        <f>'Grid_Requirement'!BV3</f>
        <v/>
      </c>
      <c r="BY494">
        <f>'Grid_Requirement'!BW3</f>
        <v/>
      </c>
      <c r="BZ494">
        <f>'Grid_Requirement'!BX3</f>
        <v/>
      </c>
      <c r="CA494">
        <f>'Grid_Requirement'!BY3</f>
        <v/>
      </c>
      <c r="CB494">
        <f>'Grid_Requirement'!BZ3</f>
        <v/>
      </c>
      <c r="CC494">
        <f>'Grid_Requirement'!CA3</f>
        <v/>
      </c>
      <c r="CD494">
        <f>'Grid_Requirement'!CB3</f>
        <v/>
      </c>
      <c r="CE494">
        <f>'Grid_Requirement'!CC3</f>
        <v/>
      </c>
      <c r="CF494">
        <f>'Grid_Requirement'!CD3</f>
        <v/>
      </c>
      <c r="CG494">
        <f>'Grid_Requirement'!CE3</f>
        <v/>
      </c>
      <c r="CH494">
        <f>'Grid_Requirement'!CF3</f>
        <v/>
      </c>
      <c r="CI494">
        <f>'Grid_Requirement'!CG3</f>
        <v/>
      </c>
      <c r="CJ494">
        <f>'Grid_Requirement'!CH3</f>
        <v/>
      </c>
      <c r="CK494">
        <f>'Grid_Requirement'!CI3</f>
        <v/>
      </c>
      <c r="CL494">
        <f>'Grid_Requirement'!CJ3</f>
        <v/>
      </c>
      <c r="CM494">
        <f>'Grid_Requirement'!CK3</f>
        <v/>
      </c>
      <c r="CN494">
        <f>'Grid_Requirement'!CL3</f>
        <v/>
      </c>
      <c r="CO494">
        <f>'Grid_Requirement'!CM3</f>
        <v/>
      </c>
      <c r="CP494">
        <f>'Grid_Requirement'!CN3</f>
        <v/>
      </c>
      <c r="CQ494">
        <f>'Grid_Requirement'!CO3</f>
        <v/>
      </c>
      <c r="CR494">
        <f>'Grid_Requirement'!CP3</f>
        <v/>
      </c>
      <c r="CS494">
        <f>'Grid_Requirement'!CQ3</f>
        <v/>
      </c>
      <c r="CT494">
        <f>'Grid_Requirement'!CR3</f>
        <v/>
      </c>
      <c r="CU494">
        <f>'Grid_Requirement'!CS3</f>
        <v/>
      </c>
      <c r="CV494">
        <f>'Grid_Requirement'!CT3</f>
        <v/>
      </c>
      <c r="CW494">
        <f>'Grid_Requirement'!CU3</f>
        <v/>
      </c>
      <c r="CX494">
        <f>'Grid_Requirement'!CV3</f>
        <v/>
      </c>
      <c r="CY494">
        <f>'Grid_Requirement'!CW3</f>
        <v/>
      </c>
      <c r="CZ494">
        <f>'Grid_Requirement'!CX3</f>
        <v/>
      </c>
      <c r="DA494">
        <f>'Grid_Requirement'!CY3</f>
        <v/>
      </c>
      <c r="DB494">
        <f>'Grid_Requirement'!CZ3</f>
        <v/>
      </c>
      <c r="DC494">
        <f>'Grid_Requirement'!DA3</f>
        <v/>
      </c>
    </row>
    <row r="495">
      <c r="B495" t="inlineStr">
        <is>
          <t>TTAF在庫(実績,kg)</t>
        </is>
      </c>
      <c r="D495">
        <f>'T_TTAFStock'!B7</f>
        <v/>
      </c>
      <c r="E495">
        <f>'T_TTAFStock'!C7</f>
        <v/>
      </c>
      <c r="F495">
        <f>'T_TTAFStock'!D7</f>
        <v/>
      </c>
      <c r="G495">
        <f>'T_TTAFStock'!E7</f>
        <v/>
      </c>
      <c r="H495">
        <f>'T_TTAFStock'!F7</f>
        <v/>
      </c>
      <c r="I495">
        <f>'T_TTAFStock'!G7</f>
        <v/>
      </c>
      <c r="J495">
        <f>'T_TTAFStock'!H7</f>
        <v/>
      </c>
      <c r="K495">
        <f>'T_TTAFStock'!I7</f>
        <v/>
      </c>
      <c r="L495">
        <f>'T_TTAFStock'!J7</f>
        <v/>
      </c>
      <c r="M495">
        <f>'T_TTAFStock'!K7</f>
        <v/>
      </c>
      <c r="N495">
        <f>'T_TTAFStock'!L7</f>
        <v/>
      </c>
      <c r="O495">
        <f>'T_TTAFStock'!M7</f>
        <v/>
      </c>
      <c r="P495">
        <f>'T_TTAFStock'!N7</f>
        <v/>
      </c>
      <c r="Q495">
        <f>'T_TTAFStock'!O7</f>
        <v/>
      </c>
      <c r="R495">
        <f>'T_TTAFStock'!P7</f>
        <v/>
      </c>
      <c r="S495">
        <f>'T_TTAFStock'!Q7</f>
        <v/>
      </c>
      <c r="T495">
        <f>'T_TTAFStock'!R7</f>
        <v/>
      </c>
      <c r="U495">
        <f>'T_TTAFStock'!S7</f>
        <v/>
      </c>
      <c r="V495">
        <f>'T_TTAFStock'!T7</f>
        <v/>
      </c>
      <c r="W495">
        <f>'T_TTAFStock'!U7</f>
        <v/>
      </c>
      <c r="X495">
        <f>'T_TTAFStock'!V7</f>
        <v/>
      </c>
      <c r="Y495">
        <f>'T_TTAFStock'!W7</f>
        <v/>
      </c>
      <c r="Z495">
        <f>'T_TTAFStock'!X7</f>
        <v/>
      </c>
      <c r="AA495">
        <f>'T_TTAFStock'!Y7</f>
        <v/>
      </c>
      <c r="AB495">
        <f>'T_TTAFStock'!Z7</f>
        <v/>
      </c>
      <c r="AC495">
        <f>'T_TTAFStock'!AA7</f>
        <v/>
      </c>
      <c r="AD495">
        <f>'T_TTAFStock'!AB7</f>
        <v/>
      </c>
      <c r="AE495">
        <f>'T_TTAFStock'!AC7</f>
        <v/>
      </c>
      <c r="AF495">
        <f>'T_TTAFStock'!AD7</f>
        <v/>
      </c>
      <c r="AG495">
        <f>'T_TTAFStock'!AE7</f>
        <v/>
      </c>
      <c r="AH495">
        <f>'T_TTAFStock'!AF7</f>
        <v/>
      </c>
      <c r="AI495">
        <f>'T_TTAFStock'!AG7</f>
        <v/>
      </c>
      <c r="AJ495">
        <f>'T_TTAFStock'!AH7</f>
        <v/>
      </c>
      <c r="AK495">
        <f>'T_TTAFStock'!AI7</f>
        <v/>
      </c>
      <c r="AL495">
        <f>'T_TTAFStock'!AJ7</f>
        <v/>
      </c>
      <c r="AM495">
        <f>'T_TTAFStock'!AK7</f>
        <v/>
      </c>
      <c r="AN495">
        <f>'T_TTAFStock'!AL7</f>
        <v/>
      </c>
      <c r="AO495">
        <f>'T_TTAFStock'!AM7</f>
        <v/>
      </c>
      <c r="AP495">
        <f>'T_TTAFStock'!AN7</f>
        <v/>
      </c>
      <c r="AQ495">
        <f>'T_TTAFStock'!AO7</f>
        <v/>
      </c>
      <c r="AR495">
        <f>'T_TTAFStock'!AP7</f>
        <v/>
      </c>
      <c r="AS495">
        <f>'T_TTAFStock'!AQ7</f>
        <v/>
      </c>
      <c r="AT495">
        <f>'T_TTAFStock'!AR7</f>
        <v/>
      </c>
      <c r="AU495">
        <f>'T_TTAFStock'!AS7</f>
        <v/>
      </c>
      <c r="AV495">
        <f>'T_TTAFStock'!AT7</f>
        <v/>
      </c>
      <c r="AW495">
        <f>'T_TTAFStock'!AU7</f>
        <v/>
      </c>
      <c r="AX495">
        <f>'T_TTAFStock'!AV7</f>
        <v/>
      </c>
      <c r="AY495">
        <f>'T_TTAFStock'!AW7</f>
        <v/>
      </c>
      <c r="AZ495">
        <f>'T_TTAFStock'!AX7</f>
        <v/>
      </c>
      <c r="BA495">
        <f>'T_TTAFStock'!AY7</f>
        <v/>
      </c>
      <c r="BB495">
        <f>'T_TTAFStock'!AZ7</f>
        <v/>
      </c>
      <c r="BC495">
        <f>'T_TTAFStock'!BA7</f>
        <v/>
      </c>
      <c r="BD495">
        <f>'T_TTAFStock'!BB7</f>
        <v/>
      </c>
      <c r="BE495">
        <f>'T_TTAFStock'!BC7</f>
        <v/>
      </c>
      <c r="BF495">
        <f>'T_TTAFStock'!BD7</f>
        <v/>
      </c>
      <c r="BG495">
        <f>'T_TTAFStock'!BE7</f>
        <v/>
      </c>
      <c r="BH495">
        <f>'T_TTAFStock'!BF7</f>
        <v/>
      </c>
      <c r="BI495">
        <f>'T_TTAFStock'!BG7</f>
        <v/>
      </c>
      <c r="BJ495">
        <f>'T_TTAFStock'!BH7</f>
        <v/>
      </c>
      <c r="BK495">
        <f>'T_TTAFStock'!BI7</f>
        <v/>
      </c>
      <c r="BL495">
        <f>'T_TTAFStock'!BJ7</f>
        <v/>
      </c>
      <c r="BM495">
        <f>'T_TTAFStock'!BK7</f>
        <v/>
      </c>
      <c r="BN495">
        <f>'T_TTAFStock'!BL7</f>
        <v/>
      </c>
      <c r="BO495">
        <f>'T_TTAFStock'!BM7</f>
        <v/>
      </c>
      <c r="BP495">
        <f>'T_TTAFStock'!BN7</f>
        <v/>
      </c>
      <c r="BQ495">
        <f>'T_TTAFStock'!BO7</f>
        <v/>
      </c>
      <c r="BR495">
        <f>'T_TTAFStock'!BP7</f>
        <v/>
      </c>
      <c r="BS495">
        <f>'T_TTAFStock'!BQ7</f>
        <v/>
      </c>
      <c r="BT495">
        <f>'T_TTAFStock'!BR7</f>
        <v/>
      </c>
      <c r="BU495">
        <f>'T_TTAFStock'!BS7</f>
        <v/>
      </c>
      <c r="BV495">
        <f>'T_TTAFStock'!BT7</f>
        <v/>
      </c>
      <c r="BW495">
        <f>'T_TTAFStock'!BU7</f>
        <v/>
      </c>
      <c r="BX495">
        <f>'T_TTAFStock'!BV7</f>
        <v/>
      </c>
      <c r="BY495">
        <f>'T_TTAFStock'!BW7</f>
        <v/>
      </c>
      <c r="BZ495">
        <f>'T_TTAFStock'!BX7</f>
        <v/>
      </c>
      <c r="CA495">
        <f>'T_TTAFStock'!BY7</f>
        <v/>
      </c>
      <c r="CB495">
        <f>'T_TTAFStock'!BZ7</f>
        <v/>
      </c>
      <c r="CC495">
        <f>'T_TTAFStock'!CA7</f>
        <v/>
      </c>
      <c r="CD495">
        <f>'T_TTAFStock'!CB7</f>
        <v/>
      </c>
      <c r="CE495">
        <f>'T_TTAFStock'!CC7</f>
        <v/>
      </c>
      <c r="CF495">
        <f>'T_TTAFStock'!CD7</f>
        <v/>
      </c>
      <c r="CG495">
        <f>'T_TTAFStock'!CE7</f>
        <v/>
      </c>
      <c r="CH495">
        <f>'T_TTAFStock'!CF7</f>
        <v/>
      </c>
      <c r="CI495">
        <f>'T_TTAFStock'!CG7</f>
        <v/>
      </c>
      <c r="CJ495">
        <f>'T_TTAFStock'!CH7</f>
        <v/>
      </c>
      <c r="CK495">
        <f>'T_TTAFStock'!CI7</f>
        <v/>
      </c>
      <c r="CL495">
        <f>'T_TTAFStock'!CJ7</f>
        <v/>
      </c>
      <c r="CM495">
        <f>'T_TTAFStock'!CK7</f>
        <v/>
      </c>
      <c r="CN495">
        <f>'T_TTAFStock'!CL7</f>
        <v/>
      </c>
      <c r="CO495">
        <f>'T_TTAFStock'!CM7</f>
        <v/>
      </c>
      <c r="CP495">
        <f>'T_TTAFStock'!CN7</f>
        <v/>
      </c>
      <c r="CQ495">
        <f>'T_TTAFStock'!CO7</f>
        <v/>
      </c>
      <c r="CR495">
        <f>'T_TTAFStock'!CP7</f>
        <v/>
      </c>
      <c r="CS495">
        <f>'T_TTAFStock'!CQ7</f>
        <v/>
      </c>
      <c r="CT495">
        <f>'T_TTAFStock'!CR7</f>
        <v/>
      </c>
      <c r="CU495">
        <f>'T_TTAFStock'!CS7</f>
        <v/>
      </c>
      <c r="CV495">
        <f>'T_TTAFStock'!CT7</f>
        <v/>
      </c>
      <c r="CW495">
        <f>'T_TTAFStock'!CU7</f>
        <v/>
      </c>
      <c r="CX495">
        <f>'T_TTAFStock'!CV7</f>
        <v/>
      </c>
      <c r="CY495">
        <f>'T_TTAFStock'!CW7</f>
        <v/>
      </c>
      <c r="CZ495">
        <f>'T_TTAFStock'!CX7</f>
        <v/>
      </c>
      <c r="DA495">
        <f>'T_TTAFStock'!CY7</f>
        <v/>
      </c>
      <c r="DB495">
        <f>'T_TTAFStock'!CZ7</f>
        <v/>
      </c>
      <c r="DC495">
        <f>'T_TTAFStock'!DA7</f>
        <v/>
      </c>
    </row>
    <row r="496">
      <c r="B496" t="inlineStr">
        <is>
          <t>自社在庫(実績,kg)</t>
        </is>
      </c>
      <c r="D496">
        <f>'T_SelfStock'!B7</f>
        <v/>
      </c>
      <c r="E496">
        <f>'T_SelfStock'!C7</f>
        <v/>
      </c>
      <c r="F496">
        <f>'T_SelfStock'!D7</f>
        <v/>
      </c>
      <c r="G496">
        <f>'T_SelfStock'!E7</f>
        <v/>
      </c>
      <c r="H496">
        <f>'T_SelfStock'!F7</f>
        <v/>
      </c>
      <c r="I496">
        <f>'T_SelfStock'!G7</f>
        <v/>
      </c>
      <c r="J496">
        <f>'T_SelfStock'!H7</f>
        <v/>
      </c>
      <c r="K496">
        <f>'T_SelfStock'!I7</f>
        <v/>
      </c>
      <c r="L496">
        <f>'T_SelfStock'!J7</f>
        <v/>
      </c>
      <c r="M496">
        <f>'T_SelfStock'!K7</f>
        <v/>
      </c>
      <c r="N496">
        <f>'T_SelfStock'!L7</f>
        <v/>
      </c>
      <c r="O496">
        <f>'T_SelfStock'!M7</f>
        <v/>
      </c>
      <c r="P496">
        <f>'T_SelfStock'!N7</f>
        <v/>
      </c>
      <c r="Q496">
        <f>'T_SelfStock'!O7</f>
        <v/>
      </c>
      <c r="R496">
        <f>'T_SelfStock'!P7</f>
        <v/>
      </c>
      <c r="S496">
        <f>'T_SelfStock'!Q7</f>
        <v/>
      </c>
      <c r="T496">
        <f>'T_SelfStock'!R7</f>
        <v/>
      </c>
      <c r="U496">
        <f>'T_SelfStock'!S7</f>
        <v/>
      </c>
      <c r="V496">
        <f>'T_SelfStock'!T7</f>
        <v/>
      </c>
      <c r="W496">
        <f>'T_SelfStock'!U7</f>
        <v/>
      </c>
      <c r="X496">
        <f>'T_SelfStock'!V7</f>
        <v/>
      </c>
      <c r="Y496">
        <f>'T_SelfStock'!W7</f>
        <v/>
      </c>
      <c r="Z496">
        <f>'T_SelfStock'!X7</f>
        <v/>
      </c>
      <c r="AA496">
        <f>'T_SelfStock'!Y7</f>
        <v/>
      </c>
      <c r="AB496">
        <f>'T_SelfStock'!Z7</f>
        <v/>
      </c>
      <c r="AC496">
        <f>'T_SelfStock'!AA7</f>
        <v/>
      </c>
      <c r="AD496">
        <f>'T_SelfStock'!AB7</f>
        <v/>
      </c>
      <c r="AE496">
        <f>'T_SelfStock'!AC7</f>
        <v/>
      </c>
      <c r="AF496">
        <f>'T_SelfStock'!AD7</f>
        <v/>
      </c>
      <c r="AG496">
        <f>'T_SelfStock'!AE7</f>
        <v/>
      </c>
      <c r="AH496">
        <f>'T_SelfStock'!AF7</f>
        <v/>
      </c>
      <c r="AI496">
        <f>'T_SelfStock'!AG7</f>
        <v/>
      </c>
      <c r="AJ496">
        <f>'T_SelfStock'!AH7</f>
        <v/>
      </c>
      <c r="AK496">
        <f>'T_SelfStock'!AI7</f>
        <v/>
      </c>
      <c r="AL496">
        <f>'T_SelfStock'!AJ7</f>
        <v/>
      </c>
      <c r="AM496">
        <f>'T_SelfStock'!AK7</f>
        <v/>
      </c>
      <c r="AN496">
        <f>'T_SelfStock'!AL7</f>
        <v/>
      </c>
      <c r="AO496">
        <f>'T_SelfStock'!AM7</f>
        <v/>
      </c>
      <c r="AP496">
        <f>'T_SelfStock'!AN7</f>
        <v/>
      </c>
      <c r="AQ496">
        <f>'T_SelfStock'!AO7</f>
        <v/>
      </c>
      <c r="AR496">
        <f>'T_SelfStock'!AP7</f>
        <v/>
      </c>
      <c r="AS496">
        <f>'T_SelfStock'!AQ7</f>
        <v/>
      </c>
      <c r="AT496">
        <f>'T_SelfStock'!AR7</f>
        <v/>
      </c>
      <c r="AU496">
        <f>'T_SelfStock'!AS7</f>
        <v/>
      </c>
      <c r="AV496">
        <f>'T_SelfStock'!AT7</f>
        <v/>
      </c>
      <c r="AW496">
        <f>'T_SelfStock'!AU7</f>
        <v/>
      </c>
      <c r="AX496">
        <f>'T_SelfStock'!AV7</f>
        <v/>
      </c>
      <c r="AY496">
        <f>'T_SelfStock'!AW7</f>
        <v/>
      </c>
      <c r="AZ496">
        <f>'T_SelfStock'!AX7</f>
        <v/>
      </c>
      <c r="BA496">
        <f>'T_SelfStock'!AY7</f>
        <v/>
      </c>
      <c r="BB496">
        <f>'T_SelfStock'!AZ7</f>
        <v/>
      </c>
      <c r="BC496">
        <f>'T_SelfStock'!BA7</f>
        <v/>
      </c>
      <c r="BD496">
        <f>'T_SelfStock'!BB7</f>
        <v/>
      </c>
      <c r="BE496">
        <f>'T_SelfStock'!BC7</f>
        <v/>
      </c>
      <c r="BF496">
        <f>'T_SelfStock'!BD7</f>
        <v/>
      </c>
      <c r="BG496">
        <f>'T_SelfStock'!BE7</f>
        <v/>
      </c>
      <c r="BH496">
        <f>'T_SelfStock'!BF7</f>
        <v/>
      </c>
      <c r="BI496">
        <f>'T_SelfStock'!BG7</f>
        <v/>
      </c>
      <c r="BJ496">
        <f>'T_SelfStock'!BH7</f>
        <v/>
      </c>
      <c r="BK496">
        <f>'T_SelfStock'!BI7</f>
        <v/>
      </c>
      <c r="BL496">
        <f>'T_SelfStock'!BJ7</f>
        <v/>
      </c>
      <c r="BM496">
        <f>'T_SelfStock'!BK7</f>
        <v/>
      </c>
      <c r="BN496">
        <f>'T_SelfStock'!BL7</f>
        <v/>
      </c>
      <c r="BO496">
        <f>'T_SelfStock'!BM7</f>
        <v/>
      </c>
      <c r="BP496">
        <f>'T_SelfStock'!BN7</f>
        <v/>
      </c>
      <c r="BQ496">
        <f>'T_SelfStock'!BO7</f>
        <v/>
      </c>
      <c r="BR496">
        <f>'T_SelfStock'!BP7</f>
        <v/>
      </c>
      <c r="BS496">
        <f>'T_SelfStock'!BQ7</f>
        <v/>
      </c>
      <c r="BT496">
        <f>'T_SelfStock'!BR7</f>
        <v/>
      </c>
      <c r="BU496">
        <f>'T_SelfStock'!BS7</f>
        <v/>
      </c>
      <c r="BV496">
        <f>'T_SelfStock'!BT7</f>
        <v/>
      </c>
      <c r="BW496">
        <f>'T_SelfStock'!BU7</f>
        <v/>
      </c>
      <c r="BX496">
        <f>'T_SelfStock'!BV7</f>
        <v/>
      </c>
      <c r="BY496">
        <f>'T_SelfStock'!BW7</f>
        <v/>
      </c>
      <c r="BZ496">
        <f>'T_SelfStock'!BX7</f>
        <v/>
      </c>
      <c r="CA496">
        <f>'T_SelfStock'!BY7</f>
        <v/>
      </c>
      <c r="CB496">
        <f>'T_SelfStock'!BZ7</f>
        <v/>
      </c>
      <c r="CC496">
        <f>'T_SelfStock'!CA7</f>
        <v/>
      </c>
      <c r="CD496">
        <f>'T_SelfStock'!CB7</f>
        <v/>
      </c>
      <c r="CE496">
        <f>'T_SelfStock'!CC7</f>
        <v/>
      </c>
      <c r="CF496">
        <f>'T_SelfStock'!CD7</f>
        <v/>
      </c>
      <c r="CG496">
        <f>'T_SelfStock'!CE7</f>
        <v/>
      </c>
      <c r="CH496">
        <f>'T_SelfStock'!CF7</f>
        <v/>
      </c>
      <c r="CI496">
        <f>'T_SelfStock'!CG7</f>
        <v/>
      </c>
      <c r="CJ496">
        <f>'T_SelfStock'!CH7</f>
        <v/>
      </c>
      <c r="CK496">
        <f>'T_SelfStock'!CI7</f>
        <v/>
      </c>
      <c r="CL496">
        <f>'T_SelfStock'!CJ7</f>
        <v/>
      </c>
      <c r="CM496">
        <f>'T_SelfStock'!CK7</f>
        <v/>
      </c>
      <c r="CN496">
        <f>'T_SelfStock'!CL7</f>
        <v/>
      </c>
      <c r="CO496">
        <f>'T_SelfStock'!CM7</f>
        <v/>
      </c>
      <c r="CP496">
        <f>'T_SelfStock'!CN7</f>
        <v/>
      </c>
      <c r="CQ496">
        <f>'T_SelfStock'!CO7</f>
        <v/>
      </c>
      <c r="CR496">
        <f>'T_SelfStock'!CP7</f>
        <v/>
      </c>
      <c r="CS496">
        <f>'T_SelfStock'!CQ7</f>
        <v/>
      </c>
      <c r="CT496">
        <f>'T_SelfStock'!CR7</f>
        <v/>
      </c>
      <c r="CU496">
        <f>'T_SelfStock'!CS7</f>
        <v/>
      </c>
      <c r="CV496">
        <f>'T_SelfStock'!CT7</f>
        <v/>
      </c>
      <c r="CW496">
        <f>'T_SelfStock'!CU7</f>
        <v/>
      </c>
      <c r="CX496">
        <f>'T_SelfStock'!CV7</f>
        <v/>
      </c>
      <c r="CY496">
        <f>'T_SelfStock'!CW7</f>
        <v/>
      </c>
      <c r="CZ496">
        <f>'T_SelfStock'!CX7</f>
        <v/>
      </c>
      <c r="DA496">
        <f>'T_SelfStock'!CY7</f>
        <v/>
      </c>
      <c r="DB496">
        <f>'T_SelfStock'!CZ7</f>
        <v/>
      </c>
      <c r="DC496">
        <f>'T_SelfStock'!DA7</f>
        <v/>
      </c>
    </row>
    <row r="497">
      <c r="B497" s="4" t="inlineStr">
        <is>
          <t>合計在庫(週末時点,kg)</t>
        </is>
      </c>
      <c r="D497">
        <f>'Grid_Stock'!B3</f>
        <v/>
      </c>
      <c r="E497">
        <f>'Grid_Stock'!C3</f>
        <v/>
      </c>
      <c r="F497">
        <f>'Grid_Stock'!D3</f>
        <v/>
      </c>
      <c r="G497">
        <f>'Grid_Stock'!E3</f>
        <v/>
      </c>
      <c r="H497">
        <f>'Grid_Stock'!F3</f>
        <v/>
      </c>
      <c r="I497">
        <f>'Grid_Stock'!G3</f>
        <v/>
      </c>
      <c r="J497">
        <f>'Grid_Stock'!H3</f>
        <v/>
      </c>
      <c r="K497">
        <f>'Grid_Stock'!I3</f>
        <v/>
      </c>
      <c r="L497">
        <f>'Grid_Stock'!J3</f>
        <v/>
      </c>
      <c r="M497">
        <f>'Grid_Stock'!K3</f>
        <v/>
      </c>
      <c r="N497">
        <f>'Grid_Stock'!L3</f>
        <v/>
      </c>
      <c r="O497">
        <f>'Grid_Stock'!M3</f>
        <v/>
      </c>
      <c r="P497">
        <f>'Grid_Stock'!N3</f>
        <v/>
      </c>
      <c r="Q497">
        <f>'Grid_Stock'!O3</f>
        <v/>
      </c>
      <c r="R497">
        <f>'Grid_Stock'!P3</f>
        <v/>
      </c>
      <c r="S497">
        <f>'Grid_Stock'!Q3</f>
        <v/>
      </c>
      <c r="T497">
        <f>'Grid_Stock'!R3</f>
        <v/>
      </c>
      <c r="U497">
        <f>'Grid_Stock'!S3</f>
        <v/>
      </c>
      <c r="V497">
        <f>'Grid_Stock'!T3</f>
        <v/>
      </c>
      <c r="W497">
        <f>'Grid_Stock'!U3</f>
        <v/>
      </c>
      <c r="X497">
        <f>'Grid_Stock'!V3</f>
        <v/>
      </c>
      <c r="Y497">
        <f>'Grid_Stock'!W3</f>
        <v/>
      </c>
      <c r="Z497">
        <f>'Grid_Stock'!X3</f>
        <v/>
      </c>
      <c r="AA497">
        <f>'Grid_Stock'!Y3</f>
        <v/>
      </c>
      <c r="AB497">
        <f>'Grid_Stock'!Z3</f>
        <v/>
      </c>
      <c r="AC497">
        <f>'Grid_Stock'!AA3</f>
        <v/>
      </c>
      <c r="AD497">
        <f>'Grid_Stock'!AB3</f>
        <v/>
      </c>
      <c r="AE497">
        <f>'Grid_Stock'!AC3</f>
        <v/>
      </c>
      <c r="AF497">
        <f>'Grid_Stock'!AD3</f>
        <v/>
      </c>
      <c r="AG497">
        <f>'Grid_Stock'!AE3</f>
        <v/>
      </c>
      <c r="AH497">
        <f>'Grid_Stock'!AF3</f>
        <v/>
      </c>
      <c r="AI497">
        <f>'Grid_Stock'!AG3</f>
        <v/>
      </c>
      <c r="AJ497">
        <f>'Grid_Stock'!AH3</f>
        <v/>
      </c>
      <c r="AK497">
        <f>'Grid_Stock'!AI3</f>
        <v/>
      </c>
      <c r="AL497">
        <f>'Grid_Stock'!AJ3</f>
        <v/>
      </c>
      <c r="AM497">
        <f>'Grid_Stock'!AK3</f>
        <v/>
      </c>
      <c r="AN497">
        <f>'Grid_Stock'!AL3</f>
        <v/>
      </c>
      <c r="AO497">
        <f>'Grid_Stock'!AM3</f>
        <v/>
      </c>
      <c r="AP497">
        <f>'Grid_Stock'!AN3</f>
        <v/>
      </c>
      <c r="AQ497">
        <f>'Grid_Stock'!AO3</f>
        <v/>
      </c>
      <c r="AR497">
        <f>'Grid_Stock'!AP3</f>
        <v/>
      </c>
      <c r="AS497">
        <f>'Grid_Stock'!AQ3</f>
        <v/>
      </c>
      <c r="AT497">
        <f>'Grid_Stock'!AR3</f>
        <v/>
      </c>
      <c r="AU497">
        <f>'Grid_Stock'!AS3</f>
        <v/>
      </c>
      <c r="AV497">
        <f>'Grid_Stock'!AT3</f>
        <v/>
      </c>
      <c r="AW497">
        <f>'Grid_Stock'!AU3</f>
        <v/>
      </c>
      <c r="AX497">
        <f>'Grid_Stock'!AV3</f>
        <v/>
      </c>
      <c r="AY497">
        <f>'Grid_Stock'!AW3</f>
        <v/>
      </c>
      <c r="AZ497">
        <f>'Grid_Stock'!AX3</f>
        <v/>
      </c>
      <c r="BA497">
        <f>'Grid_Stock'!AY3</f>
        <v/>
      </c>
      <c r="BB497">
        <f>'Grid_Stock'!AZ3</f>
        <v/>
      </c>
      <c r="BC497">
        <f>'Grid_Stock'!BA3</f>
        <v/>
      </c>
      <c r="BD497">
        <f>'Grid_Stock'!BB3</f>
        <v/>
      </c>
      <c r="BE497">
        <f>'Grid_Stock'!BC3</f>
        <v/>
      </c>
      <c r="BF497">
        <f>'Grid_Stock'!BD3</f>
        <v/>
      </c>
      <c r="BG497">
        <f>'Grid_Stock'!BE3</f>
        <v/>
      </c>
      <c r="BH497">
        <f>'Grid_Stock'!BF3</f>
        <v/>
      </c>
      <c r="BI497">
        <f>'Grid_Stock'!BG3</f>
        <v/>
      </c>
      <c r="BJ497">
        <f>'Grid_Stock'!BH3</f>
        <v/>
      </c>
      <c r="BK497">
        <f>'Grid_Stock'!BI3</f>
        <v/>
      </c>
      <c r="BL497">
        <f>'Grid_Stock'!BJ3</f>
        <v/>
      </c>
      <c r="BM497">
        <f>'Grid_Stock'!BK3</f>
        <v/>
      </c>
      <c r="BN497">
        <f>'Grid_Stock'!BL3</f>
        <v/>
      </c>
      <c r="BO497">
        <f>'Grid_Stock'!BM3</f>
        <v/>
      </c>
      <c r="BP497">
        <f>'Grid_Stock'!BN3</f>
        <v/>
      </c>
      <c r="BQ497">
        <f>'Grid_Stock'!BO3</f>
        <v/>
      </c>
      <c r="BR497">
        <f>'Grid_Stock'!BP3</f>
        <v/>
      </c>
      <c r="BS497">
        <f>'Grid_Stock'!BQ3</f>
        <v/>
      </c>
      <c r="BT497">
        <f>'Grid_Stock'!BR3</f>
        <v/>
      </c>
      <c r="BU497">
        <f>'Grid_Stock'!BS3</f>
        <v/>
      </c>
      <c r="BV497">
        <f>'Grid_Stock'!BT3</f>
        <v/>
      </c>
      <c r="BW497">
        <f>'Grid_Stock'!BU3</f>
        <v/>
      </c>
      <c r="BX497">
        <f>'Grid_Stock'!BV3</f>
        <v/>
      </c>
      <c r="BY497">
        <f>'Grid_Stock'!BW3</f>
        <v/>
      </c>
      <c r="BZ497">
        <f>'Grid_Stock'!BX3</f>
        <v/>
      </c>
      <c r="CA497">
        <f>'Grid_Stock'!BY3</f>
        <v/>
      </c>
      <c r="CB497">
        <f>'Grid_Stock'!BZ3</f>
        <v/>
      </c>
      <c r="CC497">
        <f>'Grid_Stock'!CA3</f>
        <v/>
      </c>
      <c r="CD497">
        <f>'Grid_Stock'!CB3</f>
        <v/>
      </c>
      <c r="CE497">
        <f>'Grid_Stock'!CC3</f>
        <v/>
      </c>
      <c r="CF497">
        <f>'Grid_Stock'!CD3</f>
        <v/>
      </c>
      <c r="CG497">
        <f>'Grid_Stock'!CE3</f>
        <v/>
      </c>
      <c r="CH497">
        <f>'Grid_Stock'!CF3</f>
        <v/>
      </c>
      <c r="CI497">
        <f>'Grid_Stock'!CG3</f>
        <v/>
      </c>
      <c r="CJ497">
        <f>'Grid_Stock'!CH3</f>
        <v/>
      </c>
      <c r="CK497">
        <f>'Grid_Stock'!CI3</f>
        <v/>
      </c>
      <c r="CL497">
        <f>'Grid_Stock'!CJ3</f>
        <v/>
      </c>
      <c r="CM497">
        <f>'Grid_Stock'!CK3</f>
        <v/>
      </c>
      <c r="CN497">
        <f>'Grid_Stock'!CL3</f>
        <v/>
      </c>
      <c r="CO497">
        <f>'Grid_Stock'!CM3</f>
        <v/>
      </c>
      <c r="CP497">
        <f>'Grid_Stock'!CN3</f>
        <v/>
      </c>
      <c r="CQ497">
        <f>'Grid_Stock'!CO3</f>
        <v/>
      </c>
      <c r="CR497">
        <f>'Grid_Stock'!CP3</f>
        <v/>
      </c>
      <c r="CS497">
        <f>'Grid_Stock'!CQ3</f>
        <v/>
      </c>
      <c r="CT497">
        <f>'Grid_Stock'!CR3</f>
        <v/>
      </c>
      <c r="CU497">
        <f>'Grid_Stock'!CS3</f>
        <v/>
      </c>
      <c r="CV497">
        <f>'Grid_Stock'!CT3</f>
        <v/>
      </c>
      <c r="CW497">
        <f>'Grid_Stock'!CU3</f>
        <v/>
      </c>
      <c r="CX497">
        <f>'Grid_Stock'!CV3</f>
        <v/>
      </c>
      <c r="CY497">
        <f>'Grid_Stock'!CW3</f>
        <v/>
      </c>
      <c r="CZ497">
        <f>'Grid_Stock'!CX3</f>
        <v/>
      </c>
      <c r="DA497">
        <f>'Grid_Stock'!CY3</f>
        <v/>
      </c>
      <c r="DB497">
        <f>'Grid_Stock'!CZ3</f>
        <v/>
      </c>
      <c r="DC497">
        <f>'Grid_Stock'!DA3</f>
        <v/>
      </c>
    </row>
    <row r="498">
      <c r="B498" s="16" t="inlineStr">
        <is>
          <t>（発注の目安はDashboardの基準在庫[下限/上限]と色分けを参照）</t>
        </is>
      </c>
    </row>
    <row r="500">
      <c r="A500" s="14" t="inlineStr">
        <is>
          <t>CHEM-1600</t>
        </is>
      </c>
      <c r="B500" s="14" t="inlineStr">
        <is>
          <t>BF-1P</t>
        </is>
      </c>
      <c r="C500" s="15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  <c r="AA500" s="14" t="n"/>
      <c r="AB500" s="14" t="n"/>
      <c r="AC500" s="14" t="n"/>
      <c r="AD500" s="14" t="n"/>
      <c r="AE500" s="14" t="n"/>
      <c r="AF500" s="14" t="n"/>
      <c r="AG500" s="14" t="n"/>
      <c r="AH500" s="14" t="n"/>
      <c r="AI500" s="14" t="n"/>
      <c r="AJ500" s="14" t="n"/>
      <c r="AK500" s="14" t="n"/>
      <c r="AL500" s="14" t="n"/>
      <c r="AM500" s="14" t="n"/>
      <c r="AN500" s="14" t="n"/>
      <c r="AO500" s="14" t="n"/>
      <c r="AP500" s="14" t="n"/>
      <c r="AQ500" s="14" t="n"/>
      <c r="AR500" s="14" t="n"/>
      <c r="AS500" s="14" t="n"/>
      <c r="AT500" s="14" t="n"/>
      <c r="AU500" s="14" t="n"/>
      <c r="AV500" s="14" t="n"/>
      <c r="AW500" s="14" t="n"/>
      <c r="AX500" s="14" t="n"/>
      <c r="AY500" s="14" t="n"/>
      <c r="AZ500" s="14" t="n"/>
      <c r="BA500" s="14" t="n"/>
      <c r="BB500" s="14" t="n"/>
      <c r="BC500" s="14" t="n"/>
      <c r="BD500" s="14" t="n"/>
      <c r="BE500" s="14" t="n"/>
      <c r="BF500" s="14" t="n"/>
      <c r="BG500" s="14" t="n"/>
      <c r="BH500" s="14" t="n"/>
      <c r="BI500" s="14" t="n"/>
      <c r="BJ500" s="14" t="n"/>
      <c r="BK500" s="14" t="n"/>
      <c r="BL500" s="14" t="n"/>
      <c r="BM500" s="14" t="n"/>
      <c r="BN500" s="14" t="n"/>
      <c r="BO500" s="14" t="n"/>
      <c r="BP500" s="14" t="n"/>
      <c r="BQ500" s="14" t="n"/>
      <c r="BR500" s="14" t="n"/>
      <c r="BS500" s="14" t="n"/>
      <c r="BT500" s="14" t="n"/>
      <c r="BU500" s="14" t="n"/>
      <c r="BV500" s="14" t="n"/>
      <c r="BW500" s="14" t="n"/>
      <c r="BX500" s="14" t="n"/>
      <c r="BY500" s="14" t="n"/>
      <c r="BZ500" s="14" t="n"/>
      <c r="CA500" s="14" t="n"/>
      <c r="CB500" s="14" t="n"/>
      <c r="CC500" s="14" t="n"/>
      <c r="CD500" s="14" t="n"/>
      <c r="CE500" s="14" t="n"/>
      <c r="CF500" s="14" t="n"/>
      <c r="CG500" s="14" t="n"/>
      <c r="CH500" s="14" t="n"/>
      <c r="CI500" s="14" t="n"/>
      <c r="CJ500" s="14" t="n"/>
      <c r="CK500" s="14" t="n"/>
      <c r="CL500" s="14" t="n"/>
      <c r="CM500" s="14" t="n"/>
      <c r="CN500" s="14" t="n"/>
      <c r="CO500" s="14" t="n"/>
      <c r="CP500" s="14" t="n"/>
      <c r="CQ500" s="14" t="n"/>
      <c r="CR500" s="14" t="n"/>
      <c r="CS500" s="14" t="n"/>
      <c r="CT500" s="14" t="n"/>
      <c r="CU500" s="14" t="n"/>
      <c r="CV500" s="14" t="n"/>
      <c r="CW500" s="14" t="n"/>
      <c r="CX500" s="14" t="n"/>
      <c r="CY500" s="14" t="n"/>
      <c r="CZ500" s="14" t="n"/>
      <c r="DA500" s="14" t="n"/>
      <c r="DB500" s="14" t="n"/>
      <c r="DC500" s="14" t="n"/>
    </row>
    <row r="501">
      <c r="B501" t="inlineStr">
        <is>
          <t>TSP-219</t>
        </is>
      </c>
      <c r="C501" t="inlineStr">
        <is>
          <t>No. of batches</t>
        </is>
      </c>
      <c r="D501">
        <f>IFERROR(INDEX(PP_Grid[#Data],$DD501,2),0)</f>
        <v/>
      </c>
      <c r="E501">
        <f>IFERROR(INDEX(PP_Grid[#Data],$DD501,3),0)</f>
        <v/>
      </c>
      <c r="F501">
        <f>IFERROR(INDEX(PP_Grid[#Data],$DD501,4),0)</f>
        <v/>
      </c>
      <c r="G501">
        <f>IFERROR(INDEX(PP_Grid[#Data],$DD501,5),0)</f>
        <v/>
      </c>
      <c r="H501">
        <f>IFERROR(INDEX(PP_Grid[#Data],$DD501,6),0)</f>
        <v/>
      </c>
      <c r="I501">
        <f>IFERROR(INDEX(PP_Grid[#Data],$DD501,7),0)</f>
        <v/>
      </c>
      <c r="J501">
        <f>IFERROR(INDEX(PP_Grid[#Data],$DD501,8),0)</f>
        <v/>
      </c>
      <c r="K501">
        <f>IFERROR(INDEX(PP_Grid[#Data],$DD501,9),0)</f>
        <v/>
      </c>
      <c r="L501">
        <f>IFERROR(INDEX(PP_Grid[#Data],$DD501,10),0)</f>
        <v/>
      </c>
      <c r="M501">
        <f>IFERROR(INDEX(PP_Grid[#Data],$DD501,11),0)</f>
        <v/>
      </c>
      <c r="N501">
        <f>IFERROR(INDEX(PP_Grid[#Data],$DD501,12),0)</f>
        <v/>
      </c>
      <c r="O501">
        <f>IFERROR(INDEX(PP_Grid[#Data],$DD501,13),0)</f>
        <v/>
      </c>
      <c r="P501">
        <f>IFERROR(INDEX(PP_Grid[#Data],$DD501,14),0)</f>
        <v/>
      </c>
      <c r="Q501">
        <f>IFERROR(INDEX(PP_Grid[#Data],$DD501,15),0)</f>
        <v/>
      </c>
      <c r="R501">
        <f>IFERROR(INDEX(PP_Grid[#Data],$DD501,16),0)</f>
        <v/>
      </c>
      <c r="S501">
        <f>IFERROR(INDEX(PP_Grid[#Data],$DD501,17),0)</f>
        <v/>
      </c>
      <c r="T501">
        <f>IFERROR(INDEX(PP_Grid[#Data],$DD501,18),0)</f>
        <v/>
      </c>
      <c r="U501">
        <f>IFERROR(INDEX(PP_Grid[#Data],$DD501,19),0)</f>
        <v/>
      </c>
      <c r="V501">
        <f>IFERROR(INDEX(PP_Grid[#Data],$DD501,20),0)</f>
        <v/>
      </c>
      <c r="W501">
        <f>IFERROR(INDEX(PP_Grid[#Data],$DD501,21),0)</f>
        <v/>
      </c>
      <c r="X501">
        <f>IFERROR(INDEX(PP_Grid[#Data],$DD501,22),0)</f>
        <v/>
      </c>
      <c r="Y501">
        <f>IFERROR(INDEX(PP_Grid[#Data],$DD501,23),0)</f>
        <v/>
      </c>
      <c r="Z501">
        <f>IFERROR(INDEX(PP_Grid[#Data],$DD501,24),0)</f>
        <v/>
      </c>
      <c r="AA501">
        <f>IFERROR(INDEX(PP_Grid[#Data],$DD501,25),0)</f>
        <v/>
      </c>
      <c r="AB501">
        <f>IFERROR(INDEX(PP_Grid[#Data],$DD501,26),0)</f>
        <v/>
      </c>
      <c r="AC501">
        <f>IFERROR(INDEX(PP_Grid[#Data],$DD501,27),0)</f>
        <v/>
      </c>
      <c r="AD501">
        <f>IFERROR(INDEX(PP_Grid[#Data],$DD501,28),0)</f>
        <v/>
      </c>
      <c r="AE501">
        <f>IFERROR(INDEX(PP_Grid[#Data],$DD501,29),0)</f>
        <v/>
      </c>
      <c r="AF501">
        <f>IFERROR(INDEX(PP_Grid[#Data],$DD501,30),0)</f>
        <v/>
      </c>
      <c r="AG501">
        <f>IFERROR(INDEX(PP_Grid[#Data],$DD501,31),0)</f>
        <v/>
      </c>
      <c r="AH501">
        <f>IFERROR(INDEX(PP_Grid[#Data],$DD501,32),0)</f>
        <v/>
      </c>
      <c r="AI501">
        <f>IFERROR(INDEX(PP_Grid[#Data],$DD501,33),0)</f>
        <v/>
      </c>
      <c r="AJ501">
        <f>IFERROR(INDEX(PP_Grid[#Data],$DD501,34),0)</f>
        <v/>
      </c>
      <c r="AK501">
        <f>IFERROR(INDEX(PP_Grid[#Data],$DD501,35),0)</f>
        <v/>
      </c>
      <c r="AL501">
        <f>IFERROR(INDEX(PP_Grid[#Data],$DD501,36),0)</f>
        <v/>
      </c>
      <c r="AM501">
        <f>IFERROR(INDEX(PP_Grid[#Data],$DD501,37),0)</f>
        <v/>
      </c>
      <c r="AN501">
        <f>IFERROR(INDEX(PP_Grid[#Data],$DD501,38),0)</f>
        <v/>
      </c>
      <c r="AO501">
        <f>IFERROR(INDEX(PP_Grid[#Data],$DD501,39),0)</f>
        <v/>
      </c>
      <c r="AP501">
        <f>IFERROR(INDEX(PP_Grid[#Data],$DD501,40),0)</f>
        <v/>
      </c>
      <c r="AQ501">
        <f>IFERROR(INDEX(PP_Grid[#Data],$DD501,41),0)</f>
        <v/>
      </c>
      <c r="AR501">
        <f>IFERROR(INDEX(PP_Grid[#Data],$DD501,42),0)</f>
        <v/>
      </c>
      <c r="AS501">
        <f>IFERROR(INDEX(PP_Grid[#Data],$DD501,43),0)</f>
        <v/>
      </c>
      <c r="AT501">
        <f>IFERROR(INDEX(PP_Grid[#Data],$DD501,44),0)</f>
        <v/>
      </c>
      <c r="AU501">
        <f>IFERROR(INDEX(PP_Grid[#Data],$DD501,45),0)</f>
        <v/>
      </c>
      <c r="AV501">
        <f>IFERROR(INDEX(PP_Grid[#Data],$DD501,46),0)</f>
        <v/>
      </c>
      <c r="AW501">
        <f>IFERROR(INDEX(PP_Grid[#Data],$DD501,47),0)</f>
        <v/>
      </c>
      <c r="AX501">
        <f>IFERROR(INDEX(PP_Grid[#Data],$DD501,48),0)</f>
        <v/>
      </c>
      <c r="AY501">
        <f>IFERROR(INDEX(PP_Grid[#Data],$DD501,49),0)</f>
        <v/>
      </c>
      <c r="AZ501">
        <f>IFERROR(INDEX(PP_Grid[#Data],$DD501,50),0)</f>
        <v/>
      </c>
      <c r="BA501">
        <f>IFERROR(INDEX(PP_Grid[#Data],$DD501,51),0)</f>
        <v/>
      </c>
      <c r="BB501">
        <f>IFERROR(INDEX(PP_Grid[#Data],$DD501,52),0)</f>
        <v/>
      </c>
      <c r="BC501">
        <f>IFERROR(INDEX(PP_Grid[#Data],$DD501,53),0)</f>
        <v/>
      </c>
      <c r="BD501">
        <f>IFERROR(INDEX(PP_Grid[#Data],$DD501,54),0)</f>
        <v/>
      </c>
      <c r="BE501">
        <f>IFERROR(INDEX(PP_Grid[#Data],$DD501,55),0)</f>
        <v/>
      </c>
      <c r="BF501">
        <f>IFERROR(INDEX(PP_Grid[#Data],$DD501,56),0)</f>
        <v/>
      </c>
      <c r="BG501">
        <f>IFERROR(INDEX(PP_Grid[#Data],$DD501,57),0)</f>
        <v/>
      </c>
      <c r="BH501">
        <f>IFERROR(INDEX(PP_Grid[#Data],$DD501,58),0)</f>
        <v/>
      </c>
      <c r="BI501">
        <f>IFERROR(INDEX(PP_Grid[#Data],$DD501,59),0)</f>
        <v/>
      </c>
      <c r="BJ501">
        <f>IFERROR(INDEX(PP_Grid[#Data],$DD501,60),0)</f>
        <v/>
      </c>
      <c r="BK501">
        <f>IFERROR(INDEX(PP_Grid[#Data],$DD501,61),0)</f>
        <v/>
      </c>
      <c r="BL501">
        <f>IFERROR(INDEX(PP_Grid[#Data],$DD501,62),0)</f>
        <v/>
      </c>
      <c r="BM501">
        <f>IFERROR(INDEX(PP_Grid[#Data],$DD501,63),0)</f>
        <v/>
      </c>
      <c r="BN501">
        <f>IFERROR(INDEX(PP_Grid[#Data],$DD501,64),0)</f>
        <v/>
      </c>
      <c r="BO501">
        <f>IFERROR(INDEX(PP_Grid[#Data],$DD501,65),0)</f>
        <v/>
      </c>
      <c r="BP501">
        <f>IFERROR(INDEX(PP_Grid[#Data],$DD501,66),0)</f>
        <v/>
      </c>
      <c r="BQ501">
        <f>IFERROR(INDEX(PP_Grid[#Data],$DD501,67),0)</f>
        <v/>
      </c>
      <c r="BR501">
        <f>IFERROR(INDEX(PP_Grid[#Data],$DD501,68),0)</f>
        <v/>
      </c>
      <c r="BS501">
        <f>IFERROR(INDEX(PP_Grid[#Data],$DD501,69),0)</f>
        <v/>
      </c>
      <c r="BT501">
        <f>IFERROR(INDEX(PP_Grid[#Data],$DD501,70),0)</f>
        <v/>
      </c>
      <c r="BU501">
        <f>IFERROR(INDEX(PP_Grid[#Data],$DD501,71),0)</f>
        <v/>
      </c>
      <c r="BV501">
        <f>IFERROR(INDEX(PP_Grid[#Data],$DD501,72),0)</f>
        <v/>
      </c>
      <c r="BW501">
        <f>IFERROR(INDEX(PP_Grid[#Data],$DD501,73),0)</f>
        <v/>
      </c>
      <c r="BX501">
        <f>IFERROR(INDEX(PP_Grid[#Data],$DD501,74),0)</f>
        <v/>
      </c>
      <c r="BY501">
        <f>IFERROR(INDEX(PP_Grid[#Data],$DD501,75),0)</f>
        <v/>
      </c>
      <c r="BZ501">
        <f>IFERROR(INDEX(PP_Grid[#Data],$DD501,76),0)</f>
        <v/>
      </c>
      <c r="CA501">
        <f>IFERROR(INDEX(PP_Grid[#Data],$DD501,77),0)</f>
        <v/>
      </c>
      <c r="CB501">
        <f>IFERROR(INDEX(PP_Grid[#Data],$DD501,78),0)</f>
        <v/>
      </c>
      <c r="CC501">
        <f>IFERROR(INDEX(PP_Grid[#Data],$DD501,79),0)</f>
        <v/>
      </c>
      <c r="CD501">
        <f>IFERROR(INDEX(PP_Grid[#Data],$DD501,80),0)</f>
        <v/>
      </c>
      <c r="CE501">
        <f>IFERROR(INDEX(PP_Grid[#Data],$DD501,81),0)</f>
        <v/>
      </c>
      <c r="CF501">
        <f>IFERROR(INDEX(PP_Grid[#Data],$DD501,82),0)</f>
        <v/>
      </c>
      <c r="CG501">
        <f>IFERROR(INDEX(PP_Grid[#Data],$DD501,83),0)</f>
        <v/>
      </c>
      <c r="CH501">
        <f>IFERROR(INDEX(PP_Grid[#Data],$DD501,84),0)</f>
        <v/>
      </c>
      <c r="CI501">
        <f>IFERROR(INDEX(PP_Grid[#Data],$DD501,85),0)</f>
        <v/>
      </c>
      <c r="CJ501">
        <f>IFERROR(INDEX(PP_Grid[#Data],$DD501,86),0)</f>
        <v/>
      </c>
      <c r="CK501">
        <f>IFERROR(INDEX(PP_Grid[#Data],$DD501,87),0)</f>
        <v/>
      </c>
      <c r="CL501">
        <f>IFERROR(INDEX(PP_Grid[#Data],$DD501,88),0)</f>
        <v/>
      </c>
      <c r="CM501">
        <f>IFERROR(INDEX(PP_Grid[#Data],$DD501,89),0)</f>
        <v/>
      </c>
      <c r="CN501">
        <f>IFERROR(INDEX(PP_Grid[#Data],$DD501,90),0)</f>
        <v/>
      </c>
      <c r="CO501">
        <f>IFERROR(INDEX(PP_Grid[#Data],$DD501,91),0)</f>
        <v/>
      </c>
      <c r="CP501">
        <f>IFERROR(INDEX(PP_Grid[#Data],$DD501,92),0)</f>
        <v/>
      </c>
      <c r="CQ501">
        <f>IFERROR(INDEX(PP_Grid[#Data],$DD501,93),0)</f>
        <v/>
      </c>
      <c r="CR501">
        <f>IFERROR(INDEX(PP_Grid[#Data],$DD501,94),0)</f>
        <v/>
      </c>
      <c r="CS501">
        <f>IFERROR(INDEX(PP_Grid[#Data],$DD501,95),0)</f>
        <v/>
      </c>
      <c r="CT501">
        <f>IFERROR(INDEX(PP_Grid[#Data],$DD501,96),0)</f>
        <v/>
      </c>
      <c r="CU501">
        <f>IFERROR(INDEX(PP_Grid[#Data],$DD501,97),0)</f>
        <v/>
      </c>
      <c r="CV501">
        <f>IFERROR(INDEX(PP_Grid[#Data],$DD501,98),0)</f>
        <v/>
      </c>
      <c r="CW501">
        <f>IFERROR(INDEX(PP_Grid[#Data],$DD501,99),0)</f>
        <v/>
      </c>
      <c r="CX501">
        <f>IFERROR(INDEX(PP_Grid[#Data],$DD501,100),0)</f>
        <v/>
      </c>
      <c r="CY501">
        <f>IFERROR(INDEX(PP_Grid[#Data],$DD501,101),0)</f>
        <v/>
      </c>
      <c r="CZ501">
        <f>IFERROR(INDEX(PP_Grid[#Data],$DD501,102),0)</f>
        <v/>
      </c>
      <c r="DA501">
        <f>IFERROR(INDEX(PP_Grid[#Data],$DD501,103),0)</f>
        <v/>
      </c>
      <c r="DB501">
        <f>IFERROR(INDEX(PP_Grid[#Data],$DD501,104),0)</f>
        <v/>
      </c>
      <c r="DC501">
        <f>IFERROR(INDEX(PP_Grid[#Data],$DD501,105),0)</f>
        <v/>
      </c>
      <c r="DD501" s="7">
        <f>IFERROR(MATCH($B501,PP_Grid[Intermediate],0),99999)</f>
        <v/>
      </c>
    </row>
    <row r="502">
      <c r="B502" t="inlineStr">
        <is>
          <t>使用量(kg)</t>
        </is>
      </c>
      <c r="C502">
        <f>SUMIFS(M_BOM[RM_Qty_Per_Batch],M_BOM[Intermediate],$B501,M_BOM[Part Name],$A500)</f>
        <v/>
      </c>
      <c r="D502">
        <f>$C502*D501</f>
        <v/>
      </c>
      <c r="E502">
        <f>$C502*E501</f>
        <v/>
      </c>
      <c r="F502">
        <f>$C502*F501</f>
        <v/>
      </c>
      <c r="G502">
        <f>$C502*G501</f>
        <v/>
      </c>
      <c r="H502">
        <f>$C502*H501</f>
        <v/>
      </c>
      <c r="I502">
        <f>$C502*I501</f>
        <v/>
      </c>
      <c r="J502">
        <f>$C502*J501</f>
        <v/>
      </c>
      <c r="K502">
        <f>$C502*K501</f>
        <v/>
      </c>
      <c r="L502">
        <f>$C502*L501</f>
        <v/>
      </c>
      <c r="M502">
        <f>$C502*M501</f>
        <v/>
      </c>
      <c r="N502">
        <f>$C502*N501</f>
        <v/>
      </c>
      <c r="O502">
        <f>$C502*O501</f>
        <v/>
      </c>
      <c r="P502">
        <f>$C502*P501</f>
        <v/>
      </c>
      <c r="Q502">
        <f>$C502*Q501</f>
        <v/>
      </c>
      <c r="R502">
        <f>$C502*R501</f>
        <v/>
      </c>
      <c r="S502">
        <f>$C502*S501</f>
        <v/>
      </c>
      <c r="T502">
        <f>$C502*T501</f>
        <v/>
      </c>
      <c r="U502">
        <f>$C502*U501</f>
        <v/>
      </c>
      <c r="V502">
        <f>$C502*V501</f>
        <v/>
      </c>
      <c r="W502">
        <f>$C502*W501</f>
        <v/>
      </c>
      <c r="X502">
        <f>$C502*X501</f>
        <v/>
      </c>
      <c r="Y502">
        <f>$C502*Y501</f>
        <v/>
      </c>
      <c r="Z502">
        <f>$C502*Z501</f>
        <v/>
      </c>
      <c r="AA502">
        <f>$C502*AA501</f>
        <v/>
      </c>
      <c r="AB502">
        <f>$C502*AB501</f>
        <v/>
      </c>
      <c r="AC502">
        <f>$C502*AC501</f>
        <v/>
      </c>
      <c r="AD502">
        <f>$C502*AD501</f>
        <v/>
      </c>
      <c r="AE502">
        <f>$C502*AE501</f>
        <v/>
      </c>
      <c r="AF502">
        <f>$C502*AF501</f>
        <v/>
      </c>
      <c r="AG502">
        <f>$C502*AG501</f>
        <v/>
      </c>
      <c r="AH502">
        <f>$C502*AH501</f>
        <v/>
      </c>
      <c r="AI502">
        <f>$C502*AI501</f>
        <v/>
      </c>
      <c r="AJ502">
        <f>$C502*AJ501</f>
        <v/>
      </c>
      <c r="AK502">
        <f>$C502*AK501</f>
        <v/>
      </c>
      <c r="AL502">
        <f>$C502*AL501</f>
        <v/>
      </c>
      <c r="AM502">
        <f>$C502*AM501</f>
        <v/>
      </c>
      <c r="AN502">
        <f>$C502*AN501</f>
        <v/>
      </c>
      <c r="AO502">
        <f>$C502*AO501</f>
        <v/>
      </c>
      <c r="AP502">
        <f>$C502*AP501</f>
        <v/>
      </c>
      <c r="AQ502">
        <f>$C502*AQ501</f>
        <v/>
      </c>
      <c r="AR502">
        <f>$C502*AR501</f>
        <v/>
      </c>
      <c r="AS502">
        <f>$C502*AS501</f>
        <v/>
      </c>
      <c r="AT502">
        <f>$C502*AT501</f>
        <v/>
      </c>
      <c r="AU502">
        <f>$C502*AU501</f>
        <v/>
      </c>
      <c r="AV502">
        <f>$C502*AV501</f>
        <v/>
      </c>
      <c r="AW502">
        <f>$C502*AW501</f>
        <v/>
      </c>
      <c r="AX502">
        <f>$C502*AX501</f>
        <v/>
      </c>
      <c r="AY502">
        <f>$C502*AY501</f>
        <v/>
      </c>
      <c r="AZ502">
        <f>$C502*AZ501</f>
        <v/>
      </c>
      <c r="BA502">
        <f>$C502*BA501</f>
        <v/>
      </c>
      <c r="BB502">
        <f>$C502*BB501</f>
        <v/>
      </c>
      <c r="BC502">
        <f>$C502*BC501</f>
        <v/>
      </c>
      <c r="BD502">
        <f>$C502*BD501</f>
        <v/>
      </c>
      <c r="BE502">
        <f>$C502*BE501</f>
        <v/>
      </c>
      <c r="BF502">
        <f>$C502*BF501</f>
        <v/>
      </c>
      <c r="BG502">
        <f>$C502*BG501</f>
        <v/>
      </c>
      <c r="BH502">
        <f>$C502*BH501</f>
        <v/>
      </c>
      <c r="BI502">
        <f>$C502*BI501</f>
        <v/>
      </c>
      <c r="BJ502">
        <f>$C502*BJ501</f>
        <v/>
      </c>
      <c r="BK502">
        <f>$C502*BK501</f>
        <v/>
      </c>
      <c r="BL502">
        <f>$C502*BL501</f>
        <v/>
      </c>
      <c r="BM502">
        <f>$C502*BM501</f>
        <v/>
      </c>
      <c r="BN502">
        <f>$C502*BN501</f>
        <v/>
      </c>
      <c r="BO502">
        <f>$C502*BO501</f>
        <v/>
      </c>
      <c r="BP502">
        <f>$C502*BP501</f>
        <v/>
      </c>
      <c r="BQ502">
        <f>$C502*BQ501</f>
        <v/>
      </c>
      <c r="BR502">
        <f>$C502*BR501</f>
        <v/>
      </c>
      <c r="BS502">
        <f>$C502*BS501</f>
        <v/>
      </c>
      <c r="BT502">
        <f>$C502*BT501</f>
        <v/>
      </c>
      <c r="BU502">
        <f>$C502*BU501</f>
        <v/>
      </c>
      <c r="BV502">
        <f>$C502*BV501</f>
        <v/>
      </c>
      <c r="BW502">
        <f>$C502*BW501</f>
        <v/>
      </c>
      <c r="BX502">
        <f>$C502*BX501</f>
        <v/>
      </c>
      <c r="BY502">
        <f>$C502*BY501</f>
        <v/>
      </c>
      <c r="BZ502">
        <f>$C502*BZ501</f>
        <v/>
      </c>
      <c r="CA502">
        <f>$C502*CA501</f>
        <v/>
      </c>
      <c r="CB502">
        <f>$C502*CB501</f>
        <v/>
      </c>
      <c r="CC502">
        <f>$C502*CC501</f>
        <v/>
      </c>
      <c r="CD502">
        <f>$C502*CD501</f>
        <v/>
      </c>
      <c r="CE502">
        <f>$C502*CE501</f>
        <v/>
      </c>
      <c r="CF502">
        <f>$C502*CF501</f>
        <v/>
      </c>
      <c r="CG502">
        <f>$C502*CG501</f>
        <v/>
      </c>
      <c r="CH502">
        <f>$C502*CH501</f>
        <v/>
      </c>
      <c r="CI502">
        <f>$C502*CI501</f>
        <v/>
      </c>
      <c r="CJ502">
        <f>$C502*CJ501</f>
        <v/>
      </c>
      <c r="CK502">
        <f>$C502*CK501</f>
        <v/>
      </c>
      <c r="CL502">
        <f>$C502*CL501</f>
        <v/>
      </c>
      <c r="CM502">
        <f>$C502*CM501</f>
        <v/>
      </c>
      <c r="CN502">
        <f>$C502*CN501</f>
        <v/>
      </c>
      <c r="CO502">
        <f>$C502*CO501</f>
        <v/>
      </c>
      <c r="CP502">
        <f>$C502*CP501</f>
        <v/>
      </c>
      <c r="CQ502">
        <f>$C502*CQ501</f>
        <v/>
      </c>
      <c r="CR502">
        <f>$C502*CR501</f>
        <v/>
      </c>
      <c r="CS502">
        <f>$C502*CS501</f>
        <v/>
      </c>
      <c r="CT502">
        <f>$C502*CT501</f>
        <v/>
      </c>
      <c r="CU502">
        <f>$C502*CU501</f>
        <v/>
      </c>
      <c r="CV502">
        <f>$C502*CV501</f>
        <v/>
      </c>
      <c r="CW502">
        <f>$C502*CW501</f>
        <v/>
      </c>
      <c r="CX502">
        <f>$C502*CX501</f>
        <v/>
      </c>
      <c r="CY502">
        <f>$C502*CY501</f>
        <v/>
      </c>
      <c r="CZ502">
        <f>$C502*CZ501</f>
        <v/>
      </c>
      <c r="DA502">
        <f>$C502*DA501</f>
        <v/>
      </c>
      <c r="DB502">
        <f>$C502*DB501</f>
        <v/>
      </c>
      <c r="DC502">
        <f>$C502*DC501</f>
        <v/>
      </c>
    </row>
    <row r="503">
      <c r="B503" t="inlineStr">
        <is>
          <t>TSP-828</t>
        </is>
      </c>
      <c r="C503" t="inlineStr">
        <is>
          <t>No. of batches</t>
        </is>
      </c>
      <c r="D503">
        <f>IFERROR(INDEX(PP_Grid[#Data],$DD503,2),0)</f>
        <v/>
      </c>
      <c r="E503">
        <f>IFERROR(INDEX(PP_Grid[#Data],$DD503,3),0)</f>
        <v/>
      </c>
      <c r="F503">
        <f>IFERROR(INDEX(PP_Grid[#Data],$DD503,4),0)</f>
        <v/>
      </c>
      <c r="G503">
        <f>IFERROR(INDEX(PP_Grid[#Data],$DD503,5),0)</f>
        <v/>
      </c>
      <c r="H503">
        <f>IFERROR(INDEX(PP_Grid[#Data],$DD503,6),0)</f>
        <v/>
      </c>
      <c r="I503">
        <f>IFERROR(INDEX(PP_Grid[#Data],$DD503,7),0)</f>
        <v/>
      </c>
      <c r="J503">
        <f>IFERROR(INDEX(PP_Grid[#Data],$DD503,8),0)</f>
        <v/>
      </c>
      <c r="K503">
        <f>IFERROR(INDEX(PP_Grid[#Data],$DD503,9),0)</f>
        <v/>
      </c>
      <c r="L503">
        <f>IFERROR(INDEX(PP_Grid[#Data],$DD503,10),0)</f>
        <v/>
      </c>
      <c r="M503">
        <f>IFERROR(INDEX(PP_Grid[#Data],$DD503,11),0)</f>
        <v/>
      </c>
      <c r="N503">
        <f>IFERROR(INDEX(PP_Grid[#Data],$DD503,12),0)</f>
        <v/>
      </c>
      <c r="O503">
        <f>IFERROR(INDEX(PP_Grid[#Data],$DD503,13),0)</f>
        <v/>
      </c>
      <c r="P503">
        <f>IFERROR(INDEX(PP_Grid[#Data],$DD503,14),0)</f>
        <v/>
      </c>
      <c r="Q503">
        <f>IFERROR(INDEX(PP_Grid[#Data],$DD503,15),0)</f>
        <v/>
      </c>
      <c r="R503">
        <f>IFERROR(INDEX(PP_Grid[#Data],$DD503,16),0)</f>
        <v/>
      </c>
      <c r="S503">
        <f>IFERROR(INDEX(PP_Grid[#Data],$DD503,17),0)</f>
        <v/>
      </c>
      <c r="T503">
        <f>IFERROR(INDEX(PP_Grid[#Data],$DD503,18),0)</f>
        <v/>
      </c>
      <c r="U503">
        <f>IFERROR(INDEX(PP_Grid[#Data],$DD503,19),0)</f>
        <v/>
      </c>
      <c r="V503">
        <f>IFERROR(INDEX(PP_Grid[#Data],$DD503,20),0)</f>
        <v/>
      </c>
      <c r="W503">
        <f>IFERROR(INDEX(PP_Grid[#Data],$DD503,21),0)</f>
        <v/>
      </c>
      <c r="X503">
        <f>IFERROR(INDEX(PP_Grid[#Data],$DD503,22),0)</f>
        <v/>
      </c>
      <c r="Y503">
        <f>IFERROR(INDEX(PP_Grid[#Data],$DD503,23),0)</f>
        <v/>
      </c>
      <c r="Z503">
        <f>IFERROR(INDEX(PP_Grid[#Data],$DD503,24),0)</f>
        <v/>
      </c>
      <c r="AA503">
        <f>IFERROR(INDEX(PP_Grid[#Data],$DD503,25),0)</f>
        <v/>
      </c>
      <c r="AB503">
        <f>IFERROR(INDEX(PP_Grid[#Data],$DD503,26),0)</f>
        <v/>
      </c>
      <c r="AC503">
        <f>IFERROR(INDEX(PP_Grid[#Data],$DD503,27),0)</f>
        <v/>
      </c>
      <c r="AD503">
        <f>IFERROR(INDEX(PP_Grid[#Data],$DD503,28),0)</f>
        <v/>
      </c>
      <c r="AE503">
        <f>IFERROR(INDEX(PP_Grid[#Data],$DD503,29),0)</f>
        <v/>
      </c>
      <c r="AF503">
        <f>IFERROR(INDEX(PP_Grid[#Data],$DD503,30),0)</f>
        <v/>
      </c>
      <c r="AG503">
        <f>IFERROR(INDEX(PP_Grid[#Data],$DD503,31),0)</f>
        <v/>
      </c>
      <c r="AH503">
        <f>IFERROR(INDEX(PP_Grid[#Data],$DD503,32),0)</f>
        <v/>
      </c>
      <c r="AI503">
        <f>IFERROR(INDEX(PP_Grid[#Data],$DD503,33),0)</f>
        <v/>
      </c>
      <c r="AJ503">
        <f>IFERROR(INDEX(PP_Grid[#Data],$DD503,34),0)</f>
        <v/>
      </c>
      <c r="AK503">
        <f>IFERROR(INDEX(PP_Grid[#Data],$DD503,35),0)</f>
        <v/>
      </c>
      <c r="AL503">
        <f>IFERROR(INDEX(PP_Grid[#Data],$DD503,36),0)</f>
        <v/>
      </c>
      <c r="AM503">
        <f>IFERROR(INDEX(PP_Grid[#Data],$DD503,37),0)</f>
        <v/>
      </c>
      <c r="AN503">
        <f>IFERROR(INDEX(PP_Grid[#Data],$DD503,38),0)</f>
        <v/>
      </c>
      <c r="AO503">
        <f>IFERROR(INDEX(PP_Grid[#Data],$DD503,39),0)</f>
        <v/>
      </c>
      <c r="AP503">
        <f>IFERROR(INDEX(PP_Grid[#Data],$DD503,40),0)</f>
        <v/>
      </c>
      <c r="AQ503">
        <f>IFERROR(INDEX(PP_Grid[#Data],$DD503,41),0)</f>
        <v/>
      </c>
      <c r="AR503">
        <f>IFERROR(INDEX(PP_Grid[#Data],$DD503,42),0)</f>
        <v/>
      </c>
      <c r="AS503">
        <f>IFERROR(INDEX(PP_Grid[#Data],$DD503,43),0)</f>
        <v/>
      </c>
      <c r="AT503">
        <f>IFERROR(INDEX(PP_Grid[#Data],$DD503,44),0)</f>
        <v/>
      </c>
      <c r="AU503">
        <f>IFERROR(INDEX(PP_Grid[#Data],$DD503,45),0)</f>
        <v/>
      </c>
      <c r="AV503">
        <f>IFERROR(INDEX(PP_Grid[#Data],$DD503,46),0)</f>
        <v/>
      </c>
      <c r="AW503">
        <f>IFERROR(INDEX(PP_Grid[#Data],$DD503,47),0)</f>
        <v/>
      </c>
      <c r="AX503">
        <f>IFERROR(INDEX(PP_Grid[#Data],$DD503,48),0)</f>
        <v/>
      </c>
      <c r="AY503">
        <f>IFERROR(INDEX(PP_Grid[#Data],$DD503,49),0)</f>
        <v/>
      </c>
      <c r="AZ503">
        <f>IFERROR(INDEX(PP_Grid[#Data],$DD503,50),0)</f>
        <v/>
      </c>
      <c r="BA503">
        <f>IFERROR(INDEX(PP_Grid[#Data],$DD503,51),0)</f>
        <v/>
      </c>
      <c r="BB503">
        <f>IFERROR(INDEX(PP_Grid[#Data],$DD503,52),0)</f>
        <v/>
      </c>
      <c r="BC503">
        <f>IFERROR(INDEX(PP_Grid[#Data],$DD503,53),0)</f>
        <v/>
      </c>
      <c r="BD503">
        <f>IFERROR(INDEX(PP_Grid[#Data],$DD503,54),0)</f>
        <v/>
      </c>
      <c r="BE503">
        <f>IFERROR(INDEX(PP_Grid[#Data],$DD503,55),0)</f>
        <v/>
      </c>
      <c r="BF503">
        <f>IFERROR(INDEX(PP_Grid[#Data],$DD503,56),0)</f>
        <v/>
      </c>
      <c r="BG503">
        <f>IFERROR(INDEX(PP_Grid[#Data],$DD503,57),0)</f>
        <v/>
      </c>
      <c r="BH503">
        <f>IFERROR(INDEX(PP_Grid[#Data],$DD503,58),0)</f>
        <v/>
      </c>
      <c r="BI503">
        <f>IFERROR(INDEX(PP_Grid[#Data],$DD503,59),0)</f>
        <v/>
      </c>
      <c r="BJ503">
        <f>IFERROR(INDEX(PP_Grid[#Data],$DD503,60),0)</f>
        <v/>
      </c>
      <c r="BK503">
        <f>IFERROR(INDEX(PP_Grid[#Data],$DD503,61),0)</f>
        <v/>
      </c>
      <c r="BL503">
        <f>IFERROR(INDEX(PP_Grid[#Data],$DD503,62),0)</f>
        <v/>
      </c>
      <c r="BM503">
        <f>IFERROR(INDEX(PP_Grid[#Data],$DD503,63),0)</f>
        <v/>
      </c>
      <c r="BN503">
        <f>IFERROR(INDEX(PP_Grid[#Data],$DD503,64),0)</f>
        <v/>
      </c>
      <c r="BO503">
        <f>IFERROR(INDEX(PP_Grid[#Data],$DD503,65),0)</f>
        <v/>
      </c>
      <c r="BP503">
        <f>IFERROR(INDEX(PP_Grid[#Data],$DD503,66),0)</f>
        <v/>
      </c>
      <c r="BQ503">
        <f>IFERROR(INDEX(PP_Grid[#Data],$DD503,67),0)</f>
        <v/>
      </c>
      <c r="BR503">
        <f>IFERROR(INDEX(PP_Grid[#Data],$DD503,68),0)</f>
        <v/>
      </c>
      <c r="BS503">
        <f>IFERROR(INDEX(PP_Grid[#Data],$DD503,69),0)</f>
        <v/>
      </c>
      <c r="BT503">
        <f>IFERROR(INDEX(PP_Grid[#Data],$DD503,70),0)</f>
        <v/>
      </c>
      <c r="BU503">
        <f>IFERROR(INDEX(PP_Grid[#Data],$DD503,71),0)</f>
        <v/>
      </c>
      <c r="BV503">
        <f>IFERROR(INDEX(PP_Grid[#Data],$DD503,72),0)</f>
        <v/>
      </c>
      <c r="BW503">
        <f>IFERROR(INDEX(PP_Grid[#Data],$DD503,73),0)</f>
        <v/>
      </c>
      <c r="BX503">
        <f>IFERROR(INDEX(PP_Grid[#Data],$DD503,74),0)</f>
        <v/>
      </c>
      <c r="BY503">
        <f>IFERROR(INDEX(PP_Grid[#Data],$DD503,75),0)</f>
        <v/>
      </c>
      <c r="BZ503">
        <f>IFERROR(INDEX(PP_Grid[#Data],$DD503,76),0)</f>
        <v/>
      </c>
      <c r="CA503">
        <f>IFERROR(INDEX(PP_Grid[#Data],$DD503,77),0)</f>
        <v/>
      </c>
      <c r="CB503">
        <f>IFERROR(INDEX(PP_Grid[#Data],$DD503,78),0)</f>
        <v/>
      </c>
      <c r="CC503">
        <f>IFERROR(INDEX(PP_Grid[#Data],$DD503,79),0)</f>
        <v/>
      </c>
      <c r="CD503">
        <f>IFERROR(INDEX(PP_Grid[#Data],$DD503,80),0)</f>
        <v/>
      </c>
      <c r="CE503">
        <f>IFERROR(INDEX(PP_Grid[#Data],$DD503,81),0)</f>
        <v/>
      </c>
      <c r="CF503">
        <f>IFERROR(INDEX(PP_Grid[#Data],$DD503,82),0)</f>
        <v/>
      </c>
      <c r="CG503">
        <f>IFERROR(INDEX(PP_Grid[#Data],$DD503,83),0)</f>
        <v/>
      </c>
      <c r="CH503">
        <f>IFERROR(INDEX(PP_Grid[#Data],$DD503,84),0)</f>
        <v/>
      </c>
      <c r="CI503">
        <f>IFERROR(INDEX(PP_Grid[#Data],$DD503,85),0)</f>
        <v/>
      </c>
      <c r="CJ503">
        <f>IFERROR(INDEX(PP_Grid[#Data],$DD503,86),0)</f>
        <v/>
      </c>
      <c r="CK503">
        <f>IFERROR(INDEX(PP_Grid[#Data],$DD503,87),0)</f>
        <v/>
      </c>
      <c r="CL503">
        <f>IFERROR(INDEX(PP_Grid[#Data],$DD503,88),0)</f>
        <v/>
      </c>
      <c r="CM503">
        <f>IFERROR(INDEX(PP_Grid[#Data],$DD503,89),0)</f>
        <v/>
      </c>
      <c r="CN503">
        <f>IFERROR(INDEX(PP_Grid[#Data],$DD503,90),0)</f>
        <v/>
      </c>
      <c r="CO503">
        <f>IFERROR(INDEX(PP_Grid[#Data],$DD503,91),0)</f>
        <v/>
      </c>
      <c r="CP503">
        <f>IFERROR(INDEX(PP_Grid[#Data],$DD503,92),0)</f>
        <v/>
      </c>
      <c r="CQ503">
        <f>IFERROR(INDEX(PP_Grid[#Data],$DD503,93),0)</f>
        <v/>
      </c>
      <c r="CR503">
        <f>IFERROR(INDEX(PP_Grid[#Data],$DD503,94),0)</f>
        <v/>
      </c>
      <c r="CS503">
        <f>IFERROR(INDEX(PP_Grid[#Data],$DD503,95),0)</f>
        <v/>
      </c>
      <c r="CT503">
        <f>IFERROR(INDEX(PP_Grid[#Data],$DD503,96),0)</f>
        <v/>
      </c>
      <c r="CU503">
        <f>IFERROR(INDEX(PP_Grid[#Data],$DD503,97),0)</f>
        <v/>
      </c>
      <c r="CV503">
        <f>IFERROR(INDEX(PP_Grid[#Data],$DD503,98),0)</f>
        <v/>
      </c>
      <c r="CW503">
        <f>IFERROR(INDEX(PP_Grid[#Data],$DD503,99),0)</f>
        <v/>
      </c>
      <c r="CX503">
        <f>IFERROR(INDEX(PP_Grid[#Data],$DD503,100),0)</f>
        <v/>
      </c>
      <c r="CY503">
        <f>IFERROR(INDEX(PP_Grid[#Data],$DD503,101),0)</f>
        <v/>
      </c>
      <c r="CZ503">
        <f>IFERROR(INDEX(PP_Grid[#Data],$DD503,102),0)</f>
        <v/>
      </c>
      <c r="DA503">
        <f>IFERROR(INDEX(PP_Grid[#Data],$DD503,103),0)</f>
        <v/>
      </c>
      <c r="DB503">
        <f>IFERROR(INDEX(PP_Grid[#Data],$DD503,104),0)</f>
        <v/>
      </c>
      <c r="DC503">
        <f>IFERROR(INDEX(PP_Grid[#Data],$DD503,105),0)</f>
        <v/>
      </c>
      <c r="DD503" s="7">
        <f>IFERROR(MATCH($B503,PP_Grid[Intermediate],0),99999)</f>
        <v/>
      </c>
    </row>
    <row r="504">
      <c r="B504" t="inlineStr">
        <is>
          <t>使用量(kg)</t>
        </is>
      </c>
      <c r="C504">
        <f>SUMIFS(M_BOM[RM_Qty_Per_Batch],M_BOM[Intermediate],$B503,M_BOM[Part Name],$A500)</f>
        <v/>
      </c>
      <c r="D504">
        <f>$C504*D503</f>
        <v/>
      </c>
      <c r="E504">
        <f>$C504*E503</f>
        <v/>
      </c>
      <c r="F504">
        <f>$C504*F503</f>
        <v/>
      </c>
      <c r="G504">
        <f>$C504*G503</f>
        <v/>
      </c>
      <c r="H504">
        <f>$C504*H503</f>
        <v/>
      </c>
      <c r="I504">
        <f>$C504*I503</f>
        <v/>
      </c>
      <c r="J504">
        <f>$C504*J503</f>
        <v/>
      </c>
      <c r="K504">
        <f>$C504*K503</f>
        <v/>
      </c>
      <c r="L504">
        <f>$C504*L503</f>
        <v/>
      </c>
      <c r="M504">
        <f>$C504*M503</f>
        <v/>
      </c>
      <c r="N504">
        <f>$C504*N503</f>
        <v/>
      </c>
      <c r="O504">
        <f>$C504*O503</f>
        <v/>
      </c>
      <c r="P504">
        <f>$C504*P503</f>
        <v/>
      </c>
      <c r="Q504">
        <f>$C504*Q503</f>
        <v/>
      </c>
      <c r="R504">
        <f>$C504*R503</f>
        <v/>
      </c>
      <c r="S504">
        <f>$C504*S503</f>
        <v/>
      </c>
      <c r="T504">
        <f>$C504*T503</f>
        <v/>
      </c>
      <c r="U504">
        <f>$C504*U503</f>
        <v/>
      </c>
      <c r="V504">
        <f>$C504*V503</f>
        <v/>
      </c>
      <c r="W504">
        <f>$C504*W503</f>
        <v/>
      </c>
      <c r="X504">
        <f>$C504*X503</f>
        <v/>
      </c>
      <c r="Y504">
        <f>$C504*Y503</f>
        <v/>
      </c>
      <c r="Z504">
        <f>$C504*Z503</f>
        <v/>
      </c>
      <c r="AA504">
        <f>$C504*AA503</f>
        <v/>
      </c>
      <c r="AB504">
        <f>$C504*AB503</f>
        <v/>
      </c>
      <c r="AC504">
        <f>$C504*AC503</f>
        <v/>
      </c>
      <c r="AD504">
        <f>$C504*AD503</f>
        <v/>
      </c>
      <c r="AE504">
        <f>$C504*AE503</f>
        <v/>
      </c>
      <c r="AF504">
        <f>$C504*AF503</f>
        <v/>
      </c>
      <c r="AG504">
        <f>$C504*AG503</f>
        <v/>
      </c>
      <c r="AH504">
        <f>$C504*AH503</f>
        <v/>
      </c>
      <c r="AI504">
        <f>$C504*AI503</f>
        <v/>
      </c>
      <c r="AJ504">
        <f>$C504*AJ503</f>
        <v/>
      </c>
      <c r="AK504">
        <f>$C504*AK503</f>
        <v/>
      </c>
      <c r="AL504">
        <f>$C504*AL503</f>
        <v/>
      </c>
      <c r="AM504">
        <f>$C504*AM503</f>
        <v/>
      </c>
      <c r="AN504">
        <f>$C504*AN503</f>
        <v/>
      </c>
      <c r="AO504">
        <f>$C504*AO503</f>
        <v/>
      </c>
      <c r="AP504">
        <f>$C504*AP503</f>
        <v/>
      </c>
      <c r="AQ504">
        <f>$C504*AQ503</f>
        <v/>
      </c>
      <c r="AR504">
        <f>$C504*AR503</f>
        <v/>
      </c>
      <c r="AS504">
        <f>$C504*AS503</f>
        <v/>
      </c>
      <c r="AT504">
        <f>$C504*AT503</f>
        <v/>
      </c>
      <c r="AU504">
        <f>$C504*AU503</f>
        <v/>
      </c>
      <c r="AV504">
        <f>$C504*AV503</f>
        <v/>
      </c>
      <c r="AW504">
        <f>$C504*AW503</f>
        <v/>
      </c>
      <c r="AX504">
        <f>$C504*AX503</f>
        <v/>
      </c>
      <c r="AY504">
        <f>$C504*AY503</f>
        <v/>
      </c>
      <c r="AZ504">
        <f>$C504*AZ503</f>
        <v/>
      </c>
      <c r="BA504">
        <f>$C504*BA503</f>
        <v/>
      </c>
      <c r="BB504">
        <f>$C504*BB503</f>
        <v/>
      </c>
      <c r="BC504">
        <f>$C504*BC503</f>
        <v/>
      </c>
      <c r="BD504">
        <f>$C504*BD503</f>
        <v/>
      </c>
      <c r="BE504">
        <f>$C504*BE503</f>
        <v/>
      </c>
      <c r="BF504">
        <f>$C504*BF503</f>
        <v/>
      </c>
      <c r="BG504">
        <f>$C504*BG503</f>
        <v/>
      </c>
      <c r="BH504">
        <f>$C504*BH503</f>
        <v/>
      </c>
      <c r="BI504">
        <f>$C504*BI503</f>
        <v/>
      </c>
      <c r="BJ504">
        <f>$C504*BJ503</f>
        <v/>
      </c>
      <c r="BK504">
        <f>$C504*BK503</f>
        <v/>
      </c>
      <c r="BL504">
        <f>$C504*BL503</f>
        <v/>
      </c>
      <c r="BM504">
        <f>$C504*BM503</f>
        <v/>
      </c>
      <c r="BN504">
        <f>$C504*BN503</f>
        <v/>
      </c>
      <c r="BO504">
        <f>$C504*BO503</f>
        <v/>
      </c>
      <c r="BP504">
        <f>$C504*BP503</f>
        <v/>
      </c>
      <c r="BQ504">
        <f>$C504*BQ503</f>
        <v/>
      </c>
      <c r="BR504">
        <f>$C504*BR503</f>
        <v/>
      </c>
      <c r="BS504">
        <f>$C504*BS503</f>
        <v/>
      </c>
      <c r="BT504">
        <f>$C504*BT503</f>
        <v/>
      </c>
      <c r="BU504">
        <f>$C504*BU503</f>
        <v/>
      </c>
      <c r="BV504">
        <f>$C504*BV503</f>
        <v/>
      </c>
      <c r="BW504">
        <f>$C504*BW503</f>
        <v/>
      </c>
      <c r="BX504">
        <f>$C504*BX503</f>
        <v/>
      </c>
      <c r="BY504">
        <f>$C504*BY503</f>
        <v/>
      </c>
      <c r="BZ504">
        <f>$C504*BZ503</f>
        <v/>
      </c>
      <c r="CA504">
        <f>$C504*CA503</f>
        <v/>
      </c>
      <c r="CB504">
        <f>$C504*CB503</f>
        <v/>
      </c>
      <c r="CC504">
        <f>$C504*CC503</f>
        <v/>
      </c>
      <c r="CD504">
        <f>$C504*CD503</f>
        <v/>
      </c>
      <c r="CE504">
        <f>$C504*CE503</f>
        <v/>
      </c>
      <c r="CF504">
        <f>$C504*CF503</f>
        <v/>
      </c>
      <c r="CG504">
        <f>$C504*CG503</f>
        <v/>
      </c>
      <c r="CH504">
        <f>$C504*CH503</f>
        <v/>
      </c>
      <c r="CI504">
        <f>$C504*CI503</f>
        <v/>
      </c>
      <c r="CJ504">
        <f>$C504*CJ503</f>
        <v/>
      </c>
      <c r="CK504">
        <f>$C504*CK503</f>
        <v/>
      </c>
      <c r="CL504">
        <f>$C504*CL503</f>
        <v/>
      </c>
      <c r="CM504">
        <f>$C504*CM503</f>
        <v/>
      </c>
      <c r="CN504">
        <f>$C504*CN503</f>
        <v/>
      </c>
      <c r="CO504">
        <f>$C504*CO503</f>
        <v/>
      </c>
      <c r="CP504">
        <f>$C504*CP503</f>
        <v/>
      </c>
      <c r="CQ504">
        <f>$C504*CQ503</f>
        <v/>
      </c>
      <c r="CR504">
        <f>$C504*CR503</f>
        <v/>
      </c>
      <c r="CS504">
        <f>$C504*CS503</f>
        <v/>
      </c>
      <c r="CT504">
        <f>$C504*CT503</f>
        <v/>
      </c>
      <c r="CU504">
        <f>$C504*CU503</f>
        <v/>
      </c>
      <c r="CV504">
        <f>$C504*CV503</f>
        <v/>
      </c>
      <c r="CW504">
        <f>$C504*CW503</f>
        <v/>
      </c>
      <c r="CX504">
        <f>$C504*CX503</f>
        <v/>
      </c>
      <c r="CY504">
        <f>$C504*CY503</f>
        <v/>
      </c>
      <c r="CZ504">
        <f>$C504*CZ503</f>
        <v/>
      </c>
      <c r="DA504">
        <f>$C504*DA503</f>
        <v/>
      </c>
      <c r="DB504">
        <f>$C504*DB503</f>
        <v/>
      </c>
      <c r="DC504">
        <f>$C504*DC503</f>
        <v/>
      </c>
    </row>
    <row r="505">
      <c r="B505" t="inlineStr">
        <is>
          <t>TSZ-616</t>
        </is>
      </c>
      <c r="C505" t="inlineStr">
        <is>
          <t>No. of batches</t>
        </is>
      </c>
      <c r="D505">
        <f>IFERROR(INDEX(PP_Grid[#Data],$DD505,2),0)</f>
        <v/>
      </c>
      <c r="E505">
        <f>IFERROR(INDEX(PP_Grid[#Data],$DD505,3),0)</f>
        <v/>
      </c>
      <c r="F505">
        <f>IFERROR(INDEX(PP_Grid[#Data],$DD505,4),0)</f>
        <v/>
      </c>
      <c r="G505">
        <f>IFERROR(INDEX(PP_Grid[#Data],$DD505,5),0)</f>
        <v/>
      </c>
      <c r="H505">
        <f>IFERROR(INDEX(PP_Grid[#Data],$DD505,6),0)</f>
        <v/>
      </c>
      <c r="I505">
        <f>IFERROR(INDEX(PP_Grid[#Data],$DD505,7),0)</f>
        <v/>
      </c>
      <c r="J505">
        <f>IFERROR(INDEX(PP_Grid[#Data],$DD505,8),0)</f>
        <v/>
      </c>
      <c r="K505">
        <f>IFERROR(INDEX(PP_Grid[#Data],$DD505,9),0)</f>
        <v/>
      </c>
      <c r="L505">
        <f>IFERROR(INDEX(PP_Grid[#Data],$DD505,10),0)</f>
        <v/>
      </c>
      <c r="M505">
        <f>IFERROR(INDEX(PP_Grid[#Data],$DD505,11),0)</f>
        <v/>
      </c>
      <c r="N505">
        <f>IFERROR(INDEX(PP_Grid[#Data],$DD505,12),0)</f>
        <v/>
      </c>
      <c r="O505">
        <f>IFERROR(INDEX(PP_Grid[#Data],$DD505,13),0)</f>
        <v/>
      </c>
      <c r="P505">
        <f>IFERROR(INDEX(PP_Grid[#Data],$DD505,14),0)</f>
        <v/>
      </c>
      <c r="Q505">
        <f>IFERROR(INDEX(PP_Grid[#Data],$DD505,15),0)</f>
        <v/>
      </c>
      <c r="R505">
        <f>IFERROR(INDEX(PP_Grid[#Data],$DD505,16),0)</f>
        <v/>
      </c>
      <c r="S505">
        <f>IFERROR(INDEX(PP_Grid[#Data],$DD505,17),0)</f>
        <v/>
      </c>
      <c r="T505">
        <f>IFERROR(INDEX(PP_Grid[#Data],$DD505,18),0)</f>
        <v/>
      </c>
      <c r="U505">
        <f>IFERROR(INDEX(PP_Grid[#Data],$DD505,19),0)</f>
        <v/>
      </c>
      <c r="V505">
        <f>IFERROR(INDEX(PP_Grid[#Data],$DD505,20),0)</f>
        <v/>
      </c>
      <c r="W505">
        <f>IFERROR(INDEX(PP_Grid[#Data],$DD505,21),0)</f>
        <v/>
      </c>
      <c r="X505">
        <f>IFERROR(INDEX(PP_Grid[#Data],$DD505,22),0)</f>
        <v/>
      </c>
      <c r="Y505">
        <f>IFERROR(INDEX(PP_Grid[#Data],$DD505,23),0)</f>
        <v/>
      </c>
      <c r="Z505">
        <f>IFERROR(INDEX(PP_Grid[#Data],$DD505,24),0)</f>
        <v/>
      </c>
      <c r="AA505">
        <f>IFERROR(INDEX(PP_Grid[#Data],$DD505,25),0)</f>
        <v/>
      </c>
      <c r="AB505">
        <f>IFERROR(INDEX(PP_Grid[#Data],$DD505,26),0)</f>
        <v/>
      </c>
      <c r="AC505">
        <f>IFERROR(INDEX(PP_Grid[#Data],$DD505,27),0)</f>
        <v/>
      </c>
      <c r="AD505">
        <f>IFERROR(INDEX(PP_Grid[#Data],$DD505,28),0)</f>
        <v/>
      </c>
      <c r="AE505">
        <f>IFERROR(INDEX(PP_Grid[#Data],$DD505,29),0)</f>
        <v/>
      </c>
      <c r="AF505">
        <f>IFERROR(INDEX(PP_Grid[#Data],$DD505,30),0)</f>
        <v/>
      </c>
      <c r="AG505">
        <f>IFERROR(INDEX(PP_Grid[#Data],$DD505,31),0)</f>
        <v/>
      </c>
      <c r="AH505">
        <f>IFERROR(INDEX(PP_Grid[#Data],$DD505,32),0)</f>
        <v/>
      </c>
      <c r="AI505">
        <f>IFERROR(INDEX(PP_Grid[#Data],$DD505,33),0)</f>
        <v/>
      </c>
      <c r="AJ505">
        <f>IFERROR(INDEX(PP_Grid[#Data],$DD505,34),0)</f>
        <v/>
      </c>
      <c r="AK505">
        <f>IFERROR(INDEX(PP_Grid[#Data],$DD505,35),0)</f>
        <v/>
      </c>
      <c r="AL505">
        <f>IFERROR(INDEX(PP_Grid[#Data],$DD505,36),0)</f>
        <v/>
      </c>
      <c r="AM505">
        <f>IFERROR(INDEX(PP_Grid[#Data],$DD505,37),0)</f>
        <v/>
      </c>
      <c r="AN505">
        <f>IFERROR(INDEX(PP_Grid[#Data],$DD505,38),0)</f>
        <v/>
      </c>
      <c r="AO505">
        <f>IFERROR(INDEX(PP_Grid[#Data],$DD505,39),0)</f>
        <v/>
      </c>
      <c r="AP505">
        <f>IFERROR(INDEX(PP_Grid[#Data],$DD505,40),0)</f>
        <v/>
      </c>
      <c r="AQ505">
        <f>IFERROR(INDEX(PP_Grid[#Data],$DD505,41),0)</f>
        <v/>
      </c>
      <c r="AR505">
        <f>IFERROR(INDEX(PP_Grid[#Data],$DD505,42),0)</f>
        <v/>
      </c>
      <c r="AS505">
        <f>IFERROR(INDEX(PP_Grid[#Data],$DD505,43),0)</f>
        <v/>
      </c>
      <c r="AT505">
        <f>IFERROR(INDEX(PP_Grid[#Data],$DD505,44),0)</f>
        <v/>
      </c>
      <c r="AU505">
        <f>IFERROR(INDEX(PP_Grid[#Data],$DD505,45),0)</f>
        <v/>
      </c>
      <c r="AV505">
        <f>IFERROR(INDEX(PP_Grid[#Data],$DD505,46),0)</f>
        <v/>
      </c>
      <c r="AW505">
        <f>IFERROR(INDEX(PP_Grid[#Data],$DD505,47),0)</f>
        <v/>
      </c>
      <c r="AX505">
        <f>IFERROR(INDEX(PP_Grid[#Data],$DD505,48),0)</f>
        <v/>
      </c>
      <c r="AY505">
        <f>IFERROR(INDEX(PP_Grid[#Data],$DD505,49),0)</f>
        <v/>
      </c>
      <c r="AZ505">
        <f>IFERROR(INDEX(PP_Grid[#Data],$DD505,50),0)</f>
        <v/>
      </c>
      <c r="BA505">
        <f>IFERROR(INDEX(PP_Grid[#Data],$DD505,51),0)</f>
        <v/>
      </c>
      <c r="BB505">
        <f>IFERROR(INDEX(PP_Grid[#Data],$DD505,52),0)</f>
        <v/>
      </c>
      <c r="BC505">
        <f>IFERROR(INDEX(PP_Grid[#Data],$DD505,53),0)</f>
        <v/>
      </c>
      <c r="BD505">
        <f>IFERROR(INDEX(PP_Grid[#Data],$DD505,54),0)</f>
        <v/>
      </c>
      <c r="BE505">
        <f>IFERROR(INDEX(PP_Grid[#Data],$DD505,55),0)</f>
        <v/>
      </c>
      <c r="BF505">
        <f>IFERROR(INDEX(PP_Grid[#Data],$DD505,56),0)</f>
        <v/>
      </c>
      <c r="BG505">
        <f>IFERROR(INDEX(PP_Grid[#Data],$DD505,57),0)</f>
        <v/>
      </c>
      <c r="BH505">
        <f>IFERROR(INDEX(PP_Grid[#Data],$DD505,58),0)</f>
        <v/>
      </c>
      <c r="BI505">
        <f>IFERROR(INDEX(PP_Grid[#Data],$DD505,59),0)</f>
        <v/>
      </c>
      <c r="BJ505">
        <f>IFERROR(INDEX(PP_Grid[#Data],$DD505,60),0)</f>
        <v/>
      </c>
      <c r="BK505">
        <f>IFERROR(INDEX(PP_Grid[#Data],$DD505,61),0)</f>
        <v/>
      </c>
      <c r="BL505">
        <f>IFERROR(INDEX(PP_Grid[#Data],$DD505,62),0)</f>
        <v/>
      </c>
      <c r="BM505">
        <f>IFERROR(INDEX(PP_Grid[#Data],$DD505,63),0)</f>
        <v/>
      </c>
      <c r="BN505">
        <f>IFERROR(INDEX(PP_Grid[#Data],$DD505,64),0)</f>
        <v/>
      </c>
      <c r="BO505">
        <f>IFERROR(INDEX(PP_Grid[#Data],$DD505,65),0)</f>
        <v/>
      </c>
      <c r="BP505">
        <f>IFERROR(INDEX(PP_Grid[#Data],$DD505,66),0)</f>
        <v/>
      </c>
      <c r="BQ505">
        <f>IFERROR(INDEX(PP_Grid[#Data],$DD505,67),0)</f>
        <v/>
      </c>
      <c r="BR505">
        <f>IFERROR(INDEX(PP_Grid[#Data],$DD505,68),0)</f>
        <v/>
      </c>
      <c r="BS505">
        <f>IFERROR(INDEX(PP_Grid[#Data],$DD505,69),0)</f>
        <v/>
      </c>
      <c r="BT505">
        <f>IFERROR(INDEX(PP_Grid[#Data],$DD505,70),0)</f>
        <v/>
      </c>
      <c r="BU505">
        <f>IFERROR(INDEX(PP_Grid[#Data],$DD505,71),0)</f>
        <v/>
      </c>
      <c r="BV505">
        <f>IFERROR(INDEX(PP_Grid[#Data],$DD505,72),0)</f>
        <v/>
      </c>
      <c r="BW505">
        <f>IFERROR(INDEX(PP_Grid[#Data],$DD505,73),0)</f>
        <v/>
      </c>
      <c r="BX505">
        <f>IFERROR(INDEX(PP_Grid[#Data],$DD505,74),0)</f>
        <v/>
      </c>
      <c r="BY505">
        <f>IFERROR(INDEX(PP_Grid[#Data],$DD505,75),0)</f>
        <v/>
      </c>
      <c r="BZ505">
        <f>IFERROR(INDEX(PP_Grid[#Data],$DD505,76),0)</f>
        <v/>
      </c>
      <c r="CA505">
        <f>IFERROR(INDEX(PP_Grid[#Data],$DD505,77),0)</f>
        <v/>
      </c>
      <c r="CB505">
        <f>IFERROR(INDEX(PP_Grid[#Data],$DD505,78),0)</f>
        <v/>
      </c>
      <c r="CC505">
        <f>IFERROR(INDEX(PP_Grid[#Data],$DD505,79),0)</f>
        <v/>
      </c>
      <c r="CD505">
        <f>IFERROR(INDEX(PP_Grid[#Data],$DD505,80),0)</f>
        <v/>
      </c>
      <c r="CE505">
        <f>IFERROR(INDEX(PP_Grid[#Data],$DD505,81),0)</f>
        <v/>
      </c>
      <c r="CF505">
        <f>IFERROR(INDEX(PP_Grid[#Data],$DD505,82),0)</f>
        <v/>
      </c>
      <c r="CG505">
        <f>IFERROR(INDEX(PP_Grid[#Data],$DD505,83),0)</f>
        <v/>
      </c>
      <c r="CH505">
        <f>IFERROR(INDEX(PP_Grid[#Data],$DD505,84),0)</f>
        <v/>
      </c>
      <c r="CI505">
        <f>IFERROR(INDEX(PP_Grid[#Data],$DD505,85),0)</f>
        <v/>
      </c>
      <c r="CJ505">
        <f>IFERROR(INDEX(PP_Grid[#Data],$DD505,86),0)</f>
        <v/>
      </c>
      <c r="CK505">
        <f>IFERROR(INDEX(PP_Grid[#Data],$DD505,87),0)</f>
        <v/>
      </c>
      <c r="CL505">
        <f>IFERROR(INDEX(PP_Grid[#Data],$DD505,88),0)</f>
        <v/>
      </c>
      <c r="CM505">
        <f>IFERROR(INDEX(PP_Grid[#Data],$DD505,89),0)</f>
        <v/>
      </c>
      <c r="CN505">
        <f>IFERROR(INDEX(PP_Grid[#Data],$DD505,90),0)</f>
        <v/>
      </c>
      <c r="CO505">
        <f>IFERROR(INDEX(PP_Grid[#Data],$DD505,91),0)</f>
        <v/>
      </c>
      <c r="CP505">
        <f>IFERROR(INDEX(PP_Grid[#Data],$DD505,92),0)</f>
        <v/>
      </c>
      <c r="CQ505">
        <f>IFERROR(INDEX(PP_Grid[#Data],$DD505,93),0)</f>
        <v/>
      </c>
      <c r="CR505">
        <f>IFERROR(INDEX(PP_Grid[#Data],$DD505,94),0)</f>
        <v/>
      </c>
      <c r="CS505">
        <f>IFERROR(INDEX(PP_Grid[#Data],$DD505,95),0)</f>
        <v/>
      </c>
      <c r="CT505">
        <f>IFERROR(INDEX(PP_Grid[#Data],$DD505,96),0)</f>
        <v/>
      </c>
      <c r="CU505">
        <f>IFERROR(INDEX(PP_Grid[#Data],$DD505,97),0)</f>
        <v/>
      </c>
      <c r="CV505">
        <f>IFERROR(INDEX(PP_Grid[#Data],$DD505,98),0)</f>
        <v/>
      </c>
      <c r="CW505">
        <f>IFERROR(INDEX(PP_Grid[#Data],$DD505,99),0)</f>
        <v/>
      </c>
      <c r="CX505">
        <f>IFERROR(INDEX(PP_Grid[#Data],$DD505,100),0)</f>
        <v/>
      </c>
      <c r="CY505">
        <f>IFERROR(INDEX(PP_Grid[#Data],$DD505,101),0)</f>
        <v/>
      </c>
      <c r="CZ505">
        <f>IFERROR(INDEX(PP_Grid[#Data],$DD505,102),0)</f>
        <v/>
      </c>
      <c r="DA505">
        <f>IFERROR(INDEX(PP_Grid[#Data],$DD505,103),0)</f>
        <v/>
      </c>
      <c r="DB505">
        <f>IFERROR(INDEX(PP_Grid[#Data],$DD505,104),0)</f>
        <v/>
      </c>
      <c r="DC505">
        <f>IFERROR(INDEX(PP_Grid[#Data],$DD505,105),0)</f>
        <v/>
      </c>
      <c r="DD505" s="7">
        <f>IFERROR(MATCH($B505,PP_Grid[Intermediate],0),99999)</f>
        <v/>
      </c>
    </row>
    <row r="506">
      <c r="B506" t="inlineStr">
        <is>
          <t>使用量(kg)</t>
        </is>
      </c>
      <c r="C506">
        <f>SUMIFS(M_BOM[RM_Qty_Per_Batch],M_BOM[Intermediate],$B505,M_BOM[Part Name],$A500)</f>
        <v/>
      </c>
      <c r="D506">
        <f>$C506*D505</f>
        <v/>
      </c>
      <c r="E506">
        <f>$C506*E505</f>
        <v/>
      </c>
      <c r="F506">
        <f>$C506*F505</f>
        <v/>
      </c>
      <c r="G506">
        <f>$C506*G505</f>
        <v/>
      </c>
      <c r="H506">
        <f>$C506*H505</f>
        <v/>
      </c>
      <c r="I506">
        <f>$C506*I505</f>
        <v/>
      </c>
      <c r="J506">
        <f>$C506*J505</f>
        <v/>
      </c>
      <c r="K506">
        <f>$C506*K505</f>
        <v/>
      </c>
      <c r="L506">
        <f>$C506*L505</f>
        <v/>
      </c>
      <c r="M506">
        <f>$C506*M505</f>
        <v/>
      </c>
      <c r="N506">
        <f>$C506*N505</f>
        <v/>
      </c>
      <c r="O506">
        <f>$C506*O505</f>
        <v/>
      </c>
      <c r="P506">
        <f>$C506*P505</f>
        <v/>
      </c>
      <c r="Q506">
        <f>$C506*Q505</f>
        <v/>
      </c>
      <c r="R506">
        <f>$C506*R505</f>
        <v/>
      </c>
      <c r="S506">
        <f>$C506*S505</f>
        <v/>
      </c>
      <c r="T506">
        <f>$C506*T505</f>
        <v/>
      </c>
      <c r="U506">
        <f>$C506*U505</f>
        <v/>
      </c>
      <c r="V506">
        <f>$C506*V505</f>
        <v/>
      </c>
      <c r="W506">
        <f>$C506*W505</f>
        <v/>
      </c>
      <c r="X506">
        <f>$C506*X505</f>
        <v/>
      </c>
      <c r="Y506">
        <f>$C506*Y505</f>
        <v/>
      </c>
      <c r="Z506">
        <f>$C506*Z505</f>
        <v/>
      </c>
      <c r="AA506">
        <f>$C506*AA505</f>
        <v/>
      </c>
      <c r="AB506">
        <f>$C506*AB505</f>
        <v/>
      </c>
      <c r="AC506">
        <f>$C506*AC505</f>
        <v/>
      </c>
      <c r="AD506">
        <f>$C506*AD505</f>
        <v/>
      </c>
      <c r="AE506">
        <f>$C506*AE505</f>
        <v/>
      </c>
      <c r="AF506">
        <f>$C506*AF505</f>
        <v/>
      </c>
      <c r="AG506">
        <f>$C506*AG505</f>
        <v/>
      </c>
      <c r="AH506">
        <f>$C506*AH505</f>
        <v/>
      </c>
      <c r="AI506">
        <f>$C506*AI505</f>
        <v/>
      </c>
      <c r="AJ506">
        <f>$C506*AJ505</f>
        <v/>
      </c>
      <c r="AK506">
        <f>$C506*AK505</f>
        <v/>
      </c>
      <c r="AL506">
        <f>$C506*AL505</f>
        <v/>
      </c>
      <c r="AM506">
        <f>$C506*AM505</f>
        <v/>
      </c>
      <c r="AN506">
        <f>$C506*AN505</f>
        <v/>
      </c>
      <c r="AO506">
        <f>$C506*AO505</f>
        <v/>
      </c>
      <c r="AP506">
        <f>$C506*AP505</f>
        <v/>
      </c>
      <c r="AQ506">
        <f>$C506*AQ505</f>
        <v/>
      </c>
      <c r="AR506">
        <f>$C506*AR505</f>
        <v/>
      </c>
      <c r="AS506">
        <f>$C506*AS505</f>
        <v/>
      </c>
      <c r="AT506">
        <f>$C506*AT505</f>
        <v/>
      </c>
      <c r="AU506">
        <f>$C506*AU505</f>
        <v/>
      </c>
      <c r="AV506">
        <f>$C506*AV505</f>
        <v/>
      </c>
      <c r="AW506">
        <f>$C506*AW505</f>
        <v/>
      </c>
      <c r="AX506">
        <f>$C506*AX505</f>
        <v/>
      </c>
      <c r="AY506">
        <f>$C506*AY505</f>
        <v/>
      </c>
      <c r="AZ506">
        <f>$C506*AZ505</f>
        <v/>
      </c>
      <c r="BA506">
        <f>$C506*BA505</f>
        <v/>
      </c>
      <c r="BB506">
        <f>$C506*BB505</f>
        <v/>
      </c>
      <c r="BC506">
        <f>$C506*BC505</f>
        <v/>
      </c>
      <c r="BD506">
        <f>$C506*BD505</f>
        <v/>
      </c>
      <c r="BE506">
        <f>$C506*BE505</f>
        <v/>
      </c>
      <c r="BF506">
        <f>$C506*BF505</f>
        <v/>
      </c>
      <c r="BG506">
        <f>$C506*BG505</f>
        <v/>
      </c>
      <c r="BH506">
        <f>$C506*BH505</f>
        <v/>
      </c>
      <c r="BI506">
        <f>$C506*BI505</f>
        <v/>
      </c>
      <c r="BJ506">
        <f>$C506*BJ505</f>
        <v/>
      </c>
      <c r="BK506">
        <f>$C506*BK505</f>
        <v/>
      </c>
      <c r="BL506">
        <f>$C506*BL505</f>
        <v/>
      </c>
      <c r="BM506">
        <f>$C506*BM505</f>
        <v/>
      </c>
      <c r="BN506">
        <f>$C506*BN505</f>
        <v/>
      </c>
      <c r="BO506">
        <f>$C506*BO505</f>
        <v/>
      </c>
      <c r="BP506">
        <f>$C506*BP505</f>
        <v/>
      </c>
      <c r="BQ506">
        <f>$C506*BQ505</f>
        <v/>
      </c>
      <c r="BR506">
        <f>$C506*BR505</f>
        <v/>
      </c>
      <c r="BS506">
        <f>$C506*BS505</f>
        <v/>
      </c>
      <c r="BT506">
        <f>$C506*BT505</f>
        <v/>
      </c>
      <c r="BU506">
        <f>$C506*BU505</f>
        <v/>
      </c>
      <c r="BV506">
        <f>$C506*BV505</f>
        <v/>
      </c>
      <c r="BW506">
        <f>$C506*BW505</f>
        <v/>
      </c>
      <c r="BX506">
        <f>$C506*BX505</f>
        <v/>
      </c>
      <c r="BY506">
        <f>$C506*BY505</f>
        <v/>
      </c>
      <c r="BZ506">
        <f>$C506*BZ505</f>
        <v/>
      </c>
      <c r="CA506">
        <f>$C506*CA505</f>
        <v/>
      </c>
      <c r="CB506">
        <f>$C506*CB505</f>
        <v/>
      </c>
      <c r="CC506">
        <f>$C506*CC505</f>
        <v/>
      </c>
      <c r="CD506">
        <f>$C506*CD505</f>
        <v/>
      </c>
      <c r="CE506">
        <f>$C506*CE505</f>
        <v/>
      </c>
      <c r="CF506">
        <f>$C506*CF505</f>
        <v/>
      </c>
      <c r="CG506">
        <f>$C506*CG505</f>
        <v/>
      </c>
      <c r="CH506">
        <f>$C506*CH505</f>
        <v/>
      </c>
      <c r="CI506">
        <f>$C506*CI505</f>
        <v/>
      </c>
      <c r="CJ506">
        <f>$C506*CJ505</f>
        <v/>
      </c>
      <c r="CK506">
        <f>$C506*CK505</f>
        <v/>
      </c>
      <c r="CL506">
        <f>$C506*CL505</f>
        <v/>
      </c>
      <c r="CM506">
        <f>$C506*CM505</f>
        <v/>
      </c>
      <c r="CN506">
        <f>$C506*CN505</f>
        <v/>
      </c>
      <c r="CO506">
        <f>$C506*CO505</f>
        <v/>
      </c>
      <c r="CP506">
        <f>$C506*CP505</f>
        <v/>
      </c>
      <c r="CQ506">
        <f>$C506*CQ505</f>
        <v/>
      </c>
      <c r="CR506">
        <f>$C506*CR505</f>
        <v/>
      </c>
      <c r="CS506">
        <f>$C506*CS505</f>
        <v/>
      </c>
      <c r="CT506">
        <f>$C506*CT505</f>
        <v/>
      </c>
      <c r="CU506">
        <f>$C506*CU505</f>
        <v/>
      </c>
      <c r="CV506">
        <f>$C506*CV505</f>
        <v/>
      </c>
      <c r="CW506">
        <f>$C506*CW505</f>
        <v/>
      </c>
      <c r="CX506">
        <f>$C506*CX505</f>
        <v/>
      </c>
      <c r="CY506">
        <f>$C506*CY505</f>
        <v/>
      </c>
      <c r="CZ506">
        <f>$C506*CZ505</f>
        <v/>
      </c>
      <c r="DA506">
        <f>$C506*DA505</f>
        <v/>
      </c>
      <c r="DB506">
        <f>$C506*DB505</f>
        <v/>
      </c>
      <c r="DC506">
        <f>$C506*DC505</f>
        <v/>
      </c>
    </row>
    <row r="507">
      <c r="B507" t="inlineStr">
        <is>
          <t>TSP-1449</t>
        </is>
      </c>
      <c r="C507" t="inlineStr">
        <is>
          <t>No. of batches</t>
        </is>
      </c>
      <c r="D507">
        <f>IFERROR(INDEX(PP_Grid[#Data],$DD507,2),0)</f>
        <v/>
      </c>
      <c r="E507">
        <f>IFERROR(INDEX(PP_Grid[#Data],$DD507,3),0)</f>
        <v/>
      </c>
      <c r="F507">
        <f>IFERROR(INDEX(PP_Grid[#Data],$DD507,4),0)</f>
        <v/>
      </c>
      <c r="G507">
        <f>IFERROR(INDEX(PP_Grid[#Data],$DD507,5),0)</f>
        <v/>
      </c>
      <c r="H507">
        <f>IFERROR(INDEX(PP_Grid[#Data],$DD507,6),0)</f>
        <v/>
      </c>
      <c r="I507">
        <f>IFERROR(INDEX(PP_Grid[#Data],$DD507,7),0)</f>
        <v/>
      </c>
      <c r="J507">
        <f>IFERROR(INDEX(PP_Grid[#Data],$DD507,8),0)</f>
        <v/>
      </c>
      <c r="K507">
        <f>IFERROR(INDEX(PP_Grid[#Data],$DD507,9),0)</f>
        <v/>
      </c>
      <c r="L507">
        <f>IFERROR(INDEX(PP_Grid[#Data],$DD507,10),0)</f>
        <v/>
      </c>
      <c r="M507">
        <f>IFERROR(INDEX(PP_Grid[#Data],$DD507,11),0)</f>
        <v/>
      </c>
      <c r="N507">
        <f>IFERROR(INDEX(PP_Grid[#Data],$DD507,12),0)</f>
        <v/>
      </c>
      <c r="O507">
        <f>IFERROR(INDEX(PP_Grid[#Data],$DD507,13),0)</f>
        <v/>
      </c>
      <c r="P507">
        <f>IFERROR(INDEX(PP_Grid[#Data],$DD507,14),0)</f>
        <v/>
      </c>
      <c r="Q507">
        <f>IFERROR(INDEX(PP_Grid[#Data],$DD507,15),0)</f>
        <v/>
      </c>
      <c r="R507">
        <f>IFERROR(INDEX(PP_Grid[#Data],$DD507,16),0)</f>
        <v/>
      </c>
      <c r="S507">
        <f>IFERROR(INDEX(PP_Grid[#Data],$DD507,17),0)</f>
        <v/>
      </c>
      <c r="T507">
        <f>IFERROR(INDEX(PP_Grid[#Data],$DD507,18),0)</f>
        <v/>
      </c>
      <c r="U507">
        <f>IFERROR(INDEX(PP_Grid[#Data],$DD507,19),0)</f>
        <v/>
      </c>
      <c r="V507">
        <f>IFERROR(INDEX(PP_Grid[#Data],$DD507,20),0)</f>
        <v/>
      </c>
      <c r="W507">
        <f>IFERROR(INDEX(PP_Grid[#Data],$DD507,21),0)</f>
        <v/>
      </c>
      <c r="X507">
        <f>IFERROR(INDEX(PP_Grid[#Data],$DD507,22),0)</f>
        <v/>
      </c>
      <c r="Y507">
        <f>IFERROR(INDEX(PP_Grid[#Data],$DD507,23),0)</f>
        <v/>
      </c>
      <c r="Z507">
        <f>IFERROR(INDEX(PP_Grid[#Data],$DD507,24),0)</f>
        <v/>
      </c>
      <c r="AA507">
        <f>IFERROR(INDEX(PP_Grid[#Data],$DD507,25),0)</f>
        <v/>
      </c>
      <c r="AB507">
        <f>IFERROR(INDEX(PP_Grid[#Data],$DD507,26),0)</f>
        <v/>
      </c>
      <c r="AC507">
        <f>IFERROR(INDEX(PP_Grid[#Data],$DD507,27),0)</f>
        <v/>
      </c>
      <c r="AD507">
        <f>IFERROR(INDEX(PP_Grid[#Data],$DD507,28),0)</f>
        <v/>
      </c>
      <c r="AE507">
        <f>IFERROR(INDEX(PP_Grid[#Data],$DD507,29),0)</f>
        <v/>
      </c>
      <c r="AF507">
        <f>IFERROR(INDEX(PP_Grid[#Data],$DD507,30),0)</f>
        <v/>
      </c>
      <c r="AG507">
        <f>IFERROR(INDEX(PP_Grid[#Data],$DD507,31),0)</f>
        <v/>
      </c>
      <c r="AH507">
        <f>IFERROR(INDEX(PP_Grid[#Data],$DD507,32),0)</f>
        <v/>
      </c>
      <c r="AI507">
        <f>IFERROR(INDEX(PP_Grid[#Data],$DD507,33),0)</f>
        <v/>
      </c>
      <c r="AJ507">
        <f>IFERROR(INDEX(PP_Grid[#Data],$DD507,34),0)</f>
        <v/>
      </c>
      <c r="AK507">
        <f>IFERROR(INDEX(PP_Grid[#Data],$DD507,35),0)</f>
        <v/>
      </c>
      <c r="AL507">
        <f>IFERROR(INDEX(PP_Grid[#Data],$DD507,36),0)</f>
        <v/>
      </c>
      <c r="AM507">
        <f>IFERROR(INDEX(PP_Grid[#Data],$DD507,37),0)</f>
        <v/>
      </c>
      <c r="AN507">
        <f>IFERROR(INDEX(PP_Grid[#Data],$DD507,38),0)</f>
        <v/>
      </c>
      <c r="AO507">
        <f>IFERROR(INDEX(PP_Grid[#Data],$DD507,39),0)</f>
        <v/>
      </c>
      <c r="AP507">
        <f>IFERROR(INDEX(PP_Grid[#Data],$DD507,40),0)</f>
        <v/>
      </c>
      <c r="AQ507">
        <f>IFERROR(INDEX(PP_Grid[#Data],$DD507,41),0)</f>
        <v/>
      </c>
      <c r="AR507">
        <f>IFERROR(INDEX(PP_Grid[#Data],$DD507,42),0)</f>
        <v/>
      </c>
      <c r="AS507">
        <f>IFERROR(INDEX(PP_Grid[#Data],$DD507,43),0)</f>
        <v/>
      </c>
      <c r="AT507">
        <f>IFERROR(INDEX(PP_Grid[#Data],$DD507,44),0)</f>
        <v/>
      </c>
      <c r="AU507">
        <f>IFERROR(INDEX(PP_Grid[#Data],$DD507,45),0)</f>
        <v/>
      </c>
      <c r="AV507">
        <f>IFERROR(INDEX(PP_Grid[#Data],$DD507,46),0)</f>
        <v/>
      </c>
      <c r="AW507">
        <f>IFERROR(INDEX(PP_Grid[#Data],$DD507,47),0)</f>
        <v/>
      </c>
      <c r="AX507">
        <f>IFERROR(INDEX(PP_Grid[#Data],$DD507,48),0)</f>
        <v/>
      </c>
      <c r="AY507">
        <f>IFERROR(INDEX(PP_Grid[#Data],$DD507,49),0)</f>
        <v/>
      </c>
      <c r="AZ507">
        <f>IFERROR(INDEX(PP_Grid[#Data],$DD507,50),0)</f>
        <v/>
      </c>
      <c r="BA507">
        <f>IFERROR(INDEX(PP_Grid[#Data],$DD507,51),0)</f>
        <v/>
      </c>
      <c r="BB507">
        <f>IFERROR(INDEX(PP_Grid[#Data],$DD507,52),0)</f>
        <v/>
      </c>
      <c r="BC507">
        <f>IFERROR(INDEX(PP_Grid[#Data],$DD507,53),0)</f>
        <v/>
      </c>
      <c r="BD507">
        <f>IFERROR(INDEX(PP_Grid[#Data],$DD507,54),0)</f>
        <v/>
      </c>
      <c r="BE507">
        <f>IFERROR(INDEX(PP_Grid[#Data],$DD507,55),0)</f>
        <v/>
      </c>
      <c r="BF507">
        <f>IFERROR(INDEX(PP_Grid[#Data],$DD507,56),0)</f>
        <v/>
      </c>
      <c r="BG507">
        <f>IFERROR(INDEX(PP_Grid[#Data],$DD507,57),0)</f>
        <v/>
      </c>
      <c r="BH507">
        <f>IFERROR(INDEX(PP_Grid[#Data],$DD507,58),0)</f>
        <v/>
      </c>
      <c r="BI507">
        <f>IFERROR(INDEX(PP_Grid[#Data],$DD507,59),0)</f>
        <v/>
      </c>
      <c r="BJ507">
        <f>IFERROR(INDEX(PP_Grid[#Data],$DD507,60),0)</f>
        <v/>
      </c>
      <c r="BK507">
        <f>IFERROR(INDEX(PP_Grid[#Data],$DD507,61),0)</f>
        <v/>
      </c>
      <c r="BL507">
        <f>IFERROR(INDEX(PP_Grid[#Data],$DD507,62),0)</f>
        <v/>
      </c>
      <c r="BM507">
        <f>IFERROR(INDEX(PP_Grid[#Data],$DD507,63),0)</f>
        <v/>
      </c>
      <c r="BN507">
        <f>IFERROR(INDEX(PP_Grid[#Data],$DD507,64),0)</f>
        <v/>
      </c>
      <c r="BO507">
        <f>IFERROR(INDEX(PP_Grid[#Data],$DD507,65),0)</f>
        <v/>
      </c>
      <c r="BP507">
        <f>IFERROR(INDEX(PP_Grid[#Data],$DD507,66),0)</f>
        <v/>
      </c>
      <c r="BQ507">
        <f>IFERROR(INDEX(PP_Grid[#Data],$DD507,67),0)</f>
        <v/>
      </c>
      <c r="BR507">
        <f>IFERROR(INDEX(PP_Grid[#Data],$DD507,68),0)</f>
        <v/>
      </c>
      <c r="BS507">
        <f>IFERROR(INDEX(PP_Grid[#Data],$DD507,69),0)</f>
        <v/>
      </c>
      <c r="BT507">
        <f>IFERROR(INDEX(PP_Grid[#Data],$DD507,70),0)</f>
        <v/>
      </c>
      <c r="BU507">
        <f>IFERROR(INDEX(PP_Grid[#Data],$DD507,71),0)</f>
        <v/>
      </c>
      <c r="BV507">
        <f>IFERROR(INDEX(PP_Grid[#Data],$DD507,72),0)</f>
        <v/>
      </c>
      <c r="BW507">
        <f>IFERROR(INDEX(PP_Grid[#Data],$DD507,73),0)</f>
        <v/>
      </c>
      <c r="BX507">
        <f>IFERROR(INDEX(PP_Grid[#Data],$DD507,74),0)</f>
        <v/>
      </c>
      <c r="BY507">
        <f>IFERROR(INDEX(PP_Grid[#Data],$DD507,75),0)</f>
        <v/>
      </c>
      <c r="BZ507">
        <f>IFERROR(INDEX(PP_Grid[#Data],$DD507,76),0)</f>
        <v/>
      </c>
      <c r="CA507">
        <f>IFERROR(INDEX(PP_Grid[#Data],$DD507,77),0)</f>
        <v/>
      </c>
      <c r="CB507">
        <f>IFERROR(INDEX(PP_Grid[#Data],$DD507,78),0)</f>
        <v/>
      </c>
      <c r="CC507">
        <f>IFERROR(INDEX(PP_Grid[#Data],$DD507,79),0)</f>
        <v/>
      </c>
      <c r="CD507">
        <f>IFERROR(INDEX(PP_Grid[#Data],$DD507,80),0)</f>
        <v/>
      </c>
      <c r="CE507">
        <f>IFERROR(INDEX(PP_Grid[#Data],$DD507,81),0)</f>
        <v/>
      </c>
      <c r="CF507">
        <f>IFERROR(INDEX(PP_Grid[#Data],$DD507,82),0)</f>
        <v/>
      </c>
      <c r="CG507">
        <f>IFERROR(INDEX(PP_Grid[#Data],$DD507,83),0)</f>
        <v/>
      </c>
      <c r="CH507">
        <f>IFERROR(INDEX(PP_Grid[#Data],$DD507,84),0)</f>
        <v/>
      </c>
      <c r="CI507">
        <f>IFERROR(INDEX(PP_Grid[#Data],$DD507,85),0)</f>
        <v/>
      </c>
      <c r="CJ507">
        <f>IFERROR(INDEX(PP_Grid[#Data],$DD507,86),0)</f>
        <v/>
      </c>
      <c r="CK507">
        <f>IFERROR(INDEX(PP_Grid[#Data],$DD507,87),0)</f>
        <v/>
      </c>
      <c r="CL507">
        <f>IFERROR(INDEX(PP_Grid[#Data],$DD507,88),0)</f>
        <v/>
      </c>
      <c r="CM507">
        <f>IFERROR(INDEX(PP_Grid[#Data],$DD507,89),0)</f>
        <v/>
      </c>
      <c r="CN507">
        <f>IFERROR(INDEX(PP_Grid[#Data],$DD507,90),0)</f>
        <v/>
      </c>
      <c r="CO507">
        <f>IFERROR(INDEX(PP_Grid[#Data],$DD507,91),0)</f>
        <v/>
      </c>
      <c r="CP507">
        <f>IFERROR(INDEX(PP_Grid[#Data],$DD507,92),0)</f>
        <v/>
      </c>
      <c r="CQ507">
        <f>IFERROR(INDEX(PP_Grid[#Data],$DD507,93),0)</f>
        <v/>
      </c>
      <c r="CR507">
        <f>IFERROR(INDEX(PP_Grid[#Data],$DD507,94),0)</f>
        <v/>
      </c>
      <c r="CS507">
        <f>IFERROR(INDEX(PP_Grid[#Data],$DD507,95),0)</f>
        <v/>
      </c>
      <c r="CT507">
        <f>IFERROR(INDEX(PP_Grid[#Data],$DD507,96),0)</f>
        <v/>
      </c>
      <c r="CU507">
        <f>IFERROR(INDEX(PP_Grid[#Data],$DD507,97),0)</f>
        <v/>
      </c>
      <c r="CV507">
        <f>IFERROR(INDEX(PP_Grid[#Data],$DD507,98),0)</f>
        <v/>
      </c>
      <c r="CW507">
        <f>IFERROR(INDEX(PP_Grid[#Data],$DD507,99),0)</f>
        <v/>
      </c>
      <c r="CX507">
        <f>IFERROR(INDEX(PP_Grid[#Data],$DD507,100),0)</f>
        <v/>
      </c>
      <c r="CY507">
        <f>IFERROR(INDEX(PP_Grid[#Data],$DD507,101),0)</f>
        <v/>
      </c>
      <c r="CZ507">
        <f>IFERROR(INDEX(PP_Grid[#Data],$DD507,102),0)</f>
        <v/>
      </c>
      <c r="DA507">
        <f>IFERROR(INDEX(PP_Grid[#Data],$DD507,103),0)</f>
        <v/>
      </c>
      <c r="DB507">
        <f>IFERROR(INDEX(PP_Grid[#Data],$DD507,104),0)</f>
        <v/>
      </c>
      <c r="DC507">
        <f>IFERROR(INDEX(PP_Grid[#Data],$DD507,105),0)</f>
        <v/>
      </c>
      <c r="DD507" s="7">
        <f>IFERROR(MATCH($B507,PP_Grid[Intermediate],0),99999)</f>
        <v/>
      </c>
    </row>
    <row r="508">
      <c r="B508" t="inlineStr">
        <is>
          <t>使用量(kg)</t>
        </is>
      </c>
      <c r="C508">
        <f>SUMIFS(M_BOM[RM_Qty_Per_Batch],M_BOM[Intermediate],$B507,M_BOM[Part Name],$A500)</f>
        <v/>
      </c>
      <c r="D508">
        <f>$C508*D507</f>
        <v/>
      </c>
      <c r="E508">
        <f>$C508*E507</f>
        <v/>
      </c>
      <c r="F508">
        <f>$C508*F507</f>
        <v/>
      </c>
      <c r="G508">
        <f>$C508*G507</f>
        <v/>
      </c>
      <c r="H508">
        <f>$C508*H507</f>
        <v/>
      </c>
      <c r="I508">
        <f>$C508*I507</f>
        <v/>
      </c>
      <c r="J508">
        <f>$C508*J507</f>
        <v/>
      </c>
      <c r="K508">
        <f>$C508*K507</f>
        <v/>
      </c>
      <c r="L508">
        <f>$C508*L507</f>
        <v/>
      </c>
      <c r="M508">
        <f>$C508*M507</f>
        <v/>
      </c>
      <c r="N508">
        <f>$C508*N507</f>
        <v/>
      </c>
      <c r="O508">
        <f>$C508*O507</f>
        <v/>
      </c>
      <c r="P508">
        <f>$C508*P507</f>
        <v/>
      </c>
      <c r="Q508">
        <f>$C508*Q507</f>
        <v/>
      </c>
      <c r="R508">
        <f>$C508*R507</f>
        <v/>
      </c>
      <c r="S508">
        <f>$C508*S507</f>
        <v/>
      </c>
      <c r="T508">
        <f>$C508*T507</f>
        <v/>
      </c>
      <c r="U508">
        <f>$C508*U507</f>
        <v/>
      </c>
      <c r="V508">
        <f>$C508*V507</f>
        <v/>
      </c>
      <c r="W508">
        <f>$C508*W507</f>
        <v/>
      </c>
      <c r="X508">
        <f>$C508*X507</f>
        <v/>
      </c>
      <c r="Y508">
        <f>$C508*Y507</f>
        <v/>
      </c>
      <c r="Z508">
        <f>$C508*Z507</f>
        <v/>
      </c>
      <c r="AA508">
        <f>$C508*AA507</f>
        <v/>
      </c>
      <c r="AB508">
        <f>$C508*AB507</f>
        <v/>
      </c>
      <c r="AC508">
        <f>$C508*AC507</f>
        <v/>
      </c>
      <c r="AD508">
        <f>$C508*AD507</f>
        <v/>
      </c>
      <c r="AE508">
        <f>$C508*AE507</f>
        <v/>
      </c>
      <c r="AF508">
        <f>$C508*AF507</f>
        <v/>
      </c>
      <c r="AG508">
        <f>$C508*AG507</f>
        <v/>
      </c>
      <c r="AH508">
        <f>$C508*AH507</f>
        <v/>
      </c>
      <c r="AI508">
        <f>$C508*AI507</f>
        <v/>
      </c>
      <c r="AJ508">
        <f>$C508*AJ507</f>
        <v/>
      </c>
      <c r="AK508">
        <f>$C508*AK507</f>
        <v/>
      </c>
      <c r="AL508">
        <f>$C508*AL507</f>
        <v/>
      </c>
      <c r="AM508">
        <f>$C508*AM507</f>
        <v/>
      </c>
      <c r="AN508">
        <f>$C508*AN507</f>
        <v/>
      </c>
      <c r="AO508">
        <f>$C508*AO507</f>
        <v/>
      </c>
      <c r="AP508">
        <f>$C508*AP507</f>
        <v/>
      </c>
      <c r="AQ508">
        <f>$C508*AQ507</f>
        <v/>
      </c>
      <c r="AR508">
        <f>$C508*AR507</f>
        <v/>
      </c>
      <c r="AS508">
        <f>$C508*AS507</f>
        <v/>
      </c>
      <c r="AT508">
        <f>$C508*AT507</f>
        <v/>
      </c>
      <c r="AU508">
        <f>$C508*AU507</f>
        <v/>
      </c>
      <c r="AV508">
        <f>$C508*AV507</f>
        <v/>
      </c>
      <c r="AW508">
        <f>$C508*AW507</f>
        <v/>
      </c>
      <c r="AX508">
        <f>$C508*AX507</f>
        <v/>
      </c>
      <c r="AY508">
        <f>$C508*AY507</f>
        <v/>
      </c>
      <c r="AZ508">
        <f>$C508*AZ507</f>
        <v/>
      </c>
      <c r="BA508">
        <f>$C508*BA507</f>
        <v/>
      </c>
      <c r="BB508">
        <f>$C508*BB507</f>
        <v/>
      </c>
      <c r="BC508">
        <f>$C508*BC507</f>
        <v/>
      </c>
      <c r="BD508">
        <f>$C508*BD507</f>
        <v/>
      </c>
      <c r="BE508">
        <f>$C508*BE507</f>
        <v/>
      </c>
      <c r="BF508">
        <f>$C508*BF507</f>
        <v/>
      </c>
      <c r="BG508">
        <f>$C508*BG507</f>
        <v/>
      </c>
      <c r="BH508">
        <f>$C508*BH507</f>
        <v/>
      </c>
      <c r="BI508">
        <f>$C508*BI507</f>
        <v/>
      </c>
      <c r="BJ508">
        <f>$C508*BJ507</f>
        <v/>
      </c>
      <c r="BK508">
        <f>$C508*BK507</f>
        <v/>
      </c>
      <c r="BL508">
        <f>$C508*BL507</f>
        <v/>
      </c>
      <c r="BM508">
        <f>$C508*BM507</f>
        <v/>
      </c>
      <c r="BN508">
        <f>$C508*BN507</f>
        <v/>
      </c>
      <c r="BO508">
        <f>$C508*BO507</f>
        <v/>
      </c>
      <c r="BP508">
        <f>$C508*BP507</f>
        <v/>
      </c>
      <c r="BQ508">
        <f>$C508*BQ507</f>
        <v/>
      </c>
      <c r="BR508">
        <f>$C508*BR507</f>
        <v/>
      </c>
      <c r="BS508">
        <f>$C508*BS507</f>
        <v/>
      </c>
      <c r="BT508">
        <f>$C508*BT507</f>
        <v/>
      </c>
      <c r="BU508">
        <f>$C508*BU507</f>
        <v/>
      </c>
      <c r="BV508">
        <f>$C508*BV507</f>
        <v/>
      </c>
      <c r="BW508">
        <f>$C508*BW507</f>
        <v/>
      </c>
      <c r="BX508">
        <f>$C508*BX507</f>
        <v/>
      </c>
      <c r="BY508">
        <f>$C508*BY507</f>
        <v/>
      </c>
      <c r="BZ508">
        <f>$C508*BZ507</f>
        <v/>
      </c>
      <c r="CA508">
        <f>$C508*CA507</f>
        <v/>
      </c>
      <c r="CB508">
        <f>$C508*CB507</f>
        <v/>
      </c>
      <c r="CC508">
        <f>$C508*CC507</f>
        <v/>
      </c>
      <c r="CD508">
        <f>$C508*CD507</f>
        <v/>
      </c>
      <c r="CE508">
        <f>$C508*CE507</f>
        <v/>
      </c>
      <c r="CF508">
        <f>$C508*CF507</f>
        <v/>
      </c>
      <c r="CG508">
        <f>$C508*CG507</f>
        <v/>
      </c>
      <c r="CH508">
        <f>$C508*CH507</f>
        <v/>
      </c>
      <c r="CI508">
        <f>$C508*CI507</f>
        <v/>
      </c>
      <c r="CJ508">
        <f>$C508*CJ507</f>
        <v/>
      </c>
      <c r="CK508">
        <f>$C508*CK507</f>
        <v/>
      </c>
      <c r="CL508">
        <f>$C508*CL507</f>
        <v/>
      </c>
      <c r="CM508">
        <f>$C508*CM507</f>
        <v/>
      </c>
      <c r="CN508">
        <f>$C508*CN507</f>
        <v/>
      </c>
      <c r="CO508">
        <f>$C508*CO507</f>
        <v/>
      </c>
      <c r="CP508">
        <f>$C508*CP507</f>
        <v/>
      </c>
      <c r="CQ508">
        <f>$C508*CQ507</f>
        <v/>
      </c>
      <c r="CR508">
        <f>$C508*CR507</f>
        <v/>
      </c>
      <c r="CS508">
        <f>$C508*CS507</f>
        <v/>
      </c>
      <c r="CT508">
        <f>$C508*CT507</f>
        <v/>
      </c>
      <c r="CU508">
        <f>$C508*CU507</f>
        <v/>
      </c>
      <c r="CV508">
        <f>$C508*CV507</f>
        <v/>
      </c>
      <c r="CW508">
        <f>$C508*CW507</f>
        <v/>
      </c>
      <c r="CX508">
        <f>$C508*CX507</f>
        <v/>
      </c>
      <c r="CY508">
        <f>$C508*CY507</f>
        <v/>
      </c>
      <c r="CZ508">
        <f>$C508*CZ507</f>
        <v/>
      </c>
      <c r="DA508">
        <f>$C508*DA507</f>
        <v/>
      </c>
      <c r="DB508">
        <f>$C508*DB507</f>
        <v/>
      </c>
      <c r="DC508">
        <f>$C508*DC507</f>
        <v/>
      </c>
    </row>
    <row r="509">
      <c r="B509" t="inlineStr">
        <is>
          <t>VSP-567</t>
        </is>
      </c>
      <c r="C509" t="inlineStr">
        <is>
          <t>No. of batches</t>
        </is>
      </c>
      <c r="D509">
        <f>IFERROR(INDEX(PP_Grid[#Data],$DD509,2),0)</f>
        <v/>
      </c>
      <c r="E509">
        <f>IFERROR(INDEX(PP_Grid[#Data],$DD509,3),0)</f>
        <v/>
      </c>
      <c r="F509">
        <f>IFERROR(INDEX(PP_Grid[#Data],$DD509,4),0)</f>
        <v/>
      </c>
      <c r="G509">
        <f>IFERROR(INDEX(PP_Grid[#Data],$DD509,5),0)</f>
        <v/>
      </c>
      <c r="H509">
        <f>IFERROR(INDEX(PP_Grid[#Data],$DD509,6),0)</f>
        <v/>
      </c>
      <c r="I509">
        <f>IFERROR(INDEX(PP_Grid[#Data],$DD509,7),0)</f>
        <v/>
      </c>
      <c r="J509">
        <f>IFERROR(INDEX(PP_Grid[#Data],$DD509,8),0)</f>
        <v/>
      </c>
      <c r="K509">
        <f>IFERROR(INDEX(PP_Grid[#Data],$DD509,9),0)</f>
        <v/>
      </c>
      <c r="L509">
        <f>IFERROR(INDEX(PP_Grid[#Data],$DD509,10),0)</f>
        <v/>
      </c>
      <c r="M509">
        <f>IFERROR(INDEX(PP_Grid[#Data],$DD509,11),0)</f>
        <v/>
      </c>
      <c r="N509">
        <f>IFERROR(INDEX(PP_Grid[#Data],$DD509,12),0)</f>
        <v/>
      </c>
      <c r="O509">
        <f>IFERROR(INDEX(PP_Grid[#Data],$DD509,13),0)</f>
        <v/>
      </c>
      <c r="P509">
        <f>IFERROR(INDEX(PP_Grid[#Data],$DD509,14),0)</f>
        <v/>
      </c>
      <c r="Q509">
        <f>IFERROR(INDEX(PP_Grid[#Data],$DD509,15),0)</f>
        <v/>
      </c>
      <c r="R509">
        <f>IFERROR(INDEX(PP_Grid[#Data],$DD509,16),0)</f>
        <v/>
      </c>
      <c r="S509">
        <f>IFERROR(INDEX(PP_Grid[#Data],$DD509,17),0)</f>
        <v/>
      </c>
      <c r="T509">
        <f>IFERROR(INDEX(PP_Grid[#Data],$DD509,18),0)</f>
        <v/>
      </c>
      <c r="U509">
        <f>IFERROR(INDEX(PP_Grid[#Data],$DD509,19),0)</f>
        <v/>
      </c>
      <c r="V509">
        <f>IFERROR(INDEX(PP_Grid[#Data],$DD509,20),0)</f>
        <v/>
      </c>
      <c r="W509">
        <f>IFERROR(INDEX(PP_Grid[#Data],$DD509,21),0)</f>
        <v/>
      </c>
      <c r="X509">
        <f>IFERROR(INDEX(PP_Grid[#Data],$DD509,22),0)</f>
        <v/>
      </c>
      <c r="Y509">
        <f>IFERROR(INDEX(PP_Grid[#Data],$DD509,23),0)</f>
        <v/>
      </c>
      <c r="Z509">
        <f>IFERROR(INDEX(PP_Grid[#Data],$DD509,24),0)</f>
        <v/>
      </c>
      <c r="AA509">
        <f>IFERROR(INDEX(PP_Grid[#Data],$DD509,25),0)</f>
        <v/>
      </c>
      <c r="AB509">
        <f>IFERROR(INDEX(PP_Grid[#Data],$DD509,26),0)</f>
        <v/>
      </c>
      <c r="AC509">
        <f>IFERROR(INDEX(PP_Grid[#Data],$DD509,27),0)</f>
        <v/>
      </c>
      <c r="AD509">
        <f>IFERROR(INDEX(PP_Grid[#Data],$DD509,28),0)</f>
        <v/>
      </c>
      <c r="AE509">
        <f>IFERROR(INDEX(PP_Grid[#Data],$DD509,29),0)</f>
        <v/>
      </c>
      <c r="AF509">
        <f>IFERROR(INDEX(PP_Grid[#Data],$DD509,30),0)</f>
        <v/>
      </c>
      <c r="AG509">
        <f>IFERROR(INDEX(PP_Grid[#Data],$DD509,31),0)</f>
        <v/>
      </c>
      <c r="AH509">
        <f>IFERROR(INDEX(PP_Grid[#Data],$DD509,32),0)</f>
        <v/>
      </c>
      <c r="AI509">
        <f>IFERROR(INDEX(PP_Grid[#Data],$DD509,33),0)</f>
        <v/>
      </c>
      <c r="AJ509">
        <f>IFERROR(INDEX(PP_Grid[#Data],$DD509,34),0)</f>
        <v/>
      </c>
      <c r="AK509">
        <f>IFERROR(INDEX(PP_Grid[#Data],$DD509,35),0)</f>
        <v/>
      </c>
      <c r="AL509">
        <f>IFERROR(INDEX(PP_Grid[#Data],$DD509,36),0)</f>
        <v/>
      </c>
      <c r="AM509">
        <f>IFERROR(INDEX(PP_Grid[#Data],$DD509,37),0)</f>
        <v/>
      </c>
      <c r="AN509">
        <f>IFERROR(INDEX(PP_Grid[#Data],$DD509,38),0)</f>
        <v/>
      </c>
      <c r="AO509">
        <f>IFERROR(INDEX(PP_Grid[#Data],$DD509,39),0)</f>
        <v/>
      </c>
      <c r="AP509">
        <f>IFERROR(INDEX(PP_Grid[#Data],$DD509,40),0)</f>
        <v/>
      </c>
      <c r="AQ509">
        <f>IFERROR(INDEX(PP_Grid[#Data],$DD509,41),0)</f>
        <v/>
      </c>
      <c r="AR509">
        <f>IFERROR(INDEX(PP_Grid[#Data],$DD509,42),0)</f>
        <v/>
      </c>
      <c r="AS509">
        <f>IFERROR(INDEX(PP_Grid[#Data],$DD509,43),0)</f>
        <v/>
      </c>
      <c r="AT509">
        <f>IFERROR(INDEX(PP_Grid[#Data],$DD509,44),0)</f>
        <v/>
      </c>
      <c r="AU509">
        <f>IFERROR(INDEX(PP_Grid[#Data],$DD509,45),0)</f>
        <v/>
      </c>
      <c r="AV509">
        <f>IFERROR(INDEX(PP_Grid[#Data],$DD509,46),0)</f>
        <v/>
      </c>
      <c r="AW509">
        <f>IFERROR(INDEX(PP_Grid[#Data],$DD509,47),0)</f>
        <v/>
      </c>
      <c r="AX509">
        <f>IFERROR(INDEX(PP_Grid[#Data],$DD509,48),0)</f>
        <v/>
      </c>
      <c r="AY509">
        <f>IFERROR(INDEX(PP_Grid[#Data],$DD509,49),0)</f>
        <v/>
      </c>
      <c r="AZ509">
        <f>IFERROR(INDEX(PP_Grid[#Data],$DD509,50),0)</f>
        <v/>
      </c>
      <c r="BA509">
        <f>IFERROR(INDEX(PP_Grid[#Data],$DD509,51),0)</f>
        <v/>
      </c>
      <c r="BB509">
        <f>IFERROR(INDEX(PP_Grid[#Data],$DD509,52),0)</f>
        <v/>
      </c>
      <c r="BC509">
        <f>IFERROR(INDEX(PP_Grid[#Data],$DD509,53),0)</f>
        <v/>
      </c>
      <c r="BD509">
        <f>IFERROR(INDEX(PP_Grid[#Data],$DD509,54),0)</f>
        <v/>
      </c>
      <c r="BE509">
        <f>IFERROR(INDEX(PP_Grid[#Data],$DD509,55),0)</f>
        <v/>
      </c>
      <c r="BF509">
        <f>IFERROR(INDEX(PP_Grid[#Data],$DD509,56),0)</f>
        <v/>
      </c>
      <c r="BG509">
        <f>IFERROR(INDEX(PP_Grid[#Data],$DD509,57),0)</f>
        <v/>
      </c>
      <c r="BH509">
        <f>IFERROR(INDEX(PP_Grid[#Data],$DD509,58),0)</f>
        <v/>
      </c>
      <c r="BI509">
        <f>IFERROR(INDEX(PP_Grid[#Data],$DD509,59),0)</f>
        <v/>
      </c>
      <c r="BJ509">
        <f>IFERROR(INDEX(PP_Grid[#Data],$DD509,60),0)</f>
        <v/>
      </c>
      <c r="BK509">
        <f>IFERROR(INDEX(PP_Grid[#Data],$DD509,61),0)</f>
        <v/>
      </c>
      <c r="BL509">
        <f>IFERROR(INDEX(PP_Grid[#Data],$DD509,62),0)</f>
        <v/>
      </c>
      <c r="BM509">
        <f>IFERROR(INDEX(PP_Grid[#Data],$DD509,63),0)</f>
        <v/>
      </c>
      <c r="BN509">
        <f>IFERROR(INDEX(PP_Grid[#Data],$DD509,64),0)</f>
        <v/>
      </c>
      <c r="BO509">
        <f>IFERROR(INDEX(PP_Grid[#Data],$DD509,65),0)</f>
        <v/>
      </c>
      <c r="BP509">
        <f>IFERROR(INDEX(PP_Grid[#Data],$DD509,66),0)</f>
        <v/>
      </c>
      <c r="BQ509">
        <f>IFERROR(INDEX(PP_Grid[#Data],$DD509,67),0)</f>
        <v/>
      </c>
      <c r="BR509">
        <f>IFERROR(INDEX(PP_Grid[#Data],$DD509,68),0)</f>
        <v/>
      </c>
      <c r="BS509">
        <f>IFERROR(INDEX(PP_Grid[#Data],$DD509,69),0)</f>
        <v/>
      </c>
      <c r="BT509">
        <f>IFERROR(INDEX(PP_Grid[#Data],$DD509,70),0)</f>
        <v/>
      </c>
      <c r="BU509">
        <f>IFERROR(INDEX(PP_Grid[#Data],$DD509,71),0)</f>
        <v/>
      </c>
      <c r="BV509">
        <f>IFERROR(INDEX(PP_Grid[#Data],$DD509,72),0)</f>
        <v/>
      </c>
      <c r="BW509">
        <f>IFERROR(INDEX(PP_Grid[#Data],$DD509,73),0)</f>
        <v/>
      </c>
      <c r="BX509">
        <f>IFERROR(INDEX(PP_Grid[#Data],$DD509,74),0)</f>
        <v/>
      </c>
      <c r="BY509">
        <f>IFERROR(INDEX(PP_Grid[#Data],$DD509,75),0)</f>
        <v/>
      </c>
      <c r="BZ509">
        <f>IFERROR(INDEX(PP_Grid[#Data],$DD509,76),0)</f>
        <v/>
      </c>
      <c r="CA509">
        <f>IFERROR(INDEX(PP_Grid[#Data],$DD509,77),0)</f>
        <v/>
      </c>
      <c r="CB509">
        <f>IFERROR(INDEX(PP_Grid[#Data],$DD509,78),0)</f>
        <v/>
      </c>
      <c r="CC509">
        <f>IFERROR(INDEX(PP_Grid[#Data],$DD509,79),0)</f>
        <v/>
      </c>
      <c r="CD509">
        <f>IFERROR(INDEX(PP_Grid[#Data],$DD509,80),0)</f>
        <v/>
      </c>
      <c r="CE509">
        <f>IFERROR(INDEX(PP_Grid[#Data],$DD509,81),0)</f>
        <v/>
      </c>
      <c r="CF509">
        <f>IFERROR(INDEX(PP_Grid[#Data],$DD509,82),0)</f>
        <v/>
      </c>
      <c r="CG509">
        <f>IFERROR(INDEX(PP_Grid[#Data],$DD509,83),0)</f>
        <v/>
      </c>
      <c r="CH509">
        <f>IFERROR(INDEX(PP_Grid[#Data],$DD509,84),0)</f>
        <v/>
      </c>
      <c r="CI509">
        <f>IFERROR(INDEX(PP_Grid[#Data],$DD509,85),0)</f>
        <v/>
      </c>
      <c r="CJ509">
        <f>IFERROR(INDEX(PP_Grid[#Data],$DD509,86),0)</f>
        <v/>
      </c>
      <c r="CK509">
        <f>IFERROR(INDEX(PP_Grid[#Data],$DD509,87),0)</f>
        <v/>
      </c>
      <c r="CL509">
        <f>IFERROR(INDEX(PP_Grid[#Data],$DD509,88),0)</f>
        <v/>
      </c>
      <c r="CM509">
        <f>IFERROR(INDEX(PP_Grid[#Data],$DD509,89),0)</f>
        <v/>
      </c>
      <c r="CN509">
        <f>IFERROR(INDEX(PP_Grid[#Data],$DD509,90),0)</f>
        <v/>
      </c>
      <c r="CO509">
        <f>IFERROR(INDEX(PP_Grid[#Data],$DD509,91),0)</f>
        <v/>
      </c>
      <c r="CP509">
        <f>IFERROR(INDEX(PP_Grid[#Data],$DD509,92),0)</f>
        <v/>
      </c>
      <c r="CQ509">
        <f>IFERROR(INDEX(PP_Grid[#Data],$DD509,93),0)</f>
        <v/>
      </c>
      <c r="CR509">
        <f>IFERROR(INDEX(PP_Grid[#Data],$DD509,94),0)</f>
        <v/>
      </c>
      <c r="CS509">
        <f>IFERROR(INDEX(PP_Grid[#Data],$DD509,95),0)</f>
        <v/>
      </c>
      <c r="CT509">
        <f>IFERROR(INDEX(PP_Grid[#Data],$DD509,96),0)</f>
        <v/>
      </c>
      <c r="CU509">
        <f>IFERROR(INDEX(PP_Grid[#Data],$DD509,97),0)</f>
        <v/>
      </c>
      <c r="CV509">
        <f>IFERROR(INDEX(PP_Grid[#Data],$DD509,98),0)</f>
        <v/>
      </c>
      <c r="CW509">
        <f>IFERROR(INDEX(PP_Grid[#Data],$DD509,99),0)</f>
        <v/>
      </c>
      <c r="CX509">
        <f>IFERROR(INDEX(PP_Grid[#Data],$DD509,100),0)</f>
        <v/>
      </c>
      <c r="CY509">
        <f>IFERROR(INDEX(PP_Grid[#Data],$DD509,101),0)</f>
        <v/>
      </c>
      <c r="CZ509">
        <f>IFERROR(INDEX(PP_Grid[#Data],$DD509,102),0)</f>
        <v/>
      </c>
      <c r="DA509">
        <f>IFERROR(INDEX(PP_Grid[#Data],$DD509,103),0)</f>
        <v/>
      </c>
      <c r="DB509">
        <f>IFERROR(INDEX(PP_Grid[#Data],$DD509,104),0)</f>
        <v/>
      </c>
      <c r="DC509">
        <f>IFERROR(INDEX(PP_Grid[#Data],$DD509,105),0)</f>
        <v/>
      </c>
      <c r="DD509" s="7">
        <f>IFERROR(MATCH($B509,PP_Grid[Intermediate],0),99999)</f>
        <v/>
      </c>
    </row>
    <row r="510">
      <c r="B510" t="inlineStr">
        <is>
          <t>使用量(kg)</t>
        </is>
      </c>
      <c r="C510">
        <f>SUMIFS(M_BOM[RM_Qty_Per_Batch],M_BOM[Intermediate],$B509,M_BOM[Part Name],$A500)</f>
        <v/>
      </c>
      <c r="D510">
        <f>$C510*D509</f>
        <v/>
      </c>
      <c r="E510">
        <f>$C510*E509</f>
        <v/>
      </c>
      <c r="F510">
        <f>$C510*F509</f>
        <v/>
      </c>
      <c r="G510">
        <f>$C510*G509</f>
        <v/>
      </c>
      <c r="H510">
        <f>$C510*H509</f>
        <v/>
      </c>
      <c r="I510">
        <f>$C510*I509</f>
        <v/>
      </c>
      <c r="J510">
        <f>$C510*J509</f>
        <v/>
      </c>
      <c r="K510">
        <f>$C510*K509</f>
        <v/>
      </c>
      <c r="L510">
        <f>$C510*L509</f>
        <v/>
      </c>
      <c r="M510">
        <f>$C510*M509</f>
        <v/>
      </c>
      <c r="N510">
        <f>$C510*N509</f>
        <v/>
      </c>
      <c r="O510">
        <f>$C510*O509</f>
        <v/>
      </c>
      <c r="P510">
        <f>$C510*P509</f>
        <v/>
      </c>
      <c r="Q510">
        <f>$C510*Q509</f>
        <v/>
      </c>
      <c r="R510">
        <f>$C510*R509</f>
        <v/>
      </c>
      <c r="S510">
        <f>$C510*S509</f>
        <v/>
      </c>
      <c r="T510">
        <f>$C510*T509</f>
        <v/>
      </c>
      <c r="U510">
        <f>$C510*U509</f>
        <v/>
      </c>
      <c r="V510">
        <f>$C510*V509</f>
        <v/>
      </c>
      <c r="W510">
        <f>$C510*W509</f>
        <v/>
      </c>
      <c r="X510">
        <f>$C510*X509</f>
        <v/>
      </c>
      <c r="Y510">
        <f>$C510*Y509</f>
        <v/>
      </c>
      <c r="Z510">
        <f>$C510*Z509</f>
        <v/>
      </c>
      <c r="AA510">
        <f>$C510*AA509</f>
        <v/>
      </c>
      <c r="AB510">
        <f>$C510*AB509</f>
        <v/>
      </c>
      <c r="AC510">
        <f>$C510*AC509</f>
        <v/>
      </c>
      <c r="AD510">
        <f>$C510*AD509</f>
        <v/>
      </c>
      <c r="AE510">
        <f>$C510*AE509</f>
        <v/>
      </c>
      <c r="AF510">
        <f>$C510*AF509</f>
        <v/>
      </c>
      <c r="AG510">
        <f>$C510*AG509</f>
        <v/>
      </c>
      <c r="AH510">
        <f>$C510*AH509</f>
        <v/>
      </c>
      <c r="AI510">
        <f>$C510*AI509</f>
        <v/>
      </c>
      <c r="AJ510">
        <f>$C510*AJ509</f>
        <v/>
      </c>
      <c r="AK510">
        <f>$C510*AK509</f>
        <v/>
      </c>
      <c r="AL510">
        <f>$C510*AL509</f>
        <v/>
      </c>
      <c r="AM510">
        <f>$C510*AM509</f>
        <v/>
      </c>
      <c r="AN510">
        <f>$C510*AN509</f>
        <v/>
      </c>
      <c r="AO510">
        <f>$C510*AO509</f>
        <v/>
      </c>
      <c r="AP510">
        <f>$C510*AP509</f>
        <v/>
      </c>
      <c r="AQ510">
        <f>$C510*AQ509</f>
        <v/>
      </c>
      <c r="AR510">
        <f>$C510*AR509</f>
        <v/>
      </c>
      <c r="AS510">
        <f>$C510*AS509</f>
        <v/>
      </c>
      <c r="AT510">
        <f>$C510*AT509</f>
        <v/>
      </c>
      <c r="AU510">
        <f>$C510*AU509</f>
        <v/>
      </c>
      <c r="AV510">
        <f>$C510*AV509</f>
        <v/>
      </c>
      <c r="AW510">
        <f>$C510*AW509</f>
        <v/>
      </c>
      <c r="AX510">
        <f>$C510*AX509</f>
        <v/>
      </c>
      <c r="AY510">
        <f>$C510*AY509</f>
        <v/>
      </c>
      <c r="AZ510">
        <f>$C510*AZ509</f>
        <v/>
      </c>
      <c r="BA510">
        <f>$C510*BA509</f>
        <v/>
      </c>
      <c r="BB510">
        <f>$C510*BB509</f>
        <v/>
      </c>
      <c r="BC510">
        <f>$C510*BC509</f>
        <v/>
      </c>
      <c r="BD510">
        <f>$C510*BD509</f>
        <v/>
      </c>
      <c r="BE510">
        <f>$C510*BE509</f>
        <v/>
      </c>
      <c r="BF510">
        <f>$C510*BF509</f>
        <v/>
      </c>
      <c r="BG510">
        <f>$C510*BG509</f>
        <v/>
      </c>
      <c r="BH510">
        <f>$C510*BH509</f>
        <v/>
      </c>
      <c r="BI510">
        <f>$C510*BI509</f>
        <v/>
      </c>
      <c r="BJ510">
        <f>$C510*BJ509</f>
        <v/>
      </c>
      <c r="BK510">
        <f>$C510*BK509</f>
        <v/>
      </c>
      <c r="BL510">
        <f>$C510*BL509</f>
        <v/>
      </c>
      <c r="BM510">
        <f>$C510*BM509</f>
        <v/>
      </c>
      <c r="BN510">
        <f>$C510*BN509</f>
        <v/>
      </c>
      <c r="BO510">
        <f>$C510*BO509</f>
        <v/>
      </c>
      <c r="BP510">
        <f>$C510*BP509</f>
        <v/>
      </c>
      <c r="BQ510">
        <f>$C510*BQ509</f>
        <v/>
      </c>
      <c r="BR510">
        <f>$C510*BR509</f>
        <v/>
      </c>
      <c r="BS510">
        <f>$C510*BS509</f>
        <v/>
      </c>
      <c r="BT510">
        <f>$C510*BT509</f>
        <v/>
      </c>
      <c r="BU510">
        <f>$C510*BU509</f>
        <v/>
      </c>
      <c r="BV510">
        <f>$C510*BV509</f>
        <v/>
      </c>
      <c r="BW510">
        <f>$C510*BW509</f>
        <v/>
      </c>
      <c r="BX510">
        <f>$C510*BX509</f>
        <v/>
      </c>
      <c r="BY510">
        <f>$C510*BY509</f>
        <v/>
      </c>
      <c r="BZ510">
        <f>$C510*BZ509</f>
        <v/>
      </c>
      <c r="CA510">
        <f>$C510*CA509</f>
        <v/>
      </c>
      <c r="CB510">
        <f>$C510*CB509</f>
        <v/>
      </c>
      <c r="CC510">
        <f>$C510*CC509</f>
        <v/>
      </c>
      <c r="CD510">
        <f>$C510*CD509</f>
        <v/>
      </c>
      <c r="CE510">
        <f>$C510*CE509</f>
        <v/>
      </c>
      <c r="CF510">
        <f>$C510*CF509</f>
        <v/>
      </c>
      <c r="CG510">
        <f>$C510*CG509</f>
        <v/>
      </c>
      <c r="CH510">
        <f>$C510*CH509</f>
        <v/>
      </c>
      <c r="CI510">
        <f>$C510*CI509</f>
        <v/>
      </c>
      <c r="CJ510">
        <f>$C510*CJ509</f>
        <v/>
      </c>
      <c r="CK510">
        <f>$C510*CK509</f>
        <v/>
      </c>
      <c r="CL510">
        <f>$C510*CL509</f>
        <v/>
      </c>
      <c r="CM510">
        <f>$C510*CM509</f>
        <v/>
      </c>
      <c r="CN510">
        <f>$C510*CN509</f>
        <v/>
      </c>
      <c r="CO510">
        <f>$C510*CO509</f>
        <v/>
      </c>
      <c r="CP510">
        <f>$C510*CP509</f>
        <v/>
      </c>
      <c r="CQ510">
        <f>$C510*CQ509</f>
        <v/>
      </c>
      <c r="CR510">
        <f>$C510*CR509</f>
        <v/>
      </c>
      <c r="CS510">
        <f>$C510*CS509</f>
        <v/>
      </c>
      <c r="CT510">
        <f>$C510*CT509</f>
        <v/>
      </c>
      <c r="CU510">
        <f>$C510*CU509</f>
        <v/>
      </c>
      <c r="CV510">
        <f>$C510*CV509</f>
        <v/>
      </c>
      <c r="CW510">
        <f>$C510*CW509</f>
        <v/>
      </c>
      <c r="CX510">
        <f>$C510*CX509</f>
        <v/>
      </c>
      <c r="CY510">
        <f>$C510*CY509</f>
        <v/>
      </c>
      <c r="CZ510">
        <f>$C510*CZ509</f>
        <v/>
      </c>
      <c r="DA510">
        <f>$C510*DA509</f>
        <v/>
      </c>
      <c r="DB510">
        <f>$C510*DB509</f>
        <v/>
      </c>
      <c r="DC510">
        <f>$C510*DC509</f>
        <v/>
      </c>
    </row>
    <row r="511">
      <c r="B511" t="inlineStr">
        <is>
          <t>VSP-600</t>
        </is>
      </c>
      <c r="C511" t="inlineStr">
        <is>
          <t>No. of batches</t>
        </is>
      </c>
      <c r="D511">
        <f>IFERROR(INDEX(PP_Grid[#Data],$DD511,2),0)</f>
        <v/>
      </c>
      <c r="E511">
        <f>IFERROR(INDEX(PP_Grid[#Data],$DD511,3),0)</f>
        <v/>
      </c>
      <c r="F511">
        <f>IFERROR(INDEX(PP_Grid[#Data],$DD511,4),0)</f>
        <v/>
      </c>
      <c r="G511">
        <f>IFERROR(INDEX(PP_Grid[#Data],$DD511,5),0)</f>
        <v/>
      </c>
      <c r="H511">
        <f>IFERROR(INDEX(PP_Grid[#Data],$DD511,6),0)</f>
        <v/>
      </c>
      <c r="I511">
        <f>IFERROR(INDEX(PP_Grid[#Data],$DD511,7),0)</f>
        <v/>
      </c>
      <c r="J511">
        <f>IFERROR(INDEX(PP_Grid[#Data],$DD511,8),0)</f>
        <v/>
      </c>
      <c r="K511">
        <f>IFERROR(INDEX(PP_Grid[#Data],$DD511,9),0)</f>
        <v/>
      </c>
      <c r="L511">
        <f>IFERROR(INDEX(PP_Grid[#Data],$DD511,10),0)</f>
        <v/>
      </c>
      <c r="M511">
        <f>IFERROR(INDEX(PP_Grid[#Data],$DD511,11),0)</f>
        <v/>
      </c>
      <c r="N511">
        <f>IFERROR(INDEX(PP_Grid[#Data],$DD511,12),0)</f>
        <v/>
      </c>
      <c r="O511">
        <f>IFERROR(INDEX(PP_Grid[#Data],$DD511,13),0)</f>
        <v/>
      </c>
      <c r="P511">
        <f>IFERROR(INDEX(PP_Grid[#Data],$DD511,14),0)</f>
        <v/>
      </c>
      <c r="Q511">
        <f>IFERROR(INDEX(PP_Grid[#Data],$DD511,15),0)</f>
        <v/>
      </c>
      <c r="R511">
        <f>IFERROR(INDEX(PP_Grid[#Data],$DD511,16),0)</f>
        <v/>
      </c>
      <c r="S511">
        <f>IFERROR(INDEX(PP_Grid[#Data],$DD511,17),0)</f>
        <v/>
      </c>
      <c r="T511">
        <f>IFERROR(INDEX(PP_Grid[#Data],$DD511,18),0)</f>
        <v/>
      </c>
      <c r="U511">
        <f>IFERROR(INDEX(PP_Grid[#Data],$DD511,19),0)</f>
        <v/>
      </c>
      <c r="V511">
        <f>IFERROR(INDEX(PP_Grid[#Data],$DD511,20),0)</f>
        <v/>
      </c>
      <c r="W511">
        <f>IFERROR(INDEX(PP_Grid[#Data],$DD511,21),0)</f>
        <v/>
      </c>
      <c r="X511">
        <f>IFERROR(INDEX(PP_Grid[#Data],$DD511,22),0)</f>
        <v/>
      </c>
      <c r="Y511">
        <f>IFERROR(INDEX(PP_Grid[#Data],$DD511,23),0)</f>
        <v/>
      </c>
      <c r="Z511">
        <f>IFERROR(INDEX(PP_Grid[#Data],$DD511,24),0)</f>
        <v/>
      </c>
      <c r="AA511">
        <f>IFERROR(INDEX(PP_Grid[#Data],$DD511,25),0)</f>
        <v/>
      </c>
      <c r="AB511">
        <f>IFERROR(INDEX(PP_Grid[#Data],$DD511,26),0)</f>
        <v/>
      </c>
      <c r="AC511">
        <f>IFERROR(INDEX(PP_Grid[#Data],$DD511,27),0)</f>
        <v/>
      </c>
      <c r="AD511">
        <f>IFERROR(INDEX(PP_Grid[#Data],$DD511,28),0)</f>
        <v/>
      </c>
      <c r="AE511">
        <f>IFERROR(INDEX(PP_Grid[#Data],$DD511,29),0)</f>
        <v/>
      </c>
      <c r="AF511">
        <f>IFERROR(INDEX(PP_Grid[#Data],$DD511,30),0)</f>
        <v/>
      </c>
      <c r="AG511">
        <f>IFERROR(INDEX(PP_Grid[#Data],$DD511,31),0)</f>
        <v/>
      </c>
      <c r="AH511">
        <f>IFERROR(INDEX(PP_Grid[#Data],$DD511,32),0)</f>
        <v/>
      </c>
      <c r="AI511">
        <f>IFERROR(INDEX(PP_Grid[#Data],$DD511,33),0)</f>
        <v/>
      </c>
      <c r="AJ511">
        <f>IFERROR(INDEX(PP_Grid[#Data],$DD511,34),0)</f>
        <v/>
      </c>
      <c r="AK511">
        <f>IFERROR(INDEX(PP_Grid[#Data],$DD511,35),0)</f>
        <v/>
      </c>
      <c r="AL511">
        <f>IFERROR(INDEX(PP_Grid[#Data],$DD511,36),0)</f>
        <v/>
      </c>
      <c r="AM511">
        <f>IFERROR(INDEX(PP_Grid[#Data],$DD511,37),0)</f>
        <v/>
      </c>
      <c r="AN511">
        <f>IFERROR(INDEX(PP_Grid[#Data],$DD511,38),0)</f>
        <v/>
      </c>
      <c r="AO511">
        <f>IFERROR(INDEX(PP_Grid[#Data],$DD511,39),0)</f>
        <v/>
      </c>
      <c r="AP511">
        <f>IFERROR(INDEX(PP_Grid[#Data],$DD511,40),0)</f>
        <v/>
      </c>
      <c r="AQ511">
        <f>IFERROR(INDEX(PP_Grid[#Data],$DD511,41),0)</f>
        <v/>
      </c>
      <c r="AR511">
        <f>IFERROR(INDEX(PP_Grid[#Data],$DD511,42),0)</f>
        <v/>
      </c>
      <c r="AS511">
        <f>IFERROR(INDEX(PP_Grid[#Data],$DD511,43),0)</f>
        <v/>
      </c>
      <c r="AT511">
        <f>IFERROR(INDEX(PP_Grid[#Data],$DD511,44),0)</f>
        <v/>
      </c>
      <c r="AU511">
        <f>IFERROR(INDEX(PP_Grid[#Data],$DD511,45),0)</f>
        <v/>
      </c>
      <c r="AV511">
        <f>IFERROR(INDEX(PP_Grid[#Data],$DD511,46),0)</f>
        <v/>
      </c>
      <c r="AW511">
        <f>IFERROR(INDEX(PP_Grid[#Data],$DD511,47),0)</f>
        <v/>
      </c>
      <c r="AX511">
        <f>IFERROR(INDEX(PP_Grid[#Data],$DD511,48),0)</f>
        <v/>
      </c>
      <c r="AY511">
        <f>IFERROR(INDEX(PP_Grid[#Data],$DD511,49),0)</f>
        <v/>
      </c>
      <c r="AZ511">
        <f>IFERROR(INDEX(PP_Grid[#Data],$DD511,50),0)</f>
        <v/>
      </c>
      <c r="BA511">
        <f>IFERROR(INDEX(PP_Grid[#Data],$DD511,51),0)</f>
        <v/>
      </c>
      <c r="BB511">
        <f>IFERROR(INDEX(PP_Grid[#Data],$DD511,52),0)</f>
        <v/>
      </c>
      <c r="BC511">
        <f>IFERROR(INDEX(PP_Grid[#Data],$DD511,53),0)</f>
        <v/>
      </c>
      <c r="BD511">
        <f>IFERROR(INDEX(PP_Grid[#Data],$DD511,54),0)</f>
        <v/>
      </c>
      <c r="BE511">
        <f>IFERROR(INDEX(PP_Grid[#Data],$DD511,55),0)</f>
        <v/>
      </c>
      <c r="BF511">
        <f>IFERROR(INDEX(PP_Grid[#Data],$DD511,56),0)</f>
        <v/>
      </c>
      <c r="BG511">
        <f>IFERROR(INDEX(PP_Grid[#Data],$DD511,57),0)</f>
        <v/>
      </c>
      <c r="BH511">
        <f>IFERROR(INDEX(PP_Grid[#Data],$DD511,58),0)</f>
        <v/>
      </c>
      <c r="BI511">
        <f>IFERROR(INDEX(PP_Grid[#Data],$DD511,59),0)</f>
        <v/>
      </c>
      <c r="BJ511">
        <f>IFERROR(INDEX(PP_Grid[#Data],$DD511,60),0)</f>
        <v/>
      </c>
      <c r="BK511">
        <f>IFERROR(INDEX(PP_Grid[#Data],$DD511,61),0)</f>
        <v/>
      </c>
      <c r="BL511">
        <f>IFERROR(INDEX(PP_Grid[#Data],$DD511,62),0)</f>
        <v/>
      </c>
      <c r="BM511">
        <f>IFERROR(INDEX(PP_Grid[#Data],$DD511,63),0)</f>
        <v/>
      </c>
      <c r="BN511">
        <f>IFERROR(INDEX(PP_Grid[#Data],$DD511,64),0)</f>
        <v/>
      </c>
      <c r="BO511">
        <f>IFERROR(INDEX(PP_Grid[#Data],$DD511,65),0)</f>
        <v/>
      </c>
      <c r="BP511">
        <f>IFERROR(INDEX(PP_Grid[#Data],$DD511,66),0)</f>
        <v/>
      </c>
      <c r="BQ511">
        <f>IFERROR(INDEX(PP_Grid[#Data],$DD511,67),0)</f>
        <v/>
      </c>
      <c r="BR511">
        <f>IFERROR(INDEX(PP_Grid[#Data],$DD511,68),0)</f>
        <v/>
      </c>
      <c r="BS511">
        <f>IFERROR(INDEX(PP_Grid[#Data],$DD511,69),0)</f>
        <v/>
      </c>
      <c r="BT511">
        <f>IFERROR(INDEX(PP_Grid[#Data],$DD511,70),0)</f>
        <v/>
      </c>
      <c r="BU511">
        <f>IFERROR(INDEX(PP_Grid[#Data],$DD511,71),0)</f>
        <v/>
      </c>
      <c r="BV511">
        <f>IFERROR(INDEX(PP_Grid[#Data],$DD511,72),0)</f>
        <v/>
      </c>
      <c r="BW511">
        <f>IFERROR(INDEX(PP_Grid[#Data],$DD511,73),0)</f>
        <v/>
      </c>
      <c r="BX511">
        <f>IFERROR(INDEX(PP_Grid[#Data],$DD511,74),0)</f>
        <v/>
      </c>
      <c r="BY511">
        <f>IFERROR(INDEX(PP_Grid[#Data],$DD511,75),0)</f>
        <v/>
      </c>
      <c r="BZ511">
        <f>IFERROR(INDEX(PP_Grid[#Data],$DD511,76),0)</f>
        <v/>
      </c>
      <c r="CA511">
        <f>IFERROR(INDEX(PP_Grid[#Data],$DD511,77),0)</f>
        <v/>
      </c>
      <c r="CB511">
        <f>IFERROR(INDEX(PP_Grid[#Data],$DD511,78),0)</f>
        <v/>
      </c>
      <c r="CC511">
        <f>IFERROR(INDEX(PP_Grid[#Data],$DD511,79),0)</f>
        <v/>
      </c>
      <c r="CD511">
        <f>IFERROR(INDEX(PP_Grid[#Data],$DD511,80),0)</f>
        <v/>
      </c>
      <c r="CE511">
        <f>IFERROR(INDEX(PP_Grid[#Data],$DD511,81),0)</f>
        <v/>
      </c>
      <c r="CF511">
        <f>IFERROR(INDEX(PP_Grid[#Data],$DD511,82),0)</f>
        <v/>
      </c>
      <c r="CG511">
        <f>IFERROR(INDEX(PP_Grid[#Data],$DD511,83),0)</f>
        <v/>
      </c>
      <c r="CH511">
        <f>IFERROR(INDEX(PP_Grid[#Data],$DD511,84),0)</f>
        <v/>
      </c>
      <c r="CI511">
        <f>IFERROR(INDEX(PP_Grid[#Data],$DD511,85),0)</f>
        <v/>
      </c>
      <c r="CJ511">
        <f>IFERROR(INDEX(PP_Grid[#Data],$DD511,86),0)</f>
        <v/>
      </c>
      <c r="CK511">
        <f>IFERROR(INDEX(PP_Grid[#Data],$DD511,87),0)</f>
        <v/>
      </c>
      <c r="CL511">
        <f>IFERROR(INDEX(PP_Grid[#Data],$DD511,88),0)</f>
        <v/>
      </c>
      <c r="CM511">
        <f>IFERROR(INDEX(PP_Grid[#Data],$DD511,89),0)</f>
        <v/>
      </c>
      <c r="CN511">
        <f>IFERROR(INDEX(PP_Grid[#Data],$DD511,90),0)</f>
        <v/>
      </c>
      <c r="CO511">
        <f>IFERROR(INDEX(PP_Grid[#Data],$DD511,91),0)</f>
        <v/>
      </c>
      <c r="CP511">
        <f>IFERROR(INDEX(PP_Grid[#Data],$DD511,92),0)</f>
        <v/>
      </c>
      <c r="CQ511">
        <f>IFERROR(INDEX(PP_Grid[#Data],$DD511,93),0)</f>
        <v/>
      </c>
      <c r="CR511">
        <f>IFERROR(INDEX(PP_Grid[#Data],$DD511,94),0)</f>
        <v/>
      </c>
      <c r="CS511">
        <f>IFERROR(INDEX(PP_Grid[#Data],$DD511,95),0)</f>
        <v/>
      </c>
      <c r="CT511">
        <f>IFERROR(INDEX(PP_Grid[#Data],$DD511,96),0)</f>
        <v/>
      </c>
      <c r="CU511">
        <f>IFERROR(INDEX(PP_Grid[#Data],$DD511,97),0)</f>
        <v/>
      </c>
      <c r="CV511">
        <f>IFERROR(INDEX(PP_Grid[#Data],$DD511,98),0)</f>
        <v/>
      </c>
      <c r="CW511">
        <f>IFERROR(INDEX(PP_Grid[#Data],$DD511,99),0)</f>
        <v/>
      </c>
      <c r="CX511">
        <f>IFERROR(INDEX(PP_Grid[#Data],$DD511,100),0)</f>
        <v/>
      </c>
      <c r="CY511">
        <f>IFERROR(INDEX(PP_Grid[#Data],$DD511,101),0)</f>
        <v/>
      </c>
      <c r="CZ511">
        <f>IFERROR(INDEX(PP_Grid[#Data],$DD511,102),0)</f>
        <v/>
      </c>
      <c r="DA511">
        <f>IFERROR(INDEX(PP_Grid[#Data],$DD511,103),0)</f>
        <v/>
      </c>
      <c r="DB511">
        <f>IFERROR(INDEX(PP_Grid[#Data],$DD511,104),0)</f>
        <v/>
      </c>
      <c r="DC511">
        <f>IFERROR(INDEX(PP_Grid[#Data],$DD511,105),0)</f>
        <v/>
      </c>
      <c r="DD511" s="7">
        <f>IFERROR(MATCH($B511,PP_Grid[Intermediate],0),99999)</f>
        <v/>
      </c>
    </row>
    <row r="512">
      <c r="B512" t="inlineStr">
        <is>
          <t>使用量(kg)</t>
        </is>
      </c>
      <c r="C512">
        <f>SUMIFS(M_BOM[RM_Qty_Per_Batch],M_BOM[Intermediate],$B511,M_BOM[Part Name],$A500)</f>
        <v/>
      </c>
      <c r="D512">
        <f>$C512*D511</f>
        <v/>
      </c>
      <c r="E512">
        <f>$C512*E511</f>
        <v/>
      </c>
      <c r="F512">
        <f>$C512*F511</f>
        <v/>
      </c>
      <c r="G512">
        <f>$C512*G511</f>
        <v/>
      </c>
      <c r="H512">
        <f>$C512*H511</f>
        <v/>
      </c>
      <c r="I512">
        <f>$C512*I511</f>
        <v/>
      </c>
      <c r="J512">
        <f>$C512*J511</f>
        <v/>
      </c>
      <c r="K512">
        <f>$C512*K511</f>
        <v/>
      </c>
      <c r="L512">
        <f>$C512*L511</f>
        <v/>
      </c>
      <c r="M512">
        <f>$C512*M511</f>
        <v/>
      </c>
      <c r="N512">
        <f>$C512*N511</f>
        <v/>
      </c>
      <c r="O512">
        <f>$C512*O511</f>
        <v/>
      </c>
      <c r="P512">
        <f>$C512*P511</f>
        <v/>
      </c>
      <c r="Q512">
        <f>$C512*Q511</f>
        <v/>
      </c>
      <c r="R512">
        <f>$C512*R511</f>
        <v/>
      </c>
      <c r="S512">
        <f>$C512*S511</f>
        <v/>
      </c>
      <c r="T512">
        <f>$C512*T511</f>
        <v/>
      </c>
      <c r="U512">
        <f>$C512*U511</f>
        <v/>
      </c>
      <c r="V512">
        <f>$C512*V511</f>
        <v/>
      </c>
      <c r="W512">
        <f>$C512*W511</f>
        <v/>
      </c>
      <c r="X512">
        <f>$C512*X511</f>
        <v/>
      </c>
      <c r="Y512">
        <f>$C512*Y511</f>
        <v/>
      </c>
      <c r="Z512">
        <f>$C512*Z511</f>
        <v/>
      </c>
      <c r="AA512">
        <f>$C512*AA511</f>
        <v/>
      </c>
      <c r="AB512">
        <f>$C512*AB511</f>
        <v/>
      </c>
      <c r="AC512">
        <f>$C512*AC511</f>
        <v/>
      </c>
      <c r="AD512">
        <f>$C512*AD511</f>
        <v/>
      </c>
      <c r="AE512">
        <f>$C512*AE511</f>
        <v/>
      </c>
      <c r="AF512">
        <f>$C512*AF511</f>
        <v/>
      </c>
      <c r="AG512">
        <f>$C512*AG511</f>
        <v/>
      </c>
      <c r="AH512">
        <f>$C512*AH511</f>
        <v/>
      </c>
      <c r="AI512">
        <f>$C512*AI511</f>
        <v/>
      </c>
      <c r="AJ512">
        <f>$C512*AJ511</f>
        <v/>
      </c>
      <c r="AK512">
        <f>$C512*AK511</f>
        <v/>
      </c>
      <c r="AL512">
        <f>$C512*AL511</f>
        <v/>
      </c>
      <c r="AM512">
        <f>$C512*AM511</f>
        <v/>
      </c>
      <c r="AN512">
        <f>$C512*AN511</f>
        <v/>
      </c>
      <c r="AO512">
        <f>$C512*AO511</f>
        <v/>
      </c>
      <c r="AP512">
        <f>$C512*AP511</f>
        <v/>
      </c>
      <c r="AQ512">
        <f>$C512*AQ511</f>
        <v/>
      </c>
      <c r="AR512">
        <f>$C512*AR511</f>
        <v/>
      </c>
      <c r="AS512">
        <f>$C512*AS511</f>
        <v/>
      </c>
      <c r="AT512">
        <f>$C512*AT511</f>
        <v/>
      </c>
      <c r="AU512">
        <f>$C512*AU511</f>
        <v/>
      </c>
      <c r="AV512">
        <f>$C512*AV511</f>
        <v/>
      </c>
      <c r="AW512">
        <f>$C512*AW511</f>
        <v/>
      </c>
      <c r="AX512">
        <f>$C512*AX511</f>
        <v/>
      </c>
      <c r="AY512">
        <f>$C512*AY511</f>
        <v/>
      </c>
      <c r="AZ512">
        <f>$C512*AZ511</f>
        <v/>
      </c>
      <c r="BA512">
        <f>$C512*BA511</f>
        <v/>
      </c>
      <c r="BB512">
        <f>$C512*BB511</f>
        <v/>
      </c>
      <c r="BC512">
        <f>$C512*BC511</f>
        <v/>
      </c>
      <c r="BD512">
        <f>$C512*BD511</f>
        <v/>
      </c>
      <c r="BE512">
        <f>$C512*BE511</f>
        <v/>
      </c>
      <c r="BF512">
        <f>$C512*BF511</f>
        <v/>
      </c>
      <c r="BG512">
        <f>$C512*BG511</f>
        <v/>
      </c>
      <c r="BH512">
        <f>$C512*BH511</f>
        <v/>
      </c>
      <c r="BI512">
        <f>$C512*BI511</f>
        <v/>
      </c>
      <c r="BJ512">
        <f>$C512*BJ511</f>
        <v/>
      </c>
      <c r="BK512">
        <f>$C512*BK511</f>
        <v/>
      </c>
      <c r="BL512">
        <f>$C512*BL511</f>
        <v/>
      </c>
      <c r="BM512">
        <f>$C512*BM511</f>
        <v/>
      </c>
      <c r="BN512">
        <f>$C512*BN511</f>
        <v/>
      </c>
      <c r="BO512">
        <f>$C512*BO511</f>
        <v/>
      </c>
      <c r="BP512">
        <f>$C512*BP511</f>
        <v/>
      </c>
      <c r="BQ512">
        <f>$C512*BQ511</f>
        <v/>
      </c>
      <c r="BR512">
        <f>$C512*BR511</f>
        <v/>
      </c>
      <c r="BS512">
        <f>$C512*BS511</f>
        <v/>
      </c>
      <c r="BT512">
        <f>$C512*BT511</f>
        <v/>
      </c>
      <c r="BU512">
        <f>$C512*BU511</f>
        <v/>
      </c>
      <c r="BV512">
        <f>$C512*BV511</f>
        <v/>
      </c>
      <c r="BW512">
        <f>$C512*BW511</f>
        <v/>
      </c>
      <c r="BX512">
        <f>$C512*BX511</f>
        <v/>
      </c>
      <c r="BY512">
        <f>$C512*BY511</f>
        <v/>
      </c>
      <c r="BZ512">
        <f>$C512*BZ511</f>
        <v/>
      </c>
      <c r="CA512">
        <f>$C512*CA511</f>
        <v/>
      </c>
      <c r="CB512">
        <f>$C512*CB511</f>
        <v/>
      </c>
      <c r="CC512">
        <f>$C512*CC511</f>
        <v/>
      </c>
      <c r="CD512">
        <f>$C512*CD511</f>
        <v/>
      </c>
      <c r="CE512">
        <f>$C512*CE511</f>
        <v/>
      </c>
      <c r="CF512">
        <f>$C512*CF511</f>
        <v/>
      </c>
      <c r="CG512">
        <f>$C512*CG511</f>
        <v/>
      </c>
      <c r="CH512">
        <f>$C512*CH511</f>
        <v/>
      </c>
      <c r="CI512">
        <f>$C512*CI511</f>
        <v/>
      </c>
      <c r="CJ512">
        <f>$C512*CJ511</f>
        <v/>
      </c>
      <c r="CK512">
        <f>$C512*CK511</f>
        <v/>
      </c>
      <c r="CL512">
        <f>$C512*CL511</f>
        <v/>
      </c>
      <c r="CM512">
        <f>$C512*CM511</f>
        <v/>
      </c>
      <c r="CN512">
        <f>$C512*CN511</f>
        <v/>
      </c>
      <c r="CO512">
        <f>$C512*CO511</f>
        <v/>
      </c>
      <c r="CP512">
        <f>$C512*CP511</f>
        <v/>
      </c>
      <c r="CQ512">
        <f>$C512*CQ511</f>
        <v/>
      </c>
      <c r="CR512">
        <f>$C512*CR511</f>
        <v/>
      </c>
      <c r="CS512">
        <f>$C512*CS511</f>
        <v/>
      </c>
      <c r="CT512">
        <f>$C512*CT511</f>
        <v/>
      </c>
      <c r="CU512">
        <f>$C512*CU511</f>
        <v/>
      </c>
      <c r="CV512">
        <f>$C512*CV511</f>
        <v/>
      </c>
      <c r="CW512">
        <f>$C512*CW511</f>
        <v/>
      </c>
      <c r="CX512">
        <f>$C512*CX511</f>
        <v/>
      </c>
      <c r="CY512">
        <f>$C512*CY511</f>
        <v/>
      </c>
      <c r="CZ512">
        <f>$C512*CZ511</f>
        <v/>
      </c>
      <c r="DA512">
        <f>$C512*DA511</f>
        <v/>
      </c>
      <c r="DB512">
        <f>$C512*DB511</f>
        <v/>
      </c>
      <c r="DC512">
        <f>$C512*DC511</f>
        <v/>
      </c>
    </row>
    <row r="513">
      <c r="B513" t="inlineStr">
        <is>
          <t>VSP-601</t>
        </is>
      </c>
      <c r="C513" t="inlineStr">
        <is>
          <t>No. of batches</t>
        </is>
      </c>
      <c r="D513">
        <f>IFERROR(INDEX(PP_Grid[#Data],$DD513,2),0)</f>
        <v/>
      </c>
      <c r="E513">
        <f>IFERROR(INDEX(PP_Grid[#Data],$DD513,3),0)</f>
        <v/>
      </c>
      <c r="F513">
        <f>IFERROR(INDEX(PP_Grid[#Data],$DD513,4),0)</f>
        <v/>
      </c>
      <c r="G513">
        <f>IFERROR(INDEX(PP_Grid[#Data],$DD513,5),0)</f>
        <v/>
      </c>
      <c r="H513">
        <f>IFERROR(INDEX(PP_Grid[#Data],$DD513,6),0)</f>
        <v/>
      </c>
      <c r="I513">
        <f>IFERROR(INDEX(PP_Grid[#Data],$DD513,7),0)</f>
        <v/>
      </c>
      <c r="J513">
        <f>IFERROR(INDEX(PP_Grid[#Data],$DD513,8),0)</f>
        <v/>
      </c>
      <c r="K513">
        <f>IFERROR(INDEX(PP_Grid[#Data],$DD513,9),0)</f>
        <v/>
      </c>
      <c r="L513">
        <f>IFERROR(INDEX(PP_Grid[#Data],$DD513,10),0)</f>
        <v/>
      </c>
      <c r="M513">
        <f>IFERROR(INDEX(PP_Grid[#Data],$DD513,11),0)</f>
        <v/>
      </c>
      <c r="N513">
        <f>IFERROR(INDEX(PP_Grid[#Data],$DD513,12),0)</f>
        <v/>
      </c>
      <c r="O513">
        <f>IFERROR(INDEX(PP_Grid[#Data],$DD513,13),0)</f>
        <v/>
      </c>
      <c r="P513">
        <f>IFERROR(INDEX(PP_Grid[#Data],$DD513,14),0)</f>
        <v/>
      </c>
      <c r="Q513">
        <f>IFERROR(INDEX(PP_Grid[#Data],$DD513,15),0)</f>
        <v/>
      </c>
      <c r="R513">
        <f>IFERROR(INDEX(PP_Grid[#Data],$DD513,16),0)</f>
        <v/>
      </c>
      <c r="S513">
        <f>IFERROR(INDEX(PP_Grid[#Data],$DD513,17),0)</f>
        <v/>
      </c>
      <c r="T513">
        <f>IFERROR(INDEX(PP_Grid[#Data],$DD513,18),0)</f>
        <v/>
      </c>
      <c r="U513">
        <f>IFERROR(INDEX(PP_Grid[#Data],$DD513,19),0)</f>
        <v/>
      </c>
      <c r="V513">
        <f>IFERROR(INDEX(PP_Grid[#Data],$DD513,20),0)</f>
        <v/>
      </c>
      <c r="W513">
        <f>IFERROR(INDEX(PP_Grid[#Data],$DD513,21),0)</f>
        <v/>
      </c>
      <c r="X513">
        <f>IFERROR(INDEX(PP_Grid[#Data],$DD513,22),0)</f>
        <v/>
      </c>
      <c r="Y513">
        <f>IFERROR(INDEX(PP_Grid[#Data],$DD513,23),0)</f>
        <v/>
      </c>
      <c r="Z513">
        <f>IFERROR(INDEX(PP_Grid[#Data],$DD513,24),0)</f>
        <v/>
      </c>
      <c r="AA513">
        <f>IFERROR(INDEX(PP_Grid[#Data],$DD513,25),0)</f>
        <v/>
      </c>
      <c r="AB513">
        <f>IFERROR(INDEX(PP_Grid[#Data],$DD513,26),0)</f>
        <v/>
      </c>
      <c r="AC513">
        <f>IFERROR(INDEX(PP_Grid[#Data],$DD513,27),0)</f>
        <v/>
      </c>
      <c r="AD513">
        <f>IFERROR(INDEX(PP_Grid[#Data],$DD513,28),0)</f>
        <v/>
      </c>
      <c r="AE513">
        <f>IFERROR(INDEX(PP_Grid[#Data],$DD513,29),0)</f>
        <v/>
      </c>
      <c r="AF513">
        <f>IFERROR(INDEX(PP_Grid[#Data],$DD513,30),0)</f>
        <v/>
      </c>
      <c r="AG513">
        <f>IFERROR(INDEX(PP_Grid[#Data],$DD513,31),0)</f>
        <v/>
      </c>
      <c r="AH513">
        <f>IFERROR(INDEX(PP_Grid[#Data],$DD513,32),0)</f>
        <v/>
      </c>
      <c r="AI513">
        <f>IFERROR(INDEX(PP_Grid[#Data],$DD513,33),0)</f>
        <v/>
      </c>
      <c r="AJ513">
        <f>IFERROR(INDEX(PP_Grid[#Data],$DD513,34),0)</f>
        <v/>
      </c>
      <c r="AK513">
        <f>IFERROR(INDEX(PP_Grid[#Data],$DD513,35),0)</f>
        <v/>
      </c>
      <c r="AL513">
        <f>IFERROR(INDEX(PP_Grid[#Data],$DD513,36),0)</f>
        <v/>
      </c>
      <c r="AM513">
        <f>IFERROR(INDEX(PP_Grid[#Data],$DD513,37),0)</f>
        <v/>
      </c>
      <c r="AN513">
        <f>IFERROR(INDEX(PP_Grid[#Data],$DD513,38),0)</f>
        <v/>
      </c>
      <c r="AO513">
        <f>IFERROR(INDEX(PP_Grid[#Data],$DD513,39),0)</f>
        <v/>
      </c>
      <c r="AP513">
        <f>IFERROR(INDEX(PP_Grid[#Data],$DD513,40),0)</f>
        <v/>
      </c>
      <c r="AQ513">
        <f>IFERROR(INDEX(PP_Grid[#Data],$DD513,41),0)</f>
        <v/>
      </c>
      <c r="AR513">
        <f>IFERROR(INDEX(PP_Grid[#Data],$DD513,42),0)</f>
        <v/>
      </c>
      <c r="AS513">
        <f>IFERROR(INDEX(PP_Grid[#Data],$DD513,43),0)</f>
        <v/>
      </c>
      <c r="AT513">
        <f>IFERROR(INDEX(PP_Grid[#Data],$DD513,44),0)</f>
        <v/>
      </c>
      <c r="AU513">
        <f>IFERROR(INDEX(PP_Grid[#Data],$DD513,45),0)</f>
        <v/>
      </c>
      <c r="AV513">
        <f>IFERROR(INDEX(PP_Grid[#Data],$DD513,46),0)</f>
        <v/>
      </c>
      <c r="AW513">
        <f>IFERROR(INDEX(PP_Grid[#Data],$DD513,47),0)</f>
        <v/>
      </c>
      <c r="AX513">
        <f>IFERROR(INDEX(PP_Grid[#Data],$DD513,48),0)</f>
        <v/>
      </c>
      <c r="AY513">
        <f>IFERROR(INDEX(PP_Grid[#Data],$DD513,49),0)</f>
        <v/>
      </c>
      <c r="AZ513">
        <f>IFERROR(INDEX(PP_Grid[#Data],$DD513,50),0)</f>
        <v/>
      </c>
      <c r="BA513">
        <f>IFERROR(INDEX(PP_Grid[#Data],$DD513,51),0)</f>
        <v/>
      </c>
      <c r="BB513">
        <f>IFERROR(INDEX(PP_Grid[#Data],$DD513,52),0)</f>
        <v/>
      </c>
      <c r="BC513">
        <f>IFERROR(INDEX(PP_Grid[#Data],$DD513,53),0)</f>
        <v/>
      </c>
      <c r="BD513">
        <f>IFERROR(INDEX(PP_Grid[#Data],$DD513,54),0)</f>
        <v/>
      </c>
      <c r="BE513">
        <f>IFERROR(INDEX(PP_Grid[#Data],$DD513,55),0)</f>
        <v/>
      </c>
      <c r="BF513">
        <f>IFERROR(INDEX(PP_Grid[#Data],$DD513,56),0)</f>
        <v/>
      </c>
      <c r="BG513">
        <f>IFERROR(INDEX(PP_Grid[#Data],$DD513,57),0)</f>
        <v/>
      </c>
      <c r="BH513">
        <f>IFERROR(INDEX(PP_Grid[#Data],$DD513,58),0)</f>
        <v/>
      </c>
      <c r="BI513">
        <f>IFERROR(INDEX(PP_Grid[#Data],$DD513,59),0)</f>
        <v/>
      </c>
      <c r="BJ513">
        <f>IFERROR(INDEX(PP_Grid[#Data],$DD513,60),0)</f>
        <v/>
      </c>
      <c r="BK513">
        <f>IFERROR(INDEX(PP_Grid[#Data],$DD513,61),0)</f>
        <v/>
      </c>
      <c r="BL513">
        <f>IFERROR(INDEX(PP_Grid[#Data],$DD513,62),0)</f>
        <v/>
      </c>
      <c r="BM513">
        <f>IFERROR(INDEX(PP_Grid[#Data],$DD513,63),0)</f>
        <v/>
      </c>
      <c r="BN513">
        <f>IFERROR(INDEX(PP_Grid[#Data],$DD513,64),0)</f>
        <v/>
      </c>
      <c r="BO513">
        <f>IFERROR(INDEX(PP_Grid[#Data],$DD513,65),0)</f>
        <v/>
      </c>
      <c r="BP513">
        <f>IFERROR(INDEX(PP_Grid[#Data],$DD513,66),0)</f>
        <v/>
      </c>
      <c r="BQ513">
        <f>IFERROR(INDEX(PP_Grid[#Data],$DD513,67),0)</f>
        <v/>
      </c>
      <c r="BR513">
        <f>IFERROR(INDEX(PP_Grid[#Data],$DD513,68),0)</f>
        <v/>
      </c>
      <c r="BS513">
        <f>IFERROR(INDEX(PP_Grid[#Data],$DD513,69),0)</f>
        <v/>
      </c>
      <c r="BT513">
        <f>IFERROR(INDEX(PP_Grid[#Data],$DD513,70),0)</f>
        <v/>
      </c>
      <c r="BU513">
        <f>IFERROR(INDEX(PP_Grid[#Data],$DD513,71),0)</f>
        <v/>
      </c>
      <c r="BV513">
        <f>IFERROR(INDEX(PP_Grid[#Data],$DD513,72),0)</f>
        <v/>
      </c>
      <c r="BW513">
        <f>IFERROR(INDEX(PP_Grid[#Data],$DD513,73),0)</f>
        <v/>
      </c>
      <c r="BX513">
        <f>IFERROR(INDEX(PP_Grid[#Data],$DD513,74),0)</f>
        <v/>
      </c>
      <c r="BY513">
        <f>IFERROR(INDEX(PP_Grid[#Data],$DD513,75),0)</f>
        <v/>
      </c>
      <c r="BZ513">
        <f>IFERROR(INDEX(PP_Grid[#Data],$DD513,76),0)</f>
        <v/>
      </c>
      <c r="CA513">
        <f>IFERROR(INDEX(PP_Grid[#Data],$DD513,77),0)</f>
        <v/>
      </c>
      <c r="CB513">
        <f>IFERROR(INDEX(PP_Grid[#Data],$DD513,78),0)</f>
        <v/>
      </c>
      <c r="CC513">
        <f>IFERROR(INDEX(PP_Grid[#Data],$DD513,79),0)</f>
        <v/>
      </c>
      <c r="CD513">
        <f>IFERROR(INDEX(PP_Grid[#Data],$DD513,80),0)</f>
        <v/>
      </c>
      <c r="CE513">
        <f>IFERROR(INDEX(PP_Grid[#Data],$DD513,81),0)</f>
        <v/>
      </c>
      <c r="CF513">
        <f>IFERROR(INDEX(PP_Grid[#Data],$DD513,82),0)</f>
        <v/>
      </c>
      <c r="CG513">
        <f>IFERROR(INDEX(PP_Grid[#Data],$DD513,83),0)</f>
        <v/>
      </c>
      <c r="CH513">
        <f>IFERROR(INDEX(PP_Grid[#Data],$DD513,84),0)</f>
        <v/>
      </c>
      <c r="CI513">
        <f>IFERROR(INDEX(PP_Grid[#Data],$DD513,85),0)</f>
        <v/>
      </c>
      <c r="CJ513">
        <f>IFERROR(INDEX(PP_Grid[#Data],$DD513,86),0)</f>
        <v/>
      </c>
      <c r="CK513">
        <f>IFERROR(INDEX(PP_Grid[#Data],$DD513,87),0)</f>
        <v/>
      </c>
      <c r="CL513">
        <f>IFERROR(INDEX(PP_Grid[#Data],$DD513,88),0)</f>
        <v/>
      </c>
      <c r="CM513">
        <f>IFERROR(INDEX(PP_Grid[#Data],$DD513,89),0)</f>
        <v/>
      </c>
      <c r="CN513">
        <f>IFERROR(INDEX(PP_Grid[#Data],$DD513,90),0)</f>
        <v/>
      </c>
      <c r="CO513">
        <f>IFERROR(INDEX(PP_Grid[#Data],$DD513,91),0)</f>
        <v/>
      </c>
      <c r="CP513">
        <f>IFERROR(INDEX(PP_Grid[#Data],$DD513,92),0)</f>
        <v/>
      </c>
      <c r="CQ513">
        <f>IFERROR(INDEX(PP_Grid[#Data],$DD513,93),0)</f>
        <v/>
      </c>
      <c r="CR513">
        <f>IFERROR(INDEX(PP_Grid[#Data],$DD513,94),0)</f>
        <v/>
      </c>
      <c r="CS513">
        <f>IFERROR(INDEX(PP_Grid[#Data],$DD513,95),0)</f>
        <v/>
      </c>
      <c r="CT513">
        <f>IFERROR(INDEX(PP_Grid[#Data],$DD513,96),0)</f>
        <v/>
      </c>
      <c r="CU513">
        <f>IFERROR(INDEX(PP_Grid[#Data],$DD513,97),0)</f>
        <v/>
      </c>
      <c r="CV513">
        <f>IFERROR(INDEX(PP_Grid[#Data],$DD513,98),0)</f>
        <v/>
      </c>
      <c r="CW513">
        <f>IFERROR(INDEX(PP_Grid[#Data],$DD513,99),0)</f>
        <v/>
      </c>
      <c r="CX513">
        <f>IFERROR(INDEX(PP_Grid[#Data],$DD513,100),0)</f>
        <v/>
      </c>
      <c r="CY513">
        <f>IFERROR(INDEX(PP_Grid[#Data],$DD513,101),0)</f>
        <v/>
      </c>
      <c r="CZ513">
        <f>IFERROR(INDEX(PP_Grid[#Data],$DD513,102),0)</f>
        <v/>
      </c>
      <c r="DA513">
        <f>IFERROR(INDEX(PP_Grid[#Data],$DD513,103),0)</f>
        <v/>
      </c>
      <c r="DB513">
        <f>IFERROR(INDEX(PP_Grid[#Data],$DD513,104),0)</f>
        <v/>
      </c>
      <c r="DC513">
        <f>IFERROR(INDEX(PP_Grid[#Data],$DD513,105),0)</f>
        <v/>
      </c>
      <c r="DD513" s="7">
        <f>IFERROR(MATCH($B513,PP_Grid[Intermediate],0),99999)</f>
        <v/>
      </c>
    </row>
    <row r="514">
      <c r="B514" t="inlineStr">
        <is>
          <t>使用量(kg)</t>
        </is>
      </c>
      <c r="C514">
        <f>SUMIFS(M_BOM[RM_Qty_Per_Batch],M_BOM[Intermediate],$B513,M_BOM[Part Name],$A500)</f>
        <v/>
      </c>
      <c r="D514">
        <f>$C514*D513</f>
        <v/>
      </c>
      <c r="E514">
        <f>$C514*E513</f>
        <v/>
      </c>
      <c r="F514">
        <f>$C514*F513</f>
        <v/>
      </c>
      <c r="G514">
        <f>$C514*G513</f>
        <v/>
      </c>
      <c r="H514">
        <f>$C514*H513</f>
        <v/>
      </c>
      <c r="I514">
        <f>$C514*I513</f>
        <v/>
      </c>
      <c r="J514">
        <f>$C514*J513</f>
        <v/>
      </c>
      <c r="K514">
        <f>$C514*K513</f>
        <v/>
      </c>
      <c r="L514">
        <f>$C514*L513</f>
        <v/>
      </c>
      <c r="M514">
        <f>$C514*M513</f>
        <v/>
      </c>
      <c r="N514">
        <f>$C514*N513</f>
        <v/>
      </c>
      <c r="O514">
        <f>$C514*O513</f>
        <v/>
      </c>
      <c r="P514">
        <f>$C514*P513</f>
        <v/>
      </c>
      <c r="Q514">
        <f>$C514*Q513</f>
        <v/>
      </c>
      <c r="R514">
        <f>$C514*R513</f>
        <v/>
      </c>
      <c r="S514">
        <f>$C514*S513</f>
        <v/>
      </c>
      <c r="T514">
        <f>$C514*T513</f>
        <v/>
      </c>
      <c r="U514">
        <f>$C514*U513</f>
        <v/>
      </c>
      <c r="V514">
        <f>$C514*V513</f>
        <v/>
      </c>
      <c r="W514">
        <f>$C514*W513</f>
        <v/>
      </c>
      <c r="X514">
        <f>$C514*X513</f>
        <v/>
      </c>
      <c r="Y514">
        <f>$C514*Y513</f>
        <v/>
      </c>
      <c r="Z514">
        <f>$C514*Z513</f>
        <v/>
      </c>
      <c r="AA514">
        <f>$C514*AA513</f>
        <v/>
      </c>
      <c r="AB514">
        <f>$C514*AB513</f>
        <v/>
      </c>
      <c r="AC514">
        <f>$C514*AC513</f>
        <v/>
      </c>
      <c r="AD514">
        <f>$C514*AD513</f>
        <v/>
      </c>
      <c r="AE514">
        <f>$C514*AE513</f>
        <v/>
      </c>
      <c r="AF514">
        <f>$C514*AF513</f>
        <v/>
      </c>
      <c r="AG514">
        <f>$C514*AG513</f>
        <v/>
      </c>
      <c r="AH514">
        <f>$C514*AH513</f>
        <v/>
      </c>
      <c r="AI514">
        <f>$C514*AI513</f>
        <v/>
      </c>
      <c r="AJ514">
        <f>$C514*AJ513</f>
        <v/>
      </c>
      <c r="AK514">
        <f>$C514*AK513</f>
        <v/>
      </c>
      <c r="AL514">
        <f>$C514*AL513</f>
        <v/>
      </c>
      <c r="AM514">
        <f>$C514*AM513</f>
        <v/>
      </c>
      <c r="AN514">
        <f>$C514*AN513</f>
        <v/>
      </c>
      <c r="AO514">
        <f>$C514*AO513</f>
        <v/>
      </c>
      <c r="AP514">
        <f>$C514*AP513</f>
        <v/>
      </c>
      <c r="AQ514">
        <f>$C514*AQ513</f>
        <v/>
      </c>
      <c r="AR514">
        <f>$C514*AR513</f>
        <v/>
      </c>
      <c r="AS514">
        <f>$C514*AS513</f>
        <v/>
      </c>
      <c r="AT514">
        <f>$C514*AT513</f>
        <v/>
      </c>
      <c r="AU514">
        <f>$C514*AU513</f>
        <v/>
      </c>
      <c r="AV514">
        <f>$C514*AV513</f>
        <v/>
      </c>
      <c r="AW514">
        <f>$C514*AW513</f>
        <v/>
      </c>
      <c r="AX514">
        <f>$C514*AX513</f>
        <v/>
      </c>
      <c r="AY514">
        <f>$C514*AY513</f>
        <v/>
      </c>
      <c r="AZ514">
        <f>$C514*AZ513</f>
        <v/>
      </c>
      <c r="BA514">
        <f>$C514*BA513</f>
        <v/>
      </c>
      <c r="BB514">
        <f>$C514*BB513</f>
        <v/>
      </c>
      <c r="BC514">
        <f>$C514*BC513</f>
        <v/>
      </c>
      <c r="BD514">
        <f>$C514*BD513</f>
        <v/>
      </c>
      <c r="BE514">
        <f>$C514*BE513</f>
        <v/>
      </c>
      <c r="BF514">
        <f>$C514*BF513</f>
        <v/>
      </c>
      <c r="BG514">
        <f>$C514*BG513</f>
        <v/>
      </c>
      <c r="BH514">
        <f>$C514*BH513</f>
        <v/>
      </c>
      <c r="BI514">
        <f>$C514*BI513</f>
        <v/>
      </c>
      <c r="BJ514">
        <f>$C514*BJ513</f>
        <v/>
      </c>
      <c r="BK514">
        <f>$C514*BK513</f>
        <v/>
      </c>
      <c r="BL514">
        <f>$C514*BL513</f>
        <v/>
      </c>
      <c r="BM514">
        <f>$C514*BM513</f>
        <v/>
      </c>
      <c r="BN514">
        <f>$C514*BN513</f>
        <v/>
      </c>
      <c r="BO514">
        <f>$C514*BO513</f>
        <v/>
      </c>
      <c r="BP514">
        <f>$C514*BP513</f>
        <v/>
      </c>
      <c r="BQ514">
        <f>$C514*BQ513</f>
        <v/>
      </c>
      <c r="BR514">
        <f>$C514*BR513</f>
        <v/>
      </c>
      <c r="BS514">
        <f>$C514*BS513</f>
        <v/>
      </c>
      <c r="BT514">
        <f>$C514*BT513</f>
        <v/>
      </c>
      <c r="BU514">
        <f>$C514*BU513</f>
        <v/>
      </c>
      <c r="BV514">
        <f>$C514*BV513</f>
        <v/>
      </c>
      <c r="BW514">
        <f>$C514*BW513</f>
        <v/>
      </c>
      <c r="BX514">
        <f>$C514*BX513</f>
        <v/>
      </c>
      <c r="BY514">
        <f>$C514*BY513</f>
        <v/>
      </c>
      <c r="BZ514">
        <f>$C514*BZ513</f>
        <v/>
      </c>
      <c r="CA514">
        <f>$C514*CA513</f>
        <v/>
      </c>
      <c r="CB514">
        <f>$C514*CB513</f>
        <v/>
      </c>
      <c r="CC514">
        <f>$C514*CC513</f>
        <v/>
      </c>
      <c r="CD514">
        <f>$C514*CD513</f>
        <v/>
      </c>
      <c r="CE514">
        <f>$C514*CE513</f>
        <v/>
      </c>
      <c r="CF514">
        <f>$C514*CF513</f>
        <v/>
      </c>
      <c r="CG514">
        <f>$C514*CG513</f>
        <v/>
      </c>
      <c r="CH514">
        <f>$C514*CH513</f>
        <v/>
      </c>
      <c r="CI514">
        <f>$C514*CI513</f>
        <v/>
      </c>
      <c r="CJ514">
        <f>$C514*CJ513</f>
        <v/>
      </c>
      <c r="CK514">
        <f>$C514*CK513</f>
        <v/>
      </c>
      <c r="CL514">
        <f>$C514*CL513</f>
        <v/>
      </c>
      <c r="CM514">
        <f>$C514*CM513</f>
        <v/>
      </c>
      <c r="CN514">
        <f>$C514*CN513</f>
        <v/>
      </c>
      <c r="CO514">
        <f>$C514*CO513</f>
        <v/>
      </c>
      <c r="CP514">
        <f>$C514*CP513</f>
        <v/>
      </c>
      <c r="CQ514">
        <f>$C514*CQ513</f>
        <v/>
      </c>
      <c r="CR514">
        <f>$C514*CR513</f>
        <v/>
      </c>
      <c r="CS514">
        <f>$C514*CS513</f>
        <v/>
      </c>
      <c r="CT514">
        <f>$C514*CT513</f>
        <v/>
      </c>
      <c r="CU514">
        <f>$C514*CU513</f>
        <v/>
      </c>
      <c r="CV514">
        <f>$C514*CV513</f>
        <v/>
      </c>
      <c r="CW514">
        <f>$C514*CW513</f>
        <v/>
      </c>
      <c r="CX514">
        <f>$C514*CX513</f>
        <v/>
      </c>
      <c r="CY514">
        <f>$C514*CY513</f>
        <v/>
      </c>
      <c r="CZ514">
        <f>$C514*CZ513</f>
        <v/>
      </c>
      <c r="DA514">
        <f>$C514*DA513</f>
        <v/>
      </c>
      <c r="DB514">
        <f>$C514*DB513</f>
        <v/>
      </c>
      <c r="DC514">
        <f>$C514*DC513</f>
        <v/>
      </c>
    </row>
    <row r="515">
      <c r="B515" t="inlineStr">
        <is>
          <t>VSP-603</t>
        </is>
      </c>
      <c r="C515" t="inlineStr">
        <is>
          <t>No. of batches</t>
        </is>
      </c>
      <c r="D515">
        <f>IFERROR(INDEX(PP_Grid[#Data],$DD515,2),0)</f>
        <v/>
      </c>
      <c r="E515">
        <f>IFERROR(INDEX(PP_Grid[#Data],$DD515,3),0)</f>
        <v/>
      </c>
      <c r="F515">
        <f>IFERROR(INDEX(PP_Grid[#Data],$DD515,4),0)</f>
        <v/>
      </c>
      <c r="G515">
        <f>IFERROR(INDEX(PP_Grid[#Data],$DD515,5),0)</f>
        <v/>
      </c>
      <c r="H515">
        <f>IFERROR(INDEX(PP_Grid[#Data],$DD515,6),0)</f>
        <v/>
      </c>
      <c r="I515">
        <f>IFERROR(INDEX(PP_Grid[#Data],$DD515,7),0)</f>
        <v/>
      </c>
      <c r="J515">
        <f>IFERROR(INDEX(PP_Grid[#Data],$DD515,8),0)</f>
        <v/>
      </c>
      <c r="K515">
        <f>IFERROR(INDEX(PP_Grid[#Data],$DD515,9),0)</f>
        <v/>
      </c>
      <c r="L515">
        <f>IFERROR(INDEX(PP_Grid[#Data],$DD515,10),0)</f>
        <v/>
      </c>
      <c r="M515">
        <f>IFERROR(INDEX(PP_Grid[#Data],$DD515,11),0)</f>
        <v/>
      </c>
      <c r="N515">
        <f>IFERROR(INDEX(PP_Grid[#Data],$DD515,12),0)</f>
        <v/>
      </c>
      <c r="O515">
        <f>IFERROR(INDEX(PP_Grid[#Data],$DD515,13),0)</f>
        <v/>
      </c>
      <c r="P515">
        <f>IFERROR(INDEX(PP_Grid[#Data],$DD515,14),0)</f>
        <v/>
      </c>
      <c r="Q515">
        <f>IFERROR(INDEX(PP_Grid[#Data],$DD515,15),0)</f>
        <v/>
      </c>
      <c r="R515">
        <f>IFERROR(INDEX(PP_Grid[#Data],$DD515,16),0)</f>
        <v/>
      </c>
      <c r="S515">
        <f>IFERROR(INDEX(PP_Grid[#Data],$DD515,17),0)</f>
        <v/>
      </c>
      <c r="T515">
        <f>IFERROR(INDEX(PP_Grid[#Data],$DD515,18),0)</f>
        <v/>
      </c>
      <c r="U515">
        <f>IFERROR(INDEX(PP_Grid[#Data],$DD515,19),0)</f>
        <v/>
      </c>
      <c r="V515">
        <f>IFERROR(INDEX(PP_Grid[#Data],$DD515,20),0)</f>
        <v/>
      </c>
      <c r="W515">
        <f>IFERROR(INDEX(PP_Grid[#Data],$DD515,21),0)</f>
        <v/>
      </c>
      <c r="X515">
        <f>IFERROR(INDEX(PP_Grid[#Data],$DD515,22),0)</f>
        <v/>
      </c>
      <c r="Y515">
        <f>IFERROR(INDEX(PP_Grid[#Data],$DD515,23),0)</f>
        <v/>
      </c>
      <c r="Z515">
        <f>IFERROR(INDEX(PP_Grid[#Data],$DD515,24),0)</f>
        <v/>
      </c>
      <c r="AA515">
        <f>IFERROR(INDEX(PP_Grid[#Data],$DD515,25),0)</f>
        <v/>
      </c>
      <c r="AB515">
        <f>IFERROR(INDEX(PP_Grid[#Data],$DD515,26),0)</f>
        <v/>
      </c>
      <c r="AC515">
        <f>IFERROR(INDEX(PP_Grid[#Data],$DD515,27),0)</f>
        <v/>
      </c>
      <c r="AD515">
        <f>IFERROR(INDEX(PP_Grid[#Data],$DD515,28),0)</f>
        <v/>
      </c>
      <c r="AE515">
        <f>IFERROR(INDEX(PP_Grid[#Data],$DD515,29),0)</f>
        <v/>
      </c>
      <c r="AF515">
        <f>IFERROR(INDEX(PP_Grid[#Data],$DD515,30),0)</f>
        <v/>
      </c>
      <c r="AG515">
        <f>IFERROR(INDEX(PP_Grid[#Data],$DD515,31),0)</f>
        <v/>
      </c>
      <c r="AH515">
        <f>IFERROR(INDEX(PP_Grid[#Data],$DD515,32),0)</f>
        <v/>
      </c>
      <c r="AI515">
        <f>IFERROR(INDEX(PP_Grid[#Data],$DD515,33),0)</f>
        <v/>
      </c>
      <c r="AJ515">
        <f>IFERROR(INDEX(PP_Grid[#Data],$DD515,34),0)</f>
        <v/>
      </c>
      <c r="AK515">
        <f>IFERROR(INDEX(PP_Grid[#Data],$DD515,35),0)</f>
        <v/>
      </c>
      <c r="AL515">
        <f>IFERROR(INDEX(PP_Grid[#Data],$DD515,36),0)</f>
        <v/>
      </c>
      <c r="AM515">
        <f>IFERROR(INDEX(PP_Grid[#Data],$DD515,37),0)</f>
        <v/>
      </c>
      <c r="AN515">
        <f>IFERROR(INDEX(PP_Grid[#Data],$DD515,38),0)</f>
        <v/>
      </c>
      <c r="AO515">
        <f>IFERROR(INDEX(PP_Grid[#Data],$DD515,39),0)</f>
        <v/>
      </c>
      <c r="AP515">
        <f>IFERROR(INDEX(PP_Grid[#Data],$DD515,40),0)</f>
        <v/>
      </c>
      <c r="AQ515">
        <f>IFERROR(INDEX(PP_Grid[#Data],$DD515,41),0)</f>
        <v/>
      </c>
      <c r="AR515">
        <f>IFERROR(INDEX(PP_Grid[#Data],$DD515,42),0)</f>
        <v/>
      </c>
      <c r="AS515">
        <f>IFERROR(INDEX(PP_Grid[#Data],$DD515,43),0)</f>
        <v/>
      </c>
      <c r="AT515">
        <f>IFERROR(INDEX(PP_Grid[#Data],$DD515,44),0)</f>
        <v/>
      </c>
      <c r="AU515">
        <f>IFERROR(INDEX(PP_Grid[#Data],$DD515,45),0)</f>
        <v/>
      </c>
      <c r="AV515">
        <f>IFERROR(INDEX(PP_Grid[#Data],$DD515,46),0)</f>
        <v/>
      </c>
      <c r="AW515">
        <f>IFERROR(INDEX(PP_Grid[#Data],$DD515,47),0)</f>
        <v/>
      </c>
      <c r="AX515">
        <f>IFERROR(INDEX(PP_Grid[#Data],$DD515,48),0)</f>
        <v/>
      </c>
      <c r="AY515">
        <f>IFERROR(INDEX(PP_Grid[#Data],$DD515,49),0)</f>
        <v/>
      </c>
      <c r="AZ515">
        <f>IFERROR(INDEX(PP_Grid[#Data],$DD515,50),0)</f>
        <v/>
      </c>
      <c r="BA515">
        <f>IFERROR(INDEX(PP_Grid[#Data],$DD515,51),0)</f>
        <v/>
      </c>
      <c r="BB515">
        <f>IFERROR(INDEX(PP_Grid[#Data],$DD515,52),0)</f>
        <v/>
      </c>
      <c r="BC515">
        <f>IFERROR(INDEX(PP_Grid[#Data],$DD515,53),0)</f>
        <v/>
      </c>
      <c r="BD515">
        <f>IFERROR(INDEX(PP_Grid[#Data],$DD515,54),0)</f>
        <v/>
      </c>
      <c r="BE515">
        <f>IFERROR(INDEX(PP_Grid[#Data],$DD515,55),0)</f>
        <v/>
      </c>
      <c r="BF515">
        <f>IFERROR(INDEX(PP_Grid[#Data],$DD515,56),0)</f>
        <v/>
      </c>
      <c r="BG515">
        <f>IFERROR(INDEX(PP_Grid[#Data],$DD515,57),0)</f>
        <v/>
      </c>
      <c r="BH515">
        <f>IFERROR(INDEX(PP_Grid[#Data],$DD515,58),0)</f>
        <v/>
      </c>
      <c r="BI515">
        <f>IFERROR(INDEX(PP_Grid[#Data],$DD515,59),0)</f>
        <v/>
      </c>
      <c r="BJ515">
        <f>IFERROR(INDEX(PP_Grid[#Data],$DD515,60),0)</f>
        <v/>
      </c>
      <c r="BK515">
        <f>IFERROR(INDEX(PP_Grid[#Data],$DD515,61),0)</f>
        <v/>
      </c>
      <c r="BL515">
        <f>IFERROR(INDEX(PP_Grid[#Data],$DD515,62),0)</f>
        <v/>
      </c>
      <c r="BM515">
        <f>IFERROR(INDEX(PP_Grid[#Data],$DD515,63),0)</f>
        <v/>
      </c>
      <c r="BN515">
        <f>IFERROR(INDEX(PP_Grid[#Data],$DD515,64),0)</f>
        <v/>
      </c>
      <c r="BO515">
        <f>IFERROR(INDEX(PP_Grid[#Data],$DD515,65),0)</f>
        <v/>
      </c>
      <c r="BP515">
        <f>IFERROR(INDEX(PP_Grid[#Data],$DD515,66),0)</f>
        <v/>
      </c>
      <c r="BQ515">
        <f>IFERROR(INDEX(PP_Grid[#Data],$DD515,67),0)</f>
        <v/>
      </c>
      <c r="BR515">
        <f>IFERROR(INDEX(PP_Grid[#Data],$DD515,68),0)</f>
        <v/>
      </c>
      <c r="BS515">
        <f>IFERROR(INDEX(PP_Grid[#Data],$DD515,69),0)</f>
        <v/>
      </c>
      <c r="BT515">
        <f>IFERROR(INDEX(PP_Grid[#Data],$DD515,70),0)</f>
        <v/>
      </c>
      <c r="BU515">
        <f>IFERROR(INDEX(PP_Grid[#Data],$DD515,71),0)</f>
        <v/>
      </c>
      <c r="BV515">
        <f>IFERROR(INDEX(PP_Grid[#Data],$DD515,72),0)</f>
        <v/>
      </c>
      <c r="BW515">
        <f>IFERROR(INDEX(PP_Grid[#Data],$DD515,73),0)</f>
        <v/>
      </c>
      <c r="BX515">
        <f>IFERROR(INDEX(PP_Grid[#Data],$DD515,74),0)</f>
        <v/>
      </c>
      <c r="BY515">
        <f>IFERROR(INDEX(PP_Grid[#Data],$DD515,75),0)</f>
        <v/>
      </c>
      <c r="BZ515">
        <f>IFERROR(INDEX(PP_Grid[#Data],$DD515,76),0)</f>
        <v/>
      </c>
      <c r="CA515">
        <f>IFERROR(INDEX(PP_Grid[#Data],$DD515,77),0)</f>
        <v/>
      </c>
      <c r="CB515">
        <f>IFERROR(INDEX(PP_Grid[#Data],$DD515,78),0)</f>
        <v/>
      </c>
      <c r="CC515">
        <f>IFERROR(INDEX(PP_Grid[#Data],$DD515,79),0)</f>
        <v/>
      </c>
      <c r="CD515">
        <f>IFERROR(INDEX(PP_Grid[#Data],$DD515,80),0)</f>
        <v/>
      </c>
      <c r="CE515">
        <f>IFERROR(INDEX(PP_Grid[#Data],$DD515,81),0)</f>
        <v/>
      </c>
      <c r="CF515">
        <f>IFERROR(INDEX(PP_Grid[#Data],$DD515,82),0)</f>
        <v/>
      </c>
      <c r="CG515">
        <f>IFERROR(INDEX(PP_Grid[#Data],$DD515,83),0)</f>
        <v/>
      </c>
      <c r="CH515">
        <f>IFERROR(INDEX(PP_Grid[#Data],$DD515,84),0)</f>
        <v/>
      </c>
      <c r="CI515">
        <f>IFERROR(INDEX(PP_Grid[#Data],$DD515,85),0)</f>
        <v/>
      </c>
      <c r="CJ515">
        <f>IFERROR(INDEX(PP_Grid[#Data],$DD515,86),0)</f>
        <v/>
      </c>
      <c r="CK515">
        <f>IFERROR(INDEX(PP_Grid[#Data],$DD515,87),0)</f>
        <v/>
      </c>
      <c r="CL515">
        <f>IFERROR(INDEX(PP_Grid[#Data],$DD515,88),0)</f>
        <v/>
      </c>
      <c r="CM515">
        <f>IFERROR(INDEX(PP_Grid[#Data],$DD515,89),0)</f>
        <v/>
      </c>
      <c r="CN515">
        <f>IFERROR(INDEX(PP_Grid[#Data],$DD515,90),0)</f>
        <v/>
      </c>
      <c r="CO515">
        <f>IFERROR(INDEX(PP_Grid[#Data],$DD515,91),0)</f>
        <v/>
      </c>
      <c r="CP515">
        <f>IFERROR(INDEX(PP_Grid[#Data],$DD515,92),0)</f>
        <v/>
      </c>
      <c r="CQ515">
        <f>IFERROR(INDEX(PP_Grid[#Data],$DD515,93),0)</f>
        <v/>
      </c>
      <c r="CR515">
        <f>IFERROR(INDEX(PP_Grid[#Data],$DD515,94),0)</f>
        <v/>
      </c>
      <c r="CS515">
        <f>IFERROR(INDEX(PP_Grid[#Data],$DD515,95),0)</f>
        <v/>
      </c>
      <c r="CT515">
        <f>IFERROR(INDEX(PP_Grid[#Data],$DD515,96),0)</f>
        <v/>
      </c>
      <c r="CU515">
        <f>IFERROR(INDEX(PP_Grid[#Data],$DD515,97),0)</f>
        <v/>
      </c>
      <c r="CV515">
        <f>IFERROR(INDEX(PP_Grid[#Data],$DD515,98),0)</f>
        <v/>
      </c>
      <c r="CW515">
        <f>IFERROR(INDEX(PP_Grid[#Data],$DD515,99),0)</f>
        <v/>
      </c>
      <c r="CX515">
        <f>IFERROR(INDEX(PP_Grid[#Data],$DD515,100),0)</f>
        <v/>
      </c>
      <c r="CY515">
        <f>IFERROR(INDEX(PP_Grid[#Data],$DD515,101),0)</f>
        <v/>
      </c>
      <c r="CZ515">
        <f>IFERROR(INDEX(PP_Grid[#Data],$DD515,102),0)</f>
        <v/>
      </c>
      <c r="DA515">
        <f>IFERROR(INDEX(PP_Grid[#Data],$DD515,103),0)</f>
        <v/>
      </c>
      <c r="DB515">
        <f>IFERROR(INDEX(PP_Grid[#Data],$DD515,104),0)</f>
        <v/>
      </c>
      <c r="DC515">
        <f>IFERROR(INDEX(PP_Grid[#Data],$DD515,105),0)</f>
        <v/>
      </c>
      <c r="DD515" s="7">
        <f>IFERROR(MATCH($B515,PP_Grid[Intermediate],0),99999)</f>
        <v/>
      </c>
    </row>
    <row r="516">
      <c r="B516" t="inlineStr">
        <is>
          <t>使用量(kg)</t>
        </is>
      </c>
      <c r="C516">
        <f>SUMIFS(M_BOM[RM_Qty_Per_Batch],M_BOM[Intermediate],$B515,M_BOM[Part Name],$A500)</f>
        <v/>
      </c>
      <c r="D516">
        <f>$C516*D515</f>
        <v/>
      </c>
      <c r="E516">
        <f>$C516*E515</f>
        <v/>
      </c>
      <c r="F516">
        <f>$C516*F515</f>
        <v/>
      </c>
      <c r="G516">
        <f>$C516*G515</f>
        <v/>
      </c>
      <c r="H516">
        <f>$C516*H515</f>
        <v/>
      </c>
      <c r="I516">
        <f>$C516*I515</f>
        <v/>
      </c>
      <c r="J516">
        <f>$C516*J515</f>
        <v/>
      </c>
      <c r="K516">
        <f>$C516*K515</f>
        <v/>
      </c>
      <c r="L516">
        <f>$C516*L515</f>
        <v/>
      </c>
      <c r="M516">
        <f>$C516*M515</f>
        <v/>
      </c>
      <c r="N516">
        <f>$C516*N515</f>
        <v/>
      </c>
      <c r="O516">
        <f>$C516*O515</f>
        <v/>
      </c>
      <c r="P516">
        <f>$C516*P515</f>
        <v/>
      </c>
      <c r="Q516">
        <f>$C516*Q515</f>
        <v/>
      </c>
      <c r="R516">
        <f>$C516*R515</f>
        <v/>
      </c>
      <c r="S516">
        <f>$C516*S515</f>
        <v/>
      </c>
      <c r="T516">
        <f>$C516*T515</f>
        <v/>
      </c>
      <c r="U516">
        <f>$C516*U515</f>
        <v/>
      </c>
      <c r="V516">
        <f>$C516*V515</f>
        <v/>
      </c>
      <c r="W516">
        <f>$C516*W515</f>
        <v/>
      </c>
      <c r="X516">
        <f>$C516*X515</f>
        <v/>
      </c>
      <c r="Y516">
        <f>$C516*Y515</f>
        <v/>
      </c>
      <c r="Z516">
        <f>$C516*Z515</f>
        <v/>
      </c>
      <c r="AA516">
        <f>$C516*AA515</f>
        <v/>
      </c>
      <c r="AB516">
        <f>$C516*AB515</f>
        <v/>
      </c>
      <c r="AC516">
        <f>$C516*AC515</f>
        <v/>
      </c>
      <c r="AD516">
        <f>$C516*AD515</f>
        <v/>
      </c>
      <c r="AE516">
        <f>$C516*AE515</f>
        <v/>
      </c>
      <c r="AF516">
        <f>$C516*AF515</f>
        <v/>
      </c>
      <c r="AG516">
        <f>$C516*AG515</f>
        <v/>
      </c>
      <c r="AH516">
        <f>$C516*AH515</f>
        <v/>
      </c>
      <c r="AI516">
        <f>$C516*AI515</f>
        <v/>
      </c>
      <c r="AJ516">
        <f>$C516*AJ515</f>
        <v/>
      </c>
      <c r="AK516">
        <f>$C516*AK515</f>
        <v/>
      </c>
      <c r="AL516">
        <f>$C516*AL515</f>
        <v/>
      </c>
      <c r="AM516">
        <f>$C516*AM515</f>
        <v/>
      </c>
      <c r="AN516">
        <f>$C516*AN515</f>
        <v/>
      </c>
      <c r="AO516">
        <f>$C516*AO515</f>
        <v/>
      </c>
      <c r="AP516">
        <f>$C516*AP515</f>
        <v/>
      </c>
      <c r="AQ516">
        <f>$C516*AQ515</f>
        <v/>
      </c>
      <c r="AR516">
        <f>$C516*AR515</f>
        <v/>
      </c>
      <c r="AS516">
        <f>$C516*AS515</f>
        <v/>
      </c>
      <c r="AT516">
        <f>$C516*AT515</f>
        <v/>
      </c>
      <c r="AU516">
        <f>$C516*AU515</f>
        <v/>
      </c>
      <c r="AV516">
        <f>$C516*AV515</f>
        <v/>
      </c>
      <c r="AW516">
        <f>$C516*AW515</f>
        <v/>
      </c>
      <c r="AX516">
        <f>$C516*AX515</f>
        <v/>
      </c>
      <c r="AY516">
        <f>$C516*AY515</f>
        <v/>
      </c>
      <c r="AZ516">
        <f>$C516*AZ515</f>
        <v/>
      </c>
      <c r="BA516">
        <f>$C516*BA515</f>
        <v/>
      </c>
      <c r="BB516">
        <f>$C516*BB515</f>
        <v/>
      </c>
      <c r="BC516">
        <f>$C516*BC515</f>
        <v/>
      </c>
      <c r="BD516">
        <f>$C516*BD515</f>
        <v/>
      </c>
      <c r="BE516">
        <f>$C516*BE515</f>
        <v/>
      </c>
      <c r="BF516">
        <f>$C516*BF515</f>
        <v/>
      </c>
      <c r="BG516">
        <f>$C516*BG515</f>
        <v/>
      </c>
      <c r="BH516">
        <f>$C516*BH515</f>
        <v/>
      </c>
      <c r="BI516">
        <f>$C516*BI515</f>
        <v/>
      </c>
      <c r="BJ516">
        <f>$C516*BJ515</f>
        <v/>
      </c>
      <c r="BK516">
        <f>$C516*BK515</f>
        <v/>
      </c>
      <c r="BL516">
        <f>$C516*BL515</f>
        <v/>
      </c>
      <c r="BM516">
        <f>$C516*BM515</f>
        <v/>
      </c>
      <c r="BN516">
        <f>$C516*BN515</f>
        <v/>
      </c>
      <c r="BO516">
        <f>$C516*BO515</f>
        <v/>
      </c>
      <c r="BP516">
        <f>$C516*BP515</f>
        <v/>
      </c>
      <c r="BQ516">
        <f>$C516*BQ515</f>
        <v/>
      </c>
      <c r="BR516">
        <f>$C516*BR515</f>
        <v/>
      </c>
      <c r="BS516">
        <f>$C516*BS515</f>
        <v/>
      </c>
      <c r="BT516">
        <f>$C516*BT515</f>
        <v/>
      </c>
      <c r="BU516">
        <f>$C516*BU515</f>
        <v/>
      </c>
      <c r="BV516">
        <f>$C516*BV515</f>
        <v/>
      </c>
      <c r="BW516">
        <f>$C516*BW515</f>
        <v/>
      </c>
      <c r="BX516">
        <f>$C516*BX515</f>
        <v/>
      </c>
      <c r="BY516">
        <f>$C516*BY515</f>
        <v/>
      </c>
      <c r="BZ516">
        <f>$C516*BZ515</f>
        <v/>
      </c>
      <c r="CA516">
        <f>$C516*CA515</f>
        <v/>
      </c>
      <c r="CB516">
        <f>$C516*CB515</f>
        <v/>
      </c>
      <c r="CC516">
        <f>$C516*CC515</f>
        <v/>
      </c>
      <c r="CD516">
        <f>$C516*CD515</f>
        <v/>
      </c>
      <c r="CE516">
        <f>$C516*CE515</f>
        <v/>
      </c>
      <c r="CF516">
        <f>$C516*CF515</f>
        <v/>
      </c>
      <c r="CG516">
        <f>$C516*CG515</f>
        <v/>
      </c>
      <c r="CH516">
        <f>$C516*CH515</f>
        <v/>
      </c>
      <c r="CI516">
        <f>$C516*CI515</f>
        <v/>
      </c>
      <c r="CJ516">
        <f>$C516*CJ515</f>
        <v/>
      </c>
      <c r="CK516">
        <f>$C516*CK515</f>
        <v/>
      </c>
      <c r="CL516">
        <f>$C516*CL515</f>
        <v/>
      </c>
      <c r="CM516">
        <f>$C516*CM515</f>
        <v/>
      </c>
      <c r="CN516">
        <f>$C516*CN515</f>
        <v/>
      </c>
      <c r="CO516">
        <f>$C516*CO515</f>
        <v/>
      </c>
      <c r="CP516">
        <f>$C516*CP515</f>
        <v/>
      </c>
      <c r="CQ516">
        <f>$C516*CQ515</f>
        <v/>
      </c>
      <c r="CR516">
        <f>$C516*CR515</f>
        <v/>
      </c>
      <c r="CS516">
        <f>$C516*CS515</f>
        <v/>
      </c>
      <c r="CT516">
        <f>$C516*CT515</f>
        <v/>
      </c>
      <c r="CU516">
        <f>$C516*CU515</f>
        <v/>
      </c>
      <c r="CV516">
        <f>$C516*CV515</f>
        <v/>
      </c>
      <c r="CW516">
        <f>$C516*CW515</f>
        <v/>
      </c>
      <c r="CX516">
        <f>$C516*CX515</f>
        <v/>
      </c>
      <c r="CY516">
        <f>$C516*CY515</f>
        <v/>
      </c>
      <c r="CZ516">
        <f>$C516*CZ515</f>
        <v/>
      </c>
      <c r="DA516">
        <f>$C516*DA515</f>
        <v/>
      </c>
      <c r="DB516">
        <f>$C516*DB515</f>
        <v/>
      </c>
      <c r="DC516">
        <f>$C516*DC515</f>
        <v/>
      </c>
    </row>
    <row r="517">
      <c r="B517" t="inlineStr">
        <is>
          <t>VSP-604</t>
        </is>
      </c>
      <c r="C517" t="inlineStr">
        <is>
          <t>No. of batches</t>
        </is>
      </c>
      <c r="D517">
        <f>IFERROR(INDEX(PP_Grid[#Data],$DD517,2),0)</f>
        <v/>
      </c>
      <c r="E517">
        <f>IFERROR(INDEX(PP_Grid[#Data],$DD517,3),0)</f>
        <v/>
      </c>
      <c r="F517">
        <f>IFERROR(INDEX(PP_Grid[#Data],$DD517,4),0)</f>
        <v/>
      </c>
      <c r="G517">
        <f>IFERROR(INDEX(PP_Grid[#Data],$DD517,5),0)</f>
        <v/>
      </c>
      <c r="H517">
        <f>IFERROR(INDEX(PP_Grid[#Data],$DD517,6),0)</f>
        <v/>
      </c>
      <c r="I517">
        <f>IFERROR(INDEX(PP_Grid[#Data],$DD517,7),0)</f>
        <v/>
      </c>
      <c r="J517">
        <f>IFERROR(INDEX(PP_Grid[#Data],$DD517,8),0)</f>
        <v/>
      </c>
      <c r="K517">
        <f>IFERROR(INDEX(PP_Grid[#Data],$DD517,9),0)</f>
        <v/>
      </c>
      <c r="L517">
        <f>IFERROR(INDEX(PP_Grid[#Data],$DD517,10),0)</f>
        <v/>
      </c>
      <c r="M517">
        <f>IFERROR(INDEX(PP_Grid[#Data],$DD517,11),0)</f>
        <v/>
      </c>
      <c r="N517">
        <f>IFERROR(INDEX(PP_Grid[#Data],$DD517,12),0)</f>
        <v/>
      </c>
      <c r="O517">
        <f>IFERROR(INDEX(PP_Grid[#Data],$DD517,13),0)</f>
        <v/>
      </c>
      <c r="P517">
        <f>IFERROR(INDEX(PP_Grid[#Data],$DD517,14),0)</f>
        <v/>
      </c>
      <c r="Q517">
        <f>IFERROR(INDEX(PP_Grid[#Data],$DD517,15),0)</f>
        <v/>
      </c>
      <c r="R517">
        <f>IFERROR(INDEX(PP_Grid[#Data],$DD517,16),0)</f>
        <v/>
      </c>
      <c r="S517">
        <f>IFERROR(INDEX(PP_Grid[#Data],$DD517,17),0)</f>
        <v/>
      </c>
      <c r="T517">
        <f>IFERROR(INDEX(PP_Grid[#Data],$DD517,18),0)</f>
        <v/>
      </c>
      <c r="U517">
        <f>IFERROR(INDEX(PP_Grid[#Data],$DD517,19),0)</f>
        <v/>
      </c>
      <c r="V517">
        <f>IFERROR(INDEX(PP_Grid[#Data],$DD517,20),0)</f>
        <v/>
      </c>
      <c r="W517">
        <f>IFERROR(INDEX(PP_Grid[#Data],$DD517,21),0)</f>
        <v/>
      </c>
      <c r="X517">
        <f>IFERROR(INDEX(PP_Grid[#Data],$DD517,22),0)</f>
        <v/>
      </c>
      <c r="Y517">
        <f>IFERROR(INDEX(PP_Grid[#Data],$DD517,23),0)</f>
        <v/>
      </c>
      <c r="Z517">
        <f>IFERROR(INDEX(PP_Grid[#Data],$DD517,24),0)</f>
        <v/>
      </c>
      <c r="AA517">
        <f>IFERROR(INDEX(PP_Grid[#Data],$DD517,25),0)</f>
        <v/>
      </c>
      <c r="AB517">
        <f>IFERROR(INDEX(PP_Grid[#Data],$DD517,26),0)</f>
        <v/>
      </c>
      <c r="AC517">
        <f>IFERROR(INDEX(PP_Grid[#Data],$DD517,27),0)</f>
        <v/>
      </c>
      <c r="AD517">
        <f>IFERROR(INDEX(PP_Grid[#Data],$DD517,28),0)</f>
        <v/>
      </c>
      <c r="AE517">
        <f>IFERROR(INDEX(PP_Grid[#Data],$DD517,29),0)</f>
        <v/>
      </c>
      <c r="AF517">
        <f>IFERROR(INDEX(PP_Grid[#Data],$DD517,30),0)</f>
        <v/>
      </c>
      <c r="AG517">
        <f>IFERROR(INDEX(PP_Grid[#Data],$DD517,31),0)</f>
        <v/>
      </c>
      <c r="AH517">
        <f>IFERROR(INDEX(PP_Grid[#Data],$DD517,32),0)</f>
        <v/>
      </c>
      <c r="AI517">
        <f>IFERROR(INDEX(PP_Grid[#Data],$DD517,33),0)</f>
        <v/>
      </c>
      <c r="AJ517">
        <f>IFERROR(INDEX(PP_Grid[#Data],$DD517,34),0)</f>
        <v/>
      </c>
      <c r="AK517">
        <f>IFERROR(INDEX(PP_Grid[#Data],$DD517,35),0)</f>
        <v/>
      </c>
      <c r="AL517">
        <f>IFERROR(INDEX(PP_Grid[#Data],$DD517,36),0)</f>
        <v/>
      </c>
      <c r="AM517">
        <f>IFERROR(INDEX(PP_Grid[#Data],$DD517,37),0)</f>
        <v/>
      </c>
      <c r="AN517">
        <f>IFERROR(INDEX(PP_Grid[#Data],$DD517,38),0)</f>
        <v/>
      </c>
      <c r="AO517">
        <f>IFERROR(INDEX(PP_Grid[#Data],$DD517,39),0)</f>
        <v/>
      </c>
      <c r="AP517">
        <f>IFERROR(INDEX(PP_Grid[#Data],$DD517,40),0)</f>
        <v/>
      </c>
      <c r="AQ517">
        <f>IFERROR(INDEX(PP_Grid[#Data],$DD517,41),0)</f>
        <v/>
      </c>
      <c r="AR517">
        <f>IFERROR(INDEX(PP_Grid[#Data],$DD517,42),0)</f>
        <v/>
      </c>
      <c r="AS517">
        <f>IFERROR(INDEX(PP_Grid[#Data],$DD517,43),0)</f>
        <v/>
      </c>
      <c r="AT517">
        <f>IFERROR(INDEX(PP_Grid[#Data],$DD517,44),0)</f>
        <v/>
      </c>
      <c r="AU517">
        <f>IFERROR(INDEX(PP_Grid[#Data],$DD517,45),0)</f>
        <v/>
      </c>
      <c r="AV517">
        <f>IFERROR(INDEX(PP_Grid[#Data],$DD517,46),0)</f>
        <v/>
      </c>
      <c r="AW517">
        <f>IFERROR(INDEX(PP_Grid[#Data],$DD517,47),0)</f>
        <v/>
      </c>
      <c r="AX517">
        <f>IFERROR(INDEX(PP_Grid[#Data],$DD517,48),0)</f>
        <v/>
      </c>
      <c r="AY517">
        <f>IFERROR(INDEX(PP_Grid[#Data],$DD517,49),0)</f>
        <v/>
      </c>
      <c r="AZ517">
        <f>IFERROR(INDEX(PP_Grid[#Data],$DD517,50),0)</f>
        <v/>
      </c>
      <c r="BA517">
        <f>IFERROR(INDEX(PP_Grid[#Data],$DD517,51),0)</f>
        <v/>
      </c>
      <c r="BB517">
        <f>IFERROR(INDEX(PP_Grid[#Data],$DD517,52),0)</f>
        <v/>
      </c>
      <c r="BC517">
        <f>IFERROR(INDEX(PP_Grid[#Data],$DD517,53),0)</f>
        <v/>
      </c>
      <c r="BD517">
        <f>IFERROR(INDEX(PP_Grid[#Data],$DD517,54),0)</f>
        <v/>
      </c>
      <c r="BE517">
        <f>IFERROR(INDEX(PP_Grid[#Data],$DD517,55),0)</f>
        <v/>
      </c>
      <c r="BF517">
        <f>IFERROR(INDEX(PP_Grid[#Data],$DD517,56),0)</f>
        <v/>
      </c>
      <c r="BG517">
        <f>IFERROR(INDEX(PP_Grid[#Data],$DD517,57),0)</f>
        <v/>
      </c>
      <c r="BH517">
        <f>IFERROR(INDEX(PP_Grid[#Data],$DD517,58),0)</f>
        <v/>
      </c>
      <c r="BI517">
        <f>IFERROR(INDEX(PP_Grid[#Data],$DD517,59),0)</f>
        <v/>
      </c>
      <c r="BJ517">
        <f>IFERROR(INDEX(PP_Grid[#Data],$DD517,60),0)</f>
        <v/>
      </c>
      <c r="BK517">
        <f>IFERROR(INDEX(PP_Grid[#Data],$DD517,61),0)</f>
        <v/>
      </c>
      <c r="BL517">
        <f>IFERROR(INDEX(PP_Grid[#Data],$DD517,62),0)</f>
        <v/>
      </c>
      <c r="BM517">
        <f>IFERROR(INDEX(PP_Grid[#Data],$DD517,63),0)</f>
        <v/>
      </c>
      <c r="BN517">
        <f>IFERROR(INDEX(PP_Grid[#Data],$DD517,64),0)</f>
        <v/>
      </c>
      <c r="BO517">
        <f>IFERROR(INDEX(PP_Grid[#Data],$DD517,65),0)</f>
        <v/>
      </c>
      <c r="BP517">
        <f>IFERROR(INDEX(PP_Grid[#Data],$DD517,66),0)</f>
        <v/>
      </c>
      <c r="BQ517">
        <f>IFERROR(INDEX(PP_Grid[#Data],$DD517,67),0)</f>
        <v/>
      </c>
      <c r="BR517">
        <f>IFERROR(INDEX(PP_Grid[#Data],$DD517,68),0)</f>
        <v/>
      </c>
      <c r="BS517">
        <f>IFERROR(INDEX(PP_Grid[#Data],$DD517,69),0)</f>
        <v/>
      </c>
      <c r="BT517">
        <f>IFERROR(INDEX(PP_Grid[#Data],$DD517,70),0)</f>
        <v/>
      </c>
      <c r="BU517">
        <f>IFERROR(INDEX(PP_Grid[#Data],$DD517,71),0)</f>
        <v/>
      </c>
      <c r="BV517">
        <f>IFERROR(INDEX(PP_Grid[#Data],$DD517,72),0)</f>
        <v/>
      </c>
      <c r="BW517">
        <f>IFERROR(INDEX(PP_Grid[#Data],$DD517,73),0)</f>
        <v/>
      </c>
      <c r="BX517">
        <f>IFERROR(INDEX(PP_Grid[#Data],$DD517,74),0)</f>
        <v/>
      </c>
      <c r="BY517">
        <f>IFERROR(INDEX(PP_Grid[#Data],$DD517,75),0)</f>
        <v/>
      </c>
      <c r="BZ517">
        <f>IFERROR(INDEX(PP_Grid[#Data],$DD517,76),0)</f>
        <v/>
      </c>
      <c r="CA517">
        <f>IFERROR(INDEX(PP_Grid[#Data],$DD517,77),0)</f>
        <v/>
      </c>
      <c r="CB517">
        <f>IFERROR(INDEX(PP_Grid[#Data],$DD517,78),0)</f>
        <v/>
      </c>
      <c r="CC517">
        <f>IFERROR(INDEX(PP_Grid[#Data],$DD517,79),0)</f>
        <v/>
      </c>
      <c r="CD517">
        <f>IFERROR(INDEX(PP_Grid[#Data],$DD517,80),0)</f>
        <v/>
      </c>
      <c r="CE517">
        <f>IFERROR(INDEX(PP_Grid[#Data],$DD517,81),0)</f>
        <v/>
      </c>
      <c r="CF517">
        <f>IFERROR(INDEX(PP_Grid[#Data],$DD517,82),0)</f>
        <v/>
      </c>
      <c r="CG517">
        <f>IFERROR(INDEX(PP_Grid[#Data],$DD517,83),0)</f>
        <v/>
      </c>
      <c r="CH517">
        <f>IFERROR(INDEX(PP_Grid[#Data],$DD517,84),0)</f>
        <v/>
      </c>
      <c r="CI517">
        <f>IFERROR(INDEX(PP_Grid[#Data],$DD517,85),0)</f>
        <v/>
      </c>
      <c r="CJ517">
        <f>IFERROR(INDEX(PP_Grid[#Data],$DD517,86),0)</f>
        <v/>
      </c>
      <c r="CK517">
        <f>IFERROR(INDEX(PP_Grid[#Data],$DD517,87),0)</f>
        <v/>
      </c>
      <c r="CL517">
        <f>IFERROR(INDEX(PP_Grid[#Data],$DD517,88),0)</f>
        <v/>
      </c>
      <c r="CM517">
        <f>IFERROR(INDEX(PP_Grid[#Data],$DD517,89),0)</f>
        <v/>
      </c>
      <c r="CN517">
        <f>IFERROR(INDEX(PP_Grid[#Data],$DD517,90),0)</f>
        <v/>
      </c>
      <c r="CO517">
        <f>IFERROR(INDEX(PP_Grid[#Data],$DD517,91),0)</f>
        <v/>
      </c>
      <c r="CP517">
        <f>IFERROR(INDEX(PP_Grid[#Data],$DD517,92),0)</f>
        <v/>
      </c>
      <c r="CQ517">
        <f>IFERROR(INDEX(PP_Grid[#Data],$DD517,93),0)</f>
        <v/>
      </c>
      <c r="CR517">
        <f>IFERROR(INDEX(PP_Grid[#Data],$DD517,94),0)</f>
        <v/>
      </c>
      <c r="CS517">
        <f>IFERROR(INDEX(PP_Grid[#Data],$DD517,95),0)</f>
        <v/>
      </c>
      <c r="CT517">
        <f>IFERROR(INDEX(PP_Grid[#Data],$DD517,96),0)</f>
        <v/>
      </c>
      <c r="CU517">
        <f>IFERROR(INDEX(PP_Grid[#Data],$DD517,97),0)</f>
        <v/>
      </c>
      <c r="CV517">
        <f>IFERROR(INDEX(PP_Grid[#Data],$DD517,98),0)</f>
        <v/>
      </c>
      <c r="CW517">
        <f>IFERROR(INDEX(PP_Grid[#Data],$DD517,99),0)</f>
        <v/>
      </c>
      <c r="CX517">
        <f>IFERROR(INDEX(PP_Grid[#Data],$DD517,100),0)</f>
        <v/>
      </c>
      <c r="CY517">
        <f>IFERROR(INDEX(PP_Grid[#Data],$DD517,101),0)</f>
        <v/>
      </c>
      <c r="CZ517">
        <f>IFERROR(INDEX(PP_Grid[#Data],$DD517,102),0)</f>
        <v/>
      </c>
      <c r="DA517">
        <f>IFERROR(INDEX(PP_Grid[#Data],$DD517,103),0)</f>
        <v/>
      </c>
      <c r="DB517">
        <f>IFERROR(INDEX(PP_Grid[#Data],$DD517,104),0)</f>
        <v/>
      </c>
      <c r="DC517">
        <f>IFERROR(INDEX(PP_Grid[#Data],$DD517,105),0)</f>
        <v/>
      </c>
      <c r="DD517" s="7">
        <f>IFERROR(MATCH($B517,PP_Grid[Intermediate],0),99999)</f>
        <v/>
      </c>
    </row>
    <row r="518">
      <c r="B518" t="inlineStr">
        <is>
          <t>使用量(kg)</t>
        </is>
      </c>
      <c r="C518">
        <f>SUMIFS(M_BOM[RM_Qty_Per_Batch],M_BOM[Intermediate],$B517,M_BOM[Part Name],$A500)</f>
        <v/>
      </c>
      <c r="D518">
        <f>$C518*D517</f>
        <v/>
      </c>
      <c r="E518">
        <f>$C518*E517</f>
        <v/>
      </c>
      <c r="F518">
        <f>$C518*F517</f>
        <v/>
      </c>
      <c r="G518">
        <f>$C518*G517</f>
        <v/>
      </c>
      <c r="H518">
        <f>$C518*H517</f>
        <v/>
      </c>
      <c r="I518">
        <f>$C518*I517</f>
        <v/>
      </c>
      <c r="J518">
        <f>$C518*J517</f>
        <v/>
      </c>
      <c r="K518">
        <f>$C518*K517</f>
        <v/>
      </c>
      <c r="L518">
        <f>$C518*L517</f>
        <v/>
      </c>
      <c r="M518">
        <f>$C518*M517</f>
        <v/>
      </c>
      <c r="N518">
        <f>$C518*N517</f>
        <v/>
      </c>
      <c r="O518">
        <f>$C518*O517</f>
        <v/>
      </c>
      <c r="P518">
        <f>$C518*P517</f>
        <v/>
      </c>
      <c r="Q518">
        <f>$C518*Q517</f>
        <v/>
      </c>
      <c r="R518">
        <f>$C518*R517</f>
        <v/>
      </c>
      <c r="S518">
        <f>$C518*S517</f>
        <v/>
      </c>
      <c r="T518">
        <f>$C518*T517</f>
        <v/>
      </c>
      <c r="U518">
        <f>$C518*U517</f>
        <v/>
      </c>
      <c r="V518">
        <f>$C518*V517</f>
        <v/>
      </c>
      <c r="W518">
        <f>$C518*W517</f>
        <v/>
      </c>
      <c r="X518">
        <f>$C518*X517</f>
        <v/>
      </c>
      <c r="Y518">
        <f>$C518*Y517</f>
        <v/>
      </c>
      <c r="Z518">
        <f>$C518*Z517</f>
        <v/>
      </c>
      <c r="AA518">
        <f>$C518*AA517</f>
        <v/>
      </c>
      <c r="AB518">
        <f>$C518*AB517</f>
        <v/>
      </c>
      <c r="AC518">
        <f>$C518*AC517</f>
        <v/>
      </c>
      <c r="AD518">
        <f>$C518*AD517</f>
        <v/>
      </c>
      <c r="AE518">
        <f>$C518*AE517</f>
        <v/>
      </c>
      <c r="AF518">
        <f>$C518*AF517</f>
        <v/>
      </c>
      <c r="AG518">
        <f>$C518*AG517</f>
        <v/>
      </c>
      <c r="AH518">
        <f>$C518*AH517</f>
        <v/>
      </c>
      <c r="AI518">
        <f>$C518*AI517</f>
        <v/>
      </c>
      <c r="AJ518">
        <f>$C518*AJ517</f>
        <v/>
      </c>
      <c r="AK518">
        <f>$C518*AK517</f>
        <v/>
      </c>
      <c r="AL518">
        <f>$C518*AL517</f>
        <v/>
      </c>
      <c r="AM518">
        <f>$C518*AM517</f>
        <v/>
      </c>
      <c r="AN518">
        <f>$C518*AN517</f>
        <v/>
      </c>
      <c r="AO518">
        <f>$C518*AO517</f>
        <v/>
      </c>
      <c r="AP518">
        <f>$C518*AP517</f>
        <v/>
      </c>
      <c r="AQ518">
        <f>$C518*AQ517</f>
        <v/>
      </c>
      <c r="AR518">
        <f>$C518*AR517</f>
        <v/>
      </c>
      <c r="AS518">
        <f>$C518*AS517</f>
        <v/>
      </c>
      <c r="AT518">
        <f>$C518*AT517</f>
        <v/>
      </c>
      <c r="AU518">
        <f>$C518*AU517</f>
        <v/>
      </c>
      <c r="AV518">
        <f>$C518*AV517</f>
        <v/>
      </c>
      <c r="AW518">
        <f>$C518*AW517</f>
        <v/>
      </c>
      <c r="AX518">
        <f>$C518*AX517</f>
        <v/>
      </c>
      <c r="AY518">
        <f>$C518*AY517</f>
        <v/>
      </c>
      <c r="AZ518">
        <f>$C518*AZ517</f>
        <v/>
      </c>
      <c r="BA518">
        <f>$C518*BA517</f>
        <v/>
      </c>
      <c r="BB518">
        <f>$C518*BB517</f>
        <v/>
      </c>
      <c r="BC518">
        <f>$C518*BC517</f>
        <v/>
      </c>
      <c r="BD518">
        <f>$C518*BD517</f>
        <v/>
      </c>
      <c r="BE518">
        <f>$C518*BE517</f>
        <v/>
      </c>
      <c r="BF518">
        <f>$C518*BF517</f>
        <v/>
      </c>
      <c r="BG518">
        <f>$C518*BG517</f>
        <v/>
      </c>
      <c r="BH518">
        <f>$C518*BH517</f>
        <v/>
      </c>
      <c r="BI518">
        <f>$C518*BI517</f>
        <v/>
      </c>
      <c r="BJ518">
        <f>$C518*BJ517</f>
        <v/>
      </c>
      <c r="BK518">
        <f>$C518*BK517</f>
        <v/>
      </c>
      <c r="BL518">
        <f>$C518*BL517</f>
        <v/>
      </c>
      <c r="BM518">
        <f>$C518*BM517</f>
        <v/>
      </c>
      <c r="BN518">
        <f>$C518*BN517</f>
        <v/>
      </c>
      <c r="BO518">
        <f>$C518*BO517</f>
        <v/>
      </c>
      <c r="BP518">
        <f>$C518*BP517</f>
        <v/>
      </c>
      <c r="BQ518">
        <f>$C518*BQ517</f>
        <v/>
      </c>
      <c r="BR518">
        <f>$C518*BR517</f>
        <v/>
      </c>
      <c r="BS518">
        <f>$C518*BS517</f>
        <v/>
      </c>
      <c r="BT518">
        <f>$C518*BT517</f>
        <v/>
      </c>
      <c r="BU518">
        <f>$C518*BU517</f>
        <v/>
      </c>
      <c r="BV518">
        <f>$C518*BV517</f>
        <v/>
      </c>
      <c r="BW518">
        <f>$C518*BW517</f>
        <v/>
      </c>
      <c r="BX518">
        <f>$C518*BX517</f>
        <v/>
      </c>
      <c r="BY518">
        <f>$C518*BY517</f>
        <v/>
      </c>
      <c r="BZ518">
        <f>$C518*BZ517</f>
        <v/>
      </c>
      <c r="CA518">
        <f>$C518*CA517</f>
        <v/>
      </c>
      <c r="CB518">
        <f>$C518*CB517</f>
        <v/>
      </c>
      <c r="CC518">
        <f>$C518*CC517</f>
        <v/>
      </c>
      <c r="CD518">
        <f>$C518*CD517</f>
        <v/>
      </c>
      <c r="CE518">
        <f>$C518*CE517</f>
        <v/>
      </c>
      <c r="CF518">
        <f>$C518*CF517</f>
        <v/>
      </c>
      <c r="CG518">
        <f>$C518*CG517</f>
        <v/>
      </c>
      <c r="CH518">
        <f>$C518*CH517</f>
        <v/>
      </c>
      <c r="CI518">
        <f>$C518*CI517</f>
        <v/>
      </c>
      <c r="CJ518">
        <f>$C518*CJ517</f>
        <v/>
      </c>
      <c r="CK518">
        <f>$C518*CK517</f>
        <v/>
      </c>
      <c r="CL518">
        <f>$C518*CL517</f>
        <v/>
      </c>
      <c r="CM518">
        <f>$C518*CM517</f>
        <v/>
      </c>
      <c r="CN518">
        <f>$C518*CN517</f>
        <v/>
      </c>
      <c r="CO518">
        <f>$C518*CO517</f>
        <v/>
      </c>
      <c r="CP518">
        <f>$C518*CP517</f>
        <v/>
      </c>
      <c r="CQ518">
        <f>$C518*CQ517</f>
        <v/>
      </c>
      <c r="CR518">
        <f>$C518*CR517</f>
        <v/>
      </c>
      <c r="CS518">
        <f>$C518*CS517</f>
        <v/>
      </c>
      <c r="CT518">
        <f>$C518*CT517</f>
        <v/>
      </c>
      <c r="CU518">
        <f>$C518*CU517</f>
        <v/>
      </c>
      <c r="CV518">
        <f>$C518*CV517</f>
        <v/>
      </c>
      <c r="CW518">
        <f>$C518*CW517</f>
        <v/>
      </c>
      <c r="CX518">
        <f>$C518*CX517</f>
        <v/>
      </c>
      <c r="CY518">
        <f>$C518*CY517</f>
        <v/>
      </c>
      <c r="CZ518">
        <f>$C518*CZ517</f>
        <v/>
      </c>
      <c r="DA518">
        <f>$C518*DA517</f>
        <v/>
      </c>
      <c r="DB518">
        <f>$C518*DB517</f>
        <v/>
      </c>
      <c r="DC518">
        <f>$C518*DC517</f>
        <v/>
      </c>
    </row>
    <row r="519">
      <c r="B519" t="inlineStr">
        <is>
          <t>VSP-606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7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Name],$A500)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VSP-607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7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Name],$A500)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VSP-738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7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Name],$A500)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VSP-739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7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Name],$A500)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VSP-820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7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Name],$A500)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VSP-869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7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Name],$A500)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VSP-989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7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Name],$A500)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VSZ-745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7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Name],$A500)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TSP-1388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7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Name],$A500)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TSP-924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7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Name],$A500)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TSP-925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7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Name],$A500)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s="4" t="inlineStr">
        <is>
          <t>合計使用量(kg)/週</t>
        </is>
      </c>
      <c r="D541">
        <f>'Grid_Requirement'!B19</f>
        <v/>
      </c>
      <c r="E541">
        <f>'Grid_Requirement'!C19</f>
        <v/>
      </c>
      <c r="F541">
        <f>'Grid_Requirement'!D19</f>
        <v/>
      </c>
      <c r="G541">
        <f>'Grid_Requirement'!E19</f>
        <v/>
      </c>
      <c r="H541">
        <f>'Grid_Requirement'!F19</f>
        <v/>
      </c>
      <c r="I541">
        <f>'Grid_Requirement'!G19</f>
        <v/>
      </c>
      <c r="J541">
        <f>'Grid_Requirement'!H19</f>
        <v/>
      </c>
      <c r="K541">
        <f>'Grid_Requirement'!I19</f>
        <v/>
      </c>
      <c r="L541">
        <f>'Grid_Requirement'!J19</f>
        <v/>
      </c>
      <c r="M541">
        <f>'Grid_Requirement'!K19</f>
        <v/>
      </c>
      <c r="N541">
        <f>'Grid_Requirement'!L19</f>
        <v/>
      </c>
      <c r="O541">
        <f>'Grid_Requirement'!M19</f>
        <v/>
      </c>
      <c r="P541">
        <f>'Grid_Requirement'!N19</f>
        <v/>
      </c>
      <c r="Q541">
        <f>'Grid_Requirement'!O19</f>
        <v/>
      </c>
      <c r="R541">
        <f>'Grid_Requirement'!P19</f>
        <v/>
      </c>
      <c r="S541">
        <f>'Grid_Requirement'!Q19</f>
        <v/>
      </c>
      <c r="T541">
        <f>'Grid_Requirement'!R19</f>
        <v/>
      </c>
      <c r="U541">
        <f>'Grid_Requirement'!S19</f>
        <v/>
      </c>
      <c r="V541">
        <f>'Grid_Requirement'!T19</f>
        <v/>
      </c>
      <c r="W541">
        <f>'Grid_Requirement'!U19</f>
        <v/>
      </c>
      <c r="X541">
        <f>'Grid_Requirement'!V19</f>
        <v/>
      </c>
      <c r="Y541">
        <f>'Grid_Requirement'!W19</f>
        <v/>
      </c>
      <c r="Z541">
        <f>'Grid_Requirement'!X19</f>
        <v/>
      </c>
      <c r="AA541">
        <f>'Grid_Requirement'!Y19</f>
        <v/>
      </c>
      <c r="AB541">
        <f>'Grid_Requirement'!Z19</f>
        <v/>
      </c>
      <c r="AC541">
        <f>'Grid_Requirement'!AA19</f>
        <v/>
      </c>
      <c r="AD541">
        <f>'Grid_Requirement'!AB19</f>
        <v/>
      </c>
      <c r="AE541">
        <f>'Grid_Requirement'!AC19</f>
        <v/>
      </c>
      <c r="AF541">
        <f>'Grid_Requirement'!AD19</f>
        <v/>
      </c>
      <c r="AG541">
        <f>'Grid_Requirement'!AE19</f>
        <v/>
      </c>
      <c r="AH541">
        <f>'Grid_Requirement'!AF19</f>
        <v/>
      </c>
      <c r="AI541">
        <f>'Grid_Requirement'!AG19</f>
        <v/>
      </c>
      <c r="AJ541">
        <f>'Grid_Requirement'!AH19</f>
        <v/>
      </c>
      <c r="AK541">
        <f>'Grid_Requirement'!AI19</f>
        <v/>
      </c>
      <c r="AL541">
        <f>'Grid_Requirement'!AJ19</f>
        <v/>
      </c>
      <c r="AM541">
        <f>'Grid_Requirement'!AK19</f>
        <v/>
      </c>
      <c r="AN541">
        <f>'Grid_Requirement'!AL19</f>
        <v/>
      </c>
      <c r="AO541">
        <f>'Grid_Requirement'!AM19</f>
        <v/>
      </c>
      <c r="AP541">
        <f>'Grid_Requirement'!AN19</f>
        <v/>
      </c>
      <c r="AQ541">
        <f>'Grid_Requirement'!AO19</f>
        <v/>
      </c>
      <c r="AR541">
        <f>'Grid_Requirement'!AP19</f>
        <v/>
      </c>
      <c r="AS541">
        <f>'Grid_Requirement'!AQ19</f>
        <v/>
      </c>
      <c r="AT541">
        <f>'Grid_Requirement'!AR19</f>
        <v/>
      </c>
      <c r="AU541">
        <f>'Grid_Requirement'!AS19</f>
        <v/>
      </c>
      <c r="AV541">
        <f>'Grid_Requirement'!AT19</f>
        <v/>
      </c>
      <c r="AW541">
        <f>'Grid_Requirement'!AU19</f>
        <v/>
      </c>
      <c r="AX541">
        <f>'Grid_Requirement'!AV19</f>
        <v/>
      </c>
      <c r="AY541">
        <f>'Grid_Requirement'!AW19</f>
        <v/>
      </c>
      <c r="AZ541">
        <f>'Grid_Requirement'!AX19</f>
        <v/>
      </c>
      <c r="BA541">
        <f>'Grid_Requirement'!AY19</f>
        <v/>
      </c>
      <c r="BB541">
        <f>'Grid_Requirement'!AZ19</f>
        <v/>
      </c>
      <c r="BC541">
        <f>'Grid_Requirement'!BA19</f>
        <v/>
      </c>
      <c r="BD541">
        <f>'Grid_Requirement'!BB19</f>
        <v/>
      </c>
      <c r="BE541">
        <f>'Grid_Requirement'!BC19</f>
        <v/>
      </c>
      <c r="BF541">
        <f>'Grid_Requirement'!BD19</f>
        <v/>
      </c>
      <c r="BG541">
        <f>'Grid_Requirement'!BE19</f>
        <v/>
      </c>
      <c r="BH541">
        <f>'Grid_Requirement'!BF19</f>
        <v/>
      </c>
      <c r="BI541">
        <f>'Grid_Requirement'!BG19</f>
        <v/>
      </c>
      <c r="BJ541">
        <f>'Grid_Requirement'!BH19</f>
        <v/>
      </c>
      <c r="BK541">
        <f>'Grid_Requirement'!BI19</f>
        <v/>
      </c>
      <c r="BL541">
        <f>'Grid_Requirement'!BJ19</f>
        <v/>
      </c>
      <c r="BM541">
        <f>'Grid_Requirement'!BK19</f>
        <v/>
      </c>
      <c r="BN541">
        <f>'Grid_Requirement'!BL19</f>
        <v/>
      </c>
      <c r="BO541">
        <f>'Grid_Requirement'!BM19</f>
        <v/>
      </c>
      <c r="BP541">
        <f>'Grid_Requirement'!BN19</f>
        <v/>
      </c>
      <c r="BQ541">
        <f>'Grid_Requirement'!BO19</f>
        <v/>
      </c>
      <c r="BR541">
        <f>'Grid_Requirement'!BP19</f>
        <v/>
      </c>
      <c r="BS541">
        <f>'Grid_Requirement'!BQ19</f>
        <v/>
      </c>
      <c r="BT541">
        <f>'Grid_Requirement'!BR19</f>
        <v/>
      </c>
      <c r="BU541">
        <f>'Grid_Requirement'!BS19</f>
        <v/>
      </c>
      <c r="BV541">
        <f>'Grid_Requirement'!BT19</f>
        <v/>
      </c>
      <c r="BW541">
        <f>'Grid_Requirement'!BU19</f>
        <v/>
      </c>
      <c r="BX541">
        <f>'Grid_Requirement'!BV19</f>
        <v/>
      </c>
      <c r="BY541">
        <f>'Grid_Requirement'!BW19</f>
        <v/>
      </c>
      <c r="BZ541">
        <f>'Grid_Requirement'!BX19</f>
        <v/>
      </c>
      <c r="CA541">
        <f>'Grid_Requirement'!BY19</f>
        <v/>
      </c>
      <c r="CB541">
        <f>'Grid_Requirement'!BZ19</f>
        <v/>
      </c>
      <c r="CC541">
        <f>'Grid_Requirement'!CA19</f>
        <v/>
      </c>
      <c r="CD541">
        <f>'Grid_Requirement'!CB19</f>
        <v/>
      </c>
      <c r="CE541">
        <f>'Grid_Requirement'!CC19</f>
        <v/>
      </c>
      <c r="CF541">
        <f>'Grid_Requirement'!CD19</f>
        <v/>
      </c>
      <c r="CG541">
        <f>'Grid_Requirement'!CE19</f>
        <v/>
      </c>
      <c r="CH541">
        <f>'Grid_Requirement'!CF19</f>
        <v/>
      </c>
      <c r="CI541">
        <f>'Grid_Requirement'!CG19</f>
        <v/>
      </c>
      <c r="CJ541">
        <f>'Grid_Requirement'!CH19</f>
        <v/>
      </c>
      <c r="CK541">
        <f>'Grid_Requirement'!CI19</f>
        <v/>
      </c>
      <c r="CL541">
        <f>'Grid_Requirement'!CJ19</f>
        <v/>
      </c>
      <c r="CM541">
        <f>'Grid_Requirement'!CK19</f>
        <v/>
      </c>
      <c r="CN541">
        <f>'Grid_Requirement'!CL19</f>
        <v/>
      </c>
      <c r="CO541">
        <f>'Grid_Requirement'!CM19</f>
        <v/>
      </c>
      <c r="CP541">
        <f>'Grid_Requirement'!CN19</f>
        <v/>
      </c>
      <c r="CQ541">
        <f>'Grid_Requirement'!CO19</f>
        <v/>
      </c>
      <c r="CR541">
        <f>'Grid_Requirement'!CP19</f>
        <v/>
      </c>
      <c r="CS541">
        <f>'Grid_Requirement'!CQ19</f>
        <v/>
      </c>
      <c r="CT541">
        <f>'Grid_Requirement'!CR19</f>
        <v/>
      </c>
      <c r="CU541">
        <f>'Grid_Requirement'!CS19</f>
        <v/>
      </c>
      <c r="CV541">
        <f>'Grid_Requirement'!CT19</f>
        <v/>
      </c>
      <c r="CW541">
        <f>'Grid_Requirement'!CU19</f>
        <v/>
      </c>
      <c r="CX541">
        <f>'Grid_Requirement'!CV19</f>
        <v/>
      </c>
      <c r="CY541">
        <f>'Grid_Requirement'!CW19</f>
        <v/>
      </c>
      <c r="CZ541">
        <f>'Grid_Requirement'!CX19</f>
        <v/>
      </c>
      <c r="DA541">
        <f>'Grid_Requirement'!CY19</f>
        <v/>
      </c>
      <c r="DB541">
        <f>'Grid_Requirement'!CZ19</f>
        <v/>
      </c>
      <c r="DC541">
        <f>'Grid_Requirement'!DA19</f>
        <v/>
      </c>
    </row>
    <row r="542">
      <c r="B542" t="inlineStr">
        <is>
          <t>TTAF在庫(実績,kg)</t>
        </is>
      </c>
      <c r="D542">
        <f>'T_TTAFStock'!B23</f>
        <v/>
      </c>
      <c r="E542">
        <f>'T_TTAFStock'!C23</f>
        <v/>
      </c>
      <c r="F542">
        <f>'T_TTAFStock'!D23</f>
        <v/>
      </c>
      <c r="G542">
        <f>'T_TTAFStock'!E23</f>
        <v/>
      </c>
      <c r="H542">
        <f>'T_TTAFStock'!F23</f>
        <v/>
      </c>
      <c r="I542">
        <f>'T_TTAFStock'!G23</f>
        <v/>
      </c>
      <c r="J542">
        <f>'T_TTAFStock'!H23</f>
        <v/>
      </c>
      <c r="K542">
        <f>'T_TTAFStock'!I23</f>
        <v/>
      </c>
      <c r="L542">
        <f>'T_TTAFStock'!J23</f>
        <v/>
      </c>
      <c r="M542">
        <f>'T_TTAFStock'!K23</f>
        <v/>
      </c>
      <c r="N542">
        <f>'T_TTAFStock'!L23</f>
        <v/>
      </c>
      <c r="O542">
        <f>'T_TTAFStock'!M23</f>
        <v/>
      </c>
      <c r="P542">
        <f>'T_TTAFStock'!N23</f>
        <v/>
      </c>
      <c r="Q542">
        <f>'T_TTAFStock'!O23</f>
        <v/>
      </c>
      <c r="R542">
        <f>'T_TTAFStock'!P23</f>
        <v/>
      </c>
      <c r="S542">
        <f>'T_TTAFStock'!Q23</f>
        <v/>
      </c>
      <c r="T542">
        <f>'T_TTAFStock'!R23</f>
        <v/>
      </c>
      <c r="U542">
        <f>'T_TTAFStock'!S23</f>
        <v/>
      </c>
      <c r="V542">
        <f>'T_TTAFStock'!T23</f>
        <v/>
      </c>
      <c r="W542">
        <f>'T_TTAFStock'!U23</f>
        <v/>
      </c>
      <c r="X542">
        <f>'T_TTAFStock'!V23</f>
        <v/>
      </c>
      <c r="Y542">
        <f>'T_TTAFStock'!W23</f>
        <v/>
      </c>
      <c r="Z542">
        <f>'T_TTAFStock'!X23</f>
        <v/>
      </c>
      <c r="AA542">
        <f>'T_TTAFStock'!Y23</f>
        <v/>
      </c>
      <c r="AB542">
        <f>'T_TTAFStock'!Z23</f>
        <v/>
      </c>
      <c r="AC542">
        <f>'T_TTAFStock'!AA23</f>
        <v/>
      </c>
      <c r="AD542">
        <f>'T_TTAFStock'!AB23</f>
        <v/>
      </c>
      <c r="AE542">
        <f>'T_TTAFStock'!AC23</f>
        <v/>
      </c>
      <c r="AF542">
        <f>'T_TTAFStock'!AD23</f>
        <v/>
      </c>
      <c r="AG542">
        <f>'T_TTAFStock'!AE23</f>
        <v/>
      </c>
      <c r="AH542">
        <f>'T_TTAFStock'!AF23</f>
        <v/>
      </c>
      <c r="AI542">
        <f>'T_TTAFStock'!AG23</f>
        <v/>
      </c>
      <c r="AJ542">
        <f>'T_TTAFStock'!AH23</f>
        <v/>
      </c>
      <c r="AK542">
        <f>'T_TTAFStock'!AI23</f>
        <v/>
      </c>
      <c r="AL542">
        <f>'T_TTAFStock'!AJ23</f>
        <v/>
      </c>
      <c r="AM542">
        <f>'T_TTAFStock'!AK23</f>
        <v/>
      </c>
      <c r="AN542">
        <f>'T_TTAFStock'!AL23</f>
        <v/>
      </c>
      <c r="AO542">
        <f>'T_TTAFStock'!AM23</f>
        <v/>
      </c>
      <c r="AP542">
        <f>'T_TTAFStock'!AN23</f>
        <v/>
      </c>
      <c r="AQ542">
        <f>'T_TTAFStock'!AO23</f>
        <v/>
      </c>
      <c r="AR542">
        <f>'T_TTAFStock'!AP23</f>
        <v/>
      </c>
      <c r="AS542">
        <f>'T_TTAFStock'!AQ23</f>
        <v/>
      </c>
      <c r="AT542">
        <f>'T_TTAFStock'!AR23</f>
        <v/>
      </c>
      <c r="AU542">
        <f>'T_TTAFStock'!AS23</f>
        <v/>
      </c>
      <c r="AV542">
        <f>'T_TTAFStock'!AT23</f>
        <v/>
      </c>
      <c r="AW542">
        <f>'T_TTAFStock'!AU23</f>
        <v/>
      </c>
      <c r="AX542">
        <f>'T_TTAFStock'!AV23</f>
        <v/>
      </c>
      <c r="AY542">
        <f>'T_TTAFStock'!AW23</f>
        <v/>
      </c>
      <c r="AZ542">
        <f>'T_TTAFStock'!AX23</f>
        <v/>
      </c>
      <c r="BA542">
        <f>'T_TTAFStock'!AY23</f>
        <v/>
      </c>
      <c r="BB542">
        <f>'T_TTAFStock'!AZ23</f>
        <v/>
      </c>
      <c r="BC542">
        <f>'T_TTAFStock'!BA23</f>
        <v/>
      </c>
      <c r="BD542">
        <f>'T_TTAFStock'!BB23</f>
        <v/>
      </c>
      <c r="BE542">
        <f>'T_TTAFStock'!BC23</f>
        <v/>
      </c>
      <c r="BF542">
        <f>'T_TTAFStock'!BD23</f>
        <v/>
      </c>
      <c r="BG542">
        <f>'T_TTAFStock'!BE23</f>
        <v/>
      </c>
      <c r="BH542">
        <f>'T_TTAFStock'!BF23</f>
        <v/>
      </c>
      <c r="BI542">
        <f>'T_TTAFStock'!BG23</f>
        <v/>
      </c>
      <c r="BJ542">
        <f>'T_TTAFStock'!BH23</f>
        <v/>
      </c>
      <c r="BK542">
        <f>'T_TTAFStock'!BI23</f>
        <v/>
      </c>
      <c r="BL542">
        <f>'T_TTAFStock'!BJ23</f>
        <v/>
      </c>
      <c r="BM542">
        <f>'T_TTAFStock'!BK23</f>
        <v/>
      </c>
      <c r="BN542">
        <f>'T_TTAFStock'!BL23</f>
        <v/>
      </c>
      <c r="BO542">
        <f>'T_TTAFStock'!BM23</f>
        <v/>
      </c>
      <c r="BP542">
        <f>'T_TTAFStock'!BN23</f>
        <v/>
      </c>
      <c r="BQ542">
        <f>'T_TTAFStock'!BO23</f>
        <v/>
      </c>
      <c r="BR542">
        <f>'T_TTAFStock'!BP23</f>
        <v/>
      </c>
      <c r="BS542">
        <f>'T_TTAFStock'!BQ23</f>
        <v/>
      </c>
      <c r="BT542">
        <f>'T_TTAFStock'!BR23</f>
        <v/>
      </c>
      <c r="BU542">
        <f>'T_TTAFStock'!BS23</f>
        <v/>
      </c>
      <c r="BV542">
        <f>'T_TTAFStock'!BT23</f>
        <v/>
      </c>
      <c r="BW542">
        <f>'T_TTAFStock'!BU23</f>
        <v/>
      </c>
      <c r="BX542">
        <f>'T_TTAFStock'!BV23</f>
        <v/>
      </c>
      <c r="BY542">
        <f>'T_TTAFStock'!BW23</f>
        <v/>
      </c>
      <c r="BZ542">
        <f>'T_TTAFStock'!BX23</f>
        <v/>
      </c>
      <c r="CA542">
        <f>'T_TTAFStock'!BY23</f>
        <v/>
      </c>
      <c r="CB542">
        <f>'T_TTAFStock'!BZ23</f>
        <v/>
      </c>
      <c r="CC542">
        <f>'T_TTAFStock'!CA23</f>
        <v/>
      </c>
      <c r="CD542">
        <f>'T_TTAFStock'!CB23</f>
        <v/>
      </c>
      <c r="CE542">
        <f>'T_TTAFStock'!CC23</f>
        <v/>
      </c>
      <c r="CF542">
        <f>'T_TTAFStock'!CD23</f>
        <v/>
      </c>
      <c r="CG542">
        <f>'T_TTAFStock'!CE23</f>
        <v/>
      </c>
      <c r="CH542">
        <f>'T_TTAFStock'!CF23</f>
        <v/>
      </c>
      <c r="CI542">
        <f>'T_TTAFStock'!CG23</f>
        <v/>
      </c>
      <c r="CJ542">
        <f>'T_TTAFStock'!CH23</f>
        <v/>
      </c>
      <c r="CK542">
        <f>'T_TTAFStock'!CI23</f>
        <v/>
      </c>
      <c r="CL542">
        <f>'T_TTAFStock'!CJ23</f>
        <v/>
      </c>
      <c r="CM542">
        <f>'T_TTAFStock'!CK23</f>
        <v/>
      </c>
      <c r="CN542">
        <f>'T_TTAFStock'!CL23</f>
        <v/>
      </c>
      <c r="CO542">
        <f>'T_TTAFStock'!CM23</f>
        <v/>
      </c>
      <c r="CP542">
        <f>'T_TTAFStock'!CN23</f>
        <v/>
      </c>
      <c r="CQ542">
        <f>'T_TTAFStock'!CO23</f>
        <v/>
      </c>
      <c r="CR542">
        <f>'T_TTAFStock'!CP23</f>
        <v/>
      </c>
      <c r="CS542">
        <f>'T_TTAFStock'!CQ23</f>
        <v/>
      </c>
      <c r="CT542">
        <f>'T_TTAFStock'!CR23</f>
        <v/>
      </c>
      <c r="CU542">
        <f>'T_TTAFStock'!CS23</f>
        <v/>
      </c>
      <c r="CV542">
        <f>'T_TTAFStock'!CT23</f>
        <v/>
      </c>
      <c r="CW542">
        <f>'T_TTAFStock'!CU23</f>
        <v/>
      </c>
      <c r="CX542">
        <f>'T_TTAFStock'!CV23</f>
        <v/>
      </c>
      <c r="CY542">
        <f>'T_TTAFStock'!CW23</f>
        <v/>
      </c>
      <c r="CZ542">
        <f>'T_TTAFStock'!CX23</f>
        <v/>
      </c>
      <c r="DA542">
        <f>'T_TTAFStock'!CY23</f>
        <v/>
      </c>
      <c r="DB542">
        <f>'T_TTAFStock'!CZ23</f>
        <v/>
      </c>
      <c r="DC542">
        <f>'T_TTAFStock'!DA23</f>
        <v/>
      </c>
    </row>
    <row r="543">
      <c r="B543" t="inlineStr">
        <is>
          <t>自社在庫(実績,kg)</t>
        </is>
      </c>
      <c r="D543">
        <f>'T_SelfStock'!B23</f>
        <v/>
      </c>
      <c r="E543">
        <f>'T_SelfStock'!C23</f>
        <v/>
      </c>
      <c r="F543">
        <f>'T_SelfStock'!D23</f>
        <v/>
      </c>
      <c r="G543">
        <f>'T_SelfStock'!E23</f>
        <v/>
      </c>
      <c r="H543">
        <f>'T_SelfStock'!F23</f>
        <v/>
      </c>
      <c r="I543">
        <f>'T_SelfStock'!G23</f>
        <v/>
      </c>
      <c r="J543">
        <f>'T_SelfStock'!H23</f>
        <v/>
      </c>
      <c r="K543">
        <f>'T_SelfStock'!I23</f>
        <v/>
      </c>
      <c r="L543">
        <f>'T_SelfStock'!J23</f>
        <v/>
      </c>
      <c r="M543">
        <f>'T_SelfStock'!K23</f>
        <v/>
      </c>
      <c r="N543">
        <f>'T_SelfStock'!L23</f>
        <v/>
      </c>
      <c r="O543">
        <f>'T_SelfStock'!M23</f>
        <v/>
      </c>
      <c r="P543">
        <f>'T_SelfStock'!N23</f>
        <v/>
      </c>
      <c r="Q543">
        <f>'T_SelfStock'!O23</f>
        <v/>
      </c>
      <c r="R543">
        <f>'T_SelfStock'!P23</f>
        <v/>
      </c>
      <c r="S543">
        <f>'T_SelfStock'!Q23</f>
        <v/>
      </c>
      <c r="T543">
        <f>'T_SelfStock'!R23</f>
        <v/>
      </c>
      <c r="U543">
        <f>'T_SelfStock'!S23</f>
        <v/>
      </c>
      <c r="V543">
        <f>'T_SelfStock'!T23</f>
        <v/>
      </c>
      <c r="W543">
        <f>'T_SelfStock'!U23</f>
        <v/>
      </c>
      <c r="X543">
        <f>'T_SelfStock'!V23</f>
        <v/>
      </c>
      <c r="Y543">
        <f>'T_SelfStock'!W23</f>
        <v/>
      </c>
      <c r="Z543">
        <f>'T_SelfStock'!X23</f>
        <v/>
      </c>
      <c r="AA543">
        <f>'T_SelfStock'!Y23</f>
        <v/>
      </c>
      <c r="AB543">
        <f>'T_SelfStock'!Z23</f>
        <v/>
      </c>
      <c r="AC543">
        <f>'T_SelfStock'!AA23</f>
        <v/>
      </c>
      <c r="AD543">
        <f>'T_SelfStock'!AB23</f>
        <v/>
      </c>
      <c r="AE543">
        <f>'T_SelfStock'!AC23</f>
        <v/>
      </c>
      <c r="AF543">
        <f>'T_SelfStock'!AD23</f>
        <v/>
      </c>
      <c r="AG543">
        <f>'T_SelfStock'!AE23</f>
        <v/>
      </c>
      <c r="AH543">
        <f>'T_SelfStock'!AF23</f>
        <v/>
      </c>
      <c r="AI543">
        <f>'T_SelfStock'!AG23</f>
        <v/>
      </c>
      <c r="AJ543">
        <f>'T_SelfStock'!AH23</f>
        <v/>
      </c>
      <c r="AK543">
        <f>'T_SelfStock'!AI23</f>
        <v/>
      </c>
      <c r="AL543">
        <f>'T_SelfStock'!AJ23</f>
        <v/>
      </c>
      <c r="AM543">
        <f>'T_SelfStock'!AK23</f>
        <v/>
      </c>
      <c r="AN543">
        <f>'T_SelfStock'!AL23</f>
        <v/>
      </c>
      <c r="AO543">
        <f>'T_SelfStock'!AM23</f>
        <v/>
      </c>
      <c r="AP543">
        <f>'T_SelfStock'!AN23</f>
        <v/>
      </c>
      <c r="AQ543">
        <f>'T_SelfStock'!AO23</f>
        <v/>
      </c>
      <c r="AR543">
        <f>'T_SelfStock'!AP23</f>
        <v/>
      </c>
      <c r="AS543">
        <f>'T_SelfStock'!AQ23</f>
        <v/>
      </c>
      <c r="AT543">
        <f>'T_SelfStock'!AR23</f>
        <v/>
      </c>
      <c r="AU543">
        <f>'T_SelfStock'!AS23</f>
        <v/>
      </c>
      <c r="AV543">
        <f>'T_SelfStock'!AT23</f>
        <v/>
      </c>
      <c r="AW543">
        <f>'T_SelfStock'!AU23</f>
        <v/>
      </c>
      <c r="AX543">
        <f>'T_SelfStock'!AV23</f>
        <v/>
      </c>
      <c r="AY543">
        <f>'T_SelfStock'!AW23</f>
        <v/>
      </c>
      <c r="AZ543">
        <f>'T_SelfStock'!AX23</f>
        <v/>
      </c>
      <c r="BA543">
        <f>'T_SelfStock'!AY23</f>
        <v/>
      </c>
      <c r="BB543">
        <f>'T_SelfStock'!AZ23</f>
        <v/>
      </c>
      <c r="BC543">
        <f>'T_SelfStock'!BA23</f>
        <v/>
      </c>
      <c r="BD543">
        <f>'T_SelfStock'!BB23</f>
        <v/>
      </c>
      <c r="BE543">
        <f>'T_SelfStock'!BC23</f>
        <v/>
      </c>
      <c r="BF543">
        <f>'T_SelfStock'!BD23</f>
        <v/>
      </c>
      <c r="BG543">
        <f>'T_SelfStock'!BE23</f>
        <v/>
      </c>
      <c r="BH543">
        <f>'T_SelfStock'!BF23</f>
        <v/>
      </c>
      <c r="BI543">
        <f>'T_SelfStock'!BG23</f>
        <v/>
      </c>
      <c r="BJ543">
        <f>'T_SelfStock'!BH23</f>
        <v/>
      </c>
      <c r="BK543">
        <f>'T_SelfStock'!BI23</f>
        <v/>
      </c>
      <c r="BL543">
        <f>'T_SelfStock'!BJ23</f>
        <v/>
      </c>
      <c r="BM543">
        <f>'T_SelfStock'!BK23</f>
        <v/>
      </c>
      <c r="BN543">
        <f>'T_SelfStock'!BL23</f>
        <v/>
      </c>
      <c r="BO543">
        <f>'T_SelfStock'!BM23</f>
        <v/>
      </c>
      <c r="BP543">
        <f>'T_SelfStock'!BN23</f>
        <v/>
      </c>
      <c r="BQ543">
        <f>'T_SelfStock'!BO23</f>
        <v/>
      </c>
      <c r="BR543">
        <f>'T_SelfStock'!BP23</f>
        <v/>
      </c>
      <c r="BS543">
        <f>'T_SelfStock'!BQ23</f>
        <v/>
      </c>
      <c r="BT543">
        <f>'T_SelfStock'!BR23</f>
        <v/>
      </c>
      <c r="BU543">
        <f>'T_SelfStock'!BS23</f>
        <v/>
      </c>
      <c r="BV543">
        <f>'T_SelfStock'!BT23</f>
        <v/>
      </c>
      <c r="BW543">
        <f>'T_SelfStock'!BU23</f>
        <v/>
      </c>
      <c r="BX543">
        <f>'T_SelfStock'!BV23</f>
        <v/>
      </c>
      <c r="BY543">
        <f>'T_SelfStock'!BW23</f>
        <v/>
      </c>
      <c r="BZ543">
        <f>'T_SelfStock'!BX23</f>
        <v/>
      </c>
      <c r="CA543">
        <f>'T_SelfStock'!BY23</f>
        <v/>
      </c>
      <c r="CB543">
        <f>'T_SelfStock'!BZ23</f>
        <v/>
      </c>
      <c r="CC543">
        <f>'T_SelfStock'!CA23</f>
        <v/>
      </c>
      <c r="CD543">
        <f>'T_SelfStock'!CB23</f>
        <v/>
      </c>
      <c r="CE543">
        <f>'T_SelfStock'!CC23</f>
        <v/>
      </c>
      <c r="CF543">
        <f>'T_SelfStock'!CD23</f>
        <v/>
      </c>
      <c r="CG543">
        <f>'T_SelfStock'!CE23</f>
        <v/>
      </c>
      <c r="CH543">
        <f>'T_SelfStock'!CF23</f>
        <v/>
      </c>
      <c r="CI543">
        <f>'T_SelfStock'!CG23</f>
        <v/>
      </c>
      <c r="CJ543">
        <f>'T_SelfStock'!CH23</f>
        <v/>
      </c>
      <c r="CK543">
        <f>'T_SelfStock'!CI23</f>
        <v/>
      </c>
      <c r="CL543">
        <f>'T_SelfStock'!CJ23</f>
        <v/>
      </c>
      <c r="CM543">
        <f>'T_SelfStock'!CK23</f>
        <v/>
      </c>
      <c r="CN543">
        <f>'T_SelfStock'!CL23</f>
        <v/>
      </c>
      <c r="CO543">
        <f>'T_SelfStock'!CM23</f>
        <v/>
      </c>
      <c r="CP543">
        <f>'T_SelfStock'!CN23</f>
        <v/>
      </c>
      <c r="CQ543">
        <f>'T_SelfStock'!CO23</f>
        <v/>
      </c>
      <c r="CR543">
        <f>'T_SelfStock'!CP23</f>
        <v/>
      </c>
      <c r="CS543">
        <f>'T_SelfStock'!CQ23</f>
        <v/>
      </c>
      <c r="CT543">
        <f>'T_SelfStock'!CR23</f>
        <v/>
      </c>
      <c r="CU543">
        <f>'T_SelfStock'!CS23</f>
        <v/>
      </c>
      <c r="CV543">
        <f>'T_SelfStock'!CT23</f>
        <v/>
      </c>
      <c r="CW543">
        <f>'T_SelfStock'!CU23</f>
        <v/>
      </c>
      <c r="CX543">
        <f>'T_SelfStock'!CV23</f>
        <v/>
      </c>
      <c r="CY543">
        <f>'T_SelfStock'!CW23</f>
        <v/>
      </c>
      <c r="CZ543">
        <f>'T_SelfStock'!CX23</f>
        <v/>
      </c>
      <c r="DA543">
        <f>'T_SelfStock'!CY23</f>
        <v/>
      </c>
      <c r="DB543">
        <f>'T_SelfStock'!CZ23</f>
        <v/>
      </c>
      <c r="DC543">
        <f>'T_SelfStock'!DA23</f>
        <v/>
      </c>
    </row>
    <row r="544">
      <c r="B544" s="4" t="inlineStr">
        <is>
          <t>合計在庫(週末時点,kg)</t>
        </is>
      </c>
      <c r="D544">
        <f>'Grid_Stock'!B19</f>
        <v/>
      </c>
      <c r="E544">
        <f>'Grid_Stock'!C19</f>
        <v/>
      </c>
      <c r="F544">
        <f>'Grid_Stock'!D19</f>
        <v/>
      </c>
      <c r="G544">
        <f>'Grid_Stock'!E19</f>
        <v/>
      </c>
      <c r="H544">
        <f>'Grid_Stock'!F19</f>
        <v/>
      </c>
      <c r="I544">
        <f>'Grid_Stock'!G19</f>
        <v/>
      </c>
      <c r="J544">
        <f>'Grid_Stock'!H19</f>
        <v/>
      </c>
      <c r="K544">
        <f>'Grid_Stock'!I19</f>
        <v/>
      </c>
      <c r="L544">
        <f>'Grid_Stock'!J19</f>
        <v/>
      </c>
      <c r="M544">
        <f>'Grid_Stock'!K19</f>
        <v/>
      </c>
      <c r="N544">
        <f>'Grid_Stock'!L19</f>
        <v/>
      </c>
      <c r="O544">
        <f>'Grid_Stock'!M19</f>
        <v/>
      </c>
      <c r="P544">
        <f>'Grid_Stock'!N19</f>
        <v/>
      </c>
      <c r="Q544">
        <f>'Grid_Stock'!O19</f>
        <v/>
      </c>
      <c r="R544">
        <f>'Grid_Stock'!P19</f>
        <v/>
      </c>
      <c r="S544">
        <f>'Grid_Stock'!Q19</f>
        <v/>
      </c>
      <c r="T544">
        <f>'Grid_Stock'!R19</f>
        <v/>
      </c>
      <c r="U544">
        <f>'Grid_Stock'!S19</f>
        <v/>
      </c>
      <c r="V544">
        <f>'Grid_Stock'!T19</f>
        <v/>
      </c>
      <c r="W544">
        <f>'Grid_Stock'!U19</f>
        <v/>
      </c>
      <c r="X544">
        <f>'Grid_Stock'!V19</f>
        <v/>
      </c>
      <c r="Y544">
        <f>'Grid_Stock'!W19</f>
        <v/>
      </c>
      <c r="Z544">
        <f>'Grid_Stock'!X19</f>
        <v/>
      </c>
      <c r="AA544">
        <f>'Grid_Stock'!Y19</f>
        <v/>
      </c>
      <c r="AB544">
        <f>'Grid_Stock'!Z19</f>
        <v/>
      </c>
      <c r="AC544">
        <f>'Grid_Stock'!AA19</f>
        <v/>
      </c>
      <c r="AD544">
        <f>'Grid_Stock'!AB19</f>
        <v/>
      </c>
      <c r="AE544">
        <f>'Grid_Stock'!AC19</f>
        <v/>
      </c>
      <c r="AF544">
        <f>'Grid_Stock'!AD19</f>
        <v/>
      </c>
      <c r="AG544">
        <f>'Grid_Stock'!AE19</f>
        <v/>
      </c>
      <c r="AH544">
        <f>'Grid_Stock'!AF19</f>
        <v/>
      </c>
      <c r="AI544">
        <f>'Grid_Stock'!AG19</f>
        <v/>
      </c>
      <c r="AJ544">
        <f>'Grid_Stock'!AH19</f>
        <v/>
      </c>
      <c r="AK544">
        <f>'Grid_Stock'!AI19</f>
        <v/>
      </c>
      <c r="AL544">
        <f>'Grid_Stock'!AJ19</f>
        <v/>
      </c>
      <c r="AM544">
        <f>'Grid_Stock'!AK19</f>
        <v/>
      </c>
      <c r="AN544">
        <f>'Grid_Stock'!AL19</f>
        <v/>
      </c>
      <c r="AO544">
        <f>'Grid_Stock'!AM19</f>
        <v/>
      </c>
      <c r="AP544">
        <f>'Grid_Stock'!AN19</f>
        <v/>
      </c>
      <c r="AQ544">
        <f>'Grid_Stock'!AO19</f>
        <v/>
      </c>
      <c r="AR544">
        <f>'Grid_Stock'!AP19</f>
        <v/>
      </c>
      <c r="AS544">
        <f>'Grid_Stock'!AQ19</f>
        <v/>
      </c>
      <c r="AT544">
        <f>'Grid_Stock'!AR19</f>
        <v/>
      </c>
      <c r="AU544">
        <f>'Grid_Stock'!AS19</f>
        <v/>
      </c>
      <c r="AV544">
        <f>'Grid_Stock'!AT19</f>
        <v/>
      </c>
      <c r="AW544">
        <f>'Grid_Stock'!AU19</f>
        <v/>
      </c>
      <c r="AX544">
        <f>'Grid_Stock'!AV19</f>
        <v/>
      </c>
      <c r="AY544">
        <f>'Grid_Stock'!AW19</f>
        <v/>
      </c>
      <c r="AZ544">
        <f>'Grid_Stock'!AX19</f>
        <v/>
      </c>
      <c r="BA544">
        <f>'Grid_Stock'!AY19</f>
        <v/>
      </c>
      <c r="BB544">
        <f>'Grid_Stock'!AZ19</f>
        <v/>
      </c>
      <c r="BC544">
        <f>'Grid_Stock'!BA19</f>
        <v/>
      </c>
      <c r="BD544">
        <f>'Grid_Stock'!BB19</f>
        <v/>
      </c>
      <c r="BE544">
        <f>'Grid_Stock'!BC19</f>
        <v/>
      </c>
      <c r="BF544">
        <f>'Grid_Stock'!BD19</f>
        <v/>
      </c>
      <c r="BG544">
        <f>'Grid_Stock'!BE19</f>
        <v/>
      </c>
      <c r="BH544">
        <f>'Grid_Stock'!BF19</f>
        <v/>
      </c>
      <c r="BI544">
        <f>'Grid_Stock'!BG19</f>
        <v/>
      </c>
      <c r="BJ544">
        <f>'Grid_Stock'!BH19</f>
        <v/>
      </c>
      <c r="BK544">
        <f>'Grid_Stock'!BI19</f>
        <v/>
      </c>
      <c r="BL544">
        <f>'Grid_Stock'!BJ19</f>
        <v/>
      </c>
      <c r="BM544">
        <f>'Grid_Stock'!BK19</f>
        <v/>
      </c>
      <c r="BN544">
        <f>'Grid_Stock'!BL19</f>
        <v/>
      </c>
      <c r="BO544">
        <f>'Grid_Stock'!BM19</f>
        <v/>
      </c>
      <c r="BP544">
        <f>'Grid_Stock'!BN19</f>
        <v/>
      </c>
      <c r="BQ544">
        <f>'Grid_Stock'!BO19</f>
        <v/>
      </c>
      <c r="BR544">
        <f>'Grid_Stock'!BP19</f>
        <v/>
      </c>
      <c r="BS544">
        <f>'Grid_Stock'!BQ19</f>
        <v/>
      </c>
      <c r="BT544">
        <f>'Grid_Stock'!BR19</f>
        <v/>
      </c>
      <c r="BU544">
        <f>'Grid_Stock'!BS19</f>
        <v/>
      </c>
      <c r="BV544">
        <f>'Grid_Stock'!BT19</f>
        <v/>
      </c>
      <c r="BW544">
        <f>'Grid_Stock'!BU19</f>
        <v/>
      </c>
      <c r="BX544">
        <f>'Grid_Stock'!BV19</f>
        <v/>
      </c>
      <c r="BY544">
        <f>'Grid_Stock'!BW19</f>
        <v/>
      </c>
      <c r="BZ544">
        <f>'Grid_Stock'!BX19</f>
        <v/>
      </c>
      <c r="CA544">
        <f>'Grid_Stock'!BY19</f>
        <v/>
      </c>
      <c r="CB544">
        <f>'Grid_Stock'!BZ19</f>
        <v/>
      </c>
      <c r="CC544">
        <f>'Grid_Stock'!CA19</f>
        <v/>
      </c>
      <c r="CD544">
        <f>'Grid_Stock'!CB19</f>
        <v/>
      </c>
      <c r="CE544">
        <f>'Grid_Stock'!CC19</f>
        <v/>
      </c>
      <c r="CF544">
        <f>'Grid_Stock'!CD19</f>
        <v/>
      </c>
      <c r="CG544">
        <f>'Grid_Stock'!CE19</f>
        <v/>
      </c>
      <c r="CH544">
        <f>'Grid_Stock'!CF19</f>
        <v/>
      </c>
      <c r="CI544">
        <f>'Grid_Stock'!CG19</f>
        <v/>
      </c>
      <c r="CJ544">
        <f>'Grid_Stock'!CH19</f>
        <v/>
      </c>
      <c r="CK544">
        <f>'Grid_Stock'!CI19</f>
        <v/>
      </c>
      <c r="CL544">
        <f>'Grid_Stock'!CJ19</f>
        <v/>
      </c>
      <c r="CM544">
        <f>'Grid_Stock'!CK19</f>
        <v/>
      </c>
      <c r="CN544">
        <f>'Grid_Stock'!CL19</f>
        <v/>
      </c>
      <c r="CO544">
        <f>'Grid_Stock'!CM19</f>
        <v/>
      </c>
      <c r="CP544">
        <f>'Grid_Stock'!CN19</f>
        <v/>
      </c>
      <c r="CQ544">
        <f>'Grid_Stock'!CO19</f>
        <v/>
      </c>
      <c r="CR544">
        <f>'Grid_Stock'!CP19</f>
        <v/>
      </c>
      <c r="CS544">
        <f>'Grid_Stock'!CQ19</f>
        <v/>
      </c>
      <c r="CT544">
        <f>'Grid_Stock'!CR19</f>
        <v/>
      </c>
      <c r="CU544">
        <f>'Grid_Stock'!CS19</f>
        <v/>
      </c>
      <c r="CV544">
        <f>'Grid_Stock'!CT19</f>
        <v/>
      </c>
      <c r="CW544">
        <f>'Grid_Stock'!CU19</f>
        <v/>
      </c>
      <c r="CX544">
        <f>'Grid_Stock'!CV19</f>
        <v/>
      </c>
      <c r="CY544">
        <f>'Grid_Stock'!CW19</f>
        <v/>
      </c>
      <c r="CZ544">
        <f>'Grid_Stock'!CX19</f>
        <v/>
      </c>
      <c r="DA544">
        <f>'Grid_Stock'!CY19</f>
        <v/>
      </c>
      <c r="DB544">
        <f>'Grid_Stock'!CZ19</f>
        <v/>
      </c>
      <c r="DC544">
        <f>'Grid_Stock'!DA19</f>
        <v/>
      </c>
    </row>
    <row r="545">
      <c r="B545" s="16" t="inlineStr">
        <is>
          <t>（発注の目安はDashboardの基準在庫[下限/上限]と色分けを参照）</t>
        </is>
      </c>
    </row>
    <row r="547">
      <c r="A547" s="14" t="inlineStr">
        <is>
          <t>CHEM-1510</t>
        </is>
      </c>
      <c r="B547" s="14" t="inlineStr">
        <is>
          <t>BA-070</t>
        </is>
      </c>
      <c r="C547" s="15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  <c r="AA547" s="14" t="n"/>
      <c r="AB547" s="14" t="n"/>
      <c r="AC547" s="14" t="n"/>
      <c r="AD547" s="14" t="n"/>
      <c r="AE547" s="14" t="n"/>
      <c r="AF547" s="14" t="n"/>
      <c r="AG547" s="14" t="n"/>
      <c r="AH547" s="14" t="n"/>
      <c r="AI547" s="14" t="n"/>
      <c r="AJ547" s="14" t="n"/>
      <c r="AK547" s="14" t="n"/>
      <c r="AL547" s="14" t="n"/>
      <c r="AM547" s="14" t="n"/>
      <c r="AN547" s="14" t="n"/>
      <c r="AO547" s="14" t="n"/>
      <c r="AP547" s="14" t="n"/>
      <c r="AQ547" s="14" t="n"/>
      <c r="AR547" s="14" t="n"/>
      <c r="AS547" s="14" t="n"/>
      <c r="AT547" s="14" t="n"/>
      <c r="AU547" s="14" t="n"/>
      <c r="AV547" s="14" t="n"/>
      <c r="AW547" s="14" t="n"/>
      <c r="AX547" s="14" t="n"/>
      <c r="AY547" s="14" t="n"/>
      <c r="AZ547" s="14" t="n"/>
      <c r="BA547" s="14" t="n"/>
      <c r="BB547" s="14" t="n"/>
      <c r="BC547" s="14" t="n"/>
      <c r="BD547" s="14" t="n"/>
      <c r="BE547" s="14" t="n"/>
      <c r="BF547" s="14" t="n"/>
      <c r="BG547" s="14" t="n"/>
      <c r="BH547" s="14" t="n"/>
      <c r="BI547" s="14" t="n"/>
      <c r="BJ547" s="14" t="n"/>
      <c r="BK547" s="14" t="n"/>
      <c r="BL547" s="14" t="n"/>
      <c r="BM547" s="14" t="n"/>
      <c r="BN547" s="14" t="n"/>
      <c r="BO547" s="14" t="n"/>
      <c r="BP547" s="14" t="n"/>
      <c r="BQ547" s="14" t="n"/>
      <c r="BR547" s="14" t="n"/>
      <c r="BS547" s="14" t="n"/>
      <c r="BT547" s="14" t="n"/>
      <c r="BU547" s="14" t="n"/>
      <c r="BV547" s="14" t="n"/>
      <c r="BW547" s="14" t="n"/>
      <c r="BX547" s="14" t="n"/>
      <c r="BY547" s="14" t="n"/>
      <c r="BZ547" s="14" t="n"/>
      <c r="CA547" s="14" t="n"/>
      <c r="CB547" s="14" t="n"/>
      <c r="CC547" s="14" t="n"/>
      <c r="CD547" s="14" t="n"/>
      <c r="CE547" s="14" t="n"/>
      <c r="CF547" s="14" t="n"/>
      <c r="CG547" s="14" t="n"/>
      <c r="CH547" s="14" t="n"/>
      <c r="CI547" s="14" t="n"/>
      <c r="CJ547" s="14" t="n"/>
      <c r="CK547" s="14" t="n"/>
      <c r="CL547" s="14" t="n"/>
      <c r="CM547" s="14" t="n"/>
      <c r="CN547" s="14" t="n"/>
      <c r="CO547" s="14" t="n"/>
      <c r="CP547" s="14" t="n"/>
      <c r="CQ547" s="14" t="n"/>
      <c r="CR547" s="14" t="n"/>
      <c r="CS547" s="14" t="n"/>
      <c r="CT547" s="14" t="n"/>
      <c r="CU547" s="14" t="n"/>
      <c r="CV547" s="14" t="n"/>
      <c r="CW547" s="14" t="n"/>
      <c r="CX547" s="14" t="n"/>
      <c r="CY547" s="14" t="n"/>
      <c r="CZ547" s="14" t="n"/>
      <c r="DA547" s="14" t="n"/>
      <c r="DB547" s="14" t="n"/>
      <c r="DC547" s="14" t="n"/>
    </row>
    <row r="548">
      <c r="B548" t="inlineStr">
        <is>
          <t>TSP-219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7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Name],$A547)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TSP-360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7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Name],$A547)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TSP-367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7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Name],$A547)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TSP-544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7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Name],$A547)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TSP-710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Name],$A547)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TSZ-616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Name],$A547)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VSP-739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Name],$A547)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VSP-820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Name],$A547)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VSP-869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Name],$A547)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VSP-989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Name],$A547)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TSP-1388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Name],$A547)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TSP-924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Name],$A547)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TSP-925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Name],$A547)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s="4" t="inlineStr">
        <is>
          <t>合計使用量(kg)/週</t>
        </is>
      </c>
      <c r="D574">
        <f>'Grid_Requirement'!B35</f>
        <v/>
      </c>
      <c r="E574">
        <f>'Grid_Requirement'!C35</f>
        <v/>
      </c>
      <c r="F574">
        <f>'Grid_Requirement'!D35</f>
        <v/>
      </c>
      <c r="G574">
        <f>'Grid_Requirement'!E35</f>
        <v/>
      </c>
      <c r="H574">
        <f>'Grid_Requirement'!F35</f>
        <v/>
      </c>
      <c r="I574">
        <f>'Grid_Requirement'!G35</f>
        <v/>
      </c>
      <c r="J574">
        <f>'Grid_Requirement'!H35</f>
        <v/>
      </c>
      <c r="K574">
        <f>'Grid_Requirement'!I35</f>
        <v/>
      </c>
      <c r="L574">
        <f>'Grid_Requirement'!J35</f>
        <v/>
      </c>
      <c r="M574">
        <f>'Grid_Requirement'!K35</f>
        <v/>
      </c>
      <c r="N574">
        <f>'Grid_Requirement'!L35</f>
        <v/>
      </c>
      <c r="O574">
        <f>'Grid_Requirement'!M35</f>
        <v/>
      </c>
      <c r="P574">
        <f>'Grid_Requirement'!N35</f>
        <v/>
      </c>
      <c r="Q574">
        <f>'Grid_Requirement'!O35</f>
        <v/>
      </c>
      <c r="R574">
        <f>'Grid_Requirement'!P35</f>
        <v/>
      </c>
      <c r="S574">
        <f>'Grid_Requirement'!Q35</f>
        <v/>
      </c>
      <c r="T574">
        <f>'Grid_Requirement'!R35</f>
        <v/>
      </c>
      <c r="U574">
        <f>'Grid_Requirement'!S35</f>
        <v/>
      </c>
      <c r="V574">
        <f>'Grid_Requirement'!T35</f>
        <v/>
      </c>
      <c r="W574">
        <f>'Grid_Requirement'!U35</f>
        <v/>
      </c>
      <c r="X574">
        <f>'Grid_Requirement'!V35</f>
        <v/>
      </c>
      <c r="Y574">
        <f>'Grid_Requirement'!W35</f>
        <v/>
      </c>
      <c r="Z574">
        <f>'Grid_Requirement'!X35</f>
        <v/>
      </c>
      <c r="AA574">
        <f>'Grid_Requirement'!Y35</f>
        <v/>
      </c>
      <c r="AB574">
        <f>'Grid_Requirement'!Z35</f>
        <v/>
      </c>
      <c r="AC574">
        <f>'Grid_Requirement'!AA35</f>
        <v/>
      </c>
      <c r="AD574">
        <f>'Grid_Requirement'!AB35</f>
        <v/>
      </c>
      <c r="AE574">
        <f>'Grid_Requirement'!AC35</f>
        <v/>
      </c>
      <c r="AF574">
        <f>'Grid_Requirement'!AD35</f>
        <v/>
      </c>
      <c r="AG574">
        <f>'Grid_Requirement'!AE35</f>
        <v/>
      </c>
      <c r="AH574">
        <f>'Grid_Requirement'!AF35</f>
        <v/>
      </c>
      <c r="AI574">
        <f>'Grid_Requirement'!AG35</f>
        <v/>
      </c>
      <c r="AJ574">
        <f>'Grid_Requirement'!AH35</f>
        <v/>
      </c>
      <c r="AK574">
        <f>'Grid_Requirement'!AI35</f>
        <v/>
      </c>
      <c r="AL574">
        <f>'Grid_Requirement'!AJ35</f>
        <v/>
      </c>
      <c r="AM574">
        <f>'Grid_Requirement'!AK35</f>
        <v/>
      </c>
      <c r="AN574">
        <f>'Grid_Requirement'!AL35</f>
        <v/>
      </c>
      <c r="AO574">
        <f>'Grid_Requirement'!AM35</f>
        <v/>
      </c>
      <c r="AP574">
        <f>'Grid_Requirement'!AN35</f>
        <v/>
      </c>
      <c r="AQ574">
        <f>'Grid_Requirement'!AO35</f>
        <v/>
      </c>
      <c r="AR574">
        <f>'Grid_Requirement'!AP35</f>
        <v/>
      </c>
      <c r="AS574">
        <f>'Grid_Requirement'!AQ35</f>
        <v/>
      </c>
      <c r="AT574">
        <f>'Grid_Requirement'!AR35</f>
        <v/>
      </c>
      <c r="AU574">
        <f>'Grid_Requirement'!AS35</f>
        <v/>
      </c>
      <c r="AV574">
        <f>'Grid_Requirement'!AT35</f>
        <v/>
      </c>
      <c r="AW574">
        <f>'Grid_Requirement'!AU35</f>
        <v/>
      </c>
      <c r="AX574">
        <f>'Grid_Requirement'!AV35</f>
        <v/>
      </c>
      <c r="AY574">
        <f>'Grid_Requirement'!AW35</f>
        <v/>
      </c>
      <c r="AZ574">
        <f>'Grid_Requirement'!AX35</f>
        <v/>
      </c>
      <c r="BA574">
        <f>'Grid_Requirement'!AY35</f>
        <v/>
      </c>
      <c r="BB574">
        <f>'Grid_Requirement'!AZ35</f>
        <v/>
      </c>
      <c r="BC574">
        <f>'Grid_Requirement'!BA35</f>
        <v/>
      </c>
      <c r="BD574">
        <f>'Grid_Requirement'!BB35</f>
        <v/>
      </c>
      <c r="BE574">
        <f>'Grid_Requirement'!BC35</f>
        <v/>
      </c>
      <c r="BF574">
        <f>'Grid_Requirement'!BD35</f>
        <v/>
      </c>
      <c r="BG574">
        <f>'Grid_Requirement'!BE35</f>
        <v/>
      </c>
      <c r="BH574">
        <f>'Grid_Requirement'!BF35</f>
        <v/>
      </c>
      <c r="BI574">
        <f>'Grid_Requirement'!BG35</f>
        <v/>
      </c>
      <c r="BJ574">
        <f>'Grid_Requirement'!BH35</f>
        <v/>
      </c>
      <c r="BK574">
        <f>'Grid_Requirement'!BI35</f>
        <v/>
      </c>
      <c r="BL574">
        <f>'Grid_Requirement'!BJ35</f>
        <v/>
      </c>
      <c r="BM574">
        <f>'Grid_Requirement'!BK35</f>
        <v/>
      </c>
      <c r="BN574">
        <f>'Grid_Requirement'!BL35</f>
        <v/>
      </c>
      <c r="BO574">
        <f>'Grid_Requirement'!BM35</f>
        <v/>
      </c>
      <c r="BP574">
        <f>'Grid_Requirement'!BN35</f>
        <v/>
      </c>
      <c r="BQ574">
        <f>'Grid_Requirement'!BO35</f>
        <v/>
      </c>
      <c r="BR574">
        <f>'Grid_Requirement'!BP35</f>
        <v/>
      </c>
      <c r="BS574">
        <f>'Grid_Requirement'!BQ35</f>
        <v/>
      </c>
      <c r="BT574">
        <f>'Grid_Requirement'!BR35</f>
        <v/>
      </c>
      <c r="BU574">
        <f>'Grid_Requirement'!BS35</f>
        <v/>
      </c>
      <c r="BV574">
        <f>'Grid_Requirement'!BT35</f>
        <v/>
      </c>
      <c r="BW574">
        <f>'Grid_Requirement'!BU35</f>
        <v/>
      </c>
      <c r="BX574">
        <f>'Grid_Requirement'!BV35</f>
        <v/>
      </c>
      <c r="BY574">
        <f>'Grid_Requirement'!BW35</f>
        <v/>
      </c>
      <c r="BZ574">
        <f>'Grid_Requirement'!BX35</f>
        <v/>
      </c>
      <c r="CA574">
        <f>'Grid_Requirement'!BY35</f>
        <v/>
      </c>
      <c r="CB574">
        <f>'Grid_Requirement'!BZ35</f>
        <v/>
      </c>
      <c r="CC574">
        <f>'Grid_Requirement'!CA35</f>
        <v/>
      </c>
      <c r="CD574">
        <f>'Grid_Requirement'!CB35</f>
        <v/>
      </c>
      <c r="CE574">
        <f>'Grid_Requirement'!CC35</f>
        <v/>
      </c>
      <c r="CF574">
        <f>'Grid_Requirement'!CD35</f>
        <v/>
      </c>
      <c r="CG574">
        <f>'Grid_Requirement'!CE35</f>
        <v/>
      </c>
      <c r="CH574">
        <f>'Grid_Requirement'!CF35</f>
        <v/>
      </c>
      <c r="CI574">
        <f>'Grid_Requirement'!CG35</f>
        <v/>
      </c>
      <c r="CJ574">
        <f>'Grid_Requirement'!CH35</f>
        <v/>
      </c>
      <c r="CK574">
        <f>'Grid_Requirement'!CI35</f>
        <v/>
      </c>
      <c r="CL574">
        <f>'Grid_Requirement'!CJ35</f>
        <v/>
      </c>
      <c r="CM574">
        <f>'Grid_Requirement'!CK35</f>
        <v/>
      </c>
      <c r="CN574">
        <f>'Grid_Requirement'!CL35</f>
        <v/>
      </c>
      <c r="CO574">
        <f>'Grid_Requirement'!CM35</f>
        <v/>
      </c>
      <c r="CP574">
        <f>'Grid_Requirement'!CN35</f>
        <v/>
      </c>
      <c r="CQ574">
        <f>'Grid_Requirement'!CO35</f>
        <v/>
      </c>
      <c r="CR574">
        <f>'Grid_Requirement'!CP35</f>
        <v/>
      </c>
      <c r="CS574">
        <f>'Grid_Requirement'!CQ35</f>
        <v/>
      </c>
      <c r="CT574">
        <f>'Grid_Requirement'!CR35</f>
        <v/>
      </c>
      <c r="CU574">
        <f>'Grid_Requirement'!CS35</f>
        <v/>
      </c>
      <c r="CV574">
        <f>'Grid_Requirement'!CT35</f>
        <v/>
      </c>
      <c r="CW574">
        <f>'Grid_Requirement'!CU35</f>
        <v/>
      </c>
      <c r="CX574">
        <f>'Grid_Requirement'!CV35</f>
        <v/>
      </c>
      <c r="CY574">
        <f>'Grid_Requirement'!CW35</f>
        <v/>
      </c>
      <c r="CZ574">
        <f>'Grid_Requirement'!CX35</f>
        <v/>
      </c>
      <c r="DA574">
        <f>'Grid_Requirement'!CY35</f>
        <v/>
      </c>
      <c r="DB574">
        <f>'Grid_Requirement'!CZ35</f>
        <v/>
      </c>
      <c r="DC574">
        <f>'Grid_Requirement'!DA35</f>
        <v/>
      </c>
    </row>
    <row r="575">
      <c r="B575" t="inlineStr">
        <is>
          <t>TTAF在庫(実績,kg)</t>
        </is>
      </c>
      <c r="D575">
        <f>'T_TTAFStock'!B39</f>
        <v/>
      </c>
      <c r="E575">
        <f>'T_TTAFStock'!C39</f>
        <v/>
      </c>
      <c r="F575">
        <f>'T_TTAFStock'!D39</f>
        <v/>
      </c>
      <c r="G575">
        <f>'T_TTAFStock'!E39</f>
        <v/>
      </c>
      <c r="H575">
        <f>'T_TTAFStock'!F39</f>
        <v/>
      </c>
      <c r="I575">
        <f>'T_TTAFStock'!G39</f>
        <v/>
      </c>
      <c r="J575">
        <f>'T_TTAFStock'!H39</f>
        <v/>
      </c>
      <c r="K575">
        <f>'T_TTAFStock'!I39</f>
        <v/>
      </c>
      <c r="L575">
        <f>'T_TTAFStock'!J39</f>
        <v/>
      </c>
      <c r="M575">
        <f>'T_TTAFStock'!K39</f>
        <v/>
      </c>
      <c r="N575">
        <f>'T_TTAFStock'!L39</f>
        <v/>
      </c>
      <c r="O575">
        <f>'T_TTAFStock'!M39</f>
        <v/>
      </c>
      <c r="P575">
        <f>'T_TTAFStock'!N39</f>
        <v/>
      </c>
      <c r="Q575">
        <f>'T_TTAFStock'!O39</f>
        <v/>
      </c>
      <c r="R575">
        <f>'T_TTAFStock'!P39</f>
        <v/>
      </c>
      <c r="S575">
        <f>'T_TTAFStock'!Q39</f>
        <v/>
      </c>
      <c r="T575">
        <f>'T_TTAFStock'!R39</f>
        <v/>
      </c>
      <c r="U575">
        <f>'T_TTAFStock'!S39</f>
        <v/>
      </c>
      <c r="V575">
        <f>'T_TTAFStock'!T39</f>
        <v/>
      </c>
      <c r="W575">
        <f>'T_TTAFStock'!U39</f>
        <v/>
      </c>
      <c r="X575">
        <f>'T_TTAFStock'!V39</f>
        <v/>
      </c>
      <c r="Y575">
        <f>'T_TTAFStock'!W39</f>
        <v/>
      </c>
      <c r="Z575">
        <f>'T_TTAFStock'!X39</f>
        <v/>
      </c>
      <c r="AA575">
        <f>'T_TTAFStock'!Y39</f>
        <v/>
      </c>
      <c r="AB575">
        <f>'T_TTAFStock'!Z39</f>
        <v/>
      </c>
      <c r="AC575">
        <f>'T_TTAFStock'!AA39</f>
        <v/>
      </c>
      <c r="AD575">
        <f>'T_TTAFStock'!AB39</f>
        <v/>
      </c>
      <c r="AE575">
        <f>'T_TTAFStock'!AC39</f>
        <v/>
      </c>
      <c r="AF575">
        <f>'T_TTAFStock'!AD39</f>
        <v/>
      </c>
      <c r="AG575">
        <f>'T_TTAFStock'!AE39</f>
        <v/>
      </c>
      <c r="AH575">
        <f>'T_TTAFStock'!AF39</f>
        <v/>
      </c>
      <c r="AI575">
        <f>'T_TTAFStock'!AG39</f>
        <v/>
      </c>
      <c r="AJ575">
        <f>'T_TTAFStock'!AH39</f>
        <v/>
      </c>
      <c r="AK575">
        <f>'T_TTAFStock'!AI39</f>
        <v/>
      </c>
      <c r="AL575">
        <f>'T_TTAFStock'!AJ39</f>
        <v/>
      </c>
      <c r="AM575">
        <f>'T_TTAFStock'!AK39</f>
        <v/>
      </c>
      <c r="AN575">
        <f>'T_TTAFStock'!AL39</f>
        <v/>
      </c>
      <c r="AO575">
        <f>'T_TTAFStock'!AM39</f>
        <v/>
      </c>
      <c r="AP575">
        <f>'T_TTAFStock'!AN39</f>
        <v/>
      </c>
      <c r="AQ575">
        <f>'T_TTAFStock'!AO39</f>
        <v/>
      </c>
      <c r="AR575">
        <f>'T_TTAFStock'!AP39</f>
        <v/>
      </c>
      <c r="AS575">
        <f>'T_TTAFStock'!AQ39</f>
        <v/>
      </c>
      <c r="AT575">
        <f>'T_TTAFStock'!AR39</f>
        <v/>
      </c>
      <c r="AU575">
        <f>'T_TTAFStock'!AS39</f>
        <v/>
      </c>
      <c r="AV575">
        <f>'T_TTAFStock'!AT39</f>
        <v/>
      </c>
      <c r="AW575">
        <f>'T_TTAFStock'!AU39</f>
        <v/>
      </c>
      <c r="AX575">
        <f>'T_TTAFStock'!AV39</f>
        <v/>
      </c>
      <c r="AY575">
        <f>'T_TTAFStock'!AW39</f>
        <v/>
      </c>
      <c r="AZ575">
        <f>'T_TTAFStock'!AX39</f>
        <v/>
      </c>
      <c r="BA575">
        <f>'T_TTAFStock'!AY39</f>
        <v/>
      </c>
      <c r="BB575">
        <f>'T_TTAFStock'!AZ39</f>
        <v/>
      </c>
      <c r="BC575">
        <f>'T_TTAFStock'!BA39</f>
        <v/>
      </c>
      <c r="BD575">
        <f>'T_TTAFStock'!BB39</f>
        <v/>
      </c>
      <c r="BE575">
        <f>'T_TTAFStock'!BC39</f>
        <v/>
      </c>
      <c r="BF575">
        <f>'T_TTAFStock'!BD39</f>
        <v/>
      </c>
      <c r="BG575">
        <f>'T_TTAFStock'!BE39</f>
        <v/>
      </c>
      <c r="BH575">
        <f>'T_TTAFStock'!BF39</f>
        <v/>
      </c>
      <c r="BI575">
        <f>'T_TTAFStock'!BG39</f>
        <v/>
      </c>
      <c r="BJ575">
        <f>'T_TTAFStock'!BH39</f>
        <v/>
      </c>
      <c r="BK575">
        <f>'T_TTAFStock'!BI39</f>
        <v/>
      </c>
      <c r="BL575">
        <f>'T_TTAFStock'!BJ39</f>
        <v/>
      </c>
      <c r="BM575">
        <f>'T_TTAFStock'!BK39</f>
        <v/>
      </c>
      <c r="BN575">
        <f>'T_TTAFStock'!BL39</f>
        <v/>
      </c>
      <c r="BO575">
        <f>'T_TTAFStock'!BM39</f>
        <v/>
      </c>
      <c r="BP575">
        <f>'T_TTAFStock'!BN39</f>
        <v/>
      </c>
      <c r="BQ575">
        <f>'T_TTAFStock'!BO39</f>
        <v/>
      </c>
      <c r="BR575">
        <f>'T_TTAFStock'!BP39</f>
        <v/>
      </c>
      <c r="BS575">
        <f>'T_TTAFStock'!BQ39</f>
        <v/>
      </c>
      <c r="BT575">
        <f>'T_TTAFStock'!BR39</f>
        <v/>
      </c>
      <c r="BU575">
        <f>'T_TTAFStock'!BS39</f>
        <v/>
      </c>
      <c r="BV575">
        <f>'T_TTAFStock'!BT39</f>
        <v/>
      </c>
      <c r="BW575">
        <f>'T_TTAFStock'!BU39</f>
        <v/>
      </c>
      <c r="BX575">
        <f>'T_TTAFStock'!BV39</f>
        <v/>
      </c>
      <c r="BY575">
        <f>'T_TTAFStock'!BW39</f>
        <v/>
      </c>
      <c r="BZ575">
        <f>'T_TTAFStock'!BX39</f>
        <v/>
      </c>
      <c r="CA575">
        <f>'T_TTAFStock'!BY39</f>
        <v/>
      </c>
      <c r="CB575">
        <f>'T_TTAFStock'!BZ39</f>
        <v/>
      </c>
      <c r="CC575">
        <f>'T_TTAFStock'!CA39</f>
        <v/>
      </c>
      <c r="CD575">
        <f>'T_TTAFStock'!CB39</f>
        <v/>
      </c>
      <c r="CE575">
        <f>'T_TTAFStock'!CC39</f>
        <v/>
      </c>
      <c r="CF575">
        <f>'T_TTAFStock'!CD39</f>
        <v/>
      </c>
      <c r="CG575">
        <f>'T_TTAFStock'!CE39</f>
        <v/>
      </c>
      <c r="CH575">
        <f>'T_TTAFStock'!CF39</f>
        <v/>
      </c>
      <c r="CI575">
        <f>'T_TTAFStock'!CG39</f>
        <v/>
      </c>
      <c r="CJ575">
        <f>'T_TTAFStock'!CH39</f>
        <v/>
      </c>
      <c r="CK575">
        <f>'T_TTAFStock'!CI39</f>
        <v/>
      </c>
      <c r="CL575">
        <f>'T_TTAFStock'!CJ39</f>
        <v/>
      </c>
      <c r="CM575">
        <f>'T_TTAFStock'!CK39</f>
        <v/>
      </c>
      <c r="CN575">
        <f>'T_TTAFStock'!CL39</f>
        <v/>
      </c>
      <c r="CO575">
        <f>'T_TTAFStock'!CM39</f>
        <v/>
      </c>
      <c r="CP575">
        <f>'T_TTAFStock'!CN39</f>
        <v/>
      </c>
      <c r="CQ575">
        <f>'T_TTAFStock'!CO39</f>
        <v/>
      </c>
      <c r="CR575">
        <f>'T_TTAFStock'!CP39</f>
        <v/>
      </c>
      <c r="CS575">
        <f>'T_TTAFStock'!CQ39</f>
        <v/>
      </c>
      <c r="CT575">
        <f>'T_TTAFStock'!CR39</f>
        <v/>
      </c>
      <c r="CU575">
        <f>'T_TTAFStock'!CS39</f>
        <v/>
      </c>
      <c r="CV575">
        <f>'T_TTAFStock'!CT39</f>
        <v/>
      </c>
      <c r="CW575">
        <f>'T_TTAFStock'!CU39</f>
        <v/>
      </c>
      <c r="CX575">
        <f>'T_TTAFStock'!CV39</f>
        <v/>
      </c>
      <c r="CY575">
        <f>'T_TTAFStock'!CW39</f>
        <v/>
      </c>
      <c r="CZ575">
        <f>'T_TTAFStock'!CX39</f>
        <v/>
      </c>
      <c r="DA575">
        <f>'T_TTAFStock'!CY39</f>
        <v/>
      </c>
      <c r="DB575">
        <f>'T_TTAFStock'!CZ39</f>
        <v/>
      </c>
      <c r="DC575">
        <f>'T_TTAFStock'!DA39</f>
        <v/>
      </c>
    </row>
    <row r="576">
      <c r="B576" t="inlineStr">
        <is>
          <t>自社在庫(実績,kg)</t>
        </is>
      </c>
      <c r="D576">
        <f>'T_SelfStock'!B39</f>
        <v/>
      </c>
      <c r="E576">
        <f>'T_SelfStock'!C39</f>
        <v/>
      </c>
      <c r="F576">
        <f>'T_SelfStock'!D39</f>
        <v/>
      </c>
      <c r="G576">
        <f>'T_SelfStock'!E39</f>
        <v/>
      </c>
      <c r="H576">
        <f>'T_SelfStock'!F39</f>
        <v/>
      </c>
      <c r="I576">
        <f>'T_SelfStock'!G39</f>
        <v/>
      </c>
      <c r="J576">
        <f>'T_SelfStock'!H39</f>
        <v/>
      </c>
      <c r="K576">
        <f>'T_SelfStock'!I39</f>
        <v/>
      </c>
      <c r="L576">
        <f>'T_SelfStock'!J39</f>
        <v/>
      </c>
      <c r="M576">
        <f>'T_SelfStock'!K39</f>
        <v/>
      </c>
      <c r="N576">
        <f>'T_SelfStock'!L39</f>
        <v/>
      </c>
      <c r="O576">
        <f>'T_SelfStock'!M39</f>
        <v/>
      </c>
      <c r="P576">
        <f>'T_SelfStock'!N39</f>
        <v/>
      </c>
      <c r="Q576">
        <f>'T_SelfStock'!O39</f>
        <v/>
      </c>
      <c r="R576">
        <f>'T_SelfStock'!P39</f>
        <v/>
      </c>
      <c r="S576">
        <f>'T_SelfStock'!Q39</f>
        <v/>
      </c>
      <c r="T576">
        <f>'T_SelfStock'!R39</f>
        <v/>
      </c>
      <c r="U576">
        <f>'T_SelfStock'!S39</f>
        <v/>
      </c>
      <c r="V576">
        <f>'T_SelfStock'!T39</f>
        <v/>
      </c>
      <c r="W576">
        <f>'T_SelfStock'!U39</f>
        <v/>
      </c>
      <c r="X576">
        <f>'T_SelfStock'!V39</f>
        <v/>
      </c>
      <c r="Y576">
        <f>'T_SelfStock'!W39</f>
        <v/>
      </c>
      <c r="Z576">
        <f>'T_SelfStock'!X39</f>
        <v/>
      </c>
      <c r="AA576">
        <f>'T_SelfStock'!Y39</f>
        <v/>
      </c>
      <c r="AB576">
        <f>'T_SelfStock'!Z39</f>
        <v/>
      </c>
      <c r="AC576">
        <f>'T_SelfStock'!AA39</f>
        <v/>
      </c>
      <c r="AD576">
        <f>'T_SelfStock'!AB39</f>
        <v/>
      </c>
      <c r="AE576">
        <f>'T_SelfStock'!AC39</f>
        <v/>
      </c>
      <c r="AF576">
        <f>'T_SelfStock'!AD39</f>
        <v/>
      </c>
      <c r="AG576">
        <f>'T_SelfStock'!AE39</f>
        <v/>
      </c>
      <c r="AH576">
        <f>'T_SelfStock'!AF39</f>
        <v/>
      </c>
      <c r="AI576">
        <f>'T_SelfStock'!AG39</f>
        <v/>
      </c>
      <c r="AJ576">
        <f>'T_SelfStock'!AH39</f>
        <v/>
      </c>
      <c r="AK576">
        <f>'T_SelfStock'!AI39</f>
        <v/>
      </c>
      <c r="AL576">
        <f>'T_SelfStock'!AJ39</f>
        <v/>
      </c>
      <c r="AM576">
        <f>'T_SelfStock'!AK39</f>
        <v/>
      </c>
      <c r="AN576">
        <f>'T_SelfStock'!AL39</f>
        <v/>
      </c>
      <c r="AO576">
        <f>'T_SelfStock'!AM39</f>
        <v/>
      </c>
      <c r="AP576">
        <f>'T_SelfStock'!AN39</f>
        <v/>
      </c>
      <c r="AQ576">
        <f>'T_SelfStock'!AO39</f>
        <v/>
      </c>
      <c r="AR576">
        <f>'T_SelfStock'!AP39</f>
        <v/>
      </c>
      <c r="AS576">
        <f>'T_SelfStock'!AQ39</f>
        <v/>
      </c>
      <c r="AT576">
        <f>'T_SelfStock'!AR39</f>
        <v/>
      </c>
      <c r="AU576">
        <f>'T_SelfStock'!AS39</f>
        <v/>
      </c>
      <c r="AV576">
        <f>'T_SelfStock'!AT39</f>
        <v/>
      </c>
      <c r="AW576">
        <f>'T_SelfStock'!AU39</f>
        <v/>
      </c>
      <c r="AX576">
        <f>'T_SelfStock'!AV39</f>
        <v/>
      </c>
      <c r="AY576">
        <f>'T_SelfStock'!AW39</f>
        <v/>
      </c>
      <c r="AZ576">
        <f>'T_SelfStock'!AX39</f>
        <v/>
      </c>
      <c r="BA576">
        <f>'T_SelfStock'!AY39</f>
        <v/>
      </c>
      <c r="BB576">
        <f>'T_SelfStock'!AZ39</f>
        <v/>
      </c>
      <c r="BC576">
        <f>'T_SelfStock'!BA39</f>
        <v/>
      </c>
      <c r="BD576">
        <f>'T_SelfStock'!BB39</f>
        <v/>
      </c>
      <c r="BE576">
        <f>'T_SelfStock'!BC39</f>
        <v/>
      </c>
      <c r="BF576">
        <f>'T_SelfStock'!BD39</f>
        <v/>
      </c>
      <c r="BG576">
        <f>'T_SelfStock'!BE39</f>
        <v/>
      </c>
      <c r="BH576">
        <f>'T_SelfStock'!BF39</f>
        <v/>
      </c>
      <c r="BI576">
        <f>'T_SelfStock'!BG39</f>
        <v/>
      </c>
      <c r="BJ576">
        <f>'T_SelfStock'!BH39</f>
        <v/>
      </c>
      <c r="BK576">
        <f>'T_SelfStock'!BI39</f>
        <v/>
      </c>
      <c r="BL576">
        <f>'T_SelfStock'!BJ39</f>
        <v/>
      </c>
      <c r="BM576">
        <f>'T_SelfStock'!BK39</f>
        <v/>
      </c>
      <c r="BN576">
        <f>'T_SelfStock'!BL39</f>
        <v/>
      </c>
      <c r="BO576">
        <f>'T_SelfStock'!BM39</f>
        <v/>
      </c>
      <c r="BP576">
        <f>'T_SelfStock'!BN39</f>
        <v/>
      </c>
      <c r="BQ576">
        <f>'T_SelfStock'!BO39</f>
        <v/>
      </c>
      <c r="BR576">
        <f>'T_SelfStock'!BP39</f>
        <v/>
      </c>
      <c r="BS576">
        <f>'T_SelfStock'!BQ39</f>
        <v/>
      </c>
      <c r="BT576">
        <f>'T_SelfStock'!BR39</f>
        <v/>
      </c>
      <c r="BU576">
        <f>'T_SelfStock'!BS39</f>
        <v/>
      </c>
      <c r="BV576">
        <f>'T_SelfStock'!BT39</f>
        <v/>
      </c>
      <c r="BW576">
        <f>'T_SelfStock'!BU39</f>
        <v/>
      </c>
      <c r="BX576">
        <f>'T_SelfStock'!BV39</f>
        <v/>
      </c>
      <c r="BY576">
        <f>'T_SelfStock'!BW39</f>
        <v/>
      </c>
      <c r="BZ576">
        <f>'T_SelfStock'!BX39</f>
        <v/>
      </c>
      <c r="CA576">
        <f>'T_SelfStock'!BY39</f>
        <v/>
      </c>
      <c r="CB576">
        <f>'T_SelfStock'!BZ39</f>
        <v/>
      </c>
      <c r="CC576">
        <f>'T_SelfStock'!CA39</f>
        <v/>
      </c>
      <c r="CD576">
        <f>'T_SelfStock'!CB39</f>
        <v/>
      </c>
      <c r="CE576">
        <f>'T_SelfStock'!CC39</f>
        <v/>
      </c>
      <c r="CF576">
        <f>'T_SelfStock'!CD39</f>
        <v/>
      </c>
      <c r="CG576">
        <f>'T_SelfStock'!CE39</f>
        <v/>
      </c>
      <c r="CH576">
        <f>'T_SelfStock'!CF39</f>
        <v/>
      </c>
      <c r="CI576">
        <f>'T_SelfStock'!CG39</f>
        <v/>
      </c>
      <c r="CJ576">
        <f>'T_SelfStock'!CH39</f>
        <v/>
      </c>
      <c r="CK576">
        <f>'T_SelfStock'!CI39</f>
        <v/>
      </c>
      <c r="CL576">
        <f>'T_SelfStock'!CJ39</f>
        <v/>
      </c>
      <c r="CM576">
        <f>'T_SelfStock'!CK39</f>
        <v/>
      </c>
      <c r="CN576">
        <f>'T_SelfStock'!CL39</f>
        <v/>
      </c>
      <c r="CO576">
        <f>'T_SelfStock'!CM39</f>
        <v/>
      </c>
      <c r="CP576">
        <f>'T_SelfStock'!CN39</f>
        <v/>
      </c>
      <c r="CQ576">
        <f>'T_SelfStock'!CO39</f>
        <v/>
      </c>
      <c r="CR576">
        <f>'T_SelfStock'!CP39</f>
        <v/>
      </c>
      <c r="CS576">
        <f>'T_SelfStock'!CQ39</f>
        <v/>
      </c>
      <c r="CT576">
        <f>'T_SelfStock'!CR39</f>
        <v/>
      </c>
      <c r="CU576">
        <f>'T_SelfStock'!CS39</f>
        <v/>
      </c>
      <c r="CV576">
        <f>'T_SelfStock'!CT39</f>
        <v/>
      </c>
      <c r="CW576">
        <f>'T_SelfStock'!CU39</f>
        <v/>
      </c>
      <c r="CX576">
        <f>'T_SelfStock'!CV39</f>
        <v/>
      </c>
      <c r="CY576">
        <f>'T_SelfStock'!CW39</f>
        <v/>
      </c>
      <c r="CZ576">
        <f>'T_SelfStock'!CX39</f>
        <v/>
      </c>
      <c r="DA576">
        <f>'T_SelfStock'!CY39</f>
        <v/>
      </c>
      <c r="DB576">
        <f>'T_SelfStock'!CZ39</f>
        <v/>
      </c>
      <c r="DC576">
        <f>'T_SelfStock'!DA39</f>
        <v/>
      </c>
    </row>
    <row r="577">
      <c r="B577" s="4" t="inlineStr">
        <is>
          <t>合計在庫(週末時点,kg)</t>
        </is>
      </c>
      <c r="D577">
        <f>'Grid_Stock'!B35</f>
        <v/>
      </c>
      <c r="E577">
        <f>'Grid_Stock'!C35</f>
        <v/>
      </c>
      <c r="F577">
        <f>'Grid_Stock'!D35</f>
        <v/>
      </c>
      <c r="G577">
        <f>'Grid_Stock'!E35</f>
        <v/>
      </c>
      <c r="H577">
        <f>'Grid_Stock'!F35</f>
        <v/>
      </c>
      <c r="I577">
        <f>'Grid_Stock'!G35</f>
        <v/>
      </c>
      <c r="J577">
        <f>'Grid_Stock'!H35</f>
        <v/>
      </c>
      <c r="K577">
        <f>'Grid_Stock'!I35</f>
        <v/>
      </c>
      <c r="L577">
        <f>'Grid_Stock'!J35</f>
        <v/>
      </c>
      <c r="M577">
        <f>'Grid_Stock'!K35</f>
        <v/>
      </c>
      <c r="N577">
        <f>'Grid_Stock'!L35</f>
        <v/>
      </c>
      <c r="O577">
        <f>'Grid_Stock'!M35</f>
        <v/>
      </c>
      <c r="P577">
        <f>'Grid_Stock'!N35</f>
        <v/>
      </c>
      <c r="Q577">
        <f>'Grid_Stock'!O35</f>
        <v/>
      </c>
      <c r="R577">
        <f>'Grid_Stock'!P35</f>
        <v/>
      </c>
      <c r="S577">
        <f>'Grid_Stock'!Q35</f>
        <v/>
      </c>
      <c r="T577">
        <f>'Grid_Stock'!R35</f>
        <v/>
      </c>
      <c r="U577">
        <f>'Grid_Stock'!S35</f>
        <v/>
      </c>
      <c r="V577">
        <f>'Grid_Stock'!T35</f>
        <v/>
      </c>
      <c r="W577">
        <f>'Grid_Stock'!U35</f>
        <v/>
      </c>
      <c r="X577">
        <f>'Grid_Stock'!V35</f>
        <v/>
      </c>
      <c r="Y577">
        <f>'Grid_Stock'!W35</f>
        <v/>
      </c>
      <c r="Z577">
        <f>'Grid_Stock'!X35</f>
        <v/>
      </c>
      <c r="AA577">
        <f>'Grid_Stock'!Y35</f>
        <v/>
      </c>
      <c r="AB577">
        <f>'Grid_Stock'!Z35</f>
        <v/>
      </c>
      <c r="AC577">
        <f>'Grid_Stock'!AA35</f>
        <v/>
      </c>
      <c r="AD577">
        <f>'Grid_Stock'!AB35</f>
        <v/>
      </c>
      <c r="AE577">
        <f>'Grid_Stock'!AC35</f>
        <v/>
      </c>
      <c r="AF577">
        <f>'Grid_Stock'!AD35</f>
        <v/>
      </c>
      <c r="AG577">
        <f>'Grid_Stock'!AE35</f>
        <v/>
      </c>
      <c r="AH577">
        <f>'Grid_Stock'!AF35</f>
        <v/>
      </c>
      <c r="AI577">
        <f>'Grid_Stock'!AG35</f>
        <v/>
      </c>
      <c r="AJ577">
        <f>'Grid_Stock'!AH35</f>
        <v/>
      </c>
      <c r="AK577">
        <f>'Grid_Stock'!AI35</f>
        <v/>
      </c>
      <c r="AL577">
        <f>'Grid_Stock'!AJ35</f>
        <v/>
      </c>
      <c r="AM577">
        <f>'Grid_Stock'!AK35</f>
        <v/>
      </c>
      <c r="AN577">
        <f>'Grid_Stock'!AL35</f>
        <v/>
      </c>
      <c r="AO577">
        <f>'Grid_Stock'!AM35</f>
        <v/>
      </c>
      <c r="AP577">
        <f>'Grid_Stock'!AN35</f>
        <v/>
      </c>
      <c r="AQ577">
        <f>'Grid_Stock'!AO35</f>
        <v/>
      </c>
      <c r="AR577">
        <f>'Grid_Stock'!AP35</f>
        <v/>
      </c>
      <c r="AS577">
        <f>'Grid_Stock'!AQ35</f>
        <v/>
      </c>
      <c r="AT577">
        <f>'Grid_Stock'!AR35</f>
        <v/>
      </c>
      <c r="AU577">
        <f>'Grid_Stock'!AS35</f>
        <v/>
      </c>
      <c r="AV577">
        <f>'Grid_Stock'!AT35</f>
        <v/>
      </c>
      <c r="AW577">
        <f>'Grid_Stock'!AU35</f>
        <v/>
      </c>
      <c r="AX577">
        <f>'Grid_Stock'!AV35</f>
        <v/>
      </c>
      <c r="AY577">
        <f>'Grid_Stock'!AW35</f>
        <v/>
      </c>
      <c r="AZ577">
        <f>'Grid_Stock'!AX35</f>
        <v/>
      </c>
      <c r="BA577">
        <f>'Grid_Stock'!AY35</f>
        <v/>
      </c>
      <c r="BB577">
        <f>'Grid_Stock'!AZ35</f>
        <v/>
      </c>
      <c r="BC577">
        <f>'Grid_Stock'!BA35</f>
        <v/>
      </c>
      <c r="BD577">
        <f>'Grid_Stock'!BB35</f>
        <v/>
      </c>
      <c r="BE577">
        <f>'Grid_Stock'!BC35</f>
        <v/>
      </c>
      <c r="BF577">
        <f>'Grid_Stock'!BD35</f>
        <v/>
      </c>
      <c r="BG577">
        <f>'Grid_Stock'!BE35</f>
        <v/>
      </c>
      <c r="BH577">
        <f>'Grid_Stock'!BF35</f>
        <v/>
      </c>
      <c r="BI577">
        <f>'Grid_Stock'!BG35</f>
        <v/>
      </c>
      <c r="BJ577">
        <f>'Grid_Stock'!BH35</f>
        <v/>
      </c>
      <c r="BK577">
        <f>'Grid_Stock'!BI35</f>
        <v/>
      </c>
      <c r="BL577">
        <f>'Grid_Stock'!BJ35</f>
        <v/>
      </c>
      <c r="BM577">
        <f>'Grid_Stock'!BK35</f>
        <v/>
      </c>
      <c r="BN577">
        <f>'Grid_Stock'!BL35</f>
        <v/>
      </c>
      <c r="BO577">
        <f>'Grid_Stock'!BM35</f>
        <v/>
      </c>
      <c r="BP577">
        <f>'Grid_Stock'!BN35</f>
        <v/>
      </c>
      <c r="BQ577">
        <f>'Grid_Stock'!BO35</f>
        <v/>
      </c>
      <c r="BR577">
        <f>'Grid_Stock'!BP35</f>
        <v/>
      </c>
      <c r="BS577">
        <f>'Grid_Stock'!BQ35</f>
        <v/>
      </c>
      <c r="BT577">
        <f>'Grid_Stock'!BR35</f>
        <v/>
      </c>
      <c r="BU577">
        <f>'Grid_Stock'!BS35</f>
        <v/>
      </c>
      <c r="BV577">
        <f>'Grid_Stock'!BT35</f>
        <v/>
      </c>
      <c r="BW577">
        <f>'Grid_Stock'!BU35</f>
        <v/>
      </c>
      <c r="BX577">
        <f>'Grid_Stock'!BV35</f>
        <v/>
      </c>
      <c r="BY577">
        <f>'Grid_Stock'!BW35</f>
        <v/>
      </c>
      <c r="BZ577">
        <f>'Grid_Stock'!BX35</f>
        <v/>
      </c>
      <c r="CA577">
        <f>'Grid_Stock'!BY35</f>
        <v/>
      </c>
      <c r="CB577">
        <f>'Grid_Stock'!BZ35</f>
        <v/>
      </c>
      <c r="CC577">
        <f>'Grid_Stock'!CA35</f>
        <v/>
      </c>
      <c r="CD577">
        <f>'Grid_Stock'!CB35</f>
        <v/>
      </c>
      <c r="CE577">
        <f>'Grid_Stock'!CC35</f>
        <v/>
      </c>
      <c r="CF577">
        <f>'Grid_Stock'!CD35</f>
        <v/>
      </c>
      <c r="CG577">
        <f>'Grid_Stock'!CE35</f>
        <v/>
      </c>
      <c r="CH577">
        <f>'Grid_Stock'!CF35</f>
        <v/>
      </c>
      <c r="CI577">
        <f>'Grid_Stock'!CG35</f>
        <v/>
      </c>
      <c r="CJ577">
        <f>'Grid_Stock'!CH35</f>
        <v/>
      </c>
      <c r="CK577">
        <f>'Grid_Stock'!CI35</f>
        <v/>
      </c>
      <c r="CL577">
        <f>'Grid_Stock'!CJ35</f>
        <v/>
      </c>
      <c r="CM577">
        <f>'Grid_Stock'!CK35</f>
        <v/>
      </c>
      <c r="CN577">
        <f>'Grid_Stock'!CL35</f>
        <v/>
      </c>
      <c r="CO577">
        <f>'Grid_Stock'!CM35</f>
        <v/>
      </c>
      <c r="CP577">
        <f>'Grid_Stock'!CN35</f>
        <v/>
      </c>
      <c r="CQ577">
        <f>'Grid_Stock'!CO35</f>
        <v/>
      </c>
      <c r="CR577">
        <f>'Grid_Stock'!CP35</f>
        <v/>
      </c>
      <c r="CS577">
        <f>'Grid_Stock'!CQ35</f>
        <v/>
      </c>
      <c r="CT577">
        <f>'Grid_Stock'!CR35</f>
        <v/>
      </c>
      <c r="CU577">
        <f>'Grid_Stock'!CS35</f>
        <v/>
      </c>
      <c r="CV577">
        <f>'Grid_Stock'!CT35</f>
        <v/>
      </c>
      <c r="CW577">
        <f>'Grid_Stock'!CU35</f>
        <v/>
      </c>
      <c r="CX577">
        <f>'Grid_Stock'!CV35</f>
        <v/>
      </c>
      <c r="CY577">
        <f>'Grid_Stock'!CW35</f>
        <v/>
      </c>
      <c r="CZ577">
        <f>'Grid_Stock'!CX35</f>
        <v/>
      </c>
      <c r="DA577">
        <f>'Grid_Stock'!CY35</f>
        <v/>
      </c>
      <c r="DB577">
        <f>'Grid_Stock'!CZ35</f>
        <v/>
      </c>
      <c r="DC577">
        <f>'Grid_Stock'!DA35</f>
        <v/>
      </c>
    </row>
    <row r="578">
      <c r="B578" s="16" t="inlineStr">
        <is>
          <t>（発注の目安はDashboardの基準在庫[下限/上限]と色分けを参照）</t>
        </is>
      </c>
    </row>
    <row r="580">
      <c r="A580" s="14" t="inlineStr">
        <is>
          <t>0JN</t>
        </is>
      </c>
      <c r="B580" s="14" t="inlineStr">
        <is>
          <t>N30S/10 : 11R-11 (F2090) Poland</t>
        </is>
      </c>
      <c r="C580" s="15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  <c r="AA580" s="14" t="n"/>
      <c r="AB580" s="14" t="n"/>
      <c r="AC580" s="14" t="n"/>
      <c r="AD580" s="14" t="n"/>
      <c r="AE580" s="14" t="n"/>
      <c r="AF580" s="14" t="n"/>
      <c r="AG580" s="14" t="n"/>
      <c r="AH580" s="14" t="n"/>
      <c r="AI580" s="14" t="n"/>
      <c r="AJ580" s="14" t="n"/>
      <c r="AK580" s="14" t="n"/>
      <c r="AL580" s="14" t="n"/>
      <c r="AM580" s="14" t="n"/>
      <c r="AN580" s="14" t="n"/>
      <c r="AO580" s="14" t="n"/>
      <c r="AP580" s="14" t="n"/>
      <c r="AQ580" s="14" t="n"/>
      <c r="AR580" s="14" t="n"/>
      <c r="AS580" s="14" t="n"/>
      <c r="AT580" s="14" t="n"/>
      <c r="AU580" s="14" t="n"/>
      <c r="AV580" s="14" t="n"/>
      <c r="AW580" s="14" t="n"/>
      <c r="AX580" s="14" t="n"/>
      <c r="AY580" s="14" t="n"/>
      <c r="AZ580" s="14" t="n"/>
      <c r="BA580" s="14" t="n"/>
      <c r="BB580" s="14" t="n"/>
      <c r="BC580" s="14" t="n"/>
      <c r="BD580" s="14" t="n"/>
      <c r="BE580" s="14" t="n"/>
      <c r="BF580" s="14" t="n"/>
      <c r="BG580" s="14" t="n"/>
      <c r="BH580" s="14" t="n"/>
      <c r="BI580" s="14" t="n"/>
      <c r="BJ580" s="14" t="n"/>
      <c r="BK580" s="14" t="n"/>
      <c r="BL580" s="14" t="n"/>
      <c r="BM580" s="14" t="n"/>
      <c r="BN580" s="14" t="n"/>
      <c r="BO580" s="14" t="n"/>
      <c r="BP580" s="14" t="n"/>
      <c r="BQ580" s="14" t="n"/>
      <c r="BR580" s="14" t="n"/>
      <c r="BS580" s="14" t="n"/>
      <c r="BT580" s="14" t="n"/>
      <c r="BU580" s="14" t="n"/>
      <c r="BV580" s="14" t="n"/>
      <c r="BW580" s="14" t="n"/>
      <c r="BX580" s="14" t="n"/>
      <c r="BY580" s="14" t="n"/>
      <c r="BZ580" s="14" t="n"/>
      <c r="CA580" s="14" t="n"/>
      <c r="CB580" s="14" t="n"/>
      <c r="CC580" s="14" t="n"/>
      <c r="CD580" s="14" t="n"/>
      <c r="CE580" s="14" t="n"/>
      <c r="CF580" s="14" t="n"/>
      <c r="CG580" s="14" t="n"/>
      <c r="CH580" s="14" t="n"/>
      <c r="CI580" s="14" t="n"/>
      <c r="CJ580" s="14" t="n"/>
      <c r="CK580" s="14" t="n"/>
      <c r="CL580" s="14" t="n"/>
      <c r="CM580" s="14" t="n"/>
      <c r="CN580" s="14" t="n"/>
      <c r="CO580" s="14" t="n"/>
      <c r="CP580" s="14" t="n"/>
      <c r="CQ580" s="14" t="n"/>
      <c r="CR580" s="14" t="n"/>
      <c r="CS580" s="14" t="n"/>
      <c r="CT580" s="14" t="n"/>
      <c r="CU580" s="14" t="n"/>
      <c r="CV580" s="14" t="n"/>
      <c r="CW580" s="14" t="n"/>
      <c r="CX580" s="14" t="n"/>
      <c r="CY580" s="14" t="n"/>
      <c r="CZ580" s="14" t="n"/>
      <c r="DA580" s="14" t="n"/>
      <c r="DB580" s="14" t="n"/>
      <c r="DC580" s="14" t="n"/>
    </row>
    <row r="581">
      <c r="B581" t="inlineStr">
        <is>
          <t>TSP-219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7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Name],$A580)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TVS-833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7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Name],$A580)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TSP-1449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7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Name],$A580)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VSP-600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7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Name],$A580)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VSP-601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7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Name],$A580)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VSP-603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7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Name],$A580)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t="inlineStr">
        <is>
          <t>VSP-604</t>
        </is>
      </c>
      <c r="C593" t="inlineStr">
        <is>
          <t>No. of batches</t>
        </is>
      </c>
      <c r="D593">
        <f>IFERROR(INDEX(PP_Grid[#Data],$DD593,2),0)</f>
        <v/>
      </c>
      <c r="E593">
        <f>IFERROR(INDEX(PP_Grid[#Data],$DD593,3),0)</f>
        <v/>
      </c>
      <c r="F593">
        <f>IFERROR(INDEX(PP_Grid[#Data],$DD593,4),0)</f>
        <v/>
      </c>
      <c r="G593">
        <f>IFERROR(INDEX(PP_Grid[#Data],$DD593,5),0)</f>
        <v/>
      </c>
      <c r="H593">
        <f>IFERROR(INDEX(PP_Grid[#Data],$DD593,6),0)</f>
        <v/>
      </c>
      <c r="I593">
        <f>IFERROR(INDEX(PP_Grid[#Data],$DD593,7),0)</f>
        <v/>
      </c>
      <c r="J593">
        <f>IFERROR(INDEX(PP_Grid[#Data],$DD593,8),0)</f>
        <v/>
      </c>
      <c r="K593">
        <f>IFERROR(INDEX(PP_Grid[#Data],$DD593,9),0)</f>
        <v/>
      </c>
      <c r="L593">
        <f>IFERROR(INDEX(PP_Grid[#Data],$DD593,10),0)</f>
        <v/>
      </c>
      <c r="M593">
        <f>IFERROR(INDEX(PP_Grid[#Data],$DD593,11),0)</f>
        <v/>
      </c>
      <c r="N593">
        <f>IFERROR(INDEX(PP_Grid[#Data],$DD593,12),0)</f>
        <v/>
      </c>
      <c r="O593">
        <f>IFERROR(INDEX(PP_Grid[#Data],$DD593,13),0)</f>
        <v/>
      </c>
      <c r="P593">
        <f>IFERROR(INDEX(PP_Grid[#Data],$DD593,14),0)</f>
        <v/>
      </c>
      <c r="Q593">
        <f>IFERROR(INDEX(PP_Grid[#Data],$DD593,15),0)</f>
        <v/>
      </c>
      <c r="R593">
        <f>IFERROR(INDEX(PP_Grid[#Data],$DD593,16),0)</f>
        <v/>
      </c>
      <c r="S593">
        <f>IFERROR(INDEX(PP_Grid[#Data],$DD593,17),0)</f>
        <v/>
      </c>
      <c r="T593">
        <f>IFERROR(INDEX(PP_Grid[#Data],$DD593,18),0)</f>
        <v/>
      </c>
      <c r="U593">
        <f>IFERROR(INDEX(PP_Grid[#Data],$DD593,19),0)</f>
        <v/>
      </c>
      <c r="V593">
        <f>IFERROR(INDEX(PP_Grid[#Data],$DD593,20),0)</f>
        <v/>
      </c>
      <c r="W593">
        <f>IFERROR(INDEX(PP_Grid[#Data],$DD593,21),0)</f>
        <v/>
      </c>
      <c r="X593">
        <f>IFERROR(INDEX(PP_Grid[#Data],$DD593,22),0)</f>
        <v/>
      </c>
      <c r="Y593">
        <f>IFERROR(INDEX(PP_Grid[#Data],$DD593,23),0)</f>
        <v/>
      </c>
      <c r="Z593">
        <f>IFERROR(INDEX(PP_Grid[#Data],$DD593,24),0)</f>
        <v/>
      </c>
      <c r="AA593">
        <f>IFERROR(INDEX(PP_Grid[#Data],$DD593,25),0)</f>
        <v/>
      </c>
      <c r="AB593">
        <f>IFERROR(INDEX(PP_Grid[#Data],$DD593,26),0)</f>
        <v/>
      </c>
      <c r="AC593">
        <f>IFERROR(INDEX(PP_Grid[#Data],$DD593,27),0)</f>
        <v/>
      </c>
      <c r="AD593">
        <f>IFERROR(INDEX(PP_Grid[#Data],$DD593,28),0)</f>
        <v/>
      </c>
      <c r="AE593">
        <f>IFERROR(INDEX(PP_Grid[#Data],$DD593,29),0)</f>
        <v/>
      </c>
      <c r="AF593">
        <f>IFERROR(INDEX(PP_Grid[#Data],$DD593,30),0)</f>
        <v/>
      </c>
      <c r="AG593">
        <f>IFERROR(INDEX(PP_Grid[#Data],$DD593,31),0)</f>
        <v/>
      </c>
      <c r="AH593">
        <f>IFERROR(INDEX(PP_Grid[#Data],$DD593,32),0)</f>
        <v/>
      </c>
      <c r="AI593">
        <f>IFERROR(INDEX(PP_Grid[#Data],$DD593,33),0)</f>
        <v/>
      </c>
      <c r="AJ593">
        <f>IFERROR(INDEX(PP_Grid[#Data],$DD593,34),0)</f>
        <v/>
      </c>
      <c r="AK593">
        <f>IFERROR(INDEX(PP_Grid[#Data],$DD593,35),0)</f>
        <v/>
      </c>
      <c r="AL593">
        <f>IFERROR(INDEX(PP_Grid[#Data],$DD593,36),0)</f>
        <v/>
      </c>
      <c r="AM593">
        <f>IFERROR(INDEX(PP_Grid[#Data],$DD593,37),0)</f>
        <v/>
      </c>
      <c r="AN593">
        <f>IFERROR(INDEX(PP_Grid[#Data],$DD593,38),0)</f>
        <v/>
      </c>
      <c r="AO593">
        <f>IFERROR(INDEX(PP_Grid[#Data],$DD593,39),0)</f>
        <v/>
      </c>
      <c r="AP593">
        <f>IFERROR(INDEX(PP_Grid[#Data],$DD593,40),0)</f>
        <v/>
      </c>
      <c r="AQ593">
        <f>IFERROR(INDEX(PP_Grid[#Data],$DD593,41),0)</f>
        <v/>
      </c>
      <c r="AR593">
        <f>IFERROR(INDEX(PP_Grid[#Data],$DD593,42),0)</f>
        <v/>
      </c>
      <c r="AS593">
        <f>IFERROR(INDEX(PP_Grid[#Data],$DD593,43),0)</f>
        <v/>
      </c>
      <c r="AT593">
        <f>IFERROR(INDEX(PP_Grid[#Data],$DD593,44),0)</f>
        <v/>
      </c>
      <c r="AU593">
        <f>IFERROR(INDEX(PP_Grid[#Data],$DD593,45),0)</f>
        <v/>
      </c>
      <c r="AV593">
        <f>IFERROR(INDEX(PP_Grid[#Data],$DD593,46),0)</f>
        <v/>
      </c>
      <c r="AW593">
        <f>IFERROR(INDEX(PP_Grid[#Data],$DD593,47),0)</f>
        <v/>
      </c>
      <c r="AX593">
        <f>IFERROR(INDEX(PP_Grid[#Data],$DD593,48),0)</f>
        <v/>
      </c>
      <c r="AY593">
        <f>IFERROR(INDEX(PP_Grid[#Data],$DD593,49),0)</f>
        <v/>
      </c>
      <c r="AZ593">
        <f>IFERROR(INDEX(PP_Grid[#Data],$DD593,50),0)</f>
        <v/>
      </c>
      <c r="BA593">
        <f>IFERROR(INDEX(PP_Grid[#Data],$DD593,51),0)</f>
        <v/>
      </c>
      <c r="BB593">
        <f>IFERROR(INDEX(PP_Grid[#Data],$DD593,52),0)</f>
        <v/>
      </c>
      <c r="BC593">
        <f>IFERROR(INDEX(PP_Grid[#Data],$DD593,53),0)</f>
        <v/>
      </c>
      <c r="BD593">
        <f>IFERROR(INDEX(PP_Grid[#Data],$DD593,54),0)</f>
        <v/>
      </c>
      <c r="BE593">
        <f>IFERROR(INDEX(PP_Grid[#Data],$DD593,55),0)</f>
        <v/>
      </c>
      <c r="BF593">
        <f>IFERROR(INDEX(PP_Grid[#Data],$DD593,56),0)</f>
        <v/>
      </c>
      <c r="BG593">
        <f>IFERROR(INDEX(PP_Grid[#Data],$DD593,57),0)</f>
        <v/>
      </c>
      <c r="BH593">
        <f>IFERROR(INDEX(PP_Grid[#Data],$DD593,58),0)</f>
        <v/>
      </c>
      <c r="BI593">
        <f>IFERROR(INDEX(PP_Grid[#Data],$DD593,59),0)</f>
        <v/>
      </c>
      <c r="BJ593">
        <f>IFERROR(INDEX(PP_Grid[#Data],$DD593,60),0)</f>
        <v/>
      </c>
      <c r="BK593">
        <f>IFERROR(INDEX(PP_Grid[#Data],$DD593,61),0)</f>
        <v/>
      </c>
      <c r="BL593">
        <f>IFERROR(INDEX(PP_Grid[#Data],$DD593,62),0)</f>
        <v/>
      </c>
      <c r="BM593">
        <f>IFERROR(INDEX(PP_Grid[#Data],$DD593,63),0)</f>
        <v/>
      </c>
      <c r="BN593">
        <f>IFERROR(INDEX(PP_Grid[#Data],$DD593,64),0)</f>
        <v/>
      </c>
      <c r="BO593">
        <f>IFERROR(INDEX(PP_Grid[#Data],$DD593,65),0)</f>
        <v/>
      </c>
      <c r="BP593">
        <f>IFERROR(INDEX(PP_Grid[#Data],$DD593,66),0)</f>
        <v/>
      </c>
      <c r="BQ593">
        <f>IFERROR(INDEX(PP_Grid[#Data],$DD593,67),0)</f>
        <v/>
      </c>
      <c r="BR593">
        <f>IFERROR(INDEX(PP_Grid[#Data],$DD593,68),0)</f>
        <v/>
      </c>
      <c r="BS593">
        <f>IFERROR(INDEX(PP_Grid[#Data],$DD593,69),0)</f>
        <v/>
      </c>
      <c r="BT593">
        <f>IFERROR(INDEX(PP_Grid[#Data],$DD593,70),0)</f>
        <v/>
      </c>
      <c r="BU593">
        <f>IFERROR(INDEX(PP_Grid[#Data],$DD593,71),0)</f>
        <v/>
      </c>
      <c r="BV593">
        <f>IFERROR(INDEX(PP_Grid[#Data],$DD593,72),0)</f>
        <v/>
      </c>
      <c r="BW593">
        <f>IFERROR(INDEX(PP_Grid[#Data],$DD593,73),0)</f>
        <v/>
      </c>
      <c r="BX593">
        <f>IFERROR(INDEX(PP_Grid[#Data],$DD593,74),0)</f>
        <v/>
      </c>
      <c r="BY593">
        <f>IFERROR(INDEX(PP_Grid[#Data],$DD593,75),0)</f>
        <v/>
      </c>
      <c r="BZ593">
        <f>IFERROR(INDEX(PP_Grid[#Data],$DD593,76),0)</f>
        <v/>
      </c>
      <c r="CA593">
        <f>IFERROR(INDEX(PP_Grid[#Data],$DD593,77),0)</f>
        <v/>
      </c>
      <c r="CB593">
        <f>IFERROR(INDEX(PP_Grid[#Data],$DD593,78),0)</f>
        <v/>
      </c>
      <c r="CC593">
        <f>IFERROR(INDEX(PP_Grid[#Data],$DD593,79),0)</f>
        <v/>
      </c>
      <c r="CD593">
        <f>IFERROR(INDEX(PP_Grid[#Data],$DD593,80),0)</f>
        <v/>
      </c>
      <c r="CE593">
        <f>IFERROR(INDEX(PP_Grid[#Data],$DD593,81),0)</f>
        <v/>
      </c>
      <c r="CF593">
        <f>IFERROR(INDEX(PP_Grid[#Data],$DD593,82),0)</f>
        <v/>
      </c>
      <c r="CG593">
        <f>IFERROR(INDEX(PP_Grid[#Data],$DD593,83),0)</f>
        <v/>
      </c>
      <c r="CH593">
        <f>IFERROR(INDEX(PP_Grid[#Data],$DD593,84),0)</f>
        <v/>
      </c>
      <c r="CI593">
        <f>IFERROR(INDEX(PP_Grid[#Data],$DD593,85),0)</f>
        <v/>
      </c>
      <c r="CJ593">
        <f>IFERROR(INDEX(PP_Grid[#Data],$DD593,86),0)</f>
        <v/>
      </c>
      <c r="CK593">
        <f>IFERROR(INDEX(PP_Grid[#Data],$DD593,87),0)</f>
        <v/>
      </c>
      <c r="CL593">
        <f>IFERROR(INDEX(PP_Grid[#Data],$DD593,88),0)</f>
        <v/>
      </c>
      <c r="CM593">
        <f>IFERROR(INDEX(PP_Grid[#Data],$DD593,89),0)</f>
        <v/>
      </c>
      <c r="CN593">
        <f>IFERROR(INDEX(PP_Grid[#Data],$DD593,90),0)</f>
        <v/>
      </c>
      <c r="CO593">
        <f>IFERROR(INDEX(PP_Grid[#Data],$DD593,91),0)</f>
        <v/>
      </c>
      <c r="CP593">
        <f>IFERROR(INDEX(PP_Grid[#Data],$DD593,92),0)</f>
        <v/>
      </c>
      <c r="CQ593">
        <f>IFERROR(INDEX(PP_Grid[#Data],$DD593,93),0)</f>
        <v/>
      </c>
      <c r="CR593">
        <f>IFERROR(INDEX(PP_Grid[#Data],$DD593,94),0)</f>
        <v/>
      </c>
      <c r="CS593">
        <f>IFERROR(INDEX(PP_Grid[#Data],$DD593,95),0)</f>
        <v/>
      </c>
      <c r="CT593">
        <f>IFERROR(INDEX(PP_Grid[#Data],$DD593,96),0)</f>
        <v/>
      </c>
      <c r="CU593">
        <f>IFERROR(INDEX(PP_Grid[#Data],$DD593,97),0)</f>
        <v/>
      </c>
      <c r="CV593">
        <f>IFERROR(INDEX(PP_Grid[#Data],$DD593,98),0)</f>
        <v/>
      </c>
      <c r="CW593">
        <f>IFERROR(INDEX(PP_Grid[#Data],$DD593,99),0)</f>
        <v/>
      </c>
      <c r="CX593">
        <f>IFERROR(INDEX(PP_Grid[#Data],$DD593,100),0)</f>
        <v/>
      </c>
      <c r="CY593">
        <f>IFERROR(INDEX(PP_Grid[#Data],$DD593,101),0)</f>
        <v/>
      </c>
      <c r="CZ593">
        <f>IFERROR(INDEX(PP_Grid[#Data],$DD593,102),0)</f>
        <v/>
      </c>
      <c r="DA593">
        <f>IFERROR(INDEX(PP_Grid[#Data],$DD593,103),0)</f>
        <v/>
      </c>
      <c r="DB593">
        <f>IFERROR(INDEX(PP_Grid[#Data],$DD593,104),0)</f>
        <v/>
      </c>
      <c r="DC593">
        <f>IFERROR(INDEX(PP_Grid[#Data],$DD593,105),0)</f>
        <v/>
      </c>
      <c r="DD593" s="7">
        <f>IFERROR(MATCH($B593,PP_Grid[Intermediate],0),99999)</f>
        <v/>
      </c>
    </row>
    <row r="594">
      <c r="B594" t="inlineStr">
        <is>
          <t>使用量(kg)</t>
        </is>
      </c>
      <c r="C594">
        <f>SUMIFS(M_BOM[RM_Qty_Per_Batch],M_BOM[Intermediate],$B593,M_BOM[Part Name],$A580)</f>
        <v/>
      </c>
      <c r="D594">
        <f>$C594*D593</f>
        <v/>
      </c>
      <c r="E594">
        <f>$C594*E593</f>
        <v/>
      </c>
      <c r="F594">
        <f>$C594*F593</f>
        <v/>
      </c>
      <c r="G594">
        <f>$C594*G593</f>
        <v/>
      </c>
      <c r="H594">
        <f>$C594*H593</f>
        <v/>
      </c>
      <c r="I594">
        <f>$C594*I593</f>
        <v/>
      </c>
      <c r="J594">
        <f>$C594*J593</f>
        <v/>
      </c>
      <c r="K594">
        <f>$C594*K593</f>
        <v/>
      </c>
      <c r="L594">
        <f>$C594*L593</f>
        <v/>
      </c>
      <c r="M594">
        <f>$C594*M593</f>
        <v/>
      </c>
      <c r="N594">
        <f>$C594*N593</f>
        <v/>
      </c>
      <c r="O594">
        <f>$C594*O593</f>
        <v/>
      </c>
      <c r="P594">
        <f>$C594*P593</f>
        <v/>
      </c>
      <c r="Q594">
        <f>$C594*Q593</f>
        <v/>
      </c>
      <c r="R594">
        <f>$C594*R593</f>
        <v/>
      </c>
      <c r="S594">
        <f>$C594*S593</f>
        <v/>
      </c>
      <c r="T594">
        <f>$C594*T593</f>
        <v/>
      </c>
      <c r="U594">
        <f>$C594*U593</f>
        <v/>
      </c>
      <c r="V594">
        <f>$C594*V593</f>
        <v/>
      </c>
      <c r="W594">
        <f>$C594*W593</f>
        <v/>
      </c>
      <c r="X594">
        <f>$C594*X593</f>
        <v/>
      </c>
      <c r="Y594">
        <f>$C594*Y593</f>
        <v/>
      </c>
      <c r="Z594">
        <f>$C594*Z593</f>
        <v/>
      </c>
      <c r="AA594">
        <f>$C594*AA593</f>
        <v/>
      </c>
      <c r="AB594">
        <f>$C594*AB593</f>
        <v/>
      </c>
      <c r="AC594">
        <f>$C594*AC593</f>
        <v/>
      </c>
      <c r="AD594">
        <f>$C594*AD593</f>
        <v/>
      </c>
      <c r="AE594">
        <f>$C594*AE593</f>
        <v/>
      </c>
      <c r="AF594">
        <f>$C594*AF593</f>
        <v/>
      </c>
      <c r="AG594">
        <f>$C594*AG593</f>
        <v/>
      </c>
      <c r="AH594">
        <f>$C594*AH593</f>
        <v/>
      </c>
      <c r="AI594">
        <f>$C594*AI593</f>
        <v/>
      </c>
      <c r="AJ594">
        <f>$C594*AJ593</f>
        <v/>
      </c>
      <c r="AK594">
        <f>$C594*AK593</f>
        <v/>
      </c>
      <c r="AL594">
        <f>$C594*AL593</f>
        <v/>
      </c>
      <c r="AM594">
        <f>$C594*AM593</f>
        <v/>
      </c>
      <c r="AN594">
        <f>$C594*AN593</f>
        <v/>
      </c>
      <c r="AO594">
        <f>$C594*AO593</f>
        <v/>
      </c>
      <c r="AP594">
        <f>$C594*AP593</f>
        <v/>
      </c>
      <c r="AQ594">
        <f>$C594*AQ593</f>
        <v/>
      </c>
      <c r="AR594">
        <f>$C594*AR593</f>
        <v/>
      </c>
      <c r="AS594">
        <f>$C594*AS593</f>
        <v/>
      </c>
      <c r="AT594">
        <f>$C594*AT593</f>
        <v/>
      </c>
      <c r="AU594">
        <f>$C594*AU593</f>
        <v/>
      </c>
      <c r="AV594">
        <f>$C594*AV593</f>
        <v/>
      </c>
      <c r="AW594">
        <f>$C594*AW593</f>
        <v/>
      </c>
      <c r="AX594">
        <f>$C594*AX593</f>
        <v/>
      </c>
      <c r="AY594">
        <f>$C594*AY593</f>
        <v/>
      </c>
      <c r="AZ594">
        <f>$C594*AZ593</f>
        <v/>
      </c>
      <c r="BA594">
        <f>$C594*BA593</f>
        <v/>
      </c>
      <c r="BB594">
        <f>$C594*BB593</f>
        <v/>
      </c>
      <c r="BC594">
        <f>$C594*BC593</f>
        <v/>
      </c>
      <c r="BD594">
        <f>$C594*BD593</f>
        <v/>
      </c>
      <c r="BE594">
        <f>$C594*BE593</f>
        <v/>
      </c>
      <c r="BF594">
        <f>$C594*BF593</f>
        <v/>
      </c>
      <c r="BG594">
        <f>$C594*BG593</f>
        <v/>
      </c>
      <c r="BH594">
        <f>$C594*BH593</f>
        <v/>
      </c>
      <c r="BI594">
        <f>$C594*BI593</f>
        <v/>
      </c>
      <c r="BJ594">
        <f>$C594*BJ593</f>
        <v/>
      </c>
      <c r="BK594">
        <f>$C594*BK593</f>
        <v/>
      </c>
      <c r="BL594">
        <f>$C594*BL593</f>
        <v/>
      </c>
      <c r="BM594">
        <f>$C594*BM593</f>
        <v/>
      </c>
      <c r="BN594">
        <f>$C594*BN593</f>
        <v/>
      </c>
      <c r="BO594">
        <f>$C594*BO593</f>
        <v/>
      </c>
      <c r="BP594">
        <f>$C594*BP593</f>
        <v/>
      </c>
      <c r="BQ594">
        <f>$C594*BQ593</f>
        <v/>
      </c>
      <c r="BR594">
        <f>$C594*BR593</f>
        <v/>
      </c>
      <c r="BS594">
        <f>$C594*BS593</f>
        <v/>
      </c>
      <c r="BT594">
        <f>$C594*BT593</f>
        <v/>
      </c>
      <c r="BU594">
        <f>$C594*BU593</f>
        <v/>
      </c>
      <c r="BV594">
        <f>$C594*BV593</f>
        <v/>
      </c>
      <c r="BW594">
        <f>$C594*BW593</f>
        <v/>
      </c>
      <c r="BX594">
        <f>$C594*BX593</f>
        <v/>
      </c>
      <c r="BY594">
        <f>$C594*BY593</f>
        <v/>
      </c>
      <c r="BZ594">
        <f>$C594*BZ593</f>
        <v/>
      </c>
      <c r="CA594">
        <f>$C594*CA593</f>
        <v/>
      </c>
      <c r="CB594">
        <f>$C594*CB593</f>
        <v/>
      </c>
      <c r="CC594">
        <f>$C594*CC593</f>
        <v/>
      </c>
      <c r="CD594">
        <f>$C594*CD593</f>
        <v/>
      </c>
      <c r="CE594">
        <f>$C594*CE593</f>
        <v/>
      </c>
      <c r="CF594">
        <f>$C594*CF593</f>
        <v/>
      </c>
      <c r="CG594">
        <f>$C594*CG593</f>
        <v/>
      </c>
      <c r="CH594">
        <f>$C594*CH593</f>
        <v/>
      </c>
      <c r="CI594">
        <f>$C594*CI593</f>
        <v/>
      </c>
      <c r="CJ594">
        <f>$C594*CJ593</f>
        <v/>
      </c>
      <c r="CK594">
        <f>$C594*CK593</f>
        <v/>
      </c>
      <c r="CL594">
        <f>$C594*CL593</f>
        <v/>
      </c>
      <c r="CM594">
        <f>$C594*CM593</f>
        <v/>
      </c>
      <c r="CN594">
        <f>$C594*CN593</f>
        <v/>
      </c>
      <c r="CO594">
        <f>$C594*CO593</f>
        <v/>
      </c>
      <c r="CP594">
        <f>$C594*CP593</f>
        <v/>
      </c>
      <c r="CQ594">
        <f>$C594*CQ593</f>
        <v/>
      </c>
      <c r="CR594">
        <f>$C594*CR593</f>
        <v/>
      </c>
      <c r="CS594">
        <f>$C594*CS593</f>
        <v/>
      </c>
      <c r="CT594">
        <f>$C594*CT593</f>
        <v/>
      </c>
      <c r="CU594">
        <f>$C594*CU593</f>
        <v/>
      </c>
      <c r="CV594">
        <f>$C594*CV593</f>
        <v/>
      </c>
      <c r="CW594">
        <f>$C594*CW593</f>
        <v/>
      </c>
      <c r="CX594">
        <f>$C594*CX593</f>
        <v/>
      </c>
      <c r="CY594">
        <f>$C594*CY593</f>
        <v/>
      </c>
      <c r="CZ594">
        <f>$C594*CZ593</f>
        <v/>
      </c>
      <c r="DA594">
        <f>$C594*DA593</f>
        <v/>
      </c>
      <c r="DB594">
        <f>$C594*DB593</f>
        <v/>
      </c>
      <c r="DC594">
        <f>$C594*DC593</f>
        <v/>
      </c>
    </row>
    <row r="595">
      <c r="B595" t="inlineStr">
        <is>
          <t>VSP-606</t>
        </is>
      </c>
      <c r="C595" t="inlineStr">
        <is>
          <t>No. of batches</t>
        </is>
      </c>
      <c r="D595">
        <f>IFERROR(INDEX(PP_Grid[#Data],$DD595,2),0)</f>
        <v/>
      </c>
      <c r="E595">
        <f>IFERROR(INDEX(PP_Grid[#Data],$DD595,3),0)</f>
        <v/>
      </c>
      <c r="F595">
        <f>IFERROR(INDEX(PP_Grid[#Data],$DD595,4),0)</f>
        <v/>
      </c>
      <c r="G595">
        <f>IFERROR(INDEX(PP_Grid[#Data],$DD595,5),0)</f>
        <v/>
      </c>
      <c r="H595">
        <f>IFERROR(INDEX(PP_Grid[#Data],$DD595,6),0)</f>
        <v/>
      </c>
      <c r="I595">
        <f>IFERROR(INDEX(PP_Grid[#Data],$DD595,7),0)</f>
        <v/>
      </c>
      <c r="J595">
        <f>IFERROR(INDEX(PP_Grid[#Data],$DD595,8),0)</f>
        <v/>
      </c>
      <c r="K595">
        <f>IFERROR(INDEX(PP_Grid[#Data],$DD595,9),0)</f>
        <v/>
      </c>
      <c r="L595">
        <f>IFERROR(INDEX(PP_Grid[#Data],$DD595,10),0)</f>
        <v/>
      </c>
      <c r="M595">
        <f>IFERROR(INDEX(PP_Grid[#Data],$DD595,11),0)</f>
        <v/>
      </c>
      <c r="N595">
        <f>IFERROR(INDEX(PP_Grid[#Data],$DD595,12),0)</f>
        <v/>
      </c>
      <c r="O595">
        <f>IFERROR(INDEX(PP_Grid[#Data],$DD595,13),0)</f>
        <v/>
      </c>
      <c r="P595">
        <f>IFERROR(INDEX(PP_Grid[#Data],$DD595,14),0)</f>
        <v/>
      </c>
      <c r="Q595">
        <f>IFERROR(INDEX(PP_Grid[#Data],$DD595,15),0)</f>
        <v/>
      </c>
      <c r="R595">
        <f>IFERROR(INDEX(PP_Grid[#Data],$DD595,16),0)</f>
        <v/>
      </c>
      <c r="S595">
        <f>IFERROR(INDEX(PP_Grid[#Data],$DD595,17),0)</f>
        <v/>
      </c>
      <c r="T595">
        <f>IFERROR(INDEX(PP_Grid[#Data],$DD595,18),0)</f>
        <v/>
      </c>
      <c r="U595">
        <f>IFERROR(INDEX(PP_Grid[#Data],$DD595,19),0)</f>
        <v/>
      </c>
      <c r="V595">
        <f>IFERROR(INDEX(PP_Grid[#Data],$DD595,20),0)</f>
        <v/>
      </c>
      <c r="W595">
        <f>IFERROR(INDEX(PP_Grid[#Data],$DD595,21),0)</f>
        <v/>
      </c>
      <c r="X595">
        <f>IFERROR(INDEX(PP_Grid[#Data],$DD595,22),0)</f>
        <v/>
      </c>
      <c r="Y595">
        <f>IFERROR(INDEX(PP_Grid[#Data],$DD595,23),0)</f>
        <v/>
      </c>
      <c r="Z595">
        <f>IFERROR(INDEX(PP_Grid[#Data],$DD595,24),0)</f>
        <v/>
      </c>
      <c r="AA595">
        <f>IFERROR(INDEX(PP_Grid[#Data],$DD595,25),0)</f>
        <v/>
      </c>
      <c r="AB595">
        <f>IFERROR(INDEX(PP_Grid[#Data],$DD595,26),0)</f>
        <v/>
      </c>
      <c r="AC595">
        <f>IFERROR(INDEX(PP_Grid[#Data],$DD595,27),0)</f>
        <v/>
      </c>
      <c r="AD595">
        <f>IFERROR(INDEX(PP_Grid[#Data],$DD595,28),0)</f>
        <v/>
      </c>
      <c r="AE595">
        <f>IFERROR(INDEX(PP_Grid[#Data],$DD595,29),0)</f>
        <v/>
      </c>
      <c r="AF595">
        <f>IFERROR(INDEX(PP_Grid[#Data],$DD595,30),0)</f>
        <v/>
      </c>
      <c r="AG595">
        <f>IFERROR(INDEX(PP_Grid[#Data],$DD595,31),0)</f>
        <v/>
      </c>
      <c r="AH595">
        <f>IFERROR(INDEX(PP_Grid[#Data],$DD595,32),0)</f>
        <v/>
      </c>
      <c r="AI595">
        <f>IFERROR(INDEX(PP_Grid[#Data],$DD595,33),0)</f>
        <v/>
      </c>
      <c r="AJ595">
        <f>IFERROR(INDEX(PP_Grid[#Data],$DD595,34),0)</f>
        <v/>
      </c>
      <c r="AK595">
        <f>IFERROR(INDEX(PP_Grid[#Data],$DD595,35),0)</f>
        <v/>
      </c>
      <c r="AL595">
        <f>IFERROR(INDEX(PP_Grid[#Data],$DD595,36),0)</f>
        <v/>
      </c>
      <c r="AM595">
        <f>IFERROR(INDEX(PP_Grid[#Data],$DD595,37),0)</f>
        <v/>
      </c>
      <c r="AN595">
        <f>IFERROR(INDEX(PP_Grid[#Data],$DD595,38),0)</f>
        <v/>
      </c>
      <c r="AO595">
        <f>IFERROR(INDEX(PP_Grid[#Data],$DD595,39),0)</f>
        <v/>
      </c>
      <c r="AP595">
        <f>IFERROR(INDEX(PP_Grid[#Data],$DD595,40),0)</f>
        <v/>
      </c>
      <c r="AQ595">
        <f>IFERROR(INDEX(PP_Grid[#Data],$DD595,41),0)</f>
        <v/>
      </c>
      <c r="AR595">
        <f>IFERROR(INDEX(PP_Grid[#Data],$DD595,42),0)</f>
        <v/>
      </c>
      <c r="AS595">
        <f>IFERROR(INDEX(PP_Grid[#Data],$DD595,43),0)</f>
        <v/>
      </c>
      <c r="AT595">
        <f>IFERROR(INDEX(PP_Grid[#Data],$DD595,44),0)</f>
        <v/>
      </c>
      <c r="AU595">
        <f>IFERROR(INDEX(PP_Grid[#Data],$DD595,45),0)</f>
        <v/>
      </c>
      <c r="AV595">
        <f>IFERROR(INDEX(PP_Grid[#Data],$DD595,46),0)</f>
        <v/>
      </c>
      <c r="AW595">
        <f>IFERROR(INDEX(PP_Grid[#Data],$DD595,47),0)</f>
        <v/>
      </c>
      <c r="AX595">
        <f>IFERROR(INDEX(PP_Grid[#Data],$DD595,48),0)</f>
        <v/>
      </c>
      <c r="AY595">
        <f>IFERROR(INDEX(PP_Grid[#Data],$DD595,49),0)</f>
        <v/>
      </c>
      <c r="AZ595">
        <f>IFERROR(INDEX(PP_Grid[#Data],$DD595,50),0)</f>
        <v/>
      </c>
      <c r="BA595">
        <f>IFERROR(INDEX(PP_Grid[#Data],$DD595,51),0)</f>
        <v/>
      </c>
      <c r="BB595">
        <f>IFERROR(INDEX(PP_Grid[#Data],$DD595,52),0)</f>
        <v/>
      </c>
      <c r="BC595">
        <f>IFERROR(INDEX(PP_Grid[#Data],$DD595,53),0)</f>
        <v/>
      </c>
      <c r="BD595">
        <f>IFERROR(INDEX(PP_Grid[#Data],$DD595,54),0)</f>
        <v/>
      </c>
      <c r="BE595">
        <f>IFERROR(INDEX(PP_Grid[#Data],$DD595,55),0)</f>
        <v/>
      </c>
      <c r="BF595">
        <f>IFERROR(INDEX(PP_Grid[#Data],$DD595,56),0)</f>
        <v/>
      </c>
      <c r="BG595">
        <f>IFERROR(INDEX(PP_Grid[#Data],$DD595,57),0)</f>
        <v/>
      </c>
      <c r="BH595">
        <f>IFERROR(INDEX(PP_Grid[#Data],$DD595,58),0)</f>
        <v/>
      </c>
      <c r="BI595">
        <f>IFERROR(INDEX(PP_Grid[#Data],$DD595,59),0)</f>
        <v/>
      </c>
      <c r="BJ595">
        <f>IFERROR(INDEX(PP_Grid[#Data],$DD595,60),0)</f>
        <v/>
      </c>
      <c r="BK595">
        <f>IFERROR(INDEX(PP_Grid[#Data],$DD595,61),0)</f>
        <v/>
      </c>
      <c r="BL595">
        <f>IFERROR(INDEX(PP_Grid[#Data],$DD595,62),0)</f>
        <v/>
      </c>
      <c r="BM595">
        <f>IFERROR(INDEX(PP_Grid[#Data],$DD595,63),0)</f>
        <v/>
      </c>
      <c r="BN595">
        <f>IFERROR(INDEX(PP_Grid[#Data],$DD595,64),0)</f>
        <v/>
      </c>
      <c r="BO595">
        <f>IFERROR(INDEX(PP_Grid[#Data],$DD595,65),0)</f>
        <v/>
      </c>
      <c r="BP595">
        <f>IFERROR(INDEX(PP_Grid[#Data],$DD595,66),0)</f>
        <v/>
      </c>
      <c r="BQ595">
        <f>IFERROR(INDEX(PP_Grid[#Data],$DD595,67),0)</f>
        <v/>
      </c>
      <c r="BR595">
        <f>IFERROR(INDEX(PP_Grid[#Data],$DD595,68),0)</f>
        <v/>
      </c>
      <c r="BS595">
        <f>IFERROR(INDEX(PP_Grid[#Data],$DD595,69),0)</f>
        <v/>
      </c>
      <c r="BT595">
        <f>IFERROR(INDEX(PP_Grid[#Data],$DD595,70),0)</f>
        <v/>
      </c>
      <c r="BU595">
        <f>IFERROR(INDEX(PP_Grid[#Data],$DD595,71),0)</f>
        <v/>
      </c>
      <c r="BV595">
        <f>IFERROR(INDEX(PP_Grid[#Data],$DD595,72),0)</f>
        <v/>
      </c>
      <c r="BW595">
        <f>IFERROR(INDEX(PP_Grid[#Data],$DD595,73),0)</f>
        <v/>
      </c>
      <c r="BX595">
        <f>IFERROR(INDEX(PP_Grid[#Data],$DD595,74),0)</f>
        <v/>
      </c>
      <c r="BY595">
        <f>IFERROR(INDEX(PP_Grid[#Data],$DD595,75),0)</f>
        <v/>
      </c>
      <c r="BZ595">
        <f>IFERROR(INDEX(PP_Grid[#Data],$DD595,76),0)</f>
        <v/>
      </c>
      <c r="CA595">
        <f>IFERROR(INDEX(PP_Grid[#Data],$DD595,77),0)</f>
        <v/>
      </c>
      <c r="CB595">
        <f>IFERROR(INDEX(PP_Grid[#Data],$DD595,78),0)</f>
        <v/>
      </c>
      <c r="CC595">
        <f>IFERROR(INDEX(PP_Grid[#Data],$DD595,79),0)</f>
        <v/>
      </c>
      <c r="CD595">
        <f>IFERROR(INDEX(PP_Grid[#Data],$DD595,80),0)</f>
        <v/>
      </c>
      <c r="CE595">
        <f>IFERROR(INDEX(PP_Grid[#Data],$DD595,81),0)</f>
        <v/>
      </c>
      <c r="CF595">
        <f>IFERROR(INDEX(PP_Grid[#Data],$DD595,82),0)</f>
        <v/>
      </c>
      <c r="CG595">
        <f>IFERROR(INDEX(PP_Grid[#Data],$DD595,83),0)</f>
        <v/>
      </c>
      <c r="CH595">
        <f>IFERROR(INDEX(PP_Grid[#Data],$DD595,84),0)</f>
        <v/>
      </c>
      <c r="CI595">
        <f>IFERROR(INDEX(PP_Grid[#Data],$DD595,85),0)</f>
        <v/>
      </c>
      <c r="CJ595">
        <f>IFERROR(INDEX(PP_Grid[#Data],$DD595,86),0)</f>
        <v/>
      </c>
      <c r="CK595">
        <f>IFERROR(INDEX(PP_Grid[#Data],$DD595,87),0)</f>
        <v/>
      </c>
      <c r="CL595">
        <f>IFERROR(INDEX(PP_Grid[#Data],$DD595,88),0)</f>
        <v/>
      </c>
      <c r="CM595">
        <f>IFERROR(INDEX(PP_Grid[#Data],$DD595,89),0)</f>
        <v/>
      </c>
      <c r="CN595">
        <f>IFERROR(INDEX(PP_Grid[#Data],$DD595,90),0)</f>
        <v/>
      </c>
      <c r="CO595">
        <f>IFERROR(INDEX(PP_Grid[#Data],$DD595,91),0)</f>
        <v/>
      </c>
      <c r="CP595">
        <f>IFERROR(INDEX(PP_Grid[#Data],$DD595,92),0)</f>
        <v/>
      </c>
      <c r="CQ595">
        <f>IFERROR(INDEX(PP_Grid[#Data],$DD595,93),0)</f>
        <v/>
      </c>
      <c r="CR595">
        <f>IFERROR(INDEX(PP_Grid[#Data],$DD595,94),0)</f>
        <v/>
      </c>
      <c r="CS595">
        <f>IFERROR(INDEX(PP_Grid[#Data],$DD595,95),0)</f>
        <v/>
      </c>
      <c r="CT595">
        <f>IFERROR(INDEX(PP_Grid[#Data],$DD595,96),0)</f>
        <v/>
      </c>
      <c r="CU595">
        <f>IFERROR(INDEX(PP_Grid[#Data],$DD595,97),0)</f>
        <v/>
      </c>
      <c r="CV595">
        <f>IFERROR(INDEX(PP_Grid[#Data],$DD595,98),0)</f>
        <v/>
      </c>
      <c r="CW595">
        <f>IFERROR(INDEX(PP_Grid[#Data],$DD595,99),0)</f>
        <v/>
      </c>
      <c r="CX595">
        <f>IFERROR(INDEX(PP_Grid[#Data],$DD595,100),0)</f>
        <v/>
      </c>
      <c r="CY595">
        <f>IFERROR(INDEX(PP_Grid[#Data],$DD595,101),0)</f>
        <v/>
      </c>
      <c r="CZ595">
        <f>IFERROR(INDEX(PP_Grid[#Data],$DD595,102),0)</f>
        <v/>
      </c>
      <c r="DA595">
        <f>IFERROR(INDEX(PP_Grid[#Data],$DD595,103),0)</f>
        <v/>
      </c>
      <c r="DB595">
        <f>IFERROR(INDEX(PP_Grid[#Data],$DD595,104),0)</f>
        <v/>
      </c>
      <c r="DC595">
        <f>IFERROR(INDEX(PP_Grid[#Data],$DD595,105),0)</f>
        <v/>
      </c>
      <c r="DD595" s="7">
        <f>IFERROR(MATCH($B595,PP_Grid[Intermediate],0),99999)</f>
        <v/>
      </c>
    </row>
    <row r="596">
      <c r="B596" t="inlineStr">
        <is>
          <t>使用量(kg)</t>
        </is>
      </c>
      <c r="C596">
        <f>SUMIFS(M_BOM[RM_Qty_Per_Batch],M_BOM[Intermediate],$B595,M_BOM[Part Name],$A580)</f>
        <v/>
      </c>
      <c r="D596">
        <f>$C596*D595</f>
        <v/>
      </c>
      <c r="E596">
        <f>$C596*E595</f>
        <v/>
      </c>
      <c r="F596">
        <f>$C596*F595</f>
        <v/>
      </c>
      <c r="G596">
        <f>$C596*G595</f>
        <v/>
      </c>
      <c r="H596">
        <f>$C596*H595</f>
        <v/>
      </c>
      <c r="I596">
        <f>$C596*I595</f>
        <v/>
      </c>
      <c r="J596">
        <f>$C596*J595</f>
        <v/>
      </c>
      <c r="K596">
        <f>$C596*K595</f>
        <v/>
      </c>
      <c r="L596">
        <f>$C596*L595</f>
        <v/>
      </c>
      <c r="M596">
        <f>$C596*M595</f>
        <v/>
      </c>
      <c r="N596">
        <f>$C596*N595</f>
        <v/>
      </c>
      <c r="O596">
        <f>$C596*O595</f>
        <v/>
      </c>
      <c r="P596">
        <f>$C596*P595</f>
        <v/>
      </c>
      <c r="Q596">
        <f>$C596*Q595</f>
        <v/>
      </c>
      <c r="R596">
        <f>$C596*R595</f>
        <v/>
      </c>
      <c r="S596">
        <f>$C596*S595</f>
        <v/>
      </c>
      <c r="T596">
        <f>$C596*T595</f>
        <v/>
      </c>
      <c r="U596">
        <f>$C596*U595</f>
        <v/>
      </c>
      <c r="V596">
        <f>$C596*V595</f>
        <v/>
      </c>
      <c r="W596">
        <f>$C596*W595</f>
        <v/>
      </c>
      <c r="X596">
        <f>$C596*X595</f>
        <v/>
      </c>
      <c r="Y596">
        <f>$C596*Y595</f>
        <v/>
      </c>
      <c r="Z596">
        <f>$C596*Z595</f>
        <v/>
      </c>
      <c r="AA596">
        <f>$C596*AA595</f>
        <v/>
      </c>
      <c r="AB596">
        <f>$C596*AB595</f>
        <v/>
      </c>
      <c r="AC596">
        <f>$C596*AC595</f>
        <v/>
      </c>
      <c r="AD596">
        <f>$C596*AD595</f>
        <v/>
      </c>
      <c r="AE596">
        <f>$C596*AE595</f>
        <v/>
      </c>
      <c r="AF596">
        <f>$C596*AF595</f>
        <v/>
      </c>
      <c r="AG596">
        <f>$C596*AG595</f>
        <v/>
      </c>
      <c r="AH596">
        <f>$C596*AH595</f>
        <v/>
      </c>
      <c r="AI596">
        <f>$C596*AI595</f>
        <v/>
      </c>
      <c r="AJ596">
        <f>$C596*AJ595</f>
        <v/>
      </c>
      <c r="AK596">
        <f>$C596*AK595</f>
        <v/>
      </c>
      <c r="AL596">
        <f>$C596*AL595</f>
        <v/>
      </c>
      <c r="AM596">
        <f>$C596*AM595</f>
        <v/>
      </c>
      <c r="AN596">
        <f>$C596*AN595</f>
        <v/>
      </c>
      <c r="AO596">
        <f>$C596*AO595</f>
        <v/>
      </c>
      <c r="AP596">
        <f>$C596*AP595</f>
        <v/>
      </c>
      <c r="AQ596">
        <f>$C596*AQ595</f>
        <v/>
      </c>
      <c r="AR596">
        <f>$C596*AR595</f>
        <v/>
      </c>
      <c r="AS596">
        <f>$C596*AS595</f>
        <v/>
      </c>
      <c r="AT596">
        <f>$C596*AT595</f>
        <v/>
      </c>
      <c r="AU596">
        <f>$C596*AU595</f>
        <v/>
      </c>
      <c r="AV596">
        <f>$C596*AV595</f>
        <v/>
      </c>
      <c r="AW596">
        <f>$C596*AW595</f>
        <v/>
      </c>
      <c r="AX596">
        <f>$C596*AX595</f>
        <v/>
      </c>
      <c r="AY596">
        <f>$C596*AY595</f>
        <v/>
      </c>
      <c r="AZ596">
        <f>$C596*AZ595</f>
        <v/>
      </c>
      <c r="BA596">
        <f>$C596*BA595</f>
        <v/>
      </c>
      <c r="BB596">
        <f>$C596*BB595</f>
        <v/>
      </c>
      <c r="BC596">
        <f>$C596*BC595</f>
        <v/>
      </c>
      <c r="BD596">
        <f>$C596*BD595</f>
        <v/>
      </c>
      <c r="BE596">
        <f>$C596*BE595</f>
        <v/>
      </c>
      <c r="BF596">
        <f>$C596*BF595</f>
        <v/>
      </c>
      <c r="BG596">
        <f>$C596*BG595</f>
        <v/>
      </c>
      <c r="BH596">
        <f>$C596*BH595</f>
        <v/>
      </c>
      <c r="BI596">
        <f>$C596*BI595</f>
        <v/>
      </c>
      <c r="BJ596">
        <f>$C596*BJ595</f>
        <v/>
      </c>
      <c r="BK596">
        <f>$C596*BK595</f>
        <v/>
      </c>
      <c r="BL596">
        <f>$C596*BL595</f>
        <v/>
      </c>
      <c r="BM596">
        <f>$C596*BM595</f>
        <v/>
      </c>
      <c r="BN596">
        <f>$C596*BN595</f>
        <v/>
      </c>
      <c r="BO596">
        <f>$C596*BO595</f>
        <v/>
      </c>
      <c r="BP596">
        <f>$C596*BP595</f>
        <v/>
      </c>
      <c r="BQ596">
        <f>$C596*BQ595</f>
        <v/>
      </c>
      <c r="BR596">
        <f>$C596*BR595</f>
        <v/>
      </c>
      <c r="BS596">
        <f>$C596*BS595</f>
        <v/>
      </c>
      <c r="BT596">
        <f>$C596*BT595</f>
        <v/>
      </c>
      <c r="BU596">
        <f>$C596*BU595</f>
        <v/>
      </c>
      <c r="BV596">
        <f>$C596*BV595</f>
        <v/>
      </c>
      <c r="BW596">
        <f>$C596*BW595</f>
        <v/>
      </c>
      <c r="BX596">
        <f>$C596*BX595</f>
        <v/>
      </c>
      <c r="BY596">
        <f>$C596*BY595</f>
        <v/>
      </c>
      <c r="BZ596">
        <f>$C596*BZ595</f>
        <v/>
      </c>
      <c r="CA596">
        <f>$C596*CA595</f>
        <v/>
      </c>
      <c r="CB596">
        <f>$C596*CB595</f>
        <v/>
      </c>
      <c r="CC596">
        <f>$C596*CC595</f>
        <v/>
      </c>
      <c r="CD596">
        <f>$C596*CD595</f>
        <v/>
      </c>
      <c r="CE596">
        <f>$C596*CE595</f>
        <v/>
      </c>
      <c r="CF596">
        <f>$C596*CF595</f>
        <v/>
      </c>
      <c r="CG596">
        <f>$C596*CG595</f>
        <v/>
      </c>
      <c r="CH596">
        <f>$C596*CH595</f>
        <v/>
      </c>
      <c r="CI596">
        <f>$C596*CI595</f>
        <v/>
      </c>
      <c r="CJ596">
        <f>$C596*CJ595</f>
        <v/>
      </c>
      <c r="CK596">
        <f>$C596*CK595</f>
        <v/>
      </c>
      <c r="CL596">
        <f>$C596*CL595</f>
        <v/>
      </c>
      <c r="CM596">
        <f>$C596*CM595</f>
        <v/>
      </c>
      <c r="CN596">
        <f>$C596*CN595</f>
        <v/>
      </c>
      <c r="CO596">
        <f>$C596*CO595</f>
        <v/>
      </c>
      <c r="CP596">
        <f>$C596*CP595</f>
        <v/>
      </c>
      <c r="CQ596">
        <f>$C596*CQ595</f>
        <v/>
      </c>
      <c r="CR596">
        <f>$C596*CR595</f>
        <v/>
      </c>
      <c r="CS596">
        <f>$C596*CS595</f>
        <v/>
      </c>
      <c r="CT596">
        <f>$C596*CT595</f>
        <v/>
      </c>
      <c r="CU596">
        <f>$C596*CU595</f>
        <v/>
      </c>
      <c r="CV596">
        <f>$C596*CV595</f>
        <v/>
      </c>
      <c r="CW596">
        <f>$C596*CW595</f>
        <v/>
      </c>
      <c r="CX596">
        <f>$C596*CX595</f>
        <v/>
      </c>
      <c r="CY596">
        <f>$C596*CY595</f>
        <v/>
      </c>
      <c r="CZ596">
        <f>$C596*CZ595</f>
        <v/>
      </c>
      <c r="DA596">
        <f>$C596*DA595</f>
        <v/>
      </c>
      <c r="DB596">
        <f>$C596*DB595</f>
        <v/>
      </c>
      <c r="DC596">
        <f>$C596*DC595</f>
        <v/>
      </c>
    </row>
    <row r="597">
      <c r="B597" t="inlineStr">
        <is>
          <t>VSP-607</t>
        </is>
      </c>
      <c r="C597" t="inlineStr">
        <is>
          <t>No. of batches</t>
        </is>
      </c>
      <c r="D597">
        <f>IFERROR(INDEX(PP_Grid[#Data],$DD597,2),0)</f>
        <v/>
      </c>
      <c r="E597">
        <f>IFERROR(INDEX(PP_Grid[#Data],$DD597,3),0)</f>
        <v/>
      </c>
      <c r="F597">
        <f>IFERROR(INDEX(PP_Grid[#Data],$DD597,4),0)</f>
        <v/>
      </c>
      <c r="G597">
        <f>IFERROR(INDEX(PP_Grid[#Data],$DD597,5),0)</f>
        <v/>
      </c>
      <c r="H597">
        <f>IFERROR(INDEX(PP_Grid[#Data],$DD597,6),0)</f>
        <v/>
      </c>
      <c r="I597">
        <f>IFERROR(INDEX(PP_Grid[#Data],$DD597,7),0)</f>
        <v/>
      </c>
      <c r="J597">
        <f>IFERROR(INDEX(PP_Grid[#Data],$DD597,8),0)</f>
        <v/>
      </c>
      <c r="K597">
        <f>IFERROR(INDEX(PP_Grid[#Data],$DD597,9),0)</f>
        <v/>
      </c>
      <c r="L597">
        <f>IFERROR(INDEX(PP_Grid[#Data],$DD597,10),0)</f>
        <v/>
      </c>
      <c r="M597">
        <f>IFERROR(INDEX(PP_Grid[#Data],$DD597,11),0)</f>
        <v/>
      </c>
      <c r="N597">
        <f>IFERROR(INDEX(PP_Grid[#Data],$DD597,12),0)</f>
        <v/>
      </c>
      <c r="O597">
        <f>IFERROR(INDEX(PP_Grid[#Data],$DD597,13),0)</f>
        <v/>
      </c>
      <c r="P597">
        <f>IFERROR(INDEX(PP_Grid[#Data],$DD597,14),0)</f>
        <v/>
      </c>
      <c r="Q597">
        <f>IFERROR(INDEX(PP_Grid[#Data],$DD597,15),0)</f>
        <v/>
      </c>
      <c r="R597">
        <f>IFERROR(INDEX(PP_Grid[#Data],$DD597,16),0)</f>
        <v/>
      </c>
      <c r="S597">
        <f>IFERROR(INDEX(PP_Grid[#Data],$DD597,17),0)</f>
        <v/>
      </c>
      <c r="T597">
        <f>IFERROR(INDEX(PP_Grid[#Data],$DD597,18),0)</f>
        <v/>
      </c>
      <c r="U597">
        <f>IFERROR(INDEX(PP_Grid[#Data],$DD597,19),0)</f>
        <v/>
      </c>
      <c r="V597">
        <f>IFERROR(INDEX(PP_Grid[#Data],$DD597,20),0)</f>
        <v/>
      </c>
      <c r="W597">
        <f>IFERROR(INDEX(PP_Grid[#Data],$DD597,21),0)</f>
        <v/>
      </c>
      <c r="X597">
        <f>IFERROR(INDEX(PP_Grid[#Data],$DD597,22),0)</f>
        <v/>
      </c>
      <c r="Y597">
        <f>IFERROR(INDEX(PP_Grid[#Data],$DD597,23),0)</f>
        <v/>
      </c>
      <c r="Z597">
        <f>IFERROR(INDEX(PP_Grid[#Data],$DD597,24),0)</f>
        <v/>
      </c>
      <c r="AA597">
        <f>IFERROR(INDEX(PP_Grid[#Data],$DD597,25),0)</f>
        <v/>
      </c>
      <c r="AB597">
        <f>IFERROR(INDEX(PP_Grid[#Data],$DD597,26),0)</f>
        <v/>
      </c>
      <c r="AC597">
        <f>IFERROR(INDEX(PP_Grid[#Data],$DD597,27),0)</f>
        <v/>
      </c>
      <c r="AD597">
        <f>IFERROR(INDEX(PP_Grid[#Data],$DD597,28),0)</f>
        <v/>
      </c>
      <c r="AE597">
        <f>IFERROR(INDEX(PP_Grid[#Data],$DD597,29),0)</f>
        <v/>
      </c>
      <c r="AF597">
        <f>IFERROR(INDEX(PP_Grid[#Data],$DD597,30),0)</f>
        <v/>
      </c>
      <c r="AG597">
        <f>IFERROR(INDEX(PP_Grid[#Data],$DD597,31),0)</f>
        <v/>
      </c>
      <c r="AH597">
        <f>IFERROR(INDEX(PP_Grid[#Data],$DD597,32),0)</f>
        <v/>
      </c>
      <c r="AI597">
        <f>IFERROR(INDEX(PP_Grid[#Data],$DD597,33),0)</f>
        <v/>
      </c>
      <c r="AJ597">
        <f>IFERROR(INDEX(PP_Grid[#Data],$DD597,34),0)</f>
        <v/>
      </c>
      <c r="AK597">
        <f>IFERROR(INDEX(PP_Grid[#Data],$DD597,35),0)</f>
        <v/>
      </c>
      <c r="AL597">
        <f>IFERROR(INDEX(PP_Grid[#Data],$DD597,36),0)</f>
        <v/>
      </c>
      <c r="AM597">
        <f>IFERROR(INDEX(PP_Grid[#Data],$DD597,37),0)</f>
        <v/>
      </c>
      <c r="AN597">
        <f>IFERROR(INDEX(PP_Grid[#Data],$DD597,38),0)</f>
        <v/>
      </c>
      <c r="AO597">
        <f>IFERROR(INDEX(PP_Grid[#Data],$DD597,39),0)</f>
        <v/>
      </c>
      <c r="AP597">
        <f>IFERROR(INDEX(PP_Grid[#Data],$DD597,40),0)</f>
        <v/>
      </c>
      <c r="AQ597">
        <f>IFERROR(INDEX(PP_Grid[#Data],$DD597,41),0)</f>
        <v/>
      </c>
      <c r="AR597">
        <f>IFERROR(INDEX(PP_Grid[#Data],$DD597,42),0)</f>
        <v/>
      </c>
      <c r="AS597">
        <f>IFERROR(INDEX(PP_Grid[#Data],$DD597,43),0)</f>
        <v/>
      </c>
      <c r="AT597">
        <f>IFERROR(INDEX(PP_Grid[#Data],$DD597,44),0)</f>
        <v/>
      </c>
      <c r="AU597">
        <f>IFERROR(INDEX(PP_Grid[#Data],$DD597,45),0)</f>
        <v/>
      </c>
      <c r="AV597">
        <f>IFERROR(INDEX(PP_Grid[#Data],$DD597,46),0)</f>
        <v/>
      </c>
      <c r="AW597">
        <f>IFERROR(INDEX(PP_Grid[#Data],$DD597,47),0)</f>
        <v/>
      </c>
      <c r="AX597">
        <f>IFERROR(INDEX(PP_Grid[#Data],$DD597,48),0)</f>
        <v/>
      </c>
      <c r="AY597">
        <f>IFERROR(INDEX(PP_Grid[#Data],$DD597,49),0)</f>
        <v/>
      </c>
      <c r="AZ597">
        <f>IFERROR(INDEX(PP_Grid[#Data],$DD597,50),0)</f>
        <v/>
      </c>
      <c r="BA597">
        <f>IFERROR(INDEX(PP_Grid[#Data],$DD597,51),0)</f>
        <v/>
      </c>
      <c r="BB597">
        <f>IFERROR(INDEX(PP_Grid[#Data],$DD597,52),0)</f>
        <v/>
      </c>
      <c r="BC597">
        <f>IFERROR(INDEX(PP_Grid[#Data],$DD597,53),0)</f>
        <v/>
      </c>
      <c r="BD597">
        <f>IFERROR(INDEX(PP_Grid[#Data],$DD597,54),0)</f>
        <v/>
      </c>
      <c r="BE597">
        <f>IFERROR(INDEX(PP_Grid[#Data],$DD597,55),0)</f>
        <v/>
      </c>
      <c r="BF597">
        <f>IFERROR(INDEX(PP_Grid[#Data],$DD597,56),0)</f>
        <v/>
      </c>
      <c r="BG597">
        <f>IFERROR(INDEX(PP_Grid[#Data],$DD597,57),0)</f>
        <v/>
      </c>
      <c r="BH597">
        <f>IFERROR(INDEX(PP_Grid[#Data],$DD597,58),0)</f>
        <v/>
      </c>
      <c r="BI597">
        <f>IFERROR(INDEX(PP_Grid[#Data],$DD597,59),0)</f>
        <v/>
      </c>
      <c r="BJ597">
        <f>IFERROR(INDEX(PP_Grid[#Data],$DD597,60),0)</f>
        <v/>
      </c>
      <c r="BK597">
        <f>IFERROR(INDEX(PP_Grid[#Data],$DD597,61),0)</f>
        <v/>
      </c>
      <c r="BL597">
        <f>IFERROR(INDEX(PP_Grid[#Data],$DD597,62),0)</f>
        <v/>
      </c>
      <c r="BM597">
        <f>IFERROR(INDEX(PP_Grid[#Data],$DD597,63),0)</f>
        <v/>
      </c>
      <c r="BN597">
        <f>IFERROR(INDEX(PP_Grid[#Data],$DD597,64),0)</f>
        <v/>
      </c>
      <c r="BO597">
        <f>IFERROR(INDEX(PP_Grid[#Data],$DD597,65),0)</f>
        <v/>
      </c>
      <c r="BP597">
        <f>IFERROR(INDEX(PP_Grid[#Data],$DD597,66),0)</f>
        <v/>
      </c>
      <c r="BQ597">
        <f>IFERROR(INDEX(PP_Grid[#Data],$DD597,67),0)</f>
        <v/>
      </c>
      <c r="BR597">
        <f>IFERROR(INDEX(PP_Grid[#Data],$DD597,68),0)</f>
        <v/>
      </c>
      <c r="BS597">
        <f>IFERROR(INDEX(PP_Grid[#Data],$DD597,69),0)</f>
        <v/>
      </c>
      <c r="BT597">
        <f>IFERROR(INDEX(PP_Grid[#Data],$DD597,70),0)</f>
        <v/>
      </c>
      <c r="BU597">
        <f>IFERROR(INDEX(PP_Grid[#Data],$DD597,71),0)</f>
        <v/>
      </c>
      <c r="BV597">
        <f>IFERROR(INDEX(PP_Grid[#Data],$DD597,72),0)</f>
        <v/>
      </c>
      <c r="BW597">
        <f>IFERROR(INDEX(PP_Grid[#Data],$DD597,73),0)</f>
        <v/>
      </c>
      <c r="BX597">
        <f>IFERROR(INDEX(PP_Grid[#Data],$DD597,74),0)</f>
        <v/>
      </c>
      <c r="BY597">
        <f>IFERROR(INDEX(PP_Grid[#Data],$DD597,75),0)</f>
        <v/>
      </c>
      <c r="BZ597">
        <f>IFERROR(INDEX(PP_Grid[#Data],$DD597,76),0)</f>
        <v/>
      </c>
      <c r="CA597">
        <f>IFERROR(INDEX(PP_Grid[#Data],$DD597,77),0)</f>
        <v/>
      </c>
      <c r="CB597">
        <f>IFERROR(INDEX(PP_Grid[#Data],$DD597,78),0)</f>
        <v/>
      </c>
      <c r="CC597">
        <f>IFERROR(INDEX(PP_Grid[#Data],$DD597,79),0)</f>
        <v/>
      </c>
      <c r="CD597">
        <f>IFERROR(INDEX(PP_Grid[#Data],$DD597,80),0)</f>
        <v/>
      </c>
      <c r="CE597">
        <f>IFERROR(INDEX(PP_Grid[#Data],$DD597,81),0)</f>
        <v/>
      </c>
      <c r="CF597">
        <f>IFERROR(INDEX(PP_Grid[#Data],$DD597,82),0)</f>
        <v/>
      </c>
      <c r="CG597">
        <f>IFERROR(INDEX(PP_Grid[#Data],$DD597,83),0)</f>
        <v/>
      </c>
      <c r="CH597">
        <f>IFERROR(INDEX(PP_Grid[#Data],$DD597,84),0)</f>
        <v/>
      </c>
      <c r="CI597">
        <f>IFERROR(INDEX(PP_Grid[#Data],$DD597,85),0)</f>
        <v/>
      </c>
      <c r="CJ597">
        <f>IFERROR(INDEX(PP_Grid[#Data],$DD597,86),0)</f>
        <v/>
      </c>
      <c r="CK597">
        <f>IFERROR(INDEX(PP_Grid[#Data],$DD597,87),0)</f>
        <v/>
      </c>
      <c r="CL597">
        <f>IFERROR(INDEX(PP_Grid[#Data],$DD597,88),0)</f>
        <v/>
      </c>
      <c r="CM597">
        <f>IFERROR(INDEX(PP_Grid[#Data],$DD597,89),0)</f>
        <v/>
      </c>
      <c r="CN597">
        <f>IFERROR(INDEX(PP_Grid[#Data],$DD597,90),0)</f>
        <v/>
      </c>
      <c r="CO597">
        <f>IFERROR(INDEX(PP_Grid[#Data],$DD597,91),0)</f>
        <v/>
      </c>
      <c r="CP597">
        <f>IFERROR(INDEX(PP_Grid[#Data],$DD597,92),0)</f>
        <v/>
      </c>
      <c r="CQ597">
        <f>IFERROR(INDEX(PP_Grid[#Data],$DD597,93),0)</f>
        <v/>
      </c>
      <c r="CR597">
        <f>IFERROR(INDEX(PP_Grid[#Data],$DD597,94),0)</f>
        <v/>
      </c>
      <c r="CS597">
        <f>IFERROR(INDEX(PP_Grid[#Data],$DD597,95),0)</f>
        <v/>
      </c>
      <c r="CT597">
        <f>IFERROR(INDEX(PP_Grid[#Data],$DD597,96),0)</f>
        <v/>
      </c>
      <c r="CU597">
        <f>IFERROR(INDEX(PP_Grid[#Data],$DD597,97),0)</f>
        <v/>
      </c>
      <c r="CV597">
        <f>IFERROR(INDEX(PP_Grid[#Data],$DD597,98),0)</f>
        <v/>
      </c>
      <c r="CW597">
        <f>IFERROR(INDEX(PP_Grid[#Data],$DD597,99),0)</f>
        <v/>
      </c>
      <c r="CX597">
        <f>IFERROR(INDEX(PP_Grid[#Data],$DD597,100),0)</f>
        <v/>
      </c>
      <c r="CY597">
        <f>IFERROR(INDEX(PP_Grid[#Data],$DD597,101),0)</f>
        <v/>
      </c>
      <c r="CZ597">
        <f>IFERROR(INDEX(PP_Grid[#Data],$DD597,102),0)</f>
        <v/>
      </c>
      <c r="DA597">
        <f>IFERROR(INDEX(PP_Grid[#Data],$DD597,103),0)</f>
        <v/>
      </c>
      <c r="DB597">
        <f>IFERROR(INDEX(PP_Grid[#Data],$DD597,104),0)</f>
        <v/>
      </c>
      <c r="DC597">
        <f>IFERROR(INDEX(PP_Grid[#Data],$DD597,105),0)</f>
        <v/>
      </c>
      <c r="DD597" s="7">
        <f>IFERROR(MATCH($B597,PP_Grid[Intermediate],0),99999)</f>
        <v/>
      </c>
    </row>
    <row r="598">
      <c r="B598" t="inlineStr">
        <is>
          <t>使用量(kg)</t>
        </is>
      </c>
      <c r="C598">
        <f>SUMIFS(M_BOM[RM_Qty_Per_Batch],M_BOM[Intermediate],$B597,M_BOM[Part Name],$A580)</f>
        <v/>
      </c>
      <c r="D598">
        <f>$C598*D597</f>
        <v/>
      </c>
      <c r="E598">
        <f>$C598*E597</f>
        <v/>
      </c>
      <c r="F598">
        <f>$C598*F597</f>
        <v/>
      </c>
      <c r="G598">
        <f>$C598*G597</f>
        <v/>
      </c>
      <c r="H598">
        <f>$C598*H597</f>
        <v/>
      </c>
      <c r="I598">
        <f>$C598*I597</f>
        <v/>
      </c>
      <c r="J598">
        <f>$C598*J597</f>
        <v/>
      </c>
      <c r="K598">
        <f>$C598*K597</f>
        <v/>
      </c>
      <c r="L598">
        <f>$C598*L597</f>
        <v/>
      </c>
      <c r="M598">
        <f>$C598*M597</f>
        <v/>
      </c>
      <c r="N598">
        <f>$C598*N597</f>
        <v/>
      </c>
      <c r="O598">
        <f>$C598*O597</f>
        <v/>
      </c>
      <c r="P598">
        <f>$C598*P597</f>
        <v/>
      </c>
      <c r="Q598">
        <f>$C598*Q597</f>
        <v/>
      </c>
      <c r="R598">
        <f>$C598*R597</f>
        <v/>
      </c>
      <c r="S598">
        <f>$C598*S597</f>
        <v/>
      </c>
      <c r="T598">
        <f>$C598*T597</f>
        <v/>
      </c>
      <c r="U598">
        <f>$C598*U597</f>
        <v/>
      </c>
      <c r="V598">
        <f>$C598*V597</f>
        <v/>
      </c>
      <c r="W598">
        <f>$C598*W597</f>
        <v/>
      </c>
      <c r="X598">
        <f>$C598*X597</f>
        <v/>
      </c>
      <c r="Y598">
        <f>$C598*Y597</f>
        <v/>
      </c>
      <c r="Z598">
        <f>$C598*Z597</f>
        <v/>
      </c>
      <c r="AA598">
        <f>$C598*AA597</f>
        <v/>
      </c>
      <c r="AB598">
        <f>$C598*AB597</f>
        <v/>
      </c>
      <c r="AC598">
        <f>$C598*AC597</f>
        <v/>
      </c>
      <c r="AD598">
        <f>$C598*AD597</f>
        <v/>
      </c>
      <c r="AE598">
        <f>$C598*AE597</f>
        <v/>
      </c>
      <c r="AF598">
        <f>$C598*AF597</f>
        <v/>
      </c>
      <c r="AG598">
        <f>$C598*AG597</f>
        <v/>
      </c>
      <c r="AH598">
        <f>$C598*AH597</f>
        <v/>
      </c>
      <c r="AI598">
        <f>$C598*AI597</f>
        <v/>
      </c>
      <c r="AJ598">
        <f>$C598*AJ597</f>
        <v/>
      </c>
      <c r="AK598">
        <f>$C598*AK597</f>
        <v/>
      </c>
      <c r="AL598">
        <f>$C598*AL597</f>
        <v/>
      </c>
      <c r="AM598">
        <f>$C598*AM597</f>
        <v/>
      </c>
      <c r="AN598">
        <f>$C598*AN597</f>
        <v/>
      </c>
      <c r="AO598">
        <f>$C598*AO597</f>
        <v/>
      </c>
      <c r="AP598">
        <f>$C598*AP597</f>
        <v/>
      </c>
      <c r="AQ598">
        <f>$C598*AQ597</f>
        <v/>
      </c>
      <c r="AR598">
        <f>$C598*AR597</f>
        <v/>
      </c>
      <c r="AS598">
        <f>$C598*AS597</f>
        <v/>
      </c>
      <c r="AT598">
        <f>$C598*AT597</f>
        <v/>
      </c>
      <c r="AU598">
        <f>$C598*AU597</f>
        <v/>
      </c>
      <c r="AV598">
        <f>$C598*AV597</f>
        <v/>
      </c>
      <c r="AW598">
        <f>$C598*AW597</f>
        <v/>
      </c>
      <c r="AX598">
        <f>$C598*AX597</f>
        <v/>
      </c>
      <c r="AY598">
        <f>$C598*AY597</f>
        <v/>
      </c>
      <c r="AZ598">
        <f>$C598*AZ597</f>
        <v/>
      </c>
      <c r="BA598">
        <f>$C598*BA597</f>
        <v/>
      </c>
      <c r="BB598">
        <f>$C598*BB597</f>
        <v/>
      </c>
      <c r="BC598">
        <f>$C598*BC597</f>
        <v/>
      </c>
      <c r="BD598">
        <f>$C598*BD597</f>
        <v/>
      </c>
      <c r="BE598">
        <f>$C598*BE597</f>
        <v/>
      </c>
      <c r="BF598">
        <f>$C598*BF597</f>
        <v/>
      </c>
      <c r="BG598">
        <f>$C598*BG597</f>
        <v/>
      </c>
      <c r="BH598">
        <f>$C598*BH597</f>
        <v/>
      </c>
      <c r="BI598">
        <f>$C598*BI597</f>
        <v/>
      </c>
      <c r="BJ598">
        <f>$C598*BJ597</f>
        <v/>
      </c>
      <c r="BK598">
        <f>$C598*BK597</f>
        <v/>
      </c>
      <c r="BL598">
        <f>$C598*BL597</f>
        <v/>
      </c>
      <c r="BM598">
        <f>$C598*BM597</f>
        <v/>
      </c>
      <c r="BN598">
        <f>$C598*BN597</f>
        <v/>
      </c>
      <c r="BO598">
        <f>$C598*BO597</f>
        <v/>
      </c>
      <c r="BP598">
        <f>$C598*BP597</f>
        <v/>
      </c>
      <c r="BQ598">
        <f>$C598*BQ597</f>
        <v/>
      </c>
      <c r="BR598">
        <f>$C598*BR597</f>
        <v/>
      </c>
      <c r="BS598">
        <f>$C598*BS597</f>
        <v/>
      </c>
      <c r="BT598">
        <f>$C598*BT597</f>
        <v/>
      </c>
      <c r="BU598">
        <f>$C598*BU597</f>
        <v/>
      </c>
      <c r="BV598">
        <f>$C598*BV597</f>
        <v/>
      </c>
      <c r="BW598">
        <f>$C598*BW597</f>
        <v/>
      </c>
      <c r="BX598">
        <f>$C598*BX597</f>
        <v/>
      </c>
      <c r="BY598">
        <f>$C598*BY597</f>
        <v/>
      </c>
      <c r="BZ598">
        <f>$C598*BZ597</f>
        <v/>
      </c>
      <c r="CA598">
        <f>$C598*CA597</f>
        <v/>
      </c>
      <c r="CB598">
        <f>$C598*CB597</f>
        <v/>
      </c>
      <c r="CC598">
        <f>$C598*CC597</f>
        <v/>
      </c>
      <c r="CD598">
        <f>$C598*CD597</f>
        <v/>
      </c>
      <c r="CE598">
        <f>$C598*CE597</f>
        <v/>
      </c>
      <c r="CF598">
        <f>$C598*CF597</f>
        <v/>
      </c>
      <c r="CG598">
        <f>$C598*CG597</f>
        <v/>
      </c>
      <c r="CH598">
        <f>$C598*CH597</f>
        <v/>
      </c>
      <c r="CI598">
        <f>$C598*CI597</f>
        <v/>
      </c>
      <c r="CJ598">
        <f>$C598*CJ597</f>
        <v/>
      </c>
      <c r="CK598">
        <f>$C598*CK597</f>
        <v/>
      </c>
      <c r="CL598">
        <f>$C598*CL597</f>
        <v/>
      </c>
      <c r="CM598">
        <f>$C598*CM597</f>
        <v/>
      </c>
      <c r="CN598">
        <f>$C598*CN597</f>
        <v/>
      </c>
      <c r="CO598">
        <f>$C598*CO597</f>
        <v/>
      </c>
      <c r="CP598">
        <f>$C598*CP597</f>
        <v/>
      </c>
      <c r="CQ598">
        <f>$C598*CQ597</f>
        <v/>
      </c>
      <c r="CR598">
        <f>$C598*CR597</f>
        <v/>
      </c>
      <c r="CS598">
        <f>$C598*CS597</f>
        <v/>
      </c>
      <c r="CT598">
        <f>$C598*CT597</f>
        <v/>
      </c>
      <c r="CU598">
        <f>$C598*CU597</f>
        <v/>
      </c>
      <c r="CV598">
        <f>$C598*CV597</f>
        <v/>
      </c>
      <c r="CW598">
        <f>$C598*CW597</f>
        <v/>
      </c>
      <c r="CX598">
        <f>$C598*CX597</f>
        <v/>
      </c>
      <c r="CY598">
        <f>$C598*CY597</f>
        <v/>
      </c>
      <c r="CZ598">
        <f>$C598*CZ597</f>
        <v/>
      </c>
      <c r="DA598">
        <f>$C598*DA597</f>
        <v/>
      </c>
      <c r="DB598">
        <f>$C598*DB597</f>
        <v/>
      </c>
      <c r="DC598">
        <f>$C598*DC597</f>
        <v/>
      </c>
    </row>
    <row r="599">
      <c r="B599" t="inlineStr">
        <is>
          <t>VSP-738</t>
        </is>
      </c>
      <c r="C599" t="inlineStr">
        <is>
          <t>No. of batches</t>
        </is>
      </c>
      <c r="D599">
        <f>IFERROR(INDEX(PP_Grid[#Data],$DD599,2),0)</f>
        <v/>
      </c>
      <c r="E599">
        <f>IFERROR(INDEX(PP_Grid[#Data],$DD599,3),0)</f>
        <v/>
      </c>
      <c r="F599">
        <f>IFERROR(INDEX(PP_Grid[#Data],$DD599,4),0)</f>
        <v/>
      </c>
      <c r="G599">
        <f>IFERROR(INDEX(PP_Grid[#Data],$DD599,5),0)</f>
        <v/>
      </c>
      <c r="H599">
        <f>IFERROR(INDEX(PP_Grid[#Data],$DD599,6),0)</f>
        <v/>
      </c>
      <c r="I599">
        <f>IFERROR(INDEX(PP_Grid[#Data],$DD599,7),0)</f>
        <v/>
      </c>
      <c r="J599">
        <f>IFERROR(INDEX(PP_Grid[#Data],$DD599,8),0)</f>
        <v/>
      </c>
      <c r="K599">
        <f>IFERROR(INDEX(PP_Grid[#Data],$DD599,9),0)</f>
        <v/>
      </c>
      <c r="L599">
        <f>IFERROR(INDEX(PP_Grid[#Data],$DD599,10),0)</f>
        <v/>
      </c>
      <c r="M599">
        <f>IFERROR(INDEX(PP_Grid[#Data],$DD599,11),0)</f>
        <v/>
      </c>
      <c r="N599">
        <f>IFERROR(INDEX(PP_Grid[#Data],$DD599,12),0)</f>
        <v/>
      </c>
      <c r="O599">
        <f>IFERROR(INDEX(PP_Grid[#Data],$DD599,13),0)</f>
        <v/>
      </c>
      <c r="P599">
        <f>IFERROR(INDEX(PP_Grid[#Data],$DD599,14),0)</f>
        <v/>
      </c>
      <c r="Q599">
        <f>IFERROR(INDEX(PP_Grid[#Data],$DD599,15),0)</f>
        <v/>
      </c>
      <c r="R599">
        <f>IFERROR(INDEX(PP_Grid[#Data],$DD599,16),0)</f>
        <v/>
      </c>
      <c r="S599">
        <f>IFERROR(INDEX(PP_Grid[#Data],$DD599,17),0)</f>
        <v/>
      </c>
      <c r="T599">
        <f>IFERROR(INDEX(PP_Grid[#Data],$DD599,18),0)</f>
        <v/>
      </c>
      <c r="U599">
        <f>IFERROR(INDEX(PP_Grid[#Data],$DD599,19),0)</f>
        <v/>
      </c>
      <c r="V599">
        <f>IFERROR(INDEX(PP_Grid[#Data],$DD599,20),0)</f>
        <v/>
      </c>
      <c r="W599">
        <f>IFERROR(INDEX(PP_Grid[#Data],$DD599,21),0)</f>
        <v/>
      </c>
      <c r="X599">
        <f>IFERROR(INDEX(PP_Grid[#Data],$DD599,22),0)</f>
        <v/>
      </c>
      <c r="Y599">
        <f>IFERROR(INDEX(PP_Grid[#Data],$DD599,23),0)</f>
        <v/>
      </c>
      <c r="Z599">
        <f>IFERROR(INDEX(PP_Grid[#Data],$DD599,24),0)</f>
        <v/>
      </c>
      <c r="AA599">
        <f>IFERROR(INDEX(PP_Grid[#Data],$DD599,25),0)</f>
        <v/>
      </c>
      <c r="AB599">
        <f>IFERROR(INDEX(PP_Grid[#Data],$DD599,26),0)</f>
        <v/>
      </c>
      <c r="AC599">
        <f>IFERROR(INDEX(PP_Grid[#Data],$DD599,27),0)</f>
        <v/>
      </c>
      <c r="AD599">
        <f>IFERROR(INDEX(PP_Grid[#Data],$DD599,28),0)</f>
        <v/>
      </c>
      <c r="AE599">
        <f>IFERROR(INDEX(PP_Grid[#Data],$DD599,29),0)</f>
        <v/>
      </c>
      <c r="AF599">
        <f>IFERROR(INDEX(PP_Grid[#Data],$DD599,30),0)</f>
        <v/>
      </c>
      <c r="AG599">
        <f>IFERROR(INDEX(PP_Grid[#Data],$DD599,31),0)</f>
        <v/>
      </c>
      <c r="AH599">
        <f>IFERROR(INDEX(PP_Grid[#Data],$DD599,32),0)</f>
        <v/>
      </c>
      <c r="AI599">
        <f>IFERROR(INDEX(PP_Grid[#Data],$DD599,33),0)</f>
        <v/>
      </c>
      <c r="AJ599">
        <f>IFERROR(INDEX(PP_Grid[#Data],$DD599,34),0)</f>
        <v/>
      </c>
      <c r="AK599">
        <f>IFERROR(INDEX(PP_Grid[#Data],$DD599,35),0)</f>
        <v/>
      </c>
      <c r="AL599">
        <f>IFERROR(INDEX(PP_Grid[#Data],$DD599,36),0)</f>
        <v/>
      </c>
      <c r="AM599">
        <f>IFERROR(INDEX(PP_Grid[#Data],$DD599,37),0)</f>
        <v/>
      </c>
      <c r="AN599">
        <f>IFERROR(INDEX(PP_Grid[#Data],$DD599,38),0)</f>
        <v/>
      </c>
      <c r="AO599">
        <f>IFERROR(INDEX(PP_Grid[#Data],$DD599,39),0)</f>
        <v/>
      </c>
      <c r="AP599">
        <f>IFERROR(INDEX(PP_Grid[#Data],$DD599,40),0)</f>
        <v/>
      </c>
      <c r="AQ599">
        <f>IFERROR(INDEX(PP_Grid[#Data],$DD599,41),0)</f>
        <v/>
      </c>
      <c r="AR599">
        <f>IFERROR(INDEX(PP_Grid[#Data],$DD599,42),0)</f>
        <v/>
      </c>
      <c r="AS599">
        <f>IFERROR(INDEX(PP_Grid[#Data],$DD599,43),0)</f>
        <v/>
      </c>
      <c r="AT599">
        <f>IFERROR(INDEX(PP_Grid[#Data],$DD599,44),0)</f>
        <v/>
      </c>
      <c r="AU599">
        <f>IFERROR(INDEX(PP_Grid[#Data],$DD599,45),0)</f>
        <v/>
      </c>
      <c r="AV599">
        <f>IFERROR(INDEX(PP_Grid[#Data],$DD599,46),0)</f>
        <v/>
      </c>
      <c r="AW599">
        <f>IFERROR(INDEX(PP_Grid[#Data],$DD599,47),0)</f>
        <v/>
      </c>
      <c r="AX599">
        <f>IFERROR(INDEX(PP_Grid[#Data],$DD599,48),0)</f>
        <v/>
      </c>
      <c r="AY599">
        <f>IFERROR(INDEX(PP_Grid[#Data],$DD599,49),0)</f>
        <v/>
      </c>
      <c r="AZ599">
        <f>IFERROR(INDEX(PP_Grid[#Data],$DD599,50),0)</f>
        <v/>
      </c>
      <c r="BA599">
        <f>IFERROR(INDEX(PP_Grid[#Data],$DD599,51),0)</f>
        <v/>
      </c>
      <c r="BB599">
        <f>IFERROR(INDEX(PP_Grid[#Data],$DD599,52),0)</f>
        <v/>
      </c>
      <c r="BC599">
        <f>IFERROR(INDEX(PP_Grid[#Data],$DD599,53),0)</f>
        <v/>
      </c>
      <c r="BD599">
        <f>IFERROR(INDEX(PP_Grid[#Data],$DD599,54),0)</f>
        <v/>
      </c>
      <c r="BE599">
        <f>IFERROR(INDEX(PP_Grid[#Data],$DD599,55),0)</f>
        <v/>
      </c>
      <c r="BF599">
        <f>IFERROR(INDEX(PP_Grid[#Data],$DD599,56),0)</f>
        <v/>
      </c>
      <c r="BG599">
        <f>IFERROR(INDEX(PP_Grid[#Data],$DD599,57),0)</f>
        <v/>
      </c>
      <c r="BH599">
        <f>IFERROR(INDEX(PP_Grid[#Data],$DD599,58),0)</f>
        <v/>
      </c>
      <c r="BI599">
        <f>IFERROR(INDEX(PP_Grid[#Data],$DD599,59),0)</f>
        <v/>
      </c>
      <c r="BJ599">
        <f>IFERROR(INDEX(PP_Grid[#Data],$DD599,60),0)</f>
        <v/>
      </c>
      <c r="BK599">
        <f>IFERROR(INDEX(PP_Grid[#Data],$DD599,61),0)</f>
        <v/>
      </c>
      <c r="BL599">
        <f>IFERROR(INDEX(PP_Grid[#Data],$DD599,62),0)</f>
        <v/>
      </c>
      <c r="BM599">
        <f>IFERROR(INDEX(PP_Grid[#Data],$DD599,63),0)</f>
        <v/>
      </c>
      <c r="BN599">
        <f>IFERROR(INDEX(PP_Grid[#Data],$DD599,64),0)</f>
        <v/>
      </c>
      <c r="BO599">
        <f>IFERROR(INDEX(PP_Grid[#Data],$DD599,65),0)</f>
        <v/>
      </c>
      <c r="BP599">
        <f>IFERROR(INDEX(PP_Grid[#Data],$DD599,66),0)</f>
        <v/>
      </c>
      <c r="BQ599">
        <f>IFERROR(INDEX(PP_Grid[#Data],$DD599,67),0)</f>
        <v/>
      </c>
      <c r="BR599">
        <f>IFERROR(INDEX(PP_Grid[#Data],$DD599,68),0)</f>
        <v/>
      </c>
      <c r="BS599">
        <f>IFERROR(INDEX(PP_Grid[#Data],$DD599,69),0)</f>
        <v/>
      </c>
      <c r="BT599">
        <f>IFERROR(INDEX(PP_Grid[#Data],$DD599,70),0)</f>
        <v/>
      </c>
      <c r="BU599">
        <f>IFERROR(INDEX(PP_Grid[#Data],$DD599,71),0)</f>
        <v/>
      </c>
      <c r="BV599">
        <f>IFERROR(INDEX(PP_Grid[#Data],$DD599,72),0)</f>
        <v/>
      </c>
      <c r="BW599">
        <f>IFERROR(INDEX(PP_Grid[#Data],$DD599,73),0)</f>
        <v/>
      </c>
      <c r="BX599">
        <f>IFERROR(INDEX(PP_Grid[#Data],$DD599,74),0)</f>
        <v/>
      </c>
      <c r="BY599">
        <f>IFERROR(INDEX(PP_Grid[#Data],$DD599,75),0)</f>
        <v/>
      </c>
      <c r="BZ599">
        <f>IFERROR(INDEX(PP_Grid[#Data],$DD599,76),0)</f>
        <v/>
      </c>
      <c r="CA599">
        <f>IFERROR(INDEX(PP_Grid[#Data],$DD599,77),0)</f>
        <v/>
      </c>
      <c r="CB599">
        <f>IFERROR(INDEX(PP_Grid[#Data],$DD599,78),0)</f>
        <v/>
      </c>
      <c r="CC599">
        <f>IFERROR(INDEX(PP_Grid[#Data],$DD599,79),0)</f>
        <v/>
      </c>
      <c r="CD599">
        <f>IFERROR(INDEX(PP_Grid[#Data],$DD599,80),0)</f>
        <v/>
      </c>
      <c r="CE599">
        <f>IFERROR(INDEX(PP_Grid[#Data],$DD599,81),0)</f>
        <v/>
      </c>
      <c r="CF599">
        <f>IFERROR(INDEX(PP_Grid[#Data],$DD599,82),0)</f>
        <v/>
      </c>
      <c r="CG599">
        <f>IFERROR(INDEX(PP_Grid[#Data],$DD599,83),0)</f>
        <v/>
      </c>
      <c r="CH599">
        <f>IFERROR(INDEX(PP_Grid[#Data],$DD599,84),0)</f>
        <v/>
      </c>
      <c r="CI599">
        <f>IFERROR(INDEX(PP_Grid[#Data],$DD599,85),0)</f>
        <v/>
      </c>
      <c r="CJ599">
        <f>IFERROR(INDEX(PP_Grid[#Data],$DD599,86),0)</f>
        <v/>
      </c>
      <c r="CK599">
        <f>IFERROR(INDEX(PP_Grid[#Data],$DD599,87),0)</f>
        <v/>
      </c>
      <c r="CL599">
        <f>IFERROR(INDEX(PP_Grid[#Data],$DD599,88),0)</f>
        <v/>
      </c>
      <c r="CM599">
        <f>IFERROR(INDEX(PP_Grid[#Data],$DD599,89),0)</f>
        <v/>
      </c>
      <c r="CN599">
        <f>IFERROR(INDEX(PP_Grid[#Data],$DD599,90),0)</f>
        <v/>
      </c>
      <c r="CO599">
        <f>IFERROR(INDEX(PP_Grid[#Data],$DD599,91),0)</f>
        <v/>
      </c>
      <c r="CP599">
        <f>IFERROR(INDEX(PP_Grid[#Data],$DD599,92),0)</f>
        <v/>
      </c>
      <c r="CQ599">
        <f>IFERROR(INDEX(PP_Grid[#Data],$DD599,93),0)</f>
        <v/>
      </c>
      <c r="CR599">
        <f>IFERROR(INDEX(PP_Grid[#Data],$DD599,94),0)</f>
        <v/>
      </c>
      <c r="CS599">
        <f>IFERROR(INDEX(PP_Grid[#Data],$DD599,95),0)</f>
        <v/>
      </c>
      <c r="CT599">
        <f>IFERROR(INDEX(PP_Grid[#Data],$DD599,96),0)</f>
        <v/>
      </c>
      <c r="CU599">
        <f>IFERROR(INDEX(PP_Grid[#Data],$DD599,97),0)</f>
        <v/>
      </c>
      <c r="CV599">
        <f>IFERROR(INDEX(PP_Grid[#Data],$DD599,98),0)</f>
        <v/>
      </c>
      <c r="CW599">
        <f>IFERROR(INDEX(PP_Grid[#Data],$DD599,99),0)</f>
        <v/>
      </c>
      <c r="CX599">
        <f>IFERROR(INDEX(PP_Grid[#Data],$DD599,100),0)</f>
        <v/>
      </c>
      <c r="CY599">
        <f>IFERROR(INDEX(PP_Grid[#Data],$DD599,101),0)</f>
        <v/>
      </c>
      <c r="CZ599">
        <f>IFERROR(INDEX(PP_Grid[#Data],$DD599,102),0)</f>
        <v/>
      </c>
      <c r="DA599">
        <f>IFERROR(INDEX(PP_Grid[#Data],$DD599,103),0)</f>
        <v/>
      </c>
      <c r="DB599">
        <f>IFERROR(INDEX(PP_Grid[#Data],$DD599,104),0)</f>
        <v/>
      </c>
      <c r="DC599">
        <f>IFERROR(INDEX(PP_Grid[#Data],$DD599,105),0)</f>
        <v/>
      </c>
      <c r="DD599" s="7">
        <f>IFERROR(MATCH($B599,PP_Grid[Intermediate],0),99999)</f>
        <v/>
      </c>
    </row>
    <row r="600">
      <c r="B600" t="inlineStr">
        <is>
          <t>使用量(kg)</t>
        </is>
      </c>
      <c r="C600">
        <f>SUMIFS(M_BOM[RM_Qty_Per_Batch],M_BOM[Intermediate],$B599,M_BOM[Part Name],$A580)</f>
        <v/>
      </c>
      <c r="D600">
        <f>$C600*D599</f>
        <v/>
      </c>
      <c r="E600">
        <f>$C600*E599</f>
        <v/>
      </c>
      <c r="F600">
        <f>$C600*F599</f>
        <v/>
      </c>
      <c r="G600">
        <f>$C600*G599</f>
        <v/>
      </c>
      <c r="H600">
        <f>$C600*H599</f>
        <v/>
      </c>
      <c r="I600">
        <f>$C600*I599</f>
        <v/>
      </c>
      <c r="J600">
        <f>$C600*J599</f>
        <v/>
      </c>
      <c r="K600">
        <f>$C600*K599</f>
        <v/>
      </c>
      <c r="L600">
        <f>$C600*L599</f>
        <v/>
      </c>
      <c r="M600">
        <f>$C600*M599</f>
        <v/>
      </c>
      <c r="N600">
        <f>$C600*N599</f>
        <v/>
      </c>
      <c r="O600">
        <f>$C600*O599</f>
        <v/>
      </c>
      <c r="P600">
        <f>$C600*P599</f>
        <v/>
      </c>
      <c r="Q600">
        <f>$C600*Q599</f>
        <v/>
      </c>
      <c r="R600">
        <f>$C600*R599</f>
        <v/>
      </c>
      <c r="S600">
        <f>$C600*S599</f>
        <v/>
      </c>
      <c r="T600">
        <f>$C600*T599</f>
        <v/>
      </c>
      <c r="U600">
        <f>$C600*U599</f>
        <v/>
      </c>
      <c r="V600">
        <f>$C600*V599</f>
        <v/>
      </c>
      <c r="W600">
        <f>$C600*W599</f>
        <v/>
      </c>
      <c r="X600">
        <f>$C600*X599</f>
        <v/>
      </c>
      <c r="Y600">
        <f>$C600*Y599</f>
        <v/>
      </c>
      <c r="Z600">
        <f>$C600*Z599</f>
        <v/>
      </c>
      <c r="AA600">
        <f>$C600*AA599</f>
        <v/>
      </c>
      <c r="AB600">
        <f>$C600*AB599</f>
        <v/>
      </c>
      <c r="AC600">
        <f>$C600*AC599</f>
        <v/>
      </c>
      <c r="AD600">
        <f>$C600*AD599</f>
        <v/>
      </c>
      <c r="AE600">
        <f>$C600*AE599</f>
        <v/>
      </c>
      <c r="AF600">
        <f>$C600*AF599</f>
        <v/>
      </c>
      <c r="AG600">
        <f>$C600*AG599</f>
        <v/>
      </c>
      <c r="AH600">
        <f>$C600*AH599</f>
        <v/>
      </c>
      <c r="AI600">
        <f>$C600*AI599</f>
        <v/>
      </c>
      <c r="AJ600">
        <f>$C600*AJ599</f>
        <v/>
      </c>
      <c r="AK600">
        <f>$C600*AK599</f>
        <v/>
      </c>
      <c r="AL600">
        <f>$C600*AL599</f>
        <v/>
      </c>
      <c r="AM600">
        <f>$C600*AM599</f>
        <v/>
      </c>
      <c r="AN600">
        <f>$C600*AN599</f>
        <v/>
      </c>
      <c r="AO600">
        <f>$C600*AO599</f>
        <v/>
      </c>
      <c r="AP600">
        <f>$C600*AP599</f>
        <v/>
      </c>
      <c r="AQ600">
        <f>$C600*AQ599</f>
        <v/>
      </c>
      <c r="AR600">
        <f>$C600*AR599</f>
        <v/>
      </c>
      <c r="AS600">
        <f>$C600*AS599</f>
        <v/>
      </c>
      <c r="AT600">
        <f>$C600*AT599</f>
        <v/>
      </c>
      <c r="AU600">
        <f>$C600*AU599</f>
        <v/>
      </c>
      <c r="AV600">
        <f>$C600*AV599</f>
        <v/>
      </c>
      <c r="AW600">
        <f>$C600*AW599</f>
        <v/>
      </c>
      <c r="AX600">
        <f>$C600*AX599</f>
        <v/>
      </c>
      <c r="AY600">
        <f>$C600*AY599</f>
        <v/>
      </c>
      <c r="AZ600">
        <f>$C600*AZ599</f>
        <v/>
      </c>
      <c r="BA600">
        <f>$C600*BA599</f>
        <v/>
      </c>
      <c r="BB600">
        <f>$C600*BB599</f>
        <v/>
      </c>
      <c r="BC600">
        <f>$C600*BC599</f>
        <v/>
      </c>
      <c r="BD600">
        <f>$C600*BD599</f>
        <v/>
      </c>
      <c r="BE600">
        <f>$C600*BE599</f>
        <v/>
      </c>
      <c r="BF600">
        <f>$C600*BF599</f>
        <v/>
      </c>
      <c r="BG600">
        <f>$C600*BG599</f>
        <v/>
      </c>
      <c r="BH600">
        <f>$C600*BH599</f>
        <v/>
      </c>
      <c r="BI600">
        <f>$C600*BI599</f>
        <v/>
      </c>
      <c r="BJ600">
        <f>$C600*BJ599</f>
        <v/>
      </c>
      <c r="BK600">
        <f>$C600*BK599</f>
        <v/>
      </c>
      <c r="BL600">
        <f>$C600*BL599</f>
        <v/>
      </c>
      <c r="BM600">
        <f>$C600*BM599</f>
        <v/>
      </c>
      <c r="BN600">
        <f>$C600*BN599</f>
        <v/>
      </c>
      <c r="BO600">
        <f>$C600*BO599</f>
        <v/>
      </c>
      <c r="BP600">
        <f>$C600*BP599</f>
        <v/>
      </c>
      <c r="BQ600">
        <f>$C600*BQ599</f>
        <v/>
      </c>
      <c r="BR600">
        <f>$C600*BR599</f>
        <v/>
      </c>
      <c r="BS600">
        <f>$C600*BS599</f>
        <v/>
      </c>
      <c r="BT600">
        <f>$C600*BT599</f>
        <v/>
      </c>
      <c r="BU600">
        <f>$C600*BU599</f>
        <v/>
      </c>
      <c r="BV600">
        <f>$C600*BV599</f>
        <v/>
      </c>
      <c r="BW600">
        <f>$C600*BW599</f>
        <v/>
      </c>
      <c r="BX600">
        <f>$C600*BX599</f>
        <v/>
      </c>
      <c r="BY600">
        <f>$C600*BY599</f>
        <v/>
      </c>
      <c r="BZ600">
        <f>$C600*BZ599</f>
        <v/>
      </c>
      <c r="CA600">
        <f>$C600*CA599</f>
        <v/>
      </c>
      <c r="CB600">
        <f>$C600*CB599</f>
        <v/>
      </c>
      <c r="CC600">
        <f>$C600*CC599</f>
        <v/>
      </c>
      <c r="CD600">
        <f>$C600*CD599</f>
        <v/>
      </c>
      <c r="CE600">
        <f>$C600*CE599</f>
        <v/>
      </c>
      <c r="CF600">
        <f>$C600*CF599</f>
        <v/>
      </c>
      <c r="CG600">
        <f>$C600*CG599</f>
        <v/>
      </c>
      <c r="CH600">
        <f>$C600*CH599</f>
        <v/>
      </c>
      <c r="CI600">
        <f>$C600*CI599</f>
        <v/>
      </c>
      <c r="CJ600">
        <f>$C600*CJ599</f>
        <v/>
      </c>
      <c r="CK600">
        <f>$C600*CK599</f>
        <v/>
      </c>
      <c r="CL600">
        <f>$C600*CL599</f>
        <v/>
      </c>
      <c r="CM600">
        <f>$C600*CM599</f>
        <v/>
      </c>
      <c r="CN600">
        <f>$C600*CN599</f>
        <v/>
      </c>
      <c r="CO600">
        <f>$C600*CO599</f>
        <v/>
      </c>
      <c r="CP600">
        <f>$C600*CP599</f>
        <v/>
      </c>
      <c r="CQ600">
        <f>$C600*CQ599</f>
        <v/>
      </c>
      <c r="CR600">
        <f>$C600*CR599</f>
        <v/>
      </c>
      <c r="CS600">
        <f>$C600*CS599</f>
        <v/>
      </c>
      <c r="CT600">
        <f>$C600*CT599</f>
        <v/>
      </c>
      <c r="CU600">
        <f>$C600*CU599</f>
        <v/>
      </c>
      <c r="CV600">
        <f>$C600*CV599</f>
        <v/>
      </c>
      <c r="CW600">
        <f>$C600*CW599</f>
        <v/>
      </c>
      <c r="CX600">
        <f>$C600*CX599</f>
        <v/>
      </c>
      <c r="CY600">
        <f>$C600*CY599</f>
        <v/>
      </c>
      <c r="CZ600">
        <f>$C600*CZ599</f>
        <v/>
      </c>
      <c r="DA600">
        <f>$C600*DA599</f>
        <v/>
      </c>
      <c r="DB600">
        <f>$C600*DB599</f>
        <v/>
      </c>
      <c r="DC600">
        <f>$C600*DC599</f>
        <v/>
      </c>
    </row>
    <row r="601">
      <c r="B601" t="inlineStr">
        <is>
          <t>VSP-739</t>
        </is>
      </c>
      <c r="C601" t="inlineStr">
        <is>
          <t>No. of batches</t>
        </is>
      </c>
      <c r="D601">
        <f>IFERROR(INDEX(PP_Grid[#Data],$DD601,2),0)</f>
        <v/>
      </c>
      <c r="E601">
        <f>IFERROR(INDEX(PP_Grid[#Data],$DD601,3),0)</f>
        <v/>
      </c>
      <c r="F601">
        <f>IFERROR(INDEX(PP_Grid[#Data],$DD601,4),0)</f>
        <v/>
      </c>
      <c r="G601">
        <f>IFERROR(INDEX(PP_Grid[#Data],$DD601,5),0)</f>
        <v/>
      </c>
      <c r="H601">
        <f>IFERROR(INDEX(PP_Grid[#Data],$DD601,6),0)</f>
        <v/>
      </c>
      <c r="I601">
        <f>IFERROR(INDEX(PP_Grid[#Data],$DD601,7),0)</f>
        <v/>
      </c>
      <c r="J601">
        <f>IFERROR(INDEX(PP_Grid[#Data],$DD601,8),0)</f>
        <v/>
      </c>
      <c r="K601">
        <f>IFERROR(INDEX(PP_Grid[#Data],$DD601,9),0)</f>
        <v/>
      </c>
      <c r="L601">
        <f>IFERROR(INDEX(PP_Grid[#Data],$DD601,10),0)</f>
        <v/>
      </c>
      <c r="M601">
        <f>IFERROR(INDEX(PP_Grid[#Data],$DD601,11),0)</f>
        <v/>
      </c>
      <c r="N601">
        <f>IFERROR(INDEX(PP_Grid[#Data],$DD601,12),0)</f>
        <v/>
      </c>
      <c r="O601">
        <f>IFERROR(INDEX(PP_Grid[#Data],$DD601,13),0)</f>
        <v/>
      </c>
      <c r="P601">
        <f>IFERROR(INDEX(PP_Grid[#Data],$DD601,14),0)</f>
        <v/>
      </c>
      <c r="Q601">
        <f>IFERROR(INDEX(PP_Grid[#Data],$DD601,15),0)</f>
        <v/>
      </c>
      <c r="R601">
        <f>IFERROR(INDEX(PP_Grid[#Data],$DD601,16),0)</f>
        <v/>
      </c>
      <c r="S601">
        <f>IFERROR(INDEX(PP_Grid[#Data],$DD601,17),0)</f>
        <v/>
      </c>
      <c r="T601">
        <f>IFERROR(INDEX(PP_Grid[#Data],$DD601,18),0)</f>
        <v/>
      </c>
      <c r="U601">
        <f>IFERROR(INDEX(PP_Grid[#Data],$DD601,19),0)</f>
        <v/>
      </c>
      <c r="V601">
        <f>IFERROR(INDEX(PP_Grid[#Data],$DD601,20),0)</f>
        <v/>
      </c>
      <c r="W601">
        <f>IFERROR(INDEX(PP_Grid[#Data],$DD601,21),0)</f>
        <v/>
      </c>
      <c r="X601">
        <f>IFERROR(INDEX(PP_Grid[#Data],$DD601,22),0)</f>
        <v/>
      </c>
      <c r="Y601">
        <f>IFERROR(INDEX(PP_Grid[#Data],$DD601,23),0)</f>
        <v/>
      </c>
      <c r="Z601">
        <f>IFERROR(INDEX(PP_Grid[#Data],$DD601,24),0)</f>
        <v/>
      </c>
      <c r="AA601">
        <f>IFERROR(INDEX(PP_Grid[#Data],$DD601,25),0)</f>
        <v/>
      </c>
      <c r="AB601">
        <f>IFERROR(INDEX(PP_Grid[#Data],$DD601,26),0)</f>
        <v/>
      </c>
      <c r="AC601">
        <f>IFERROR(INDEX(PP_Grid[#Data],$DD601,27),0)</f>
        <v/>
      </c>
      <c r="AD601">
        <f>IFERROR(INDEX(PP_Grid[#Data],$DD601,28),0)</f>
        <v/>
      </c>
      <c r="AE601">
        <f>IFERROR(INDEX(PP_Grid[#Data],$DD601,29),0)</f>
        <v/>
      </c>
      <c r="AF601">
        <f>IFERROR(INDEX(PP_Grid[#Data],$DD601,30),0)</f>
        <v/>
      </c>
      <c r="AG601">
        <f>IFERROR(INDEX(PP_Grid[#Data],$DD601,31),0)</f>
        <v/>
      </c>
      <c r="AH601">
        <f>IFERROR(INDEX(PP_Grid[#Data],$DD601,32),0)</f>
        <v/>
      </c>
      <c r="AI601">
        <f>IFERROR(INDEX(PP_Grid[#Data],$DD601,33),0)</f>
        <v/>
      </c>
      <c r="AJ601">
        <f>IFERROR(INDEX(PP_Grid[#Data],$DD601,34),0)</f>
        <v/>
      </c>
      <c r="AK601">
        <f>IFERROR(INDEX(PP_Grid[#Data],$DD601,35),0)</f>
        <v/>
      </c>
      <c r="AL601">
        <f>IFERROR(INDEX(PP_Grid[#Data],$DD601,36),0)</f>
        <v/>
      </c>
      <c r="AM601">
        <f>IFERROR(INDEX(PP_Grid[#Data],$DD601,37),0)</f>
        <v/>
      </c>
      <c r="AN601">
        <f>IFERROR(INDEX(PP_Grid[#Data],$DD601,38),0)</f>
        <v/>
      </c>
      <c r="AO601">
        <f>IFERROR(INDEX(PP_Grid[#Data],$DD601,39),0)</f>
        <v/>
      </c>
      <c r="AP601">
        <f>IFERROR(INDEX(PP_Grid[#Data],$DD601,40),0)</f>
        <v/>
      </c>
      <c r="AQ601">
        <f>IFERROR(INDEX(PP_Grid[#Data],$DD601,41),0)</f>
        <v/>
      </c>
      <c r="AR601">
        <f>IFERROR(INDEX(PP_Grid[#Data],$DD601,42),0)</f>
        <v/>
      </c>
      <c r="AS601">
        <f>IFERROR(INDEX(PP_Grid[#Data],$DD601,43),0)</f>
        <v/>
      </c>
      <c r="AT601">
        <f>IFERROR(INDEX(PP_Grid[#Data],$DD601,44),0)</f>
        <v/>
      </c>
      <c r="AU601">
        <f>IFERROR(INDEX(PP_Grid[#Data],$DD601,45),0)</f>
        <v/>
      </c>
      <c r="AV601">
        <f>IFERROR(INDEX(PP_Grid[#Data],$DD601,46),0)</f>
        <v/>
      </c>
      <c r="AW601">
        <f>IFERROR(INDEX(PP_Grid[#Data],$DD601,47),0)</f>
        <v/>
      </c>
      <c r="AX601">
        <f>IFERROR(INDEX(PP_Grid[#Data],$DD601,48),0)</f>
        <v/>
      </c>
      <c r="AY601">
        <f>IFERROR(INDEX(PP_Grid[#Data],$DD601,49),0)</f>
        <v/>
      </c>
      <c r="AZ601">
        <f>IFERROR(INDEX(PP_Grid[#Data],$DD601,50),0)</f>
        <v/>
      </c>
      <c r="BA601">
        <f>IFERROR(INDEX(PP_Grid[#Data],$DD601,51),0)</f>
        <v/>
      </c>
      <c r="BB601">
        <f>IFERROR(INDEX(PP_Grid[#Data],$DD601,52),0)</f>
        <v/>
      </c>
      <c r="BC601">
        <f>IFERROR(INDEX(PP_Grid[#Data],$DD601,53),0)</f>
        <v/>
      </c>
      <c r="BD601">
        <f>IFERROR(INDEX(PP_Grid[#Data],$DD601,54),0)</f>
        <v/>
      </c>
      <c r="BE601">
        <f>IFERROR(INDEX(PP_Grid[#Data],$DD601,55),0)</f>
        <v/>
      </c>
      <c r="BF601">
        <f>IFERROR(INDEX(PP_Grid[#Data],$DD601,56),0)</f>
        <v/>
      </c>
      <c r="BG601">
        <f>IFERROR(INDEX(PP_Grid[#Data],$DD601,57),0)</f>
        <v/>
      </c>
      <c r="BH601">
        <f>IFERROR(INDEX(PP_Grid[#Data],$DD601,58),0)</f>
        <v/>
      </c>
      <c r="BI601">
        <f>IFERROR(INDEX(PP_Grid[#Data],$DD601,59),0)</f>
        <v/>
      </c>
      <c r="BJ601">
        <f>IFERROR(INDEX(PP_Grid[#Data],$DD601,60),0)</f>
        <v/>
      </c>
      <c r="BK601">
        <f>IFERROR(INDEX(PP_Grid[#Data],$DD601,61),0)</f>
        <v/>
      </c>
      <c r="BL601">
        <f>IFERROR(INDEX(PP_Grid[#Data],$DD601,62),0)</f>
        <v/>
      </c>
      <c r="BM601">
        <f>IFERROR(INDEX(PP_Grid[#Data],$DD601,63),0)</f>
        <v/>
      </c>
      <c r="BN601">
        <f>IFERROR(INDEX(PP_Grid[#Data],$DD601,64),0)</f>
        <v/>
      </c>
      <c r="BO601">
        <f>IFERROR(INDEX(PP_Grid[#Data],$DD601,65),0)</f>
        <v/>
      </c>
      <c r="BP601">
        <f>IFERROR(INDEX(PP_Grid[#Data],$DD601,66),0)</f>
        <v/>
      </c>
      <c r="BQ601">
        <f>IFERROR(INDEX(PP_Grid[#Data],$DD601,67),0)</f>
        <v/>
      </c>
      <c r="BR601">
        <f>IFERROR(INDEX(PP_Grid[#Data],$DD601,68),0)</f>
        <v/>
      </c>
      <c r="BS601">
        <f>IFERROR(INDEX(PP_Grid[#Data],$DD601,69),0)</f>
        <v/>
      </c>
      <c r="BT601">
        <f>IFERROR(INDEX(PP_Grid[#Data],$DD601,70),0)</f>
        <v/>
      </c>
      <c r="BU601">
        <f>IFERROR(INDEX(PP_Grid[#Data],$DD601,71),0)</f>
        <v/>
      </c>
      <c r="BV601">
        <f>IFERROR(INDEX(PP_Grid[#Data],$DD601,72),0)</f>
        <v/>
      </c>
      <c r="BW601">
        <f>IFERROR(INDEX(PP_Grid[#Data],$DD601,73),0)</f>
        <v/>
      </c>
      <c r="BX601">
        <f>IFERROR(INDEX(PP_Grid[#Data],$DD601,74),0)</f>
        <v/>
      </c>
      <c r="BY601">
        <f>IFERROR(INDEX(PP_Grid[#Data],$DD601,75),0)</f>
        <v/>
      </c>
      <c r="BZ601">
        <f>IFERROR(INDEX(PP_Grid[#Data],$DD601,76),0)</f>
        <v/>
      </c>
      <c r="CA601">
        <f>IFERROR(INDEX(PP_Grid[#Data],$DD601,77),0)</f>
        <v/>
      </c>
      <c r="CB601">
        <f>IFERROR(INDEX(PP_Grid[#Data],$DD601,78),0)</f>
        <v/>
      </c>
      <c r="CC601">
        <f>IFERROR(INDEX(PP_Grid[#Data],$DD601,79),0)</f>
        <v/>
      </c>
      <c r="CD601">
        <f>IFERROR(INDEX(PP_Grid[#Data],$DD601,80),0)</f>
        <v/>
      </c>
      <c r="CE601">
        <f>IFERROR(INDEX(PP_Grid[#Data],$DD601,81),0)</f>
        <v/>
      </c>
      <c r="CF601">
        <f>IFERROR(INDEX(PP_Grid[#Data],$DD601,82),0)</f>
        <v/>
      </c>
      <c r="CG601">
        <f>IFERROR(INDEX(PP_Grid[#Data],$DD601,83),0)</f>
        <v/>
      </c>
      <c r="CH601">
        <f>IFERROR(INDEX(PP_Grid[#Data],$DD601,84),0)</f>
        <v/>
      </c>
      <c r="CI601">
        <f>IFERROR(INDEX(PP_Grid[#Data],$DD601,85),0)</f>
        <v/>
      </c>
      <c r="CJ601">
        <f>IFERROR(INDEX(PP_Grid[#Data],$DD601,86),0)</f>
        <v/>
      </c>
      <c r="CK601">
        <f>IFERROR(INDEX(PP_Grid[#Data],$DD601,87),0)</f>
        <v/>
      </c>
      <c r="CL601">
        <f>IFERROR(INDEX(PP_Grid[#Data],$DD601,88),0)</f>
        <v/>
      </c>
      <c r="CM601">
        <f>IFERROR(INDEX(PP_Grid[#Data],$DD601,89),0)</f>
        <v/>
      </c>
      <c r="CN601">
        <f>IFERROR(INDEX(PP_Grid[#Data],$DD601,90),0)</f>
        <v/>
      </c>
      <c r="CO601">
        <f>IFERROR(INDEX(PP_Grid[#Data],$DD601,91),0)</f>
        <v/>
      </c>
      <c r="CP601">
        <f>IFERROR(INDEX(PP_Grid[#Data],$DD601,92),0)</f>
        <v/>
      </c>
      <c r="CQ601">
        <f>IFERROR(INDEX(PP_Grid[#Data],$DD601,93),0)</f>
        <v/>
      </c>
      <c r="CR601">
        <f>IFERROR(INDEX(PP_Grid[#Data],$DD601,94),0)</f>
        <v/>
      </c>
      <c r="CS601">
        <f>IFERROR(INDEX(PP_Grid[#Data],$DD601,95),0)</f>
        <v/>
      </c>
      <c r="CT601">
        <f>IFERROR(INDEX(PP_Grid[#Data],$DD601,96),0)</f>
        <v/>
      </c>
      <c r="CU601">
        <f>IFERROR(INDEX(PP_Grid[#Data],$DD601,97),0)</f>
        <v/>
      </c>
      <c r="CV601">
        <f>IFERROR(INDEX(PP_Grid[#Data],$DD601,98),0)</f>
        <v/>
      </c>
      <c r="CW601">
        <f>IFERROR(INDEX(PP_Grid[#Data],$DD601,99),0)</f>
        <v/>
      </c>
      <c r="CX601">
        <f>IFERROR(INDEX(PP_Grid[#Data],$DD601,100),0)</f>
        <v/>
      </c>
      <c r="CY601">
        <f>IFERROR(INDEX(PP_Grid[#Data],$DD601,101),0)</f>
        <v/>
      </c>
      <c r="CZ601">
        <f>IFERROR(INDEX(PP_Grid[#Data],$DD601,102),0)</f>
        <v/>
      </c>
      <c r="DA601">
        <f>IFERROR(INDEX(PP_Grid[#Data],$DD601,103),0)</f>
        <v/>
      </c>
      <c r="DB601">
        <f>IFERROR(INDEX(PP_Grid[#Data],$DD601,104),0)</f>
        <v/>
      </c>
      <c r="DC601">
        <f>IFERROR(INDEX(PP_Grid[#Data],$DD601,105),0)</f>
        <v/>
      </c>
      <c r="DD601" s="7">
        <f>IFERROR(MATCH($B601,PP_Grid[Intermediate],0),99999)</f>
        <v/>
      </c>
    </row>
    <row r="602">
      <c r="B602" t="inlineStr">
        <is>
          <t>使用量(kg)</t>
        </is>
      </c>
      <c r="C602">
        <f>SUMIFS(M_BOM[RM_Qty_Per_Batch],M_BOM[Intermediate],$B601,M_BOM[Part Name],$A580)</f>
        <v/>
      </c>
      <c r="D602">
        <f>$C602*D601</f>
        <v/>
      </c>
      <c r="E602">
        <f>$C602*E601</f>
        <v/>
      </c>
      <c r="F602">
        <f>$C602*F601</f>
        <v/>
      </c>
      <c r="G602">
        <f>$C602*G601</f>
        <v/>
      </c>
      <c r="H602">
        <f>$C602*H601</f>
        <v/>
      </c>
      <c r="I602">
        <f>$C602*I601</f>
        <v/>
      </c>
      <c r="J602">
        <f>$C602*J601</f>
        <v/>
      </c>
      <c r="K602">
        <f>$C602*K601</f>
        <v/>
      </c>
      <c r="L602">
        <f>$C602*L601</f>
        <v/>
      </c>
      <c r="M602">
        <f>$C602*M601</f>
        <v/>
      </c>
      <c r="N602">
        <f>$C602*N601</f>
        <v/>
      </c>
      <c r="O602">
        <f>$C602*O601</f>
        <v/>
      </c>
      <c r="P602">
        <f>$C602*P601</f>
        <v/>
      </c>
      <c r="Q602">
        <f>$C602*Q601</f>
        <v/>
      </c>
      <c r="R602">
        <f>$C602*R601</f>
        <v/>
      </c>
      <c r="S602">
        <f>$C602*S601</f>
        <v/>
      </c>
      <c r="T602">
        <f>$C602*T601</f>
        <v/>
      </c>
      <c r="U602">
        <f>$C602*U601</f>
        <v/>
      </c>
      <c r="V602">
        <f>$C602*V601</f>
        <v/>
      </c>
      <c r="W602">
        <f>$C602*W601</f>
        <v/>
      </c>
      <c r="X602">
        <f>$C602*X601</f>
        <v/>
      </c>
      <c r="Y602">
        <f>$C602*Y601</f>
        <v/>
      </c>
      <c r="Z602">
        <f>$C602*Z601</f>
        <v/>
      </c>
      <c r="AA602">
        <f>$C602*AA601</f>
        <v/>
      </c>
      <c r="AB602">
        <f>$C602*AB601</f>
        <v/>
      </c>
      <c r="AC602">
        <f>$C602*AC601</f>
        <v/>
      </c>
      <c r="AD602">
        <f>$C602*AD601</f>
        <v/>
      </c>
      <c r="AE602">
        <f>$C602*AE601</f>
        <v/>
      </c>
      <c r="AF602">
        <f>$C602*AF601</f>
        <v/>
      </c>
      <c r="AG602">
        <f>$C602*AG601</f>
        <v/>
      </c>
      <c r="AH602">
        <f>$C602*AH601</f>
        <v/>
      </c>
      <c r="AI602">
        <f>$C602*AI601</f>
        <v/>
      </c>
      <c r="AJ602">
        <f>$C602*AJ601</f>
        <v/>
      </c>
      <c r="AK602">
        <f>$C602*AK601</f>
        <v/>
      </c>
      <c r="AL602">
        <f>$C602*AL601</f>
        <v/>
      </c>
      <c r="AM602">
        <f>$C602*AM601</f>
        <v/>
      </c>
      <c r="AN602">
        <f>$C602*AN601</f>
        <v/>
      </c>
      <c r="AO602">
        <f>$C602*AO601</f>
        <v/>
      </c>
      <c r="AP602">
        <f>$C602*AP601</f>
        <v/>
      </c>
      <c r="AQ602">
        <f>$C602*AQ601</f>
        <v/>
      </c>
      <c r="AR602">
        <f>$C602*AR601</f>
        <v/>
      </c>
      <c r="AS602">
        <f>$C602*AS601</f>
        <v/>
      </c>
      <c r="AT602">
        <f>$C602*AT601</f>
        <v/>
      </c>
      <c r="AU602">
        <f>$C602*AU601</f>
        <v/>
      </c>
      <c r="AV602">
        <f>$C602*AV601</f>
        <v/>
      </c>
      <c r="AW602">
        <f>$C602*AW601</f>
        <v/>
      </c>
      <c r="AX602">
        <f>$C602*AX601</f>
        <v/>
      </c>
      <c r="AY602">
        <f>$C602*AY601</f>
        <v/>
      </c>
      <c r="AZ602">
        <f>$C602*AZ601</f>
        <v/>
      </c>
      <c r="BA602">
        <f>$C602*BA601</f>
        <v/>
      </c>
      <c r="BB602">
        <f>$C602*BB601</f>
        <v/>
      </c>
      <c r="BC602">
        <f>$C602*BC601</f>
        <v/>
      </c>
      <c r="BD602">
        <f>$C602*BD601</f>
        <v/>
      </c>
      <c r="BE602">
        <f>$C602*BE601</f>
        <v/>
      </c>
      <c r="BF602">
        <f>$C602*BF601</f>
        <v/>
      </c>
      <c r="BG602">
        <f>$C602*BG601</f>
        <v/>
      </c>
      <c r="BH602">
        <f>$C602*BH601</f>
        <v/>
      </c>
      <c r="BI602">
        <f>$C602*BI601</f>
        <v/>
      </c>
      <c r="BJ602">
        <f>$C602*BJ601</f>
        <v/>
      </c>
      <c r="BK602">
        <f>$C602*BK601</f>
        <v/>
      </c>
      <c r="BL602">
        <f>$C602*BL601</f>
        <v/>
      </c>
      <c r="BM602">
        <f>$C602*BM601</f>
        <v/>
      </c>
      <c r="BN602">
        <f>$C602*BN601</f>
        <v/>
      </c>
      <c r="BO602">
        <f>$C602*BO601</f>
        <v/>
      </c>
      <c r="BP602">
        <f>$C602*BP601</f>
        <v/>
      </c>
      <c r="BQ602">
        <f>$C602*BQ601</f>
        <v/>
      </c>
      <c r="BR602">
        <f>$C602*BR601</f>
        <v/>
      </c>
      <c r="BS602">
        <f>$C602*BS601</f>
        <v/>
      </c>
      <c r="BT602">
        <f>$C602*BT601</f>
        <v/>
      </c>
      <c r="BU602">
        <f>$C602*BU601</f>
        <v/>
      </c>
      <c r="BV602">
        <f>$C602*BV601</f>
        <v/>
      </c>
      <c r="BW602">
        <f>$C602*BW601</f>
        <v/>
      </c>
      <c r="BX602">
        <f>$C602*BX601</f>
        <v/>
      </c>
      <c r="BY602">
        <f>$C602*BY601</f>
        <v/>
      </c>
      <c r="BZ602">
        <f>$C602*BZ601</f>
        <v/>
      </c>
      <c r="CA602">
        <f>$C602*CA601</f>
        <v/>
      </c>
      <c r="CB602">
        <f>$C602*CB601</f>
        <v/>
      </c>
      <c r="CC602">
        <f>$C602*CC601</f>
        <v/>
      </c>
      <c r="CD602">
        <f>$C602*CD601</f>
        <v/>
      </c>
      <c r="CE602">
        <f>$C602*CE601</f>
        <v/>
      </c>
      <c r="CF602">
        <f>$C602*CF601</f>
        <v/>
      </c>
      <c r="CG602">
        <f>$C602*CG601</f>
        <v/>
      </c>
      <c r="CH602">
        <f>$C602*CH601</f>
        <v/>
      </c>
      <c r="CI602">
        <f>$C602*CI601</f>
        <v/>
      </c>
      <c r="CJ602">
        <f>$C602*CJ601</f>
        <v/>
      </c>
      <c r="CK602">
        <f>$C602*CK601</f>
        <v/>
      </c>
      <c r="CL602">
        <f>$C602*CL601</f>
        <v/>
      </c>
      <c r="CM602">
        <f>$C602*CM601</f>
        <v/>
      </c>
      <c r="CN602">
        <f>$C602*CN601</f>
        <v/>
      </c>
      <c r="CO602">
        <f>$C602*CO601</f>
        <v/>
      </c>
      <c r="CP602">
        <f>$C602*CP601</f>
        <v/>
      </c>
      <c r="CQ602">
        <f>$C602*CQ601</f>
        <v/>
      </c>
      <c r="CR602">
        <f>$C602*CR601</f>
        <v/>
      </c>
      <c r="CS602">
        <f>$C602*CS601</f>
        <v/>
      </c>
      <c r="CT602">
        <f>$C602*CT601</f>
        <v/>
      </c>
      <c r="CU602">
        <f>$C602*CU601</f>
        <v/>
      </c>
      <c r="CV602">
        <f>$C602*CV601</f>
        <v/>
      </c>
      <c r="CW602">
        <f>$C602*CW601</f>
        <v/>
      </c>
      <c r="CX602">
        <f>$C602*CX601</f>
        <v/>
      </c>
      <c r="CY602">
        <f>$C602*CY601</f>
        <v/>
      </c>
      <c r="CZ602">
        <f>$C602*CZ601</f>
        <v/>
      </c>
      <c r="DA602">
        <f>$C602*DA601</f>
        <v/>
      </c>
      <c r="DB602">
        <f>$C602*DB601</f>
        <v/>
      </c>
      <c r="DC602">
        <f>$C602*DC601</f>
        <v/>
      </c>
    </row>
    <row r="603">
      <c r="B603" t="inlineStr">
        <is>
          <t>VSP-820</t>
        </is>
      </c>
      <c r="C603" t="inlineStr">
        <is>
          <t>No. of batches</t>
        </is>
      </c>
      <c r="D603">
        <f>IFERROR(INDEX(PP_Grid[#Data],$DD603,2),0)</f>
        <v/>
      </c>
      <c r="E603">
        <f>IFERROR(INDEX(PP_Grid[#Data],$DD603,3),0)</f>
        <v/>
      </c>
      <c r="F603">
        <f>IFERROR(INDEX(PP_Grid[#Data],$DD603,4),0)</f>
        <v/>
      </c>
      <c r="G603">
        <f>IFERROR(INDEX(PP_Grid[#Data],$DD603,5),0)</f>
        <v/>
      </c>
      <c r="H603">
        <f>IFERROR(INDEX(PP_Grid[#Data],$DD603,6),0)</f>
        <v/>
      </c>
      <c r="I603">
        <f>IFERROR(INDEX(PP_Grid[#Data],$DD603,7),0)</f>
        <v/>
      </c>
      <c r="J603">
        <f>IFERROR(INDEX(PP_Grid[#Data],$DD603,8),0)</f>
        <v/>
      </c>
      <c r="K603">
        <f>IFERROR(INDEX(PP_Grid[#Data],$DD603,9),0)</f>
        <v/>
      </c>
      <c r="L603">
        <f>IFERROR(INDEX(PP_Grid[#Data],$DD603,10),0)</f>
        <v/>
      </c>
      <c r="M603">
        <f>IFERROR(INDEX(PP_Grid[#Data],$DD603,11),0)</f>
        <v/>
      </c>
      <c r="N603">
        <f>IFERROR(INDEX(PP_Grid[#Data],$DD603,12),0)</f>
        <v/>
      </c>
      <c r="O603">
        <f>IFERROR(INDEX(PP_Grid[#Data],$DD603,13),0)</f>
        <v/>
      </c>
      <c r="P603">
        <f>IFERROR(INDEX(PP_Grid[#Data],$DD603,14),0)</f>
        <v/>
      </c>
      <c r="Q603">
        <f>IFERROR(INDEX(PP_Grid[#Data],$DD603,15),0)</f>
        <v/>
      </c>
      <c r="R603">
        <f>IFERROR(INDEX(PP_Grid[#Data],$DD603,16),0)</f>
        <v/>
      </c>
      <c r="S603">
        <f>IFERROR(INDEX(PP_Grid[#Data],$DD603,17),0)</f>
        <v/>
      </c>
      <c r="T603">
        <f>IFERROR(INDEX(PP_Grid[#Data],$DD603,18),0)</f>
        <v/>
      </c>
      <c r="U603">
        <f>IFERROR(INDEX(PP_Grid[#Data],$DD603,19),0)</f>
        <v/>
      </c>
      <c r="V603">
        <f>IFERROR(INDEX(PP_Grid[#Data],$DD603,20),0)</f>
        <v/>
      </c>
      <c r="W603">
        <f>IFERROR(INDEX(PP_Grid[#Data],$DD603,21),0)</f>
        <v/>
      </c>
      <c r="X603">
        <f>IFERROR(INDEX(PP_Grid[#Data],$DD603,22),0)</f>
        <v/>
      </c>
      <c r="Y603">
        <f>IFERROR(INDEX(PP_Grid[#Data],$DD603,23),0)</f>
        <v/>
      </c>
      <c r="Z603">
        <f>IFERROR(INDEX(PP_Grid[#Data],$DD603,24),0)</f>
        <v/>
      </c>
      <c r="AA603">
        <f>IFERROR(INDEX(PP_Grid[#Data],$DD603,25),0)</f>
        <v/>
      </c>
      <c r="AB603">
        <f>IFERROR(INDEX(PP_Grid[#Data],$DD603,26),0)</f>
        <v/>
      </c>
      <c r="AC603">
        <f>IFERROR(INDEX(PP_Grid[#Data],$DD603,27),0)</f>
        <v/>
      </c>
      <c r="AD603">
        <f>IFERROR(INDEX(PP_Grid[#Data],$DD603,28),0)</f>
        <v/>
      </c>
      <c r="AE603">
        <f>IFERROR(INDEX(PP_Grid[#Data],$DD603,29),0)</f>
        <v/>
      </c>
      <c r="AF603">
        <f>IFERROR(INDEX(PP_Grid[#Data],$DD603,30),0)</f>
        <v/>
      </c>
      <c r="AG603">
        <f>IFERROR(INDEX(PP_Grid[#Data],$DD603,31),0)</f>
        <v/>
      </c>
      <c r="AH603">
        <f>IFERROR(INDEX(PP_Grid[#Data],$DD603,32),0)</f>
        <v/>
      </c>
      <c r="AI603">
        <f>IFERROR(INDEX(PP_Grid[#Data],$DD603,33),0)</f>
        <v/>
      </c>
      <c r="AJ603">
        <f>IFERROR(INDEX(PP_Grid[#Data],$DD603,34),0)</f>
        <v/>
      </c>
      <c r="AK603">
        <f>IFERROR(INDEX(PP_Grid[#Data],$DD603,35),0)</f>
        <v/>
      </c>
      <c r="AL603">
        <f>IFERROR(INDEX(PP_Grid[#Data],$DD603,36),0)</f>
        <v/>
      </c>
      <c r="AM603">
        <f>IFERROR(INDEX(PP_Grid[#Data],$DD603,37),0)</f>
        <v/>
      </c>
      <c r="AN603">
        <f>IFERROR(INDEX(PP_Grid[#Data],$DD603,38),0)</f>
        <v/>
      </c>
      <c r="AO603">
        <f>IFERROR(INDEX(PP_Grid[#Data],$DD603,39),0)</f>
        <v/>
      </c>
      <c r="AP603">
        <f>IFERROR(INDEX(PP_Grid[#Data],$DD603,40),0)</f>
        <v/>
      </c>
      <c r="AQ603">
        <f>IFERROR(INDEX(PP_Grid[#Data],$DD603,41),0)</f>
        <v/>
      </c>
      <c r="AR603">
        <f>IFERROR(INDEX(PP_Grid[#Data],$DD603,42),0)</f>
        <v/>
      </c>
      <c r="AS603">
        <f>IFERROR(INDEX(PP_Grid[#Data],$DD603,43),0)</f>
        <v/>
      </c>
      <c r="AT603">
        <f>IFERROR(INDEX(PP_Grid[#Data],$DD603,44),0)</f>
        <v/>
      </c>
      <c r="AU603">
        <f>IFERROR(INDEX(PP_Grid[#Data],$DD603,45),0)</f>
        <v/>
      </c>
      <c r="AV603">
        <f>IFERROR(INDEX(PP_Grid[#Data],$DD603,46),0)</f>
        <v/>
      </c>
      <c r="AW603">
        <f>IFERROR(INDEX(PP_Grid[#Data],$DD603,47),0)</f>
        <v/>
      </c>
      <c r="AX603">
        <f>IFERROR(INDEX(PP_Grid[#Data],$DD603,48),0)</f>
        <v/>
      </c>
      <c r="AY603">
        <f>IFERROR(INDEX(PP_Grid[#Data],$DD603,49),0)</f>
        <v/>
      </c>
      <c r="AZ603">
        <f>IFERROR(INDEX(PP_Grid[#Data],$DD603,50),0)</f>
        <v/>
      </c>
      <c r="BA603">
        <f>IFERROR(INDEX(PP_Grid[#Data],$DD603,51),0)</f>
        <v/>
      </c>
      <c r="BB603">
        <f>IFERROR(INDEX(PP_Grid[#Data],$DD603,52),0)</f>
        <v/>
      </c>
      <c r="BC603">
        <f>IFERROR(INDEX(PP_Grid[#Data],$DD603,53),0)</f>
        <v/>
      </c>
      <c r="BD603">
        <f>IFERROR(INDEX(PP_Grid[#Data],$DD603,54),0)</f>
        <v/>
      </c>
      <c r="BE603">
        <f>IFERROR(INDEX(PP_Grid[#Data],$DD603,55),0)</f>
        <v/>
      </c>
      <c r="BF603">
        <f>IFERROR(INDEX(PP_Grid[#Data],$DD603,56),0)</f>
        <v/>
      </c>
      <c r="BG603">
        <f>IFERROR(INDEX(PP_Grid[#Data],$DD603,57),0)</f>
        <v/>
      </c>
      <c r="BH603">
        <f>IFERROR(INDEX(PP_Grid[#Data],$DD603,58),0)</f>
        <v/>
      </c>
      <c r="BI603">
        <f>IFERROR(INDEX(PP_Grid[#Data],$DD603,59),0)</f>
        <v/>
      </c>
      <c r="BJ603">
        <f>IFERROR(INDEX(PP_Grid[#Data],$DD603,60),0)</f>
        <v/>
      </c>
      <c r="BK603">
        <f>IFERROR(INDEX(PP_Grid[#Data],$DD603,61),0)</f>
        <v/>
      </c>
      <c r="BL603">
        <f>IFERROR(INDEX(PP_Grid[#Data],$DD603,62),0)</f>
        <v/>
      </c>
      <c r="BM603">
        <f>IFERROR(INDEX(PP_Grid[#Data],$DD603,63),0)</f>
        <v/>
      </c>
      <c r="BN603">
        <f>IFERROR(INDEX(PP_Grid[#Data],$DD603,64),0)</f>
        <v/>
      </c>
      <c r="BO603">
        <f>IFERROR(INDEX(PP_Grid[#Data],$DD603,65),0)</f>
        <v/>
      </c>
      <c r="BP603">
        <f>IFERROR(INDEX(PP_Grid[#Data],$DD603,66),0)</f>
        <v/>
      </c>
      <c r="BQ603">
        <f>IFERROR(INDEX(PP_Grid[#Data],$DD603,67),0)</f>
        <v/>
      </c>
      <c r="BR603">
        <f>IFERROR(INDEX(PP_Grid[#Data],$DD603,68),0)</f>
        <v/>
      </c>
      <c r="BS603">
        <f>IFERROR(INDEX(PP_Grid[#Data],$DD603,69),0)</f>
        <v/>
      </c>
      <c r="BT603">
        <f>IFERROR(INDEX(PP_Grid[#Data],$DD603,70),0)</f>
        <v/>
      </c>
      <c r="BU603">
        <f>IFERROR(INDEX(PP_Grid[#Data],$DD603,71),0)</f>
        <v/>
      </c>
      <c r="BV603">
        <f>IFERROR(INDEX(PP_Grid[#Data],$DD603,72),0)</f>
        <v/>
      </c>
      <c r="BW603">
        <f>IFERROR(INDEX(PP_Grid[#Data],$DD603,73),0)</f>
        <v/>
      </c>
      <c r="BX603">
        <f>IFERROR(INDEX(PP_Grid[#Data],$DD603,74),0)</f>
        <v/>
      </c>
      <c r="BY603">
        <f>IFERROR(INDEX(PP_Grid[#Data],$DD603,75),0)</f>
        <v/>
      </c>
      <c r="BZ603">
        <f>IFERROR(INDEX(PP_Grid[#Data],$DD603,76),0)</f>
        <v/>
      </c>
      <c r="CA603">
        <f>IFERROR(INDEX(PP_Grid[#Data],$DD603,77),0)</f>
        <v/>
      </c>
      <c r="CB603">
        <f>IFERROR(INDEX(PP_Grid[#Data],$DD603,78),0)</f>
        <v/>
      </c>
      <c r="CC603">
        <f>IFERROR(INDEX(PP_Grid[#Data],$DD603,79),0)</f>
        <v/>
      </c>
      <c r="CD603">
        <f>IFERROR(INDEX(PP_Grid[#Data],$DD603,80),0)</f>
        <v/>
      </c>
      <c r="CE603">
        <f>IFERROR(INDEX(PP_Grid[#Data],$DD603,81),0)</f>
        <v/>
      </c>
      <c r="CF603">
        <f>IFERROR(INDEX(PP_Grid[#Data],$DD603,82),0)</f>
        <v/>
      </c>
      <c r="CG603">
        <f>IFERROR(INDEX(PP_Grid[#Data],$DD603,83),0)</f>
        <v/>
      </c>
      <c r="CH603">
        <f>IFERROR(INDEX(PP_Grid[#Data],$DD603,84),0)</f>
        <v/>
      </c>
      <c r="CI603">
        <f>IFERROR(INDEX(PP_Grid[#Data],$DD603,85),0)</f>
        <v/>
      </c>
      <c r="CJ603">
        <f>IFERROR(INDEX(PP_Grid[#Data],$DD603,86),0)</f>
        <v/>
      </c>
      <c r="CK603">
        <f>IFERROR(INDEX(PP_Grid[#Data],$DD603,87),0)</f>
        <v/>
      </c>
      <c r="CL603">
        <f>IFERROR(INDEX(PP_Grid[#Data],$DD603,88),0)</f>
        <v/>
      </c>
      <c r="CM603">
        <f>IFERROR(INDEX(PP_Grid[#Data],$DD603,89),0)</f>
        <v/>
      </c>
      <c r="CN603">
        <f>IFERROR(INDEX(PP_Grid[#Data],$DD603,90),0)</f>
        <v/>
      </c>
      <c r="CO603">
        <f>IFERROR(INDEX(PP_Grid[#Data],$DD603,91),0)</f>
        <v/>
      </c>
      <c r="CP603">
        <f>IFERROR(INDEX(PP_Grid[#Data],$DD603,92),0)</f>
        <v/>
      </c>
      <c r="CQ603">
        <f>IFERROR(INDEX(PP_Grid[#Data],$DD603,93),0)</f>
        <v/>
      </c>
      <c r="CR603">
        <f>IFERROR(INDEX(PP_Grid[#Data],$DD603,94),0)</f>
        <v/>
      </c>
      <c r="CS603">
        <f>IFERROR(INDEX(PP_Grid[#Data],$DD603,95),0)</f>
        <v/>
      </c>
      <c r="CT603">
        <f>IFERROR(INDEX(PP_Grid[#Data],$DD603,96),0)</f>
        <v/>
      </c>
      <c r="CU603">
        <f>IFERROR(INDEX(PP_Grid[#Data],$DD603,97),0)</f>
        <v/>
      </c>
      <c r="CV603">
        <f>IFERROR(INDEX(PP_Grid[#Data],$DD603,98),0)</f>
        <v/>
      </c>
      <c r="CW603">
        <f>IFERROR(INDEX(PP_Grid[#Data],$DD603,99),0)</f>
        <v/>
      </c>
      <c r="CX603">
        <f>IFERROR(INDEX(PP_Grid[#Data],$DD603,100),0)</f>
        <v/>
      </c>
      <c r="CY603">
        <f>IFERROR(INDEX(PP_Grid[#Data],$DD603,101),0)</f>
        <v/>
      </c>
      <c r="CZ603">
        <f>IFERROR(INDEX(PP_Grid[#Data],$DD603,102),0)</f>
        <v/>
      </c>
      <c r="DA603">
        <f>IFERROR(INDEX(PP_Grid[#Data],$DD603,103),0)</f>
        <v/>
      </c>
      <c r="DB603">
        <f>IFERROR(INDEX(PP_Grid[#Data],$DD603,104),0)</f>
        <v/>
      </c>
      <c r="DC603">
        <f>IFERROR(INDEX(PP_Grid[#Data],$DD603,105),0)</f>
        <v/>
      </c>
      <c r="DD603" s="7">
        <f>IFERROR(MATCH($B603,PP_Grid[Intermediate],0),99999)</f>
        <v/>
      </c>
    </row>
    <row r="604">
      <c r="B604" t="inlineStr">
        <is>
          <t>使用量(kg)</t>
        </is>
      </c>
      <c r="C604">
        <f>SUMIFS(M_BOM[RM_Qty_Per_Batch],M_BOM[Intermediate],$B603,M_BOM[Part Name],$A580)</f>
        <v/>
      </c>
      <c r="D604">
        <f>$C604*D603</f>
        <v/>
      </c>
      <c r="E604">
        <f>$C604*E603</f>
        <v/>
      </c>
      <c r="F604">
        <f>$C604*F603</f>
        <v/>
      </c>
      <c r="G604">
        <f>$C604*G603</f>
        <v/>
      </c>
      <c r="H604">
        <f>$C604*H603</f>
        <v/>
      </c>
      <c r="I604">
        <f>$C604*I603</f>
        <v/>
      </c>
      <c r="J604">
        <f>$C604*J603</f>
        <v/>
      </c>
      <c r="K604">
        <f>$C604*K603</f>
        <v/>
      </c>
      <c r="L604">
        <f>$C604*L603</f>
        <v/>
      </c>
      <c r="M604">
        <f>$C604*M603</f>
        <v/>
      </c>
      <c r="N604">
        <f>$C604*N603</f>
        <v/>
      </c>
      <c r="O604">
        <f>$C604*O603</f>
        <v/>
      </c>
      <c r="P604">
        <f>$C604*P603</f>
        <v/>
      </c>
      <c r="Q604">
        <f>$C604*Q603</f>
        <v/>
      </c>
      <c r="R604">
        <f>$C604*R603</f>
        <v/>
      </c>
      <c r="S604">
        <f>$C604*S603</f>
        <v/>
      </c>
      <c r="T604">
        <f>$C604*T603</f>
        <v/>
      </c>
      <c r="U604">
        <f>$C604*U603</f>
        <v/>
      </c>
      <c r="V604">
        <f>$C604*V603</f>
        <v/>
      </c>
      <c r="W604">
        <f>$C604*W603</f>
        <v/>
      </c>
      <c r="X604">
        <f>$C604*X603</f>
        <v/>
      </c>
      <c r="Y604">
        <f>$C604*Y603</f>
        <v/>
      </c>
      <c r="Z604">
        <f>$C604*Z603</f>
        <v/>
      </c>
      <c r="AA604">
        <f>$C604*AA603</f>
        <v/>
      </c>
      <c r="AB604">
        <f>$C604*AB603</f>
        <v/>
      </c>
      <c r="AC604">
        <f>$C604*AC603</f>
        <v/>
      </c>
      <c r="AD604">
        <f>$C604*AD603</f>
        <v/>
      </c>
      <c r="AE604">
        <f>$C604*AE603</f>
        <v/>
      </c>
      <c r="AF604">
        <f>$C604*AF603</f>
        <v/>
      </c>
      <c r="AG604">
        <f>$C604*AG603</f>
        <v/>
      </c>
      <c r="AH604">
        <f>$C604*AH603</f>
        <v/>
      </c>
      <c r="AI604">
        <f>$C604*AI603</f>
        <v/>
      </c>
      <c r="AJ604">
        <f>$C604*AJ603</f>
        <v/>
      </c>
      <c r="AK604">
        <f>$C604*AK603</f>
        <v/>
      </c>
      <c r="AL604">
        <f>$C604*AL603</f>
        <v/>
      </c>
      <c r="AM604">
        <f>$C604*AM603</f>
        <v/>
      </c>
      <c r="AN604">
        <f>$C604*AN603</f>
        <v/>
      </c>
      <c r="AO604">
        <f>$C604*AO603</f>
        <v/>
      </c>
      <c r="AP604">
        <f>$C604*AP603</f>
        <v/>
      </c>
      <c r="AQ604">
        <f>$C604*AQ603</f>
        <v/>
      </c>
      <c r="AR604">
        <f>$C604*AR603</f>
        <v/>
      </c>
      <c r="AS604">
        <f>$C604*AS603</f>
        <v/>
      </c>
      <c r="AT604">
        <f>$C604*AT603</f>
        <v/>
      </c>
      <c r="AU604">
        <f>$C604*AU603</f>
        <v/>
      </c>
      <c r="AV604">
        <f>$C604*AV603</f>
        <v/>
      </c>
      <c r="AW604">
        <f>$C604*AW603</f>
        <v/>
      </c>
      <c r="AX604">
        <f>$C604*AX603</f>
        <v/>
      </c>
      <c r="AY604">
        <f>$C604*AY603</f>
        <v/>
      </c>
      <c r="AZ604">
        <f>$C604*AZ603</f>
        <v/>
      </c>
      <c r="BA604">
        <f>$C604*BA603</f>
        <v/>
      </c>
      <c r="BB604">
        <f>$C604*BB603</f>
        <v/>
      </c>
      <c r="BC604">
        <f>$C604*BC603</f>
        <v/>
      </c>
      <c r="BD604">
        <f>$C604*BD603</f>
        <v/>
      </c>
      <c r="BE604">
        <f>$C604*BE603</f>
        <v/>
      </c>
      <c r="BF604">
        <f>$C604*BF603</f>
        <v/>
      </c>
      <c r="BG604">
        <f>$C604*BG603</f>
        <v/>
      </c>
      <c r="BH604">
        <f>$C604*BH603</f>
        <v/>
      </c>
      <c r="BI604">
        <f>$C604*BI603</f>
        <v/>
      </c>
      <c r="BJ604">
        <f>$C604*BJ603</f>
        <v/>
      </c>
      <c r="BK604">
        <f>$C604*BK603</f>
        <v/>
      </c>
      <c r="BL604">
        <f>$C604*BL603</f>
        <v/>
      </c>
      <c r="BM604">
        <f>$C604*BM603</f>
        <v/>
      </c>
      <c r="BN604">
        <f>$C604*BN603</f>
        <v/>
      </c>
      <c r="BO604">
        <f>$C604*BO603</f>
        <v/>
      </c>
      <c r="BP604">
        <f>$C604*BP603</f>
        <v/>
      </c>
      <c r="BQ604">
        <f>$C604*BQ603</f>
        <v/>
      </c>
      <c r="BR604">
        <f>$C604*BR603</f>
        <v/>
      </c>
      <c r="BS604">
        <f>$C604*BS603</f>
        <v/>
      </c>
      <c r="BT604">
        <f>$C604*BT603</f>
        <v/>
      </c>
      <c r="BU604">
        <f>$C604*BU603</f>
        <v/>
      </c>
      <c r="BV604">
        <f>$C604*BV603</f>
        <v/>
      </c>
      <c r="BW604">
        <f>$C604*BW603</f>
        <v/>
      </c>
      <c r="BX604">
        <f>$C604*BX603</f>
        <v/>
      </c>
      <c r="BY604">
        <f>$C604*BY603</f>
        <v/>
      </c>
      <c r="BZ604">
        <f>$C604*BZ603</f>
        <v/>
      </c>
      <c r="CA604">
        <f>$C604*CA603</f>
        <v/>
      </c>
      <c r="CB604">
        <f>$C604*CB603</f>
        <v/>
      </c>
      <c r="CC604">
        <f>$C604*CC603</f>
        <v/>
      </c>
      <c r="CD604">
        <f>$C604*CD603</f>
        <v/>
      </c>
      <c r="CE604">
        <f>$C604*CE603</f>
        <v/>
      </c>
      <c r="CF604">
        <f>$C604*CF603</f>
        <v/>
      </c>
      <c r="CG604">
        <f>$C604*CG603</f>
        <v/>
      </c>
      <c r="CH604">
        <f>$C604*CH603</f>
        <v/>
      </c>
      <c r="CI604">
        <f>$C604*CI603</f>
        <v/>
      </c>
      <c r="CJ604">
        <f>$C604*CJ603</f>
        <v/>
      </c>
      <c r="CK604">
        <f>$C604*CK603</f>
        <v/>
      </c>
      <c r="CL604">
        <f>$C604*CL603</f>
        <v/>
      </c>
      <c r="CM604">
        <f>$C604*CM603</f>
        <v/>
      </c>
      <c r="CN604">
        <f>$C604*CN603</f>
        <v/>
      </c>
      <c r="CO604">
        <f>$C604*CO603</f>
        <v/>
      </c>
      <c r="CP604">
        <f>$C604*CP603</f>
        <v/>
      </c>
      <c r="CQ604">
        <f>$C604*CQ603</f>
        <v/>
      </c>
      <c r="CR604">
        <f>$C604*CR603</f>
        <v/>
      </c>
      <c r="CS604">
        <f>$C604*CS603</f>
        <v/>
      </c>
      <c r="CT604">
        <f>$C604*CT603</f>
        <v/>
      </c>
      <c r="CU604">
        <f>$C604*CU603</f>
        <v/>
      </c>
      <c r="CV604">
        <f>$C604*CV603</f>
        <v/>
      </c>
      <c r="CW604">
        <f>$C604*CW603</f>
        <v/>
      </c>
      <c r="CX604">
        <f>$C604*CX603</f>
        <v/>
      </c>
      <c r="CY604">
        <f>$C604*CY603</f>
        <v/>
      </c>
      <c r="CZ604">
        <f>$C604*CZ603</f>
        <v/>
      </c>
      <c r="DA604">
        <f>$C604*DA603</f>
        <v/>
      </c>
      <c r="DB604">
        <f>$C604*DB603</f>
        <v/>
      </c>
      <c r="DC604">
        <f>$C604*DC603</f>
        <v/>
      </c>
    </row>
    <row r="605">
      <c r="B605" t="inlineStr">
        <is>
          <t>VSP-869</t>
        </is>
      </c>
      <c r="C605" t="inlineStr">
        <is>
          <t>No. of batches</t>
        </is>
      </c>
      <c r="D605">
        <f>IFERROR(INDEX(PP_Grid[#Data],$DD605,2),0)</f>
        <v/>
      </c>
      <c r="E605">
        <f>IFERROR(INDEX(PP_Grid[#Data],$DD605,3),0)</f>
        <v/>
      </c>
      <c r="F605">
        <f>IFERROR(INDEX(PP_Grid[#Data],$DD605,4),0)</f>
        <v/>
      </c>
      <c r="G605">
        <f>IFERROR(INDEX(PP_Grid[#Data],$DD605,5),0)</f>
        <v/>
      </c>
      <c r="H605">
        <f>IFERROR(INDEX(PP_Grid[#Data],$DD605,6),0)</f>
        <v/>
      </c>
      <c r="I605">
        <f>IFERROR(INDEX(PP_Grid[#Data],$DD605,7),0)</f>
        <v/>
      </c>
      <c r="J605">
        <f>IFERROR(INDEX(PP_Grid[#Data],$DD605,8),0)</f>
        <v/>
      </c>
      <c r="K605">
        <f>IFERROR(INDEX(PP_Grid[#Data],$DD605,9),0)</f>
        <v/>
      </c>
      <c r="L605">
        <f>IFERROR(INDEX(PP_Grid[#Data],$DD605,10),0)</f>
        <v/>
      </c>
      <c r="M605">
        <f>IFERROR(INDEX(PP_Grid[#Data],$DD605,11),0)</f>
        <v/>
      </c>
      <c r="N605">
        <f>IFERROR(INDEX(PP_Grid[#Data],$DD605,12),0)</f>
        <v/>
      </c>
      <c r="O605">
        <f>IFERROR(INDEX(PP_Grid[#Data],$DD605,13),0)</f>
        <v/>
      </c>
      <c r="P605">
        <f>IFERROR(INDEX(PP_Grid[#Data],$DD605,14),0)</f>
        <v/>
      </c>
      <c r="Q605">
        <f>IFERROR(INDEX(PP_Grid[#Data],$DD605,15),0)</f>
        <v/>
      </c>
      <c r="R605">
        <f>IFERROR(INDEX(PP_Grid[#Data],$DD605,16),0)</f>
        <v/>
      </c>
      <c r="S605">
        <f>IFERROR(INDEX(PP_Grid[#Data],$DD605,17),0)</f>
        <v/>
      </c>
      <c r="T605">
        <f>IFERROR(INDEX(PP_Grid[#Data],$DD605,18),0)</f>
        <v/>
      </c>
      <c r="U605">
        <f>IFERROR(INDEX(PP_Grid[#Data],$DD605,19),0)</f>
        <v/>
      </c>
      <c r="V605">
        <f>IFERROR(INDEX(PP_Grid[#Data],$DD605,20),0)</f>
        <v/>
      </c>
      <c r="W605">
        <f>IFERROR(INDEX(PP_Grid[#Data],$DD605,21),0)</f>
        <v/>
      </c>
      <c r="X605">
        <f>IFERROR(INDEX(PP_Grid[#Data],$DD605,22),0)</f>
        <v/>
      </c>
      <c r="Y605">
        <f>IFERROR(INDEX(PP_Grid[#Data],$DD605,23),0)</f>
        <v/>
      </c>
      <c r="Z605">
        <f>IFERROR(INDEX(PP_Grid[#Data],$DD605,24),0)</f>
        <v/>
      </c>
      <c r="AA605">
        <f>IFERROR(INDEX(PP_Grid[#Data],$DD605,25),0)</f>
        <v/>
      </c>
      <c r="AB605">
        <f>IFERROR(INDEX(PP_Grid[#Data],$DD605,26),0)</f>
        <v/>
      </c>
      <c r="AC605">
        <f>IFERROR(INDEX(PP_Grid[#Data],$DD605,27),0)</f>
        <v/>
      </c>
      <c r="AD605">
        <f>IFERROR(INDEX(PP_Grid[#Data],$DD605,28),0)</f>
        <v/>
      </c>
      <c r="AE605">
        <f>IFERROR(INDEX(PP_Grid[#Data],$DD605,29),0)</f>
        <v/>
      </c>
      <c r="AF605">
        <f>IFERROR(INDEX(PP_Grid[#Data],$DD605,30),0)</f>
        <v/>
      </c>
      <c r="AG605">
        <f>IFERROR(INDEX(PP_Grid[#Data],$DD605,31),0)</f>
        <v/>
      </c>
      <c r="AH605">
        <f>IFERROR(INDEX(PP_Grid[#Data],$DD605,32),0)</f>
        <v/>
      </c>
      <c r="AI605">
        <f>IFERROR(INDEX(PP_Grid[#Data],$DD605,33),0)</f>
        <v/>
      </c>
      <c r="AJ605">
        <f>IFERROR(INDEX(PP_Grid[#Data],$DD605,34),0)</f>
        <v/>
      </c>
      <c r="AK605">
        <f>IFERROR(INDEX(PP_Grid[#Data],$DD605,35),0)</f>
        <v/>
      </c>
      <c r="AL605">
        <f>IFERROR(INDEX(PP_Grid[#Data],$DD605,36),0)</f>
        <v/>
      </c>
      <c r="AM605">
        <f>IFERROR(INDEX(PP_Grid[#Data],$DD605,37),0)</f>
        <v/>
      </c>
      <c r="AN605">
        <f>IFERROR(INDEX(PP_Grid[#Data],$DD605,38),0)</f>
        <v/>
      </c>
      <c r="AO605">
        <f>IFERROR(INDEX(PP_Grid[#Data],$DD605,39),0)</f>
        <v/>
      </c>
      <c r="AP605">
        <f>IFERROR(INDEX(PP_Grid[#Data],$DD605,40),0)</f>
        <v/>
      </c>
      <c r="AQ605">
        <f>IFERROR(INDEX(PP_Grid[#Data],$DD605,41),0)</f>
        <v/>
      </c>
      <c r="AR605">
        <f>IFERROR(INDEX(PP_Grid[#Data],$DD605,42),0)</f>
        <v/>
      </c>
      <c r="AS605">
        <f>IFERROR(INDEX(PP_Grid[#Data],$DD605,43),0)</f>
        <v/>
      </c>
      <c r="AT605">
        <f>IFERROR(INDEX(PP_Grid[#Data],$DD605,44),0)</f>
        <v/>
      </c>
      <c r="AU605">
        <f>IFERROR(INDEX(PP_Grid[#Data],$DD605,45),0)</f>
        <v/>
      </c>
      <c r="AV605">
        <f>IFERROR(INDEX(PP_Grid[#Data],$DD605,46),0)</f>
        <v/>
      </c>
      <c r="AW605">
        <f>IFERROR(INDEX(PP_Grid[#Data],$DD605,47),0)</f>
        <v/>
      </c>
      <c r="AX605">
        <f>IFERROR(INDEX(PP_Grid[#Data],$DD605,48),0)</f>
        <v/>
      </c>
      <c r="AY605">
        <f>IFERROR(INDEX(PP_Grid[#Data],$DD605,49),0)</f>
        <v/>
      </c>
      <c r="AZ605">
        <f>IFERROR(INDEX(PP_Grid[#Data],$DD605,50),0)</f>
        <v/>
      </c>
      <c r="BA605">
        <f>IFERROR(INDEX(PP_Grid[#Data],$DD605,51),0)</f>
        <v/>
      </c>
      <c r="BB605">
        <f>IFERROR(INDEX(PP_Grid[#Data],$DD605,52),0)</f>
        <v/>
      </c>
      <c r="BC605">
        <f>IFERROR(INDEX(PP_Grid[#Data],$DD605,53),0)</f>
        <v/>
      </c>
      <c r="BD605">
        <f>IFERROR(INDEX(PP_Grid[#Data],$DD605,54),0)</f>
        <v/>
      </c>
      <c r="BE605">
        <f>IFERROR(INDEX(PP_Grid[#Data],$DD605,55),0)</f>
        <v/>
      </c>
      <c r="BF605">
        <f>IFERROR(INDEX(PP_Grid[#Data],$DD605,56),0)</f>
        <v/>
      </c>
      <c r="BG605">
        <f>IFERROR(INDEX(PP_Grid[#Data],$DD605,57),0)</f>
        <v/>
      </c>
      <c r="BH605">
        <f>IFERROR(INDEX(PP_Grid[#Data],$DD605,58),0)</f>
        <v/>
      </c>
      <c r="BI605">
        <f>IFERROR(INDEX(PP_Grid[#Data],$DD605,59),0)</f>
        <v/>
      </c>
      <c r="BJ605">
        <f>IFERROR(INDEX(PP_Grid[#Data],$DD605,60),0)</f>
        <v/>
      </c>
      <c r="BK605">
        <f>IFERROR(INDEX(PP_Grid[#Data],$DD605,61),0)</f>
        <v/>
      </c>
      <c r="BL605">
        <f>IFERROR(INDEX(PP_Grid[#Data],$DD605,62),0)</f>
        <v/>
      </c>
      <c r="BM605">
        <f>IFERROR(INDEX(PP_Grid[#Data],$DD605,63),0)</f>
        <v/>
      </c>
      <c r="BN605">
        <f>IFERROR(INDEX(PP_Grid[#Data],$DD605,64),0)</f>
        <v/>
      </c>
      <c r="BO605">
        <f>IFERROR(INDEX(PP_Grid[#Data],$DD605,65),0)</f>
        <v/>
      </c>
      <c r="BP605">
        <f>IFERROR(INDEX(PP_Grid[#Data],$DD605,66),0)</f>
        <v/>
      </c>
      <c r="BQ605">
        <f>IFERROR(INDEX(PP_Grid[#Data],$DD605,67),0)</f>
        <v/>
      </c>
      <c r="BR605">
        <f>IFERROR(INDEX(PP_Grid[#Data],$DD605,68),0)</f>
        <v/>
      </c>
      <c r="BS605">
        <f>IFERROR(INDEX(PP_Grid[#Data],$DD605,69),0)</f>
        <v/>
      </c>
      <c r="BT605">
        <f>IFERROR(INDEX(PP_Grid[#Data],$DD605,70),0)</f>
        <v/>
      </c>
      <c r="BU605">
        <f>IFERROR(INDEX(PP_Grid[#Data],$DD605,71),0)</f>
        <v/>
      </c>
      <c r="BV605">
        <f>IFERROR(INDEX(PP_Grid[#Data],$DD605,72),0)</f>
        <v/>
      </c>
      <c r="BW605">
        <f>IFERROR(INDEX(PP_Grid[#Data],$DD605,73),0)</f>
        <v/>
      </c>
      <c r="BX605">
        <f>IFERROR(INDEX(PP_Grid[#Data],$DD605,74),0)</f>
        <v/>
      </c>
      <c r="BY605">
        <f>IFERROR(INDEX(PP_Grid[#Data],$DD605,75),0)</f>
        <v/>
      </c>
      <c r="BZ605">
        <f>IFERROR(INDEX(PP_Grid[#Data],$DD605,76),0)</f>
        <v/>
      </c>
      <c r="CA605">
        <f>IFERROR(INDEX(PP_Grid[#Data],$DD605,77),0)</f>
        <v/>
      </c>
      <c r="CB605">
        <f>IFERROR(INDEX(PP_Grid[#Data],$DD605,78),0)</f>
        <v/>
      </c>
      <c r="CC605">
        <f>IFERROR(INDEX(PP_Grid[#Data],$DD605,79),0)</f>
        <v/>
      </c>
      <c r="CD605">
        <f>IFERROR(INDEX(PP_Grid[#Data],$DD605,80),0)</f>
        <v/>
      </c>
      <c r="CE605">
        <f>IFERROR(INDEX(PP_Grid[#Data],$DD605,81),0)</f>
        <v/>
      </c>
      <c r="CF605">
        <f>IFERROR(INDEX(PP_Grid[#Data],$DD605,82),0)</f>
        <v/>
      </c>
      <c r="CG605">
        <f>IFERROR(INDEX(PP_Grid[#Data],$DD605,83),0)</f>
        <v/>
      </c>
      <c r="CH605">
        <f>IFERROR(INDEX(PP_Grid[#Data],$DD605,84),0)</f>
        <v/>
      </c>
      <c r="CI605">
        <f>IFERROR(INDEX(PP_Grid[#Data],$DD605,85),0)</f>
        <v/>
      </c>
      <c r="CJ605">
        <f>IFERROR(INDEX(PP_Grid[#Data],$DD605,86),0)</f>
        <v/>
      </c>
      <c r="CK605">
        <f>IFERROR(INDEX(PP_Grid[#Data],$DD605,87),0)</f>
        <v/>
      </c>
      <c r="CL605">
        <f>IFERROR(INDEX(PP_Grid[#Data],$DD605,88),0)</f>
        <v/>
      </c>
      <c r="CM605">
        <f>IFERROR(INDEX(PP_Grid[#Data],$DD605,89),0)</f>
        <v/>
      </c>
      <c r="CN605">
        <f>IFERROR(INDEX(PP_Grid[#Data],$DD605,90),0)</f>
        <v/>
      </c>
      <c r="CO605">
        <f>IFERROR(INDEX(PP_Grid[#Data],$DD605,91),0)</f>
        <v/>
      </c>
      <c r="CP605">
        <f>IFERROR(INDEX(PP_Grid[#Data],$DD605,92),0)</f>
        <v/>
      </c>
      <c r="CQ605">
        <f>IFERROR(INDEX(PP_Grid[#Data],$DD605,93),0)</f>
        <v/>
      </c>
      <c r="CR605">
        <f>IFERROR(INDEX(PP_Grid[#Data],$DD605,94),0)</f>
        <v/>
      </c>
      <c r="CS605">
        <f>IFERROR(INDEX(PP_Grid[#Data],$DD605,95),0)</f>
        <v/>
      </c>
      <c r="CT605">
        <f>IFERROR(INDEX(PP_Grid[#Data],$DD605,96),0)</f>
        <v/>
      </c>
      <c r="CU605">
        <f>IFERROR(INDEX(PP_Grid[#Data],$DD605,97),0)</f>
        <v/>
      </c>
      <c r="CV605">
        <f>IFERROR(INDEX(PP_Grid[#Data],$DD605,98),0)</f>
        <v/>
      </c>
      <c r="CW605">
        <f>IFERROR(INDEX(PP_Grid[#Data],$DD605,99),0)</f>
        <v/>
      </c>
      <c r="CX605">
        <f>IFERROR(INDEX(PP_Grid[#Data],$DD605,100),0)</f>
        <v/>
      </c>
      <c r="CY605">
        <f>IFERROR(INDEX(PP_Grid[#Data],$DD605,101),0)</f>
        <v/>
      </c>
      <c r="CZ605">
        <f>IFERROR(INDEX(PP_Grid[#Data],$DD605,102),0)</f>
        <v/>
      </c>
      <c r="DA605">
        <f>IFERROR(INDEX(PP_Grid[#Data],$DD605,103),0)</f>
        <v/>
      </c>
      <c r="DB605">
        <f>IFERROR(INDEX(PP_Grid[#Data],$DD605,104),0)</f>
        <v/>
      </c>
      <c r="DC605">
        <f>IFERROR(INDEX(PP_Grid[#Data],$DD605,105),0)</f>
        <v/>
      </c>
      <c r="DD605" s="7">
        <f>IFERROR(MATCH($B605,PP_Grid[Intermediate],0),99999)</f>
        <v/>
      </c>
    </row>
    <row r="606">
      <c r="B606" t="inlineStr">
        <is>
          <t>使用量(kg)</t>
        </is>
      </c>
      <c r="C606">
        <f>SUMIFS(M_BOM[RM_Qty_Per_Batch],M_BOM[Intermediate],$B605,M_BOM[Part Name],$A580)</f>
        <v/>
      </c>
      <c r="D606">
        <f>$C606*D605</f>
        <v/>
      </c>
      <c r="E606">
        <f>$C606*E605</f>
        <v/>
      </c>
      <c r="F606">
        <f>$C606*F605</f>
        <v/>
      </c>
      <c r="G606">
        <f>$C606*G605</f>
        <v/>
      </c>
      <c r="H606">
        <f>$C606*H605</f>
        <v/>
      </c>
      <c r="I606">
        <f>$C606*I605</f>
        <v/>
      </c>
      <c r="J606">
        <f>$C606*J605</f>
        <v/>
      </c>
      <c r="K606">
        <f>$C606*K605</f>
        <v/>
      </c>
      <c r="L606">
        <f>$C606*L605</f>
        <v/>
      </c>
      <c r="M606">
        <f>$C606*M605</f>
        <v/>
      </c>
      <c r="N606">
        <f>$C606*N605</f>
        <v/>
      </c>
      <c r="O606">
        <f>$C606*O605</f>
        <v/>
      </c>
      <c r="P606">
        <f>$C606*P605</f>
        <v/>
      </c>
      <c r="Q606">
        <f>$C606*Q605</f>
        <v/>
      </c>
      <c r="R606">
        <f>$C606*R605</f>
        <v/>
      </c>
      <c r="S606">
        <f>$C606*S605</f>
        <v/>
      </c>
      <c r="T606">
        <f>$C606*T605</f>
        <v/>
      </c>
      <c r="U606">
        <f>$C606*U605</f>
        <v/>
      </c>
      <c r="V606">
        <f>$C606*V605</f>
        <v/>
      </c>
      <c r="W606">
        <f>$C606*W605</f>
        <v/>
      </c>
      <c r="X606">
        <f>$C606*X605</f>
        <v/>
      </c>
      <c r="Y606">
        <f>$C606*Y605</f>
        <v/>
      </c>
      <c r="Z606">
        <f>$C606*Z605</f>
        <v/>
      </c>
      <c r="AA606">
        <f>$C606*AA605</f>
        <v/>
      </c>
      <c r="AB606">
        <f>$C606*AB605</f>
        <v/>
      </c>
      <c r="AC606">
        <f>$C606*AC605</f>
        <v/>
      </c>
      <c r="AD606">
        <f>$C606*AD605</f>
        <v/>
      </c>
      <c r="AE606">
        <f>$C606*AE605</f>
        <v/>
      </c>
      <c r="AF606">
        <f>$C606*AF605</f>
        <v/>
      </c>
      <c r="AG606">
        <f>$C606*AG605</f>
        <v/>
      </c>
      <c r="AH606">
        <f>$C606*AH605</f>
        <v/>
      </c>
      <c r="AI606">
        <f>$C606*AI605</f>
        <v/>
      </c>
      <c r="AJ606">
        <f>$C606*AJ605</f>
        <v/>
      </c>
      <c r="AK606">
        <f>$C606*AK605</f>
        <v/>
      </c>
      <c r="AL606">
        <f>$C606*AL605</f>
        <v/>
      </c>
      <c r="AM606">
        <f>$C606*AM605</f>
        <v/>
      </c>
      <c r="AN606">
        <f>$C606*AN605</f>
        <v/>
      </c>
      <c r="AO606">
        <f>$C606*AO605</f>
        <v/>
      </c>
      <c r="AP606">
        <f>$C606*AP605</f>
        <v/>
      </c>
      <c r="AQ606">
        <f>$C606*AQ605</f>
        <v/>
      </c>
      <c r="AR606">
        <f>$C606*AR605</f>
        <v/>
      </c>
      <c r="AS606">
        <f>$C606*AS605</f>
        <v/>
      </c>
      <c r="AT606">
        <f>$C606*AT605</f>
        <v/>
      </c>
      <c r="AU606">
        <f>$C606*AU605</f>
        <v/>
      </c>
      <c r="AV606">
        <f>$C606*AV605</f>
        <v/>
      </c>
      <c r="AW606">
        <f>$C606*AW605</f>
        <v/>
      </c>
      <c r="AX606">
        <f>$C606*AX605</f>
        <v/>
      </c>
      <c r="AY606">
        <f>$C606*AY605</f>
        <v/>
      </c>
      <c r="AZ606">
        <f>$C606*AZ605</f>
        <v/>
      </c>
      <c r="BA606">
        <f>$C606*BA605</f>
        <v/>
      </c>
      <c r="BB606">
        <f>$C606*BB605</f>
        <v/>
      </c>
      <c r="BC606">
        <f>$C606*BC605</f>
        <v/>
      </c>
      <c r="BD606">
        <f>$C606*BD605</f>
        <v/>
      </c>
      <c r="BE606">
        <f>$C606*BE605</f>
        <v/>
      </c>
      <c r="BF606">
        <f>$C606*BF605</f>
        <v/>
      </c>
      <c r="BG606">
        <f>$C606*BG605</f>
        <v/>
      </c>
      <c r="BH606">
        <f>$C606*BH605</f>
        <v/>
      </c>
      <c r="BI606">
        <f>$C606*BI605</f>
        <v/>
      </c>
      <c r="BJ606">
        <f>$C606*BJ605</f>
        <v/>
      </c>
      <c r="BK606">
        <f>$C606*BK605</f>
        <v/>
      </c>
      <c r="BL606">
        <f>$C606*BL605</f>
        <v/>
      </c>
      <c r="BM606">
        <f>$C606*BM605</f>
        <v/>
      </c>
      <c r="BN606">
        <f>$C606*BN605</f>
        <v/>
      </c>
      <c r="BO606">
        <f>$C606*BO605</f>
        <v/>
      </c>
      <c r="BP606">
        <f>$C606*BP605</f>
        <v/>
      </c>
      <c r="BQ606">
        <f>$C606*BQ605</f>
        <v/>
      </c>
      <c r="BR606">
        <f>$C606*BR605</f>
        <v/>
      </c>
      <c r="BS606">
        <f>$C606*BS605</f>
        <v/>
      </c>
      <c r="BT606">
        <f>$C606*BT605</f>
        <v/>
      </c>
      <c r="BU606">
        <f>$C606*BU605</f>
        <v/>
      </c>
      <c r="BV606">
        <f>$C606*BV605</f>
        <v/>
      </c>
      <c r="BW606">
        <f>$C606*BW605</f>
        <v/>
      </c>
      <c r="BX606">
        <f>$C606*BX605</f>
        <v/>
      </c>
      <c r="BY606">
        <f>$C606*BY605</f>
        <v/>
      </c>
      <c r="BZ606">
        <f>$C606*BZ605</f>
        <v/>
      </c>
      <c r="CA606">
        <f>$C606*CA605</f>
        <v/>
      </c>
      <c r="CB606">
        <f>$C606*CB605</f>
        <v/>
      </c>
      <c r="CC606">
        <f>$C606*CC605</f>
        <v/>
      </c>
      <c r="CD606">
        <f>$C606*CD605</f>
        <v/>
      </c>
      <c r="CE606">
        <f>$C606*CE605</f>
        <v/>
      </c>
      <c r="CF606">
        <f>$C606*CF605</f>
        <v/>
      </c>
      <c r="CG606">
        <f>$C606*CG605</f>
        <v/>
      </c>
      <c r="CH606">
        <f>$C606*CH605</f>
        <v/>
      </c>
      <c r="CI606">
        <f>$C606*CI605</f>
        <v/>
      </c>
      <c r="CJ606">
        <f>$C606*CJ605</f>
        <v/>
      </c>
      <c r="CK606">
        <f>$C606*CK605</f>
        <v/>
      </c>
      <c r="CL606">
        <f>$C606*CL605</f>
        <v/>
      </c>
      <c r="CM606">
        <f>$C606*CM605</f>
        <v/>
      </c>
      <c r="CN606">
        <f>$C606*CN605</f>
        <v/>
      </c>
      <c r="CO606">
        <f>$C606*CO605</f>
        <v/>
      </c>
      <c r="CP606">
        <f>$C606*CP605</f>
        <v/>
      </c>
      <c r="CQ606">
        <f>$C606*CQ605</f>
        <v/>
      </c>
      <c r="CR606">
        <f>$C606*CR605</f>
        <v/>
      </c>
      <c r="CS606">
        <f>$C606*CS605</f>
        <v/>
      </c>
      <c r="CT606">
        <f>$C606*CT605</f>
        <v/>
      </c>
      <c r="CU606">
        <f>$C606*CU605</f>
        <v/>
      </c>
      <c r="CV606">
        <f>$C606*CV605</f>
        <v/>
      </c>
      <c r="CW606">
        <f>$C606*CW605</f>
        <v/>
      </c>
      <c r="CX606">
        <f>$C606*CX605</f>
        <v/>
      </c>
      <c r="CY606">
        <f>$C606*CY605</f>
        <v/>
      </c>
      <c r="CZ606">
        <f>$C606*CZ605</f>
        <v/>
      </c>
      <c r="DA606">
        <f>$C606*DA605</f>
        <v/>
      </c>
      <c r="DB606">
        <f>$C606*DB605</f>
        <v/>
      </c>
      <c r="DC606">
        <f>$C606*DC605</f>
        <v/>
      </c>
    </row>
    <row r="607">
      <c r="B607" t="inlineStr">
        <is>
          <t>VSP-989</t>
        </is>
      </c>
      <c r="C607" t="inlineStr">
        <is>
          <t>No. of batches</t>
        </is>
      </c>
      <c r="D607">
        <f>IFERROR(INDEX(PP_Grid[#Data],$DD607,2),0)</f>
        <v/>
      </c>
      <c r="E607">
        <f>IFERROR(INDEX(PP_Grid[#Data],$DD607,3),0)</f>
        <v/>
      </c>
      <c r="F607">
        <f>IFERROR(INDEX(PP_Grid[#Data],$DD607,4),0)</f>
        <v/>
      </c>
      <c r="G607">
        <f>IFERROR(INDEX(PP_Grid[#Data],$DD607,5),0)</f>
        <v/>
      </c>
      <c r="H607">
        <f>IFERROR(INDEX(PP_Grid[#Data],$DD607,6),0)</f>
        <v/>
      </c>
      <c r="I607">
        <f>IFERROR(INDEX(PP_Grid[#Data],$DD607,7),0)</f>
        <v/>
      </c>
      <c r="J607">
        <f>IFERROR(INDEX(PP_Grid[#Data],$DD607,8),0)</f>
        <v/>
      </c>
      <c r="K607">
        <f>IFERROR(INDEX(PP_Grid[#Data],$DD607,9),0)</f>
        <v/>
      </c>
      <c r="L607">
        <f>IFERROR(INDEX(PP_Grid[#Data],$DD607,10),0)</f>
        <v/>
      </c>
      <c r="M607">
        <f>IFERROR(INDEX(PP_Grid[#Data],$DD607,11),0)</f>
        <v/>
      </c>
      <c r="N607">
        <f>IFERROR(INDEX(PP_Grid[#Data],$DD607,12),0)</f>
        <v/>
      </c>
      <c r="O607">
        <f>IFERROR(INDEX(PP_Grid[#Data],$DD607,13),0)</f>
        <v/>
      </c>
      <c r="P607">
        <f>IFERROR(INDEX(PP_Grid[#Data],$DD607,14),0)</f>
        <v/>
      </c>
      <c r="Q607">
        <f>IFERROR(INDEX(PP_Grid[#Data],$DD607,15),0)</f>
        <v/>
      </c>
      <c r="R607">
        <f>IFERROR(INDEX(PP_Grid[#Data],$DD607,16),0)</f>
        <v/>
      </c>
      <c r="S607">
        <f>IFERROR(INDEX(PP_Grid[#Data],$DD607,17),0)</f>
        <v/>
      </c>
      <c r="T607">
        <f>IFERROR(INDEX(PP_Grid[#Data],$DD607,18),0)</f>
        <v/>
      </c>
      <c r="U607">
        <f>IFERROR(INDEX(PP_Grid[#Data],$DD607,19),0)</f>
        <v/>
      </c>
      <c r="V607">
        <f>IFERROR(INDEX(PP_Grid[#Data],$DD607,20),0)</f>
        <v/>
      </c>
      <c r="W607">
        <f>IFERROR(INDEX(PP_Grid[#Data],$DD607,21),0)</f>
        <v/>
      </c>
      <c r="X607">
        <f>IFERROR(INDEX(PP_Grid[#Data],$DD607,22),0)</f>
        <v/>
      </c>
      <c r="Y607">
        <f>IFERROR(INDEX(PP_Grid[#Data],$DD607,23),0)</f>
        <v/>
      </c>
      <c r="Z607">
        <f>IFERROR(INDEX(PP_Grid[#Data],$DD607,24),0)</f>
        <v/>
      </c>
      <c r="AA607">
        <f>IFERROR(INDEX(PP_Grid[#Data],$DD607,25),0)</f>
        <v/>
      </c>
      <c r="AB607">
        <f>IFERROR(INDEX(PP_Grid[#Data],$DD607,26),0)</f>
        <v/>
      </c>
      <c r="AC607">
        <f>IFERROR(INDEX(PP_Grid[#Data],$DD607,27),0)</f>
        <v/>
      </c>
      <c r="AD607">
        <f>IFERROR(INDEX(PP_Grid[#Data],$DD607,28),0)</f>
        <v/>
      </c>
      <c r="AE607">
        <f>IFERROR(INDEX(PP_Grid[#Data],$DD607,29),0)</f>
        <v/>
      </c>
      <c r="AF607">
        <f>IFERROR(INDEX(PP_Grid[#Data],$DD607,30),0)</f>
        <v/>
      </c>
      <c r="AG607">
        <f>IFERROR(INDEX(PP_Grid[#Data],$DD607,31),0)</f>
        <v/>
      </c>
      <c r="AH607">
        <f>IFERROR(INDEX(PP_Grid[#Data],$DD607,32),0)</f>
        <v/>
      </c>
      <c r="AI607">
        <f>IFERROR(INDEX(PP_Grid[#Data],$DD607,33),0)</f>
        <v/>
      </c>
      <c r="AJ607">
        <f>IFERROR(INDEX(PP_Grid[#Data],$DD607,34),0)</f>
        <v/>
      </c>
      <c r="AK607">
        <f>IFERROR(INDEX(PP_Grid[#Data],$DD607,35),0)</f>
        <v/>
      </c>
      <c r="AL607">
        <f>IFERROR(INDEX(PP_Grid[#Data],$DD607,36),0)</f>
        <v/>
      </c>
      <c r="AM607">
        <f>IFERROR(INDEX(PP_Grid[#Data],$DD607,37),0)</f>
        <v/>
      </c>
      <c r="AN607">
        <f>IFERROR(INDEX(PP_Grid[#Data],$DD607,38),0)</f>
        <v/>
      </c>
      <c r="AO607">
        <f>IFERROR(INDEX(PP_Grid[#Data],$DD607,39),0)</f>
        <v/>
      </c>
      <c r="AP607">
        <f>IFERROR(INDEX(PP_Grid[#Data],$DD607,40),0)</f>
        <v/>
      </c>
      <c r="AQ607">
        <f>IFERROR(INDEX(PP_Grid[#Data],$DD607,41),0)</f>
        <v/>
      </c>
      <c r="AR607">
        <f>IFERROR(INDEX(PP_Grid[#Data],$DD607,42),0)</f>
        <v/>
      </c>
      <c r="AS607">
        <f>IFERROR(INDEX(PP_Grid[#Data],$DD607,43),0)</f>
        <v/>
      </c>
      <c r="AT607">
        <f>IFERROR(INDEX(PP_Grid[#Data],$DD607,44),0)</f>
        <v/>
      </c>
      <c r="AU607">
        <f>IFERROR(INDEX(PP_Grid[#Data],$DD607,45),0)</f>
        <v/>
      </c>
      <c r="AV607">
        <f>IFERROR(INDEX(PP_Grid[#Data],$DD607,46),0)</f>
        <v/>
      </c>
      <c r="AW607">
        <f>IFERROR(INDEX(PP_Grid[#Data],$DD607,47),0)</f>
        <v/>
      </c>
      <c r="AX607">
        <f>IFERROR(INDEX(PP_Grid[#Data],$DD607,48),0)</f>
        <v/>
      </c>
      <c r="AY607">
        <f>IFERROR(INDEX(PP_Grid[#Data],$DD607,49),0)</f>
        <v/>
      </c>
      <c r="AZ607">
        <f>IFERROR(INDEX(PP_Grid[#Data],$DD607,50),0)</f>
        <v/>
      </c>
      <c r="BA607">
        <f>IFERROR(INDEX(PP_Grid[#Data],$DD607,51),0)</f>
        <v/>
      </c>
      <c r="BB607">
        <f>IFERROR(INDEX(PP_Grid[#Data],$DD607,52),0)</f>
        <v/>
      </c>
      <c r="BC607">
        <f>IFERROR(INDEX(PP_Grid[#Data],$DD607,53),0)</f>
        <v/>
      </c>
      <c r="BD607">
        <f>IFERROR(INDEX(PP_Grid[#Data],$DD607,54),0)</f>
        <v/>
      </c>
      <c r="BE607">
        <f>IFERROR(INDEX(PP_Grid[#Data],$DD607,55),0)</f>
        <v/>
      </c>
      <c r="BF607">
        <f>IFERROR(INDEX(PP_Grid[#Data],$DD607,56),0)</f>
        <v/>
      </c>
      <c r="BG607">
        <f>IFERROR(INDEX(PP_Grid[#Data],$DD607,57),0)</f>
        <v/>
      </c>
      <c r="BH607">
        <f>IFERROR(INDEX(PP_Grid[#Data],$DD607,58),0)</f>
        <v/>
      </c>
      <c r="BI607">
        <f>IFERROR(INDEX(PP_Grid[#Data],$DD607,59),0)</f>
        <v/>
      </c>
      <c r="BJ607">
        <f>IFERROR(INDEX(PP_Grid[#Data],$DD607,60),0)</f>
        <v/>
      </c>
      <c r="BK607">
        <f>IFERROR(INDEX(PP_Grid[#Data],$DD607,61),0)</f>
        <v/>
      </c>
      <c r="BL607">
        <f>IFERROR(INDEX(PP_Grid[#Data],$DD607,62),0)</f>
        <v/>
      </c>
      <c r="BM607">
        <f>IFERROR(INDEX(PP_Grid[#Data],$DD607,63),0)</f>
        <v/>
      </c>
      <c r="BN607">
        <f>IFERROR(INDEX(PP_Grid[#Data],$DD607,64),0)</f>
        <v/>
      </c>
      <c r="BO607">
        <f>IFERROR(INDEX(PP_Grid[#Data],$DD607,65),0)</f>
        <v/>
      </c>
      <c r="BP607">
        <f>IFERROR(INDEX(PP_Grid[#Data],$DD607,66),0)</f>
        <v/>
      </c>
      <c r="BQ607">
        <f>IFERROR(INDEX(PP_Grid[#Data],$DD607,67),0)</f>
        <v/>
      </c>
      <c r="BR607">
        <f>IFERROR(INDEX(PP_Grid[#Data],$DD607,68),0)</f>
        <v/>
      </c>
      <c r="BS607">
        <f>IFERROR(INDEX(PP_Grid[#Data],$DD607,69),0)</f>
        <v/>
      </c>
      <c r="BT607">
        <f>IFERROR(INDEX(PP_Grid[#Data],$DD607,70),0)</f>
        <v/>
      </c>
      <c r="BU607">
        <f>IFERROR(INDEX(PP_Grid[#Data],$DD607,71),0)</f>
        <v/>
      </c>
      <c r="BV607">
        <f>IFERROR(INDEX(PP_Grid[#Data],$DD607,72),0)</f>
        <v/>
      </c>
      <c r="BW607">
        <f>IFERROR(INDEX(PP_Grid[#Data],$DD607,73),0)</f>
        <v/>
      </c>
      <c r="BX607">
        <f>IFERROR(INDEX(PP_Grid[#Data],$DD607,74),0)</f>
        <v/>
      </c>
      <c r="BY607">
        <f>IFERROR(INDEX(PP_Grid[#Data],$DD607,75),0)</f>
        <v/>
      </c>
      <c r="BZ607">
        <f>IFERROR(INDEX(PP_Grid[#Data],$DD607,76),0)</f>
        <v/>
      </c>
      <c r="CA607">
        <f>IFERROR(INDEX(PP_Grid[#Data],$DD607,77),0)</f>
        <v/>
      </c>
      <c r="CB607">
        <f>IFERROR(INDEX(PP_Grid[#Data],$DD607,78),0)</f>
        <v/>
      </c>
      <c r="CC607">
        <f>IFERROR(INDEX(PP_Grid[#Data],$DD607,79),0)</f>
        <v/>
      </c>
      <c r="CD607">
        <f>IFERROR(INDEX(PP_Grid[#Data],$DD607,80),0)</f>
        <v/>
      </c>
      <c r="CE607">
        <f>IFERROR(INDEX(PP_Grid[#Data],$DD607,81),0)</f>
        <v/>
      </c>
      <c r="CF607">
        <f>IFERROR(INDEX(PP_Grid[#Data],$DD607,82),0)</f>
        <v/>
      </c>
      <c r="CG607">
        <f>IFERROR(INDEX(PP_Grid[#Data],$DD607,83),0)</f>
        <v/>
      </c>
      <c r="CH607">
        <f>IFERROR(INDEX(PP_Grid[#Data],$DD607,84),0)</f>
        <v/>
      </c>
      <c r="CI607">
        <f>IFERROR(INDEX(PP_Grid[#Data],$DD607,85),0)</f>
        <v/>
      </c>
      <c r="CJ607">
        <f>IFERROR(INDEX(PP_Grid[#Data],$DD607,86),0)</f>
        <v/>
      </c>
      <c r="CK607">
        <f>IFERROR(INDEX(PP_Grid[#Data],$DD607,87),0)</f>
        <v/>
      </c>
      <c r="CL607">
        <f>IFERROR(INDEX(PP_Grid[#Data],$DD607,88),0)</f>
        <v/>
      </c>
      <c r="CM607">
        <f>IFERROR(INDEX(PP_Grid[#Data],$DD607,89),0)</f>
        <v/>
      </c>
      <c r="CN607">
        <f>IFERROR(INDEX(PP_Grid[#Data],$DD607,90),0)</f>
        <v/>
      </c>
      <c r="CO607">
        <f>IFERROR(INDEX(PP_Grid[#Data],$DD607,91),0)</f>
        <v/>
      </c>
      <c r="CP607">
        <f>IFERROR(INDEX(PP_Grid[#Data],$DD607,92),0)</f>
        <v/>
      </c>
      <c r="CQ607">
        <f>IFERROR(INDEX(PP_Grid[#Data],$DD607,93),0)</f>
        <v/>
      </c>
      <c r="CR607">
        <f>IFERROR(INDEX(PP_Grid[#Data],$DD607,94),0)</f>
        <v/>
      </c>
      <c r="CS607">
        <f>IFERROR(INDEX(PP_Grid[#Data],$DD607,95),0)</f>
        <v/>
      </c>
      <c r="CT607">
        <f>IFERROR(INDEX(PP_Grid[#Data],$DD607,96),0)</f>
        <v/>
      </c>
      <c r="CU607">
        <f>IFERROR(INDEX(PP_Grid[#Data],$DD607,97),0)</f>
        <v/>
      </c>
      <c r="CV607">
        <f>IFERROR(INDEX(PP_Grid[#Data],$DD607,98),0)</f>
        <v/>
      </c>
      <c r="CW607">
        <f>IFERROR(INDEX(PP_Grid[#Data],$DD607,99),0)</f>
        <v/>
      </c>
      <c r="CX607">
        <f>IFERROR(INDEX(PP_Grid[#Data],$DD607,100),0)</f>
        <v/>
      </c>
      <c r="CY607">
        <f>IFERROR(INDEX(PP_Grid[#Data],$DD607,101),0)</f>
        <v/>
      </c>
      <c r="CZ607">
        <f>IFERROR(INDEX(PP_Grid[#Data],$DD607,102),0)</f>
        <v/>
      </c>
      <c r="DA607">
        <f>IFERROR(INDEX(PP_Grid[#Data],$DD607,103),0)</f>
        <v/>
      </c>
      <c r="DB607">
        <f>IFERROR(INDEX(PP_Grid[#Data],$DD607,104),0)</f>
        <v/>
      </c>
      <c r="DC607">
        <f>IFERROR(INDEX(PP_Grid[#Data],$DD607,105),0)</f>
        <v/>
      </c>
      <c r="DD607" s="7">
        <f>IFERROR(MATCH($B607,PP_Grid[Intermediate],0),99999)</f>
        <v/>
      </c>
    </row>
    <row r="608">
      <c r="B608" t="inlineStr">
        <is>
          <t>使用量(kg)</t>
        </is>
      </c>
      <c r="C608">
        <f>SUMIFS(M_BOM[RM_Qty_Per_Batch],M_BOM[Intermediate],$B607,M_BOM[Part Name],$A580)</f>
        <v/>
      </c>
      <c r="D608">
        <f>$C608*D607</f>
        <v/>
      </c>
      <c r="E608">
        <f>$C608*E607</f>
        <v/>
      </c>
      <c r="F608">
        <f>$C608*F607</f>
        <v/>
      </c>
      <c r="G608">
        <f>$C608*G607</f>
        <v/>
      </c>
      <c r="H608">
        <f>$C608*H607</f>
        <v/>
      </c>
      <c r="I608">
        <f>$C608*I607</f>
        <v/>
      </c>
      <c r="J608">
        <f>$C608*J607</f>
        <v/>
      </c>
      <c r="K608">
        <f>$C608*K607</f>
        <v/>
      </c>
      <c r="L608">
        <f>$C608*L607</f>
        <v/>
      </c>
      <c r="M608">
        <f>$C608*M607</f>
        <v/>
      </c>
      <c r="N608">
        <f>$C608*N607</f>
        <v/>
      </c>
      <c r="O608">
        <f>$C608*O607</f>
        <v/>
      </c>
      <c r="P608">
        <f>$C608*P607</f>
        <v/>
      </c>
      <c r="Q608">
        <f>$C608*Q607</f>
        <v/>
      </c>
      <c r="R608">
        <f>$C608*R607</f>
        <v/>
      </c>
      <c r="S608">
        <f>$C608*S607</f>
        <v/>
      </c>
      <c r="T608">
        <f>$C608*T607</f>
        <v/>
      </c>
      <c r="U608">
        <f>$C608*U607</f>
        <v/>
      </c>
      <c r="V608">
        <f>$C608*V607</f>
        <v/>
      </c>
      <c r="W608">
        <f>$C608*W607</f>
        <v/>
      </c>
      <c r="X608">
        <f>$C608*X607</f>
        <v/>
      </c>
      <c r="Y608">
        <f>$C608*Y607</f>
        <v/>
      </c>
      <c r="Z608">
        <f>$C608*Z607</f>
        <v/>
      </c>
      <c r="AA608">
        <f>$C608*AA607</f>
        <v/>
      </c>
      <c r="AB608">
        <f>$C608*AB607</f>
        <v/>
      </c>
      <c r="AC608">
        <f>$C608*AC607</f>
        <v/>
      </c>
      <c r="AD608">
        <f>$C608*AD607</f>
        <v/>
      </c>
      <c r="AE608">
        <f>$C608*AE607</f>
        <v/>
      </c>
      <c r="AF608">
        <f>$C608*AF607</f>
        <v/>
      </c>
      <c r="AG608">
        <f>$C608*AG607</f>
        <v/>
      </c>
      <c r="AH608">
        <f>$C608*AH607</f>
        <v/>
      </c>
      <c r="AI608">
        <f>$C608*AI607</f>
        <v/>
      </c>
      <c r="AJ608">
        <f>$C608*AJ607</f>
        <v/>
      </c>
      <c r="AK608">
        <f>$C608*AK607</f>
        <v/>
      </c>
      <c r="AL608">
        <f>$C608*AL607</f>
        <v/>
      </c>
      <c r="AM608">
        <f>$C608*AM607</f>
        <v/>
      </c>
      <c r="AN608">
        <f>$C608*AN607</f>
        <v/>
      </c>
      <c r="AO608">
        <f>$C608*AO607</f>
        <v/>
      </c>
      <c r="AP608">
        <f>$C608*AP607</f>
        <v/>
      </c>
      <c r="AQ608">
        <f>$C608*AQ607</f>
        <v/>
      </c>
      <c r="AR608">
        <f>$C608*AR607</f>
        <v/>
      </c>
      <c r="AS608">
        <f>$C608*AS607</f>
        <v/>
      </c>
      <c r="AT608">
        <f>$C608*AT607</f>
        <v/>
      </c>
      <c r="AU608">
        <f>$C608*AU607</f>
        <v/>
      </c>
      <c r="AV608">
        <f>$C608*AV607</f>
        <v/>
      </c>
      <c r="AW608">
        <f>$C608*AW607</f>
        <v/>
      </c>
      <c r="AX608">
        <f>$C608*AX607</f>
        <v/>
      </c>
      <c r="AY608">
        <f>$C608*AY607</f>
        <v/>
      </c>
      <c r="AZ608">
        <f>$C608*AZ607</f>
        <v/>
      </c>
      <c r="BA608">
        <f>$C608*BA607</f>
        <v/>
      </c>
      <c r="BB608">
        <f>$C608*BB607</f>
        <v/>
      </c>
      <c r="BC608">
        <f>$C608*BC607</f>
        <v/>
      </c>
      <c r="BD608">
        <f>$C608*BD607</f>
        <v/>
      </c>
      <c r="BE608">
        <f>$C608*BE607</f>
        <v/>
      </c>
      <c r="BF608">
        <f>$C608*BF607</f>
        <v/>
      </c>
      <c r="BG608">
        <f>$C608*BG607</f>
        <v/>
      </c>
      <c r="BH608">
        <f>$C608*BH607</f>
        <v/>
      </c>
      <c r="BI608">
        <f>$C608*BI607</f>
        <v/>
      </c>
      <c r="BJ608">
        <f>$C608*BJ607</f>
        <v/>
      </c>
      <c r="BK608">
        <f>$C608*BK607</f>
        <v/>
      </c>
      <c r="BL608">
        <f>$C608*BL607</f>
        <v/>
      </c>
      <c r="BM608">
        <f>$C608*BM607</f>
        <v/>
      </c>
      <c r="BN608">
        <f>$C608*BN607</f>
        <v/>
      </c>
      <c r="BO608">
        <f>$C608*BO607</f>
        <v/>
      </c>
      <c r="BP608">
        <f>$C608*BP607</f>
        <v/>
      </c>
      <c r="BQ608">
        <f>$C608*BQ607</f>
        <v/>
      </c>
      <c r="BR608">
        <f>$C608*BR607</f>
        <v/>
      </c>
      <c r="BS608">
        <f>$C608*BS607</f>
        <v/>
      </c>
      <c r="BT608">
        <f>$C608*BT607</f>
        <v/>
      </c>
      <c r="BU608">
        <f>$C608*BU607</f>
        <v/>
      </c>
      <c r="BV608">
        <f>$C608*BV607</f>
        <v/>
      </c>
      <c r="BW608">
        <f>$C608*BW607</f>
        <v/>
      </c>
      <c r="BX608">
        <f>$C608*BX607</f>
        <v/>
      </c>
      <c r="BY608">
        <f>$C608*BY607</f>
        <v/>
      </c>
      <c r="BZ608">
        <f>$C608*BZ607</f>
        <v/>
      </c>
      <c r="CA608">
        <f>$C608*CA607</f>
        <v/>
      </c>
      <c r="CB608">
        <f>$C608*CB607</f>
        <v/>
      </c>
      <c r="CC608">
        <f>$C608*CC607</f>
        <v/>
      </c>
      <c r="CD608">
        <f>$C608*CD607</f>
        <v/>
      </c>
      <c r="CE608">
        <f>$C608*CE607</f>
        <v/>
      </c>
      <c r="CF608">
        <f>$C608*CF607</f>
        <v/>
      </c>
      <c r="CG608">
        <f>$C608*CG607</f>
        <v/>
      </c>
      <c r="CH608">
        <f>$C608*CH607</f>
        <v/>
      </c>
      <c r="CI608">
        <f>$C608*CI607</f>
        <v/>
      </c>
      <c r="CJ608">
        <f>$C608*CJ607</f>
        <v/>
      </c>
      <c r="CK608">
        <f>$C608*CK607</f>
        <v/>
      </c>
      <c r="CL608">
        <f>$C608*CL607</f>
        <v/>
      </c>
      <c r="CM608">
        <f>$C608*CM607</f>
        <v/>
      </c>
      <c r="CN608">
        <f>$C608*CN607</f>
        <v/>
      </c>
      <c r="CO608">
        <f>$C608*CO607</f>
        <v/>
      </c>
      <c r="CP608">
        <f>$C608*CP607</f>
        <v/>
      </c>
      <c r="CQ608">
        <f>$C608*CQ607</f>
        <v/>
      </c>
      <c r="CR608">
        <f>$C608*CR607</f>
        <v/>
      </c>
      <c r="CS608">
        <f>$C608*CS607</f>
        <v/>
      </c>
      <c r="CT608">
        <f>$C608*CT607</f>
        <v/>
      </c>
      <c r="CU608">
        <f>$C608*CU607</f>
        <v/>
      </c>
      <c r="CV608">
        <f>$C608*CV607</f>
        <v/>
      </c>
      <c r="CW608">
        <f>$C608*CW607</f>
        <v/>
      </c>
      <c r="CX608">
        <f>$C608*CX607</f>
        <v/>
      </c>
      <c r="CY608">
        <f>$C608*CY607</f>
        <v/>
      </c>
      <c r="CZ608">
        <f>$C608*CZ607</f>
        <v/>
      </c>
      <c r="DA608">
        <f>$C608*DA607</f>
        <v/>
      </c>
      <c r="DB608">
        <f>$C608*DB607</f>
        <v/>
      </c>
      <c r="DC608">
        <f>$C608*DC607</f>
        <v/>
      </c>
    </row>
    <row r="609">
      <c r="B609" t="inlineStr">
        <is>
          <t>TPP-190</t>
        </is>
      </c>
      <c r="C609" t="inlineStr">
        <is>
          <t>No. of batches</t>
        </is>
      </c>
      <c r="D609">
        <f>IFERROR(INDEX(PP_Grid[#Data],$DD609,2),0)</f>
        <v/>
      </c>
      <c r="E609">
        <f>IFERROR(INDEX(PP_Grid[#Data],$DD609,3),0)</f>
        <v/>
      </c>
      <c r="F609">
        <f>IFERROR(INDEX(PP_Grid[#Data],$DD609,4),0)</f>
        <v/>
      </c>
      <c r="G609">
        <f>IFERROR(INDEX(PP_Grid[#Data],$DD609,5),0)</f>
        <v/>
      </c>
      <c r="H609">
        <f>IFERROR(INDEX(PP_Grid[#Data],$DD609,6),0)</f>
        <v/>
      </c>
      <c r="I609">
        <f>IFERROR(INDEX(PP_Grid[#Data],$DD609,7),0)</f>
        <v/>
      </c>
      <c r="J609">
        <f>IFERROR(INDEX(PP_Grid[#Data],$DD609,8),0)</f>
        <v/>
      </c>
      <c r="K609">
        <f>IFERROR(INDEX(PP_Grid[#Data],$DD609,9),0)</f>
        <v/>
      </c>
      <c r="L609">
        <f>IFERROR(INDEX(PP_Grid[#Data],$DD609,10),0)</f>
        <v/>
      </c>
      <c r="M609">
        <f>IFERROR(INDEX(PP_Grid[#Data],$DD609,11),0)</f>
        <v/>
      </c>
      <c r="N609">
        <f>IFERROR(INDEX(PP_Grid[#Data],$DD609,12),0)</f>
        <v/>
      </c>
      <c r="O609">
        <f>IFERROR(INDEX(PP_Grid[#Data],$DD609,13),0)</f>
        <v/>
      </c>
      <c r="P609">
        <f>IFERROR(INDEX(PP_Grid[#Data],$DD609,14),0)</f>
        <v/>
      </c>
      <c r="Q609">
        <f>IFERROR(INDEX(PP_Grid[#Data],$DD609,15),0)</f>
        <v/>
      </c>
      <c r="R609">
        <f>IFERROR(INDEX(PP_Grid[#Data],$DD609,16),0)</f>
        <v/>
      </c>
      <c r="S609">
        <f>IFERROR(INDEX(PP_Grid[#Data],$DD609,17),0)</f>
        <v/>
      </c>
      <c r="T609">
        <f>IFERROR(INDEX(PP_Grid[#Data],$DD609,18),0)</f>
        <v/>
      </c>
      <c r="U609">
        <f>IFERROR(INDEX(PP_Grid[#Data],$DD609,19),0)</f>
        <v/>
      </c>
      <c r="V609">
        <f>IFERROR(INDEX(PP_Grid[#Data],$DD609,20),0)</f>
        <v/>
      </c>
      <c r="W609">
        <f>IFERROR(INDEX(PP_Grid[#Data],$DD609,21),0)</f>
        <v/>
      </c>
      <c r="X609">
        <f>IFERROR(INDEX(PP_Grid[#Data],$DD609,22),0)</f>
        <v/>
      </c>
      <c r="Y609">
        <f>IFERROR(INDEX(PP_Grid[#Data],$DD609,23),0)</f>
        <v/>
      </c>
      <c r="Z609">
        <f>IFERROR(INDEX(PP_Grid[#Data],$DD609,24),0)</f>
        <v/>
      </c>
      <c r="AA609">
        <f>IFERROR(INDEX(PP_Grid[#Data],$DD609,25),0)</f>
        <v/>
      </c>
      <c r="AB609">
        <f>IFERROR(INDEX(PP_Grid[#Data],$DD609,26),0)</f>
        <v/>
      </c>
      <c r="AC609">
        <f>IFERROR(INDEX(PP_Grid[#Data],$DD609,27),0)</f>
        <v/>
      </c>
      <c r="AD609">
        <f>IFERROR(INDEX(PP_Grid[#Data],$DD609,28),0)</f>
        <v/>
      </c>
      <c r="AE609">
        <f>IFERROR(INDEX(PP_Grid[#Data],$DD609,29),0)</f>
        <v/>
      </c>
      <c r="AF609">
        <f>IFERROR(INDEX(PP_Grid[#Data],$DD609,30),0)</f>
        <v/>
      </c>
      <c r="AG609">
        <f>IFERROR(INDEX(PP_Grid[#Data],$DD609,31),0)</f>
        <v/>
      </c>
      <c r="AH609">
        <f>IFERROR(INDEX(PP_Grid[#Data],$DD609,32),0)</f>
        <v/>
      </c>
      <c r="AI609">
        <f>IFERROR(INDEX(PP_Grid[#Data],$DD609,33),0)</f>
        <v/>
      </c>
      <c r="AJ609">
        <f>IFERROR(INDEX(PP_Grid[#Data],$DD609,34),0)</f>
        <v/>
      </c>
      <c r="AK609">
        <f>IFERROR(INDEX(PP_Grid[#Data],$DD609,35),0)</f>
        <v/>
      </c>
      <c r="AL609">
        <f>IFERROR(INDEX(PP_Grid[#Data],$DD609,36),0)</f>
        <v/>
      </c>
      <c r="AM609">
        <f>IFERROR(INDEX(PP_Grid[#Data],$DD609,37),0)</f>
        <v/>
      </c>
      <c r="AN609">
        <f>IFERROR(INDEX(PP_Grid[#Data],$DD609,38),0)</f>
        <v/>
      </c>
      <c r="AO609">
        <f>IFERROR(INDEX(PP_Grid[#Data],$DD609,39),0)</f>
        <v/>
      </c>
      <c r="AP609">
        <f>IFERROR(INDEX(PP_Grid[#Data],$DD609,40),0)</f>
        <v/>
      </c>
      <c r="AQ609">
        <f>IFERROR(INDEX(PP_Grid[#Data],$DD609,41),0)</f>
        <v/>
      </c>
      <c r="AR609">
        <f>IFERROR(INDEX(PP_Grid[#Data],$DD609,42),0)</f>
        <v/>
      </c>
      <c r="AS609">
        <f>IFERROR(INDEX(PP_Grid[#Data],$DD609,43),0)</f>
        <v/>
      </c>
      <c r="AT609">
        <f>IFERROR(INDEX(PP_Grid[#Data],$DD609,44),0)</f>
        <v/>
      </c>
      <c r="AU609">
        <f>IFERROR(INDEX(PP_Grid[#Data],$DD609,45),0)</f>
        <v/>
      </c>
      <c r="AV609">
        <f>IFERROR(INDEX(PP_Grid[#Data],$DD609,46),0)</f>
        <v/>
      </c>
      <c r="AW609">
        <f>IFERROR(INDEX(PP_Grid[#Data],$DD609,47),0)</f>
        <v/>
      </c>
      <c r="AX609">
        <f>IFERROR(INDEX(PP_Grid[#Data],$DD609,48),0)</f>
        <v/>
      </c>
      <c r="AY609">
        <f>IFERROR(INDEX(PP_Grid[#Data],$DD609,49),0)</f>
        <v/>
      </c>
      <c r="AZ609">
        <f>IFERROR(INDEX(PP_Grid[#Data],$DD609,50),0)</f>
        <v/>
      </c>
      <c r="BA609">
        <f>IFERROR(INDEX(PP_Grid[#Data],$DD609,51),0)</f>
        <v/>
      </c>
      <c r="BB609">
        <f>IFERROR(INDEX(PP_Grid[#Data],$DD609,52),0)</f>
        <v/>
      </c>
      <c r="BC609">
        <f>IFERROR(INDEX(PP_Grid[#Data],$DD609,53),0)</f>
        <v/>
      </c>
      <c r="BD609">
        <f>IFERROR(INDEX(PP_Grid[#Data],$DD609,54),0)</f>
        <v/>
      </c>
      <c r="BE609">
        <f>IFERROR(INDEX(PP_Grid[#Data],$DD609,55),0)</f>
        <v/>
      </c>
      <c r="BF609">
        <f>IFERROR(INDEX(PP_Grid[#Data],$DD609,56),0)</f>
        <v/>
      </c>
      <c r="BG609">
        <f>IFERROR(INDEX(PP_Grid[#Data],$DD609,57),0)</f>
        <v/>
      </c>
      <c r="BH609">
        <f>IFERROR(INDEX(PP_Grid[#Data],$DD609,58),0)</f>
        <v/>
      </c>
      <c r="BI609">
        <f>IFERROR(INDEX(PP_Grid[#Data],$DD609,59),0)</f>
        <v/>
      </c>
      <c r="BJ609">
        <f>IFERROR(INDEX(PP_Grid[#Data],$DD609,60),0)</f>
        <v/>
      </c>
      <c r="BK609">
        <f>IFERROR(INDEX(PP_Grid[#Data],$DD609,61),0)</f>
        <v/>
      </c>
      <c r="BL609">
        <f>IFERROR(INDEX(PP_Grid[#Data],$DD609,62),0)</f>
        <v/>
      </c>
      <c r="BM609">
        <f>IFERROR(INDEX(PP_Grid[#Data],$DD609,63),0)</f>
        <v/>
      </c>
      <c r="BN609">
        <f>IFERROR(INDEX(PP_Grid[#Data],$DD609,64),0)</f>
        <v/>
      </c>
      <c r="BO609">
        <f>IFERROR(INDEX(PP_Grid[#Data],$DD609,65),0)</f>
        <v/>
      </c>
      <c r="BP609">
        <f>IFERROR(INDEX(PP_Grid[#Data],$DD609,66),0)</f>
        <v/>
      </c>
      <c r="BQ609">
        <f>IFERROR(INDEX(PP_Grid[#Data],$DD609,67),0)</f>
        <v/>
      </c>
      <c r="BR609">
        <f>IFERROR(INDEX(PP_Grid[#Data],$DD609,68),0)</f>
        <v/>
      </c>
      <c r="BS609">
        <f>IFERROR(INDEX(PP_Grid[#Data],$DD609,69),0)</f>
        <v/>
      </c>
      <c r="BT609">
        <f>IFERROR(INDEX(PP_Grid[#Data],$DD609,70),0)</f>
        <v/>
      </c>
      <c r="BU609">
        <f>IFERROR(INDEX(PP_Grid[#Data],$DD609,71),0)</f>
        <v/>
      </c>
      <c r="BV609">
        <f>IFERROR(INDEX(PP_Grid[#Data],$DD609,72),0)</f>
        <v/>
      </c>
      <c r="BW609">
        <f>IFERROR(INDEX(PP_Grid[#Data],$DD609,73),0)</f>
        <v/>
      </c>
      <c r="BX609">
        <f>IFERROR(INDEX(PP_Grid[#Data],$DD609,74),0)</f>
        <v/>
      </c>
      <c r="BY609">
        <f>IFERROR(INDEX(PP_Grid[#Data],$DD609,75),0)</f>
        <v/>
      </c>
      <c r="BZ609">
        <f>IFERROR(INDEX(PP_Grid[#Data],$DD609,76),0)</f>
        <v/>
      </c>
      <c r="CA609">
        <f>IFERROR(INDEX(PP_Grid[#Data],$DD609,77),0)</f>
        <v/>
      </c>
      <c r="CB609">
        <f>IFERROR(INDEX(PP_Grid[#Data],$DD609,78),0)</f>
        <v/>
      </c>
      <c r="CC609">
        <f>IFERROR(INDEX(PP_Grid[#Data],$DD609,79),0)</f>
        <v/>
      </c>
      <c r="CD609">
        <f>IFERROR(INDEX(PP_Grid[#Data],$DD609,80),0)</f>
        <v/>
      </c>
      <c r="CE609">
        <f>IFERROR(INDEX(PP_Grid[#Data],$DD609,81),0)</f>
        <v/>
      </c>
      <c r="CF609">
        <f>IFERROR(INDEX(PP_Grid[#Data],$DD609,82),0)</f>
        <v/>
      </c>
      <c r="CG609">
        <f>IFERROR(INDEX(PP_Grid[#Data],$DD609,83),0)</f>
        <v/>
      </c>
      <c r="CH609">
        <f>IFERROR(INDEX(PP_Grid[#Data],$DD609,84),0)</f>
        <v/>
      </c>
      <c r="CI609">
        <f>IFERROR(INDEX(PP_Grid[#Data],$DD609,85),0)</f>
        <v/>
      </c>
      <c r="CJ609">
        <f>IFERROR(INDEX(PP_Grid[#Data],$DD609,86),0)</f>
        <v/>
      </c>
      <c r="CK609">
        <f>IFERROR(INDEX(PP_Grid[#Data],$DD609,87),0)</f>
        <v/>
      </c>
      <c r="CL609">
        <f>IFERROR(INDEX(PP_Grid[#Data],$DD609,88),0)</f>
        <v/>
      </c>
      <c r="CM609">
        <f>IFERROR(INDEX(PP_Grid[#Data],$DD609,89),0)</f>
        <v/>
      </c>
      <c r="CN609">
        <f>IFERROR(INDEX(PP_Grid[#Data],$DD609,90),0)</f>
        <v/>
      </c>
      <c r="CO609">
        <f>IFERROR(INDEX(PP_Grid[#Data],$DD609,91),0)</f>
        <v/>
      </c>
      <c r="CP609">
        <f>IFERROR(INDEX(PP_Grid[#Data],$DD609,92),0)</f>
        <v/>
      </c>
      <c r="CQ609">
        <f>IFERROR(INDEX(PP_Grid[#Data],$DD609,93),0)</f>
        <v/>
      </c>
      <c r="CR609">
        <f>IFERROR(INDEX(PP_Grid[#Data],$DD609,94),0)</f>
        <v/>
      </c>
      <c r="CS609">
        <f>IFERROR(INDEX(PP_Grid[#Data],$DD609,95),0)</f>
        <v/>
      </c>
      <c r="CT609">
        <f>IFERROR(INDEX(PP_Grid[#Data],$DD609,96),0)</f>
        <v/>
      </c>
      <c r="CU609">
        <f>IFERROR(INDEX(PP_Grid[#Data],$DD609,97),0)</f>
        <v/>
      </c>
      <c r="CV609">
        <f>IFERROR(INDEX(PP_Grid[#Data],$DD609,98),0)</f>
        <v/>
      </c>
      <c r="CW609">
        <f>IFERROR(INDEX(PP_Grid[#Data],$DD609,99),0)</f>
        <v/>
      </c>
      <c r="CX609">
        <f>IFERROR(INDEX(PP_Grid[#Data],$DD609,100),0)</f>
        <v/>
      </c>
      <c r="CY609">
        <f>IFERROR(INDEX(PP_Grid[#Data],$DD609,101),0)</f>
        <v/>
      </c>
      <c r="CZ609">
        <f>IFERROR(INDEX(PP_Grid[#Data],$DD609,102),0)</f>
        <v/>
      </c>
      <c r="DA609">
        <f>IFERROR(INDEX(PP_Grid[#Data],$DD609,103),0)</f>
        <v/>
      </c>
      <c r="DB609">
        <f>IFERROR(INDEX(PP_Grid[#Data],$DD609,104),0)</f>
        <v/>
      </c>
      <c r="DC609">
        <f>IFERROR(INDEX(PP_Grid[#Data],$DD609,105),0)</f>
        <v/>
      </c>
      <c r="DD609" s="7">
        <f>IFERROR(MATCH($B609,PP_Grid[Intermediate],0),99999)</f>
        <v/>
      </c>
    </row>
    <row r="610">
      <c r="B610" t="inlineStr">
        <is>
          <t>使用量(kg)</t>
        </is>
      </c>
      <c r="C610">
        <f>SUMIFS(M_BOM[RM_Qty_Per_Batch],M_BOM[Intermediate],$B609,M_BOM[Part Name],$A580)</f>
        <v/>
      </c>
      <c r="D610">
        <f>$C610*D609</f>
        <v/>
      </c>
      <c r="E610">
        <f>$C610*E609</f>
        <v/>
      </c>
      <c r="F610">
        <f>$C610*F609</f>
        <v/>
      </c>
      <c r="G610">
        <f>$C610*G609</f>
        <v/>
      </c>
      <c r="H610">
        <f>$C610*H609</f>
        <v/>
      </c>
      <c r="I610">
        <f>$C610*I609</f>
        <v/>
      </c>
      <c r="J610">
        <f>$C610*J609</f>
        <v/>
      </c>
      <c r="K610">
        <f>$C610*K609</f>
        <v/>
      </c>
      <c r="L610">
        <f>$C610*L609</f>
        <v/>
      </c>
      <c r="M610">
        <f>$C610*M609</f>
        <v/>
      </c>
      <c r="N610">
        <f>$C610*N609</f>
        <v/>
      </c>
      <c r="O610">
        <f>$C610*O609</f>
        <v/>
      </c>
      <c r="P610">
        <f>$C610*P609</f>
        <v/>
      </c>
      <c r="Q610">
        <f>$C610*Q609</f>
        <v/>
      </c>
      <c r="R610">
        <f>$C610*R609</f>
        <v/>
      </c>
      <c r="S610">
        <f>$C610*S609</f>
        <v/>
      </c>
      <c r="T610">
        <f>$C610*T609</f>
        <v/>
      </c>
      <c r="U610">
        <f>$C610*U609</f>
        <v/>
      </c>
      <c r="V610">
        <f>$C610*V609</f>
        <v/>
      </c>
      <c r="W610">
        <f>$C610*W609</f>
        <v/>
      </c>
      <c r="X610">
        <f>$C610*X609</f>
        <v/>
      </c>
      <c r="Y610">
        <f>$C610*Y609</f>
        <v/>
      </c>
      <c r="Z610">
        <f>$C610*Z609</f>
        <v/>
      </c>
      <c r="AA610">
        <f>$C610*AA609</f>
        <v/>
      </c>
      <c r="AB610">
        <f>$C610*AB609</f>
        <v/>
      </c>
      <c r="AC610">
        <f>$C610*AC609</f>
        <v/>
      </c>
      <c r="AD610">
        <f>$C610*AD609</f>
        <v/>
      </c>
      <c r="AE610">
        <f>$C610*AE609</f>
        <v/>
      </c>
      <c r="AF610">
        <f>$C610*AF609</f>
        <v/>
      </c>
      <c r="AG610">
        <f>$C610*AG609</f>
        <v/>
      </c>
      <c r="AH610">
        <f>$C610*AH609</f>
        <v/>
      </c>
      <c r="AI610">
        <f>$C610*AI609</f>
        <v/>
      </c>
      <c r="AJ610">
        <f>$C610*AJ609</f>
        <v/>
      </c>
      <c r="AK610">
        <f>$C610*AK609</f>
        <v/>
      </c>
      <c r="AL610">
        <f>$C610*AL609</f>
        <v/>
      </c>
      <c r="AM610">
        <f>$C610*AM609</f>
        <v/>
      </c>
      <c r="AN610">
        <f>$C610*AN609</f>
        <v/>
      </c>
      <c r="AO610">
        <f>$C610*AO609</f>
        <v/>
      </c>
      <c r="AP610">
        <f>$C610*AP609</f>
        <v/>
      </c>
      <c r="AQ610">
        <f>$C610*AQ609</f>
        <v/>
      </c>
      <c r="AR610">
        <f>$C610*AR609</f>
        <v/>
      </c>
      <c r="AS610">
        <f>$C610*AS609</f>
        <v/>
      </c>
      <c r="AT610">
        <f>$C610*AT609</f>
        <v/>
      </c>
      <c r="AU610">
        <f>$C610*AU609</f>
        <v/>
      </c>
      <c r="AV610">
        <f>$C610*AV609</f>
        <v/>
      </c>
      <c r="AW610">
        <f>$C610*AW609</f>
        <v/>
      </c>
      <c r="AX610">
        <f>$C610*AX609</f>
        <v/>
      </c>
      <c r="AY610">
        <f>$C610*AY609</f>
        <v/>
      </c>
      <c r="AZ610">
        <f>$C610*AZ609</f>
        <v/>
      </c>
      <c r="BA610">
        <f>$C610*BA609</f>
        <v/>
      </c>
      <c r="BB610">
        <f>$C610*BB609</f>
        <v/>
      </c>
      <c r="BC610">
        <f>$C610*BC609</f>
        <v/>
      </c>
      <c r="BD610">
        <f>$C610*BD609</f>
        <v/>
      </c>
      <c r="BE610">
        <f>$C610*BE609</f>
        <v/>
      </c>
      <c r="BF610">
        <f>$C610*BF609</f>
        <v/>
      </c>
      <c r="BG610">
        <f>$C610*BG609</f>
        <v/>
      </c>
      <c r="BH610">
        <f>$C610*BH609</f>
        <v/>
      </c>
      <c r="BI610">
        <f>$C610*BI609</f>
        <v/>
      </c>
      <c r="BJ610">
        <f>$C610*BJ609</f>
        <v/>
      </c>
      <c r="BK610">
        <f>$C610*BK609</f>
        <v/>
      </c>
      <c r="BL610">
        <f>$C610*BL609</f>
        <v/>
      </c>
      <c r="BM610">
        <f>$C610*BM609</f>
        <v/>
      </c>
      <c r="BN610">
        <f>$C610*BN609</f>
        <v/>
      </c>
      <c r="BO610">
        <f>$C610*BO609</f>
        <v/>
      </c>
      <c r="BP610">
        <f>$C610*BP609</f>
        <v/>
      </c>
      <c r="BQ610">
        <f>$C610*BQ609</f>
        <v/>
      </c>
      <c r="BR610">
        <f>$C610*BR609</f>
        <v/>
      </c>
      <c r="BS610">
        <f>$C610*BS609</f>
        <v/>
      </c>
      <c r="BT610">
        <f>$C610*BT609</f>
        <v/>
      </c>
      <c r="BU610">
        <f>$C610*BU609</f>
        <v/>
      </c>
      <c r="BV610">
        <f>$C610*BV609</f>
        <v/>
      </c>
      <c r="BW610">
        <f>$C610*BW609</f>
        <v/>
      </c>
      <c r="BX610">
        <f>$C610*BX609</f>
        <v/>
      </c>
      <c r="BY610">
        <f>$C610*BY609</f>
        <v/>
      </c>
      <c r="BZ610">
        <f>$C610*BZ609</f>
        <v/>
      </c>
      <c r="CA610">
        <f>$C610*CA609</f>
        <v/>
      </c>
      <c r="CB610">
        <f>$C610*CB609</f>
        <v/>
      </c>
      <c r="CC610">
        <f>$C610*CC609</f>
        <v/>
      </c>
      <c r="CD610">
        <f>$C610*CD609</f>
        <v/>
      </c>
      <c r="CE610">
        <f>$C610*CE609</f>
        <v/>
      </c>
      <c r="CF610">
        <f>$C610*CF609</f>
        <v/>
      </c>
      <c r="CG610">
        <f>$C610*CG609</f>
        <v/>
      </c>
      <c r="CH610">
        <f>$C610*CH609</f>
        <v/>
      </c>
      <c r="CI610">
        <f>$C610*CI609</f>
        <v/>
      </c>
      <c r="CJ610">
        <f>$C610*CJ609</f>
        <v/>
      </c>
      <c r="CK610">
        <f>$C610*CK609</f>
        <v/>
      </c>
      <c r="CL610">
        <f>$C610*CL609</f>
        <v/>
      </c>
      <c r="CM610">
        <f>$C610*CM609</f>
        <v/>
      </c>
      <c r="CN610">
        <f>$C610*CN609</f>
        <v/>
      </c>
      <c r="CO610">
        <f>$C610*CO609</f>
        <v/>
      </c>
      <c r="CP610">
        <f>$C610*CP609</f>
        <v/>
      </c>
      <c r="CQ610">
        <f>$C610*CQ609</f>
        <v/>
      </c>
      <c r="CR610">
        <f>$C610*CR609</f>
        <v/>
      </c>
      <c r="CS610">
        <f>$C610*CS609</f>
        <v/>
      </c>
      <c r="CT610">
        <f>$C610*CT609</f>
        <v/>
      </c>
      <c r="CU610">
        <f>$C610*CU609</f>
        <v/>
      </c>
      <c r="CV610">
        <f>$C610*CV609</f>
        <v/>
      </c>
      <c r="CW610">
        <f>$C610*CW609</f>
        <v/>
      </c>
      <c r="CX610">
        <f>$C610*CX609</f>
        <v/>
      </c>
      <c r="CY610">
        <f>$C610*CY609</f>
        <v/>
      </c>
      <c r="CZ610">
        <f>$C610*CZ609</f>
        <v/>
      </c>
      <c r="DA610">
        <f>$C610*DA609</f>
        <v/>
      </c>
      <c r="DB610">
        <f>$C610*DB609</f>
        <v/>
      </c>
      <c r="DC610">
        <f>$C610*DC609</f>
        <v/>
      </c>
    </row>
    <row r="611">
      <c r="B611" t="inlineStr">
        <is>
          <t>TPP-204</t>
        </is>
      </c>
      <c r="C611" t="inlineStr">
        <is>
          <t>No. of batches</t>
        </is>
      </c>
      <c r="D611">
        <f>IFERROR(INDEX(PP_Grid[#Data],$DD611,2),0)</f>
        <v/>
      </c>
      <c r="E611">
        <f>IFERROR(INDEX(PP_Grid[#Data],$DD611,3),0)</f>
        <v/>
      </c>
      <c r="F611">
        <f>IFERROR(INDEX(PP_Grid[#Data],$DD611,4),0)</f>
        <v/>
      </c>
      <c r="G611">
        <f>IFERROR(INDEX(PP_Grid[#Data],$DD611,5),0)</f>
        <v/>
      </c>
      <c r="H611">
        <f>IFERROR(INDEX(PP_Grid[#Data],$DD611,6),0)</f>
        <v/>
      </c>
      <c r="I611">
        <f>IFERROR(INDEX(PP_Grid[#Data],$DD611,7),0)</f>
        <v/>
      </c>
      <c r="J611">
        <f>IFERROR(INDEX(PP_Grid[#Data],$DD611,8),0)</f>
        <v/>
      </c>
      <c r="K611">
        <f>IFERROR(INDEX(PP_Grid[#Data],$DD611,9),0)</f>
        <v/>
      </c>
      <c r="L611">
        <f>IFERROR(INDEX(PP_Grid[#Data],$DD611,10),0)</f>
        <v/>
      </c>
      <c r="M611">
        <f>IFERROR(INDEX(PP_Grid[#Data],$DD611,11),0)</f>
        <v/>
      </c>
      <c r="N611">
        <f>IFERROR(INDEX(PP_Grid[#Data],$DD611,12),0)</f>
        <v/>
      </c>
      <c r="O611">
        <f>IFERROR(INDEX(PP_Grid[#Data],$DD611,13),0)</f>
        <v/>
      </c>
      <c r="P611">
        <f>IFERROR(INDEX(PP_Grid[#Data],$DD611,14),0)</f>
        <v/>
      </c>
      <c r="Q611">
        <f>IFERROR(INDEX(PP_Grid[#Data],$DD611,15),0)</f>
        <v/>
      </c>
      <c r="R611">
        <f>IFERROR(INDEX(PP_Grid[#Data],$DD611,16),0)</f>
        <v/>
      </c>
      <c r="S611">
        <f>IFERROR(INDEX(PP_Grid[#Data],$DD611,17),0)</f>
        <v/>
      </c>
      <c r="T611">
        <f>IFERROR(INDEX(PP_Grid[#Data],$DD611,18),0)</f>
        <v/>
      </c>
      <c r="U611">
        <f>IFERROR(INDEX(PP_Grid[#Data],$DD611,19),0)</f>
        <v/>
      </c>
      <c r="V611">
        <f>IFERROR(INDEX(PP_Grid[#Data],$DD611,20),0)</f>
        <v/>
      </c>
      <c r="W611">
        <f>IFERROR(INDEX(PP_Grid[#Data],$DD611,21),0)</f>
        <v/>
      </c>
      <c r="X611">
        <f>IFERROR(INDEX(PP_Grid[#Data],$DD611,22),0)</f>
        <v/>
      </c>
      <c r="Y611">
        <f>IFERROR(INDEX(PP_Grid[#Data],$DD611,23),0)</f>
        <v/>
      </c>
      <c r="Z611">
        <f>IFERROR(INDEX(PP_Grid[#Data],$DD611,24),0)</f>
        <v/>
      </c>
      <c r="AA611">
        <f>IFERROR(INDEX(PP_Grid[#Data],$DD611,25),0)</f>
        <v/>
      </c>
      <c r="AB611">
        <f>IFERROR(INDEX(PP_Grid[#Data],$DD611,26),0)</f>
        <v/>
      </c>
      <c r="AC611">
        <f>IFERROR(INDEX(PP_Grid[#Data],$DD611,27),0)</f>
        <v/>
      </c>
      <c r="AD611">
        <f>IFERROR(INDEX(PP_Grid[#Data],$DD611,28),0)</f>
        <v/>
      </c>
      <c r="AE611">
        <f>IFERROR(INDEX(PP_Grid[#Data],$DD611,29),0)</f>
        <v/>
      </c>
      <c r="AF611">
        <f>IFERROR(INDEX(PP_Grid[#Data],$DD611,30),0)</f>
        <v/>
      </c>
      <c r="AG611">
        <f>IFERROR(INDEX(PP_Grid[#Data],$DD611,31),0)</f>
        <v/>
      </c>
      <c r="AH611">
        <f>IFERROR(INDEX(PP_Grid[#Data],$DD611,32),0)</f>
        <v/>
      </c>
      <c r="AI611">
        <f>IFERROR(INDEX(PP_Grid[#Data],$DD611,33),0)</f>
        <v/>
      </c>
      <c r="AJ611">
        <f>IFERROR(INDEX(PP_Grid[#Data],$DD611,34),0)</f>
        <v/>
      </c>
      <c r="AK611">
        <f>IFERROR(INDEX(PP_Grid[#Data],$DD611,35),0)</f>
        <v/>
      </c>
      <c r="AL611">
        <f>IFERROR(INDEX(PP_Grid[#Data],$DD611,36),0)</f>
        <v/>
      </c>
      <c r="AM611">
        <f>IFERROR(INDEX(PP_Grid[#Data],$DD611,37),0)</f>
        <v/>
      </c>
      <c r="AN611">
        <f>IFERROR(INDEX(PP_Grid[#Data],$DD611,38),0)</f>
        <v/>
      </c>
      <c r="AO611">
        <f>IFERROR(INDEX(PP_Grid[#Data],$DD611,39),0)</f>
        <v/>
      </c>
      <c r="AP611">
        <f>IFERROR(INDEX(PP_Grid[#Data],$DD611,40),0)</f>
        <v/>
      </c>
      <c r="AQ611">
        <f>IFERROR(INDEX(PP_Grid[#Data],$DD611,41),0)</f>
        <v/>
      </c>
      <c r="AR611">
        <f>IFERROR(INDEX(PP_Grid[#Data],$DD611,42),0)</f>
        <v/>
      </c>
      <c r="AS611">
        <f>IFERROR(INDEX(PP_Grid[#Data],$DD611,43),0)</f>
        <v/>
      </c>
      <c r="AT611">
        <f>IFERROR(INDEX(PP_Grid[#Data],$DD611,44),0)</f>
        <v/>
      </c>
      <c r="AU611">
        <f>IFERROR(INDEX(PP_Grid[#Data],$DD611,45),0)</f>
        <v/>
      </c>
      <c r="AV611">
        <f>IFERROR(INDEX(PP_Grid[#Data],$DD611,46),0)</f>
        <v/>
      </c>
      <c r="AW611">
        <f>IFERROR(INDEX(PP_Grid[#Data],$DD611,47),0)</f>
        <v/>
      </c>
      <c r="AX611">
        <f>IFERROR(INDEX(PP_Grid[#Data],$DD611,48),0)</f>
        <v/>
      </c>
      <c r="AY611">
        <f>IFERROR(INDEX(PP_Grid[#Data],$DD611,49),0)</f>
        <v/>
      </c>
      <c r="AZ611">
        <f>IFERROR(INDEX(PP_Grid[#Data],$DD611,50),0)</f>
        <v/>
      </c>
      <c r="BA611">
        <f>IFERROR(INDEX(PP_Grid[#Data],$DD611,51),0)</f>
        <v/>
      </c>
      <c r="BB611">
        <f>IFERROR(INDEX(PP_Grid[#Data],$DD611,52),0)</f>
        <v/>
      </c>
      <c r="BC611">
        <f>IFERROR(INDEX(PP_Grid[#Data],$DD611,53),0)</f>
        <v/>
      </c>
      <c r="BD611">
        <f>IFERROR(INDEX(PP_Grid[#Data],$DD611,54),0)</f>
        <v/>
      </c>
      <c r="BE611">
        <f>IFERROR(INDEX(PP_Grid[#Data],$DD611,55),0)</f>
        <v/>
      </c>
      <c r="BF611">
        <f>IFERROR(INDEX(PP_Grid[#Data],$DD611,56),0)</f>
        <v/>
      </c>
      <c r="BG611">
        <f>IFERROR(INDEX(PP_Grid[#Data],$DD611,57),0)</f>
        <v/>
      </c>
      <c r="BH611">
        <f>IFERROR(INDEX(PP_Grid[#Data],$DD611,58),0)</f>
        <v/>
      </c>
      <c r="BI611">
        <f>IFERROR(INDEX(PP_Grid[#Data],$DD611,59),0)</f>
        <v/>
      </c>
      <c r="BJ611">
        <f>IFERROR(INDEX(PP_Grid[#Data],$DD611,60),0)</f>
        <v/>
      </c>
      <c r="BK611">
        <f>IFERROR(INDEX(PP_Grid[#Data],$DD611,61),0)</f>
        <v/>
      </c>
      <c r="BL611">
        <f>IFERROR(INDEX(PP_Grid[#Data],$DD611,62),0)</f>
        <v/>
      </c>
      <c r="BM611">
        <f>IFERROR(INDEX(PP_Grid[#Data],$DD611,63),0)</f>
        <v/>
      </c>
      <c r="BN611">
        <f>IFERROR(INDEX(PP_Grid[#Data],$DD611,64),0)</f>
        <v/>
      </c>
      <c r="BO611">
        <f>IFERROR(INDEX(PP_Grid[#Data],$DD611,65),0)</f>
        <v/>
      </c>
      <c r="BP611">
        <f>IFERROR(INDEX(PP_Grid[#Data],$DD611,66),0)</f>
        <v/>
      </c>
      <c r="BQ611">
        <f>IFERROR(INDEX(PP_Grid[#Data],$DD611,67),0)</f>
        <v/>
      </c>
      <c r="BR611">
        <f>IFERROR(INDEX(PP_Grid[#Data],$DD611,68),0)</f>
        <v/>
      </c>
      <c r="BS611">
        <f>IFERROR(INDEX(PP_Grid[#Data],$DD611,69),0)</f>
        <v/>
      </c>
      <c r="BT611">
        <f>IFERROR(INDEX(PP_Grid[#Data],$DD611,70),0)</f>
        <v/>
      </c>
      <c r="BU611">
        <f>IFERROR(INDEX(PP_Grid[#Data],$DD611,71),0)</f>
        <v/>
      </c>
      <c r="BV611">
        <f>IFERROR(INDEX(PP_Grid[#Data],$DD611,72),0)</f>
        <v/>
      </c>
      <c r="BW611">
        <f>IFERROR(INDEX(PP_Grid[#Data],$DD611,73),0)</f>
        <v/>
      </c>
      <c r="BX611">
        <f>IFERROR(INDEX(PP_Grid[#Data],$DD611,74),0)</f>
        <v/>
      </c>
      <c r="BY611">
        <f>IFERROR(INDEX(PP_Grid[#Data],$DD611,75),0)</f>
        <v/>
      </c>
      <c r="BZ611">
        <f>IFERROR(INDEX(PP_Grid[#Data],$DD611,76),0)</f>
        <v/>
      </c>
      <c r="CA611">
        <f>IFERROR(INDEX(PP_Grid[#Data],$DD611,77),0)</f>
        <v/>
      </c>
      <c r="CB611">
        <f>IFERROR(INDEX(PP_Grid[#Data],$DD611,78),0)</f>
        <v/>
      </c>
      <c r="CC611">
        <f>IFERROR(INDEX(PP_Grid[#Data],$DD611,79),0)</f>
        <v/>
      </c>
      <c r="CD611">
        <f>IFERROR(INDEX(PP_Grid[#Data],$DD611,80),0)</f>
        <v/>
      </c>
      <c r="CE611">
        <f>IFERROR(INDEX(PP_Grid[#Data],$DD611,81),0)</f>
        <v/>
      </c>
      <c r="CF611">
        <f>IFERROR(INDEX(PP_Grid[#Data],$DD611,82),0)</f>
        <v/>
      </c>
      <c r="CG611">
        <f>IFERROR(INDEX(PP_Grid[#Data],$DD611,83),0)</f>
        <v/>
      </c>
      <c r="CH611">
        <f>IFERROR(INDEX(PP_Grid[#Data],$DD611,84),0)</f>
        <v/>
      </c>
      <c r="CI611">
        <f>IFERROR(INDEX(PP_Grid[#Data],$DD611,85),0)</f>
        <v/>
      </c>
      <c r="CJ611">
        <f>IFERROR(INDEX(PP_Grid[#Data],$DD611,86),0)</f>
        <v/>
      </c>
      <c r="CK611">
        <f>IFERROR(INDEX(PP_Grid[#Data],$DD611,87),0)</f>
        <v/>
      </c>
      <c r="CL611">
        <f>IFERROR(INDEX(PP_Grid[#Data],$DD611,88),0)</f>
        <v/>
      </c>
      <c r="CM611">
        <f>IFERROR(INDEX(PP_Grid[#Data],$DD611,89),0)</f>
        <v/>
      </c>
      <c r="CN611">
        <f>IFERROR(INDEX(PP_Grid[#Data],$DD611,90),0)</f>
        <v/>
      </c>
      <c r="CO611">
        <f>IFERROR(INDEX(PP_Grid[#Data],$DD611,91),0)</f>
        <v/>
      </c>
      <c r="CP611">
        <f>IFERROR(INDEX(PP_Grid[#Data],$DD611,92),0)</f>
        <v/>
      </c>
      <c r="CQ611">
        <f>IFERROR(INDEX(PP_Grid[#Data],$DD611,93),0)</f>
        <v/>
      </c>
      <c r="CR611">
        <f>IFERROR(INDEX(PP_Grid[#Data],$DD611,94),0)</f>
        <v/>
      </c>
      <c r="CS611">
        <f>IFERROR(INDEX(PP_Grid[#Data],$DD611,95),0)</f>
        <v/>
      </c>
      <c r="CT611">
        <f>IFERROR(INDEX(PP_Grid[#Data],$DD611,96),0)</f>
        <v/>
      </c>
      <c r="CU611">
        <f>IFERROR(INDEX(PP_Grid[#Data],$DD611,97),0)</f>
        <v/>
      </c>
      <c r="CV611">
        <f>IFERROR(INDEX(PP_Grid[#Data],$DD611,98),0)</f>
        <v/>
      </c>
      <c r="CW611">
        <f>IFERROR(INDEX(PP_Grid[#Data],$DD611,99),0)</f>
        <v/>
      </c>
      <c r="CX611">
        <f>IFERROR(INDEX(PP_Grid[#Data],$DD611,100),0)</f>
        <v/>
      </c>
      <c r="CY611">
        <f>IFERROR(INDEX(PP_Grid[#Data],$DD611,101),0)</f>
        <v/>
      </c>
      <c r="CZ611">
        <f>IFERROR(INDEX(PP_Grid[#Data],$DD611,102),0)</f>
        <v/>
      </c>
      <c r="DA611">
        <f>IFERROR(INDEX(PP_Grid[#Data],$DD611,103),0)</f>
        <v/>
      </c>
      <c r="DB611">
        <f>IFERROR(INDEX(PP_Grid[#Data],$DD611,104),0)</f>
        <v/>
      </c>
      <c r="DC611">
        <f>IFERROR(INDEX(PP_Grid[#Data],$DD611,105),0)</f>
        <v/>
      </c>
      <c r="DD611" s="7">
        <f>IFERROR(MATCH($B611,PP_Grid[Intermediate],0),99999)</f>
        <v/>
      </c>
    </row>
    <row r="612">
      <c r="B612" t="inlineStr">
        <is>
          <t>使用量(kg)</t>
        </is>
      </c>
      <c r="C612">
        <f>SUMIFS(M_BOM[RM_Qty_Per_Batch],M_BOM[Intermediate],$B611,M_BOM[Part Name],$A580)</f>
        <v/>
      </c>
      <c r="D612">
        <f>$C612*D611</f>
        <v/>
      </c>
      <c r="E612">
        <f>$C612*E611</f>
        <v/>
      </c>
      <c r="F612">
        <f>$C612*F611</f>
        <v/>
      </c>
      <c r="G612">
        <f>$C612*G611</f>
        <v/>
      </c>
      <c r="H612">
        <f>$C612*H611</f>
        <v/>
      </c>
      <c r="I612">
        <f>$C612*I611</f>
        <v/>
      </c>
      <c r="J612">
        <f>$C612*J611</f>
        <v/>
      </c>
      <c r="K612">
        <f>$C612*K611</f>
        <v/>
      </c>
      <c r="L612">
        <f>$C612*L611</f>
        <v/>
      </c>
      <c r="M612">
        <f>$C612*M611</f>
        <v/>
      </c>
      <c r="N612">
        <f>$C612*N611</f>
        <v/>
      </c>
      <c r="O612">
        <f>$C612*O611</f>
        <v/>
      </c>
      <c r="P612">
        <f>$C612*P611</f>
        <v/>
      </c>
      <c r="Q612">
        <f>$C612*Q611</f>
        <v/>
      </c>
      <c r="R612">
        <f>$C612*R611</f>
        <v/>
      </c>
      <c r="S612">
        <f>$C612*S611</f>
        <v/>
      </c>
      <c r="T612">
        <f>$C612*T611</f>
        <v/>
      </c>
      <c r="U612">
        <f>$C612*U611</f>
        <v/>
      </c>
      <c r="V612">
        <f>$C612*V611</f>
        <v/>
      </c>
      <c r="W612">
        <f>$C612*W611</f>
        <v/>
      </c>
      <c r="X612">
        <f>$C612*X611</f>
        <v/>
      </c>
      <c r="Y612">
        <f>$C612*Y611</f>
        <v/>
      </c>
      <c r="Z612">
        <f>$C612*Z611</f>
        <v/>
      </c>
      <c r="AA612">
        <f>$C612*AA611</f>
        <v/>
      </c>
      <c r="AB612">
        <f>$C612*AB611</f>
        <v/>
      </c>
      <c r="AC612">
        <f>$C612*AC611</f>
        <v/>
      </c>
      <c r="AD612">
        <f>$C612*AD611</f>
        <v/>
      </c>
      <c r="AE612">
        <f>$C612*AE611</f>
        <v/>
      </c>
      <c r="AF612">
        <f>$C612*AF611</f>
        <v/>
      </c>
      <c r="AG612">
        <f>$C612*AG611</f>
        <v/>
      </c>
      <c r="AH612">
        <f>$C612*AH611</f>
        <v/>
      </c>
      <c r="AI612">
        <f>$C612*AI611</f>
        <v/>
      </c>
      <c r="AJ612">
        <f>$C612*AJ611</f>
        <v/>
      </c>
      <c r="AK612">
        <f>$C612*AK611</f>
        <v/>
      </c>
      <c r="AL612">
        <f>$C612*AL611</f>
        <v/>
      </c>
      <c r="AM612">
        <f>$C612*AM611</f>
        <v/>
      </c>
      <c r="AN612">
        <f>$C612*AN611</f>
        <v/>
      </c>
      <c r="AO612">
        <f>$C612*AO611</f>
        <v/>
      </c>
      <c r="AP612">
        <f>$C612*AP611</f>
        <v/>
      </c>
      <c r="AQ612">
        <f>$C612*AQ611</f>
        <v/>
      </c>
      <c r="AR612">
        <f>$C612*AR611</f>
        <v/>
      </c>
      <c r="AS612">
        <f>$C612*AS611</f>
        <v/>
      </c>
      <c r="AT612">
        <f>$C612*AT611</f>
        <v/>
      </c>
      <c r="AU612">
        <f>$C612*AU611</f>
        <v/>
      </c>
      <c r="AV612">
        <f>$C612*AV611</f>
        <v/>
      </c>
      <c r="AW612">
        <f>$C612*AW611</f>
        <v/>
      </c>
      <c r="AX612">
        <f>$C612*AX611</f>
        <v/>
      </c>
      <c r="AY612">
        <f>$C612*AY611</f>
        <v/>
      </c>
      <c r="AZ612">
        <f>$C612*AZ611</f>
        <v/>
      </c>
      <c r="BA612">
        <f>$C612*BA611</f>
        <v/>
      </c>
      <c r="BB612">
        <f>$C612*BB611</f>
        <v/>
      </c>
      <c r="BC612">
        <f>$C612*BC611</f>
        <v/>
      </c>
      <c r="BD612">
        <f>$C612*BD611</f>
        <v/>
      </c>
      <c r="BE612">
        <f>$C612*BE611</f>
        <v/>
      </c>
      <c r="BF612">
        <f>$C612*BF611</f>
        <v/>
      </c>
      <c r="BG612">
        <f>$C612*BG611</f>
        <v/>
      </c>
      <c r="BH612">
        <f>$C612*BH611</f>
        <v/>
      </c>
      <c r="BI612">
        <f>$C612*BI611</f>
        <v/>
      </c>
      <c r="BJ612">
        <f>$C612*BJ611</f>
        <v/>
      </c>
      <c r="BK612">
        <f>$C612*BK611</f>
        <v/>
      </c>
      <c r="BL612">
        <f>$C612*BL611</f>
        <v/>
      </c>
      <c r="BM612">
        <f>$C612*BM611</f>
        <v/>
      </c>
      <c r="BN612">
        <f>$C612*BN611</f>
        <v/>
      </c>
      <c r="BO612">
        <f>$C612*BO611</f>
        <v/>
      </c>
      <c r="BP612">
        <f>$C612*BP611</f>
        <v/>
      </c>
      <c r="BQ612">
        <f>$C612*BQ611</f>
        <v/>
      </c>
      <c r="BR612">
        <f>$C612*BR611</f>
        <v/>
      </c>
      <c r="BS612">
        <f>$C612*BS611</f>
        <v/>
      </c>
      <c r="BT612">
        <f>$C612*BT611</f>
        <v/>
      </c>
      <c r="BU612">
        <f>$C612*BU611</f>
        <v/>
      </c>
      <c r="BV612">
        <f>$C612*BV611</f>
        <v/>
      </c>
      <c r="BW612">
        <f>$C612*BW611</f>
        <v/>
      </c>
      <c r="BX612">
        <f>$C612*BX611</f>
        <v/>
      </c>
      <c r="BY612">
        <f>$C612*BY611</f>
        <v/>
      </c>
      <c r="BZ612">
        <f>$C612*BZ611</f>
        <v/>
      </c>
      <c r="CA612">
        <f>$C612*CA611</f>
        <v/>
      </c>
      <c r="CB612">
        <f>$C612*CB611</f>
        <v/>
      </c>
      <c r="CC612">
        <f>$C612*CC611</f>
        <v/>
      </c>
      <c r="CD612">
        <f>$C612*CD611</f>
        <v/>
      </c>
      <c r="CE612">
        <f>$C612*CE611</f>
        <v/>
      </c>
      <c r="CF612">
        <f>$C612*CF611</f>
        <v/>
      </c>
      <c r="CG612">
        <f>$C612*CG611</f>
        <v/>
      </c>
      <c r="CH612">
        <f>$C612*CH611</f>
        <v/>
      </c>
      <c r="CI612">
        <f>$C612*CI611</f>
        <v/>
      </c>
      <c r="CJ612">
        <f>$C612*CJ611</f>
        <v/>
      </c>
      <c r="CK612">
        <f>$C612*CK611</f>
        <v/>
      </c>
      <c r="CL612">
        <f>$C612*CL611</f>
        <v/>
      </c>
      <c r="CM612">
        <f>$C612*CM611</f>
        <v/>
      </c>
      <c r="CN612">
        <f>$C612*CN611</f>
        <v/>
      </c>
      <c r="CO612">
        <f>$C612*CO611</f>
        <v/>
      </c>
      <c r="CP612">
        <f>$C612*CP611</f>
        <v/>
      </c>
      <c r="CQ612">
        <f>$C612*CQ611</f>
        <v/>
      </c>
      <c r="CR612">
        <f>$C612*CR611</f>
        <v/>
      </c>
      <c r="CS612">
        <f>$C612*CS611</f>
        <v/>
      </c>
      <c r="CT612">
        <f>$C612*CT611</f>
        <v/>
      </c>
      <c r="CU612">
        <f>$C612*CU611</f>
        <v/>
      </c>
      <c r="CV612">
        <f>$C612*CV611</f>
        <v/>
      </c>
      <c r="CW612">
        <f>$C612*CW611</f>
        <v/>
      </c>
      <c r="CX612">
        <f>$C612*CX611</f>
        <v/>
      </c>
      <c r="CY612">
        <f>$C612*CY611</f>
        <v/>
      </c>
      <c r="CZ612">
        <f>$C612*CZ611</f>
        <v/>
      </c>
      <c r="DA612">
        <f>$C612*DA611</f>
        <v/>
      </c>
      <c r="DB612">
        <f>$C612*DB611</f>
        <v/>
      </c>
      <c r="DC612">
        <f>$C612*DC611</f>
        <v/>
      </c>
    </row>
    <row r="613">
      <c r="B613" t="inlineStr">
        <is>
          <t>TPP-350</t>
        </is>
      </c>
      <c r="C613" t="inlineStr">
        <is>
          <t>No. of batches</t>
        </is>
      </c>
      <c r="D613">
        <f>IFERROR(INDEX(PP_Grid[#Data],$DD613,2),0)</f>
        <v/>
      </c>
      <c r="E613">
        <f>IFERROR(INDEX(PP_Grid[#Data],$DD613,3),0)</f>
        <v/>
      </c>
      <c r="F613">
        <f>IFERROR(INDEX(PP_Grid[#Data],$DD613,4),0)</f>
        <v/>
      </c>
      <c r="G613">
        <f>IFERROR(INDEX(PP_Grid[#Data],$DD613,5),0)</f>
        <v/>
      </c>
      <c r="H613">
        <f>IFERROR(INDEX(PP_Grid[#Data],$DD613,6),0)</f>
        <v/>
      </c>
      <c r="I613">
        <f>IFERROR(INDEX(PP_Grid[#Data],$DD613,7),0)</f>
        <v/>
      </c>
      <c r="J613">
        <f>IFERROR(INDEX(PP_Grid[#Data],$DD613,8),0)</f>
        <v/>
      </c>
      <c r="K613">
        <f>IFERROR(INDEX(PP_Grid[#Data],$DD613,9),0)</f>
        <v/>
      </c>
      <c r="L613">
        <f>IFERROR(INDEX(PP_Grid[#Data],$DD613,10),0)</f>
        <v/>
      </c>
      <c r="M613">
        <f>IFERROR(INDEX(PP_Grid[#Data],$DD613,11),0)</f>
        <v/>
      </c>
      <c r="N613">
        <f>IFERROR(INDEX(PP_Grid[#Data],$DD613,12),0)</f>
        <v/>
      </c>
      <c r="O613">
        <f>IFERROR(INDEX(PP_Grid[#Data],$DD613,13),0)</f>
        <v/>
      </c>
      <c r="P613">
        <f>IFERROR(INDEX(PP_Grid[#Data],$DD613,14),0)</f>
        <v/>
      </c>
      <c r="Q613">
        <f>IFERROR(INDEX(PP_Grid[#Data],$DD613,15),0)</f>
        <v/>
      </c>
      <c r="R613">
        <f>IFERROR(INDEX(PP_Grid[#Data],$DD613,16),0)</f>
        <v/>
      </c>
      <c r="S613">
        <f>IFERROR(INDEX(PP_Grid[#Data],$DD613,17),0)</f>
        <v/>
      </c>
      <c r="T613">
        <f>IFERROR(INDEX(PP_Grid[#Data],$DD613,18),0)</f>
        <v/>
      </c>
      <c r="U613">
        <f>IFERROR(INDEX(PP_Grid[#Data],$DD613,19),0)</f>
        <v/>
      </c>
      <c r="V613">
        <f>IFERROR(INDEX(PP_Grid[#Data],$DD613,20),0)</f>
        <v/>
      </c>
      <c r="W613">
        <f>IFERROR(INDEX(PP_Grid[#Data],$DD613,21),0)</f>
        <v/>
      </c>
      <c r="X613">
        <f>IFERROR(INDEX(PP_Grid[#Data],$DD613,22),0)</f>
        <v/>
      </c>
      <c r="Y613">
        <f>IFERROR(INDEX(PP_Grid[#Data],$DD613,23),0)</f>
        <v/>
      </c>
      <c r="Z613">
        <f>IFERROR(INDEX(PP_Grid[#Data],$DD613,24),0)</f>
        <v/>
      </c>
      <c r="AA613">
        <f>IFERROR(INDEX(PP_Grid[#Data],$DD613,25),0)</f>
        <v/>
      </c>
      <c r="AB613">
        <f>IFERROR(INDEX(PP_Grid[#Data],$DD613,26),0)</f>
        <v/>
      </c>
      <c r="AC613">
        <f>IFERROR(INDEX(PP_Grid[#Data],$DD613,27),0)</f>
        <v/>
      </c>
      <c r="AD613">
        <f>IFERROR(INDEX(PP_Grid[#Data],$DD613,28),0)</f>
        <v/>
      </c>
      <c r="AE613">
        <f>IFERROR(INDEX(PP_Grid[#Data],$DD613,29),0)</f>
        <v/>
      </c>
      <c r="AF613">
        <f>IFERROR(INDEX(PP_Grid[#Data],$DD613,30),0)</f>
        <v/>
      </c>
      <c r="AG613">
        <f>IFERROR(INDEX(PP_Grid[#Data],$DD613,31),0)</f>
        <v/>
      </c>
      <c r="AH613">
        <f>IFERROR(INDEX(PP_Grid[#Data],$DD613,32),0)</f>
        <v/>
      </c>
      <c r="AI613">
        <f>IFERROR(INDEX(PP_Grid[#Data],$DD613,33),0)</f>
        <v/>
      </c>
      <c r="AJ613">
        <f>IFERROR(INDEX(PP_Grid[#Data],$DD613,34),0)</f>
        <v/>
      </c>
      <c r="AK613">
        <f>IFERROR(INDEX(PP_Grid[#Data],$DD613,35),0)</f>
        <v/>
      </c>
      <c r="AL613">
        <f>IFERROR(INDEX(PP_Grid[#Data],$DD613,36),0)</f>
        <v/>
      </c>
      <c r="AM613">
        <f>IFERROR(INDEX(PP_Grid[#Data],$DD613,37),0)</f>
        <v/>
      </c>
      <c r="AN613">
        <f>IFERROR(INDEX(PP_Grid[#Data],$DD613,38),0)</f>
        <v/>
      </c>
      <c r="AO613">
        <f>IFERROR(INDEX(PP_Grid[#Data],$DD613,39),0)</f>
        <v/>
      </c>
      <c r="AP613">
        <f>IFERROR(INDEX(PP_Grid[#Data],$DD613,40),0)</f>
        <v/>
      </c>
      <c r="AQ613">
        <f>IFERROR(INDEX(PP_Grid[#Data],$DD613,41),0)</f>
        <v/>
      </c>
      <c r="AR613">
        <f>IFERROR(INDEX(PP_Grid[#Data],$DD613,42),0)</f>
        <v/>
      </c>
      <c r="AS613">
        <f>IFERROR(INDEX(PP_Grid[#Data],$DD613,43),0)</f>
        <v/>
      </c>
      <c r="AT613">
        <f>IFERROR(INDEX(PP_Grid[#Data],$DD613,44),0)</f>
        <v/>
      </c>
      <c r="AU613">
        <f>IFERROR(INDEX(PP_Grid[#Data],$DD613,45),0)</f>
        <v/>
      </c>
      <c r="AV613">
        <f>IFERROR(INDEX(PP_Grid[#Data],$DD613,46),0)</f>
        <v/>
      </c>
      <c r="AW613">
        <f>IFERROR(INDEX(PP_Grid[#Data],$DD613,47),0)</f>
        <v/>
      </c>
      <c r="AX613">
        <f>IFERROR(INDEX(PP_Grid[#Data],$DD613,48),0)</f>
        <v/>
      </c>
      <c r="AY613">
        <f>IFERROR(INDEX(PP_Grid[#Data],$DD613,49),0)</f>
        <v/>
      </c>
      <c r="AZ613">
        <f>IFERROR(INDEX(PP_Grid[#Data],$DD613,50),0)</f>
        <v/>
      </c>
      <c r="BA613">
        <f>IFERROR(INDEX(PP_Grid[#Data],$DD613,51),0)</f>
        <v/>
      </c>
      <c r="BB613">
        <f>IFERROR(INDEX(PP_Grid[#Data],$DD613,52),0)</f>
        <v/>
      </c>
      <c r="BC613">
        <f>IFERROR(INDEX(PP_Grid[#Data],$DD613,53),0)</f>
        <v/>
      </c>
      <c r="BD613">
        <f>IFERROR(INDEX(PP_Grid[#Data],$DD613,54),0)</f>
        <v/>
      </c>
      <c r="BE613">
        <f>IFERROR(INDEX(PP_Grid[#Data],$DD613,55),0)</f>
        <v/>
      </c>
      <c r="BF613">
        <f>IFERROR(INDEX(PP_Grid[#Data],$DD613,56),0)</f>
        <v/>
      </c>
      <c r="BG613">
        <f>IFERROR(INDEX(PP_Grid[#Data],$DD613,57),0)</f>
        <v/>
      </c>
      <c r="BH613">
        <f>IFERROR(INDEX(PP_Grid[#Data],$DD613,58),0)</f>
        <v/>
      </c>
      <c r="BI613">
        <f>IFERROR(INDEX(PP_Grid[#Data],$DD613,59),0)</f>
        <v/>
      </c>
      <c r="BJ613">
        <f>IFERROR(INDEX(PP_Grid[#Data],$DD613,60),0)</f>
        <v/>
      </c>
      <c r="BK613">
        <f>IFERROR(INDEX(PP_Grid[#Data],$DD613,61),0)</f>
        <v/>
      </c>
      <c r="BL613">
        <f>IFERROR(INDEX(PP_Grid[#Data],$DD613,62),0)</f>
        <v/>
      </c>
      <c r="BM613">
        <f>IFERROR(INDEX(PP_Grid[#Data],$DD613,63),0)</f>
        <v/>
      </c>
      <c r="BN613">
        <f>IFERROR(INDEX(PP_Grid[#Data],$DD613,64),0)</f>
        <v/>
      </c>
      <c r="BO613">
        <f>IFERROR(INDEX(PP_Grid[#Data],$DD613,65),0)</f>
        <v/>
      </c>
      <c r="BP613">
        <f>IFERROR(INDEX(PP_Grid[#Data],$DD613,66),0)</f>
        <v/>
      </c>
      <c r="BQ613">
        <f>IFERROR(INDEX(PP_Grid[#Data],$DD613,67),0)</f>
        <v/>
      </c>
      <c r="BR613">
        <f>IFERROR(INDEX(PP_Grid[#Data],$DD613,68),0)</f>
        <v/>
      </c>
      <c r="BS613">
        <f>IFERROR(INDEX(PP_Grid[#Data],$DD613,69),0)</f>
        <v/>
      </c>
      <c r="BT613">
        <f>IFERROR(INDEX(PP_Grid[#Data],$DD613,70),0)</f>
        <v/>
      </c>
      <c r="BU613">
        <f>IFERROR(INDEX(PP_Grid[#Data],$DD613,71),0)</f>
        <v/>
      </c>
      <c r="BV613">
        <f>IFERROR(INDEX(PP_Grid[#Data],$DD613,72),0)</f>
        <v/>
      </c>
      <c r="BW613">
        <f>IFERROR(INDEX(PP_Grid[#Data],$DD613,73),0)</f>
        <v/>
      </c>
      <c r="BX613">
        <f>IFERROR(INDEX(PP_Grid[#Data],$DD613,74),0)</f>
        <v/>
      </c>
      <c r="BY613">
        <f>IFERROR(INDEX(PP_Grid[#Data],$DD613,75),0)</f>
        <v/>
      </c>
      <c r="BZ613">
        <f>IFERROR(INDEX(PP_Grid[#Data],$DD613,76),0)</f>
        <v/>
      </c>
      <c r="CA613">
        <f>IFERROR(INDEX(PP_Grid[#Data],$DD613,77),0)</f>
        <v/>
      </c>
      <c r="CB613">
        <f>IFERROR(INDEX(PP_Grid[#Data],$DD613,78),0)</f>
        <v/>
      </c>
      <c r="CC613">
        <f>IFERROR(INDEX(PP_Grid[#Data],$DD613,79),0)</f>
        <v/>
      </c>
      <c r="CD613">
        <f>IFERROR(INDEX(PP_Grid[#Data],$DD613,80),0)</f>
        <v/>
      </c>
      <c r="CE613">
        <f>IFERROR(INDEX(PP_Grid[#Data],$DD613,81),0)</f>
        <v/>
      </c>
      <c r="CF613">
        <f>IFERROR(INDEX(PP_Grid[#Data],$DD613,82),0)</f>
        <v/>
      </c>
      <c r="CG613">
        <f>IFERROR(INDEX(PP_Grid[#Data],$DD613,83),0)</f>
        <v/>
      </c>
      <c r="CH613">
        <f>IFERROR(INDEX(PP_Grid[#Data],$DD613,84),0)</f>
        <v/>
      </c>
      <c r="CI613">
        <f>IFERROR(INDEX(PP_Grid[#Data],$DD613,85),0)</f>
        <v/>
      </c>
      <c r="CJ613">
        <f>IFERROR(INDEX(PP_Grid[#Data],$DD613,86),0)</f>
        <v/>
      </c>
      <c r="CK613">
        <f>IFERROR(INDEX(PP_Grid[#Data],$DD613,87),0)</f>
        <v/>
      </c>
      <c r="CL613">
        <f>IFERROR(INDEX(PP_Grid[#Data],$DD613,88),0)</f>
        <v/>
      </c>
      <c r="CM613">
        <f>IFERROR(INDEX(PP_Grid[#Data],$DD613,89),0)</f>
        <v/>
      </c>
      <c r="CN613">
        <f>IFERROR(INDEX(PP_Grid[#Data],$DD613,90),0)</f>
        <v/>
      </c>
      <c r="CO613">
        <f>IFERROR(INDEX(PP_Grid[#Data],$DD613,91),0)</f>
        <v/>
      </c>
      <c r="CP613">
        <f>IFERROR(INDEX(PP_Grid[#Data],$DD613,92),0)</f>
        <v/>
      </c>
      <c r="CQ613">
        <f>IFERROR(INDEX(PP_Grid[#Data],$DD613,93),0)</f>
        <v/>
      </c>
      <c r="CR613">
        <f>IFERROR(INDEX(PP_Grid[#Data],$DD613,94),0)</f>
        <v/>
      </c>
      <c r="CS613">
        <f>IFERROR(INDEX(PP_Grid[#Data],$DD613,95),0)</f>
        <v/>
      </c>
      <c r="CT613">
        <f>IFERROR(INDEX(PP_Grid[#Data],$DD613,96),0)</f>
        <v/>
      </c>
      <c r="CU613">
        <f>IFERROR(INDEX(PP_Grid[#Data],$DD613,97),0)</f>
        <v/>
      </c>
      <c r="CV613">
        <f>IFERROR(INDEX(PP_Grid[#Data],$DD613,98),0)</f>
        <v/>
      </c>
      <c r="CW613">
        <f>IFERROR(INDEX(PP_Grid[#Data],$DD613,99),0)</f>
        <v/>
      </c>
      <c r="CX613">
        <f>IFERROR(INDEX(PP_Grid[#Data],$DD613,100),0)</f>
        <v/>
      </c>
      <c r="CY613">
        <f>IFERROR(INDEX(PP_Grid[#Data],$DD613,101),0)</f>
        <v/>
      </c>
      <c r="CZ613">
        <f>IFERROR(INDEX(PP_Grid[#Data],$DD613,102),0)</f>
        <v/>
      </c>
      <c r="DA613">
        <f>IFERROR(INDEX(PP_Grid[#Data],$DD613,103),0)</f>
        <v/>
      </c>
      <c r="DB613">
        <f>IFERROR(INDEX(PP_Grid[#Data],$DD613,104),0)</f>
        <v/>
      </c>
      <c r="DC613">
        <f>IFERROR(INDEX(PP_Grid[#Data],$DD613,105),0)</f>
        <v/>
      </c>
      <c r="DD613" s="7">
        <f>IFERROR(MATCH($B613,PP_Grid[Intermediate],0),99999)</f>
        <v/>
      </c>
    </row>
    <row r="614">
      <c r="B614" t="inlineStr">
        <is>
          <t>使用量(kg)</t>
        </is>
      </c>
      <c r="C614">
        <f>SUMIFS(M_BOM[RM_Qty_Per_Batch],M_BOM[Intermediate],$B613,M_BOM[Part Name],$A580)</f>
        <v/>
      </c>
      <c r="D614">
        <f>$C614*D613</f>
        <v/>
      </c>
      <c r="E614">
        <f>$C614*E613</f>
        <v/>
      </c>
      <c r="F614">
        <f>$C614*F613</f>
        <v/>
      </c>
      <c r="G614">
        <f>$C614*G613</f>
        <v/>
      </c>
      <c r="H614">
        <f>$C614*H613</f>
        <v/>
      </c>
      <c r="I614">
        <f>$C614*I613</f>
        <v/>
      </c>
      <c r="J614">
        <f>$C614*J613</f>
        <v/>
      </c>
      <c r="K614">
        <f>$C614*K613</f>
        <v/>
      </c>
      <c r="L614">
        <f>$C614*L613</f>
        <v/>
      </c>
      <c r="M614">
        <f>$C614*M613</f>
        <v/>
      </c>
      <c r="N614">
        <f>$C614*N613</f>
        <v/>
      </c>
      <c r="O614">
        <f>$C614*O613</f>
        <v/>
      </c>
      <c r="P614">
        <f>$C614*P613</f>
        <v/>
      </c>
      <c r="Q614">
        <f>$C614*Q613</f>
        <v/>
      </c>
      <c r="R614">
        <f>$C614*R613</f>
        <v/>
      </c>
      <c r="S614">
        <f>$C614*S613</f>
        <v/>
      </c>
      <c r="T614">
        <f>$C614*T613</f>
        <v/>
      </c>
      <c r="U614">
        <f>$C614*U613</f>
        <v/>
      </c>
      <c r="V614">
        <f>$C614*V613</f>
        <v/>
      </c>
      <c r="W614">
        <f>$C614*W613</f>
        <v/>
      </c>
      <c r="X614">
        <f>$C614*X613</f>
        <v/>
      </c>
      <c r="Y614">
        <f>$C614*Y613</f>
        <v/>
      </c>
      <c r="Z614">
        <f>$C614*Z613</f>
        <v/>
      </c>
      <c r="AA614">
        <f>$C614*AA613</f>
        <v/>
      </c>
      <c r="AB614">
        <f>$C614*AB613</f>
        <v/>
      </c>
      <c r="AC614">
        <f>$C614*AC613</f>
        <v/>
      </c>
      <c r="AD614">
        <f>$C614*AD613</f>
        <v/>
      </c>
      <c r="AE614">
        <f>$C614*AE613</f>
        <v/>
      </c>
      <c r="AF614">
        <f>$C614*AF613</f>
        <v/>
      </c>
      <c r="AG614">
        <f>$C614*AG613</f>
        <v/>
      </c>
      <c r="AH614">
        <f>$C614*AH613</f>
        <v/>
      </c>
      <c r="AI614">
        <f>$C614*AI613</f>
        <v/>
      </c>
      <c r="AJ614">
        <f>$C614*AJ613</f>
        <v/>
      </c>
      <c r="AK614">
        <f>$C614*AK613</f>
        <v/>
      </c>
      <c r="AL614">
        <f>$C614*AL613</f>
        <v/>
      </c>
      <c r="AM614">
        <f>$C614*AM613</f>
        <v/>
      </c>
      <c r="AN614">
        <f>$C614*AN613</f>
        <v/>
      </c>
      <c r="AO614">
        <f>$C614*AO613</f>
        <v/>
      </c>
      <c r="AP614">
        <f>$C614*AP613</f>
        <v/>
      </c>
      <c r="AQ614">
        <f>$C614*AQ613</f>
        <v/>
      </c>
      <c r="AR614">
        <f>$C614*AR613</f>
        <v/>
      </c>
      <c r="AS614">
        <f>$C614*AS613</f>
        <v/>
      </c>
      <c r="AT614">
        <f>$C614*AT613</f>
        <v/>
      </c>
      <c r="AU614">
        <f>$C614*AU613</f>
        <v/>
      </c>
      <c r="AV614">
        <f>$C614*AV613</f>
        <v/>
      </c>
      <c r="AW614">
        <f>$C614*AW613</f>
        <v/>
      </c>
      <c r="AX614">
        <f>$C614*AX613</f>
        <v/>
      </c>
      <c r="AY614">
        <f>$C614*AY613</f>
        <v/>
      </c>
      <c r="AZ614">
        <f>$C614*AZ613</f>
        <v/>
      </c>
      <c r="BA614">
        <f>$C614*BA613</f>
        <v/>
      </c>
      <c r="BB614">
        <f>$C614*BB613</f>
        <v/>
      </c>
      <c r="BC614">
        <f>$C614*BC613</f>
        <v/>
      </c>
      <c r="BD614">
        <f>$C614*BD613</f>
        <v/>
      </c>
      <c r="BE614">
        <f>$C614*BE613</f>
        <v/>
      </c>
      <c r="BF614">
        <f>$C614*BF613</f>
        <v/>
      </c>
      <c r="BG614">
        <f>$C614*BG613</f>
        <v/>
      </c>
      <c r="BH614">
        <f>$C614*BH613</f>
        <v/>
      </c>
      <c r="BI614">
        <f>$C614*BI613</f>
        <v/>
      </c>
      <c r="BJ614">
        <f>$C614*BJ613</f>
        <v/>
      </c>
      <c r="BK614">
        <f>$C614*BK613</f>
        <v/>
      </c>
      <c r="BL614">
        <f>$C614*BL613</f>
        <v/>
      </c>
      <c r="BM614">
        <f>$C614*BM613</f>
        <v/>
      </c>
      <c r="BN614">
        <f>$C614*BN613</f>
        <v/>
      </c>
      <c r="BO614">
        <f>$C614*BO613</f>
        <v/>
      </c>
      <c r="BP614">
        <f>$C614*BP613</f>
        <v/>
      </c>
      <c r="BQ614">
        <f>$C614*BQ613</f>
        <v/>
      </c>
      <c r="BR614">
        <f>$C614*BR613</f>
        <v/>
      </c>
      <c r="BS614">
        <f>$C614*BS613</f>
        <v/>
      </c>
      <c r="BT614">
        <f>$C614*BT613</f>
        <v/>
      </c>
      <c r="BU614">
        <f>$C614*BU613</f>
        <v/>
      </c>
      <c r="BV614">
        <f>$C614*BV613</f>
        <v/>
      </c>
      <c r="BW614">
        <f>$C614*BW613</f>
        <v/>
      </c>
      <c r="BX614">
        <f>$C614*BX613</f>
        <v/>
      </c>
      <c r="BY614">
        <f>$C614*BY613</f>
        <v/>
      </c>
      <c r="BZ614">
        <f>$C614*BZ613</f>
        <v/>
      </c>
      <c r="CA614">
        <f>$C614*CA613</f>
        <v/>
      </c>
      <c r="CB614">
        <f>$C614*CB613</f>
        <v/>
      </c>
      <c r="CC614">
        <f>$C614*CC613</f>
        <v/>
      </c>
      <c r="CD614">
        <f>$C614*CD613</f>
        <v/>
      </c>
      <c r="CE614">
        <f>$C614*CE613</f>
        <v/>
      </c>
      <c r="CF614">
        <f>$C614*CF613</f>
        <v/>
      </c>
      <c r="CG614">
        <f>$C614*CG613</f>
        <v/>
      </c>
      <c r="CH614">
        <f>$C614*CH613</f>
        <v/>
      </c>
      <c r="CI614">
        <f>$C614*CI613</f>
        <v/>
      </c>
      <c r="CJ614">
        <f>$C614*CJ613</f>
        <v/>
      </c>
      <c r="CK614">
        <f>$C614*CK613</f>
        <v/>
      </c>
      <c r="CL614">
        <f>$C614*CL613</f>
        <v/>
      </c>
      <c r="CM614">
        <f>$C614*CM613</f>
        <v/>
      </c>
      <c r="CN614">
        <f>$C614*CN613</f>
        <v/>
      </c>
      <c r="CO614">
        <f>$C614*CO613</f>
        <v/>
      </c>
      <c r="CP614">
        <f>$C614*CP613</f>
        <v/>
      </c>
      <c r="CQ614">
        <f>$C614*CQ613</f>
        <v/>
      </c>
      <c r="CR614">
        <f>$C614*CR613</f>
        <v/>
      </c>
      <c r="CS614">
        <f>$C614*CS613</f>
        <v/>
      </c>
      <c r="CT614">
        <f>$C614*CT613</f>
        <v/>
      </c>
      <c r="CU614">
        <f>$C614*CU613</f>
        <v/>
      </c>
      <c r="CV614">
        <f>$C614*CV613</f>
        <v/>
      </c>
      <c r="CW614">
        <f>$C614*CW613</f>
        <v/>
      </c>
      <c r="CX614">
        <f>$C614*CX613</f>
        <v/>
      </c>
      <c r="CY614">
        <f>$C614*CY613</f>
        <v/>
      </c>
      <c r="CZ614">
        <f>$C614*CZ613</f>
        <v/>
      </c>
      <c r="DA614">
        <f>$C614*DA613</f>
        <v/>
      </c>
      <c r="DB614">
        <f>$C614*DB613</f>
        <v/>
      </c>
      <c r="DC614">
        <f>$C614*DC613</f>
        <v/>
      </c>
    </row>
    <row r="615">
      <c r="B615" t="inlineStr">
        <is>
          <t>TPP-356</t>
        </is>
      </c>
      <c r="C615" t="inlineStr">
        <is>
          <t>No. of batches</t>
        </is>
      </c>
      <c r="D615">
        <f>IFERROR(INDEX(PP_Grid[#Data],$DD615,2),0)</f>
        <v/>
      </c>
      <c r="E615">
        <f>IFERROR(INDEX(PP_Grid[#Data],$DD615,3),0)</f>
        <v/>
      </c>
      <c r="F615">
        <f>IFERROR(INDEX(PP_Grid[#Data],$DD615,4),0)</f>
        <v/>
      </c>
      <c r="G615">
        <f>IFERROR(INDEX(PP_Grid[#Data],$DD615,5),0)</f>
        <v/>
      </c>
      <c r="H615">
        <f>IFERROR(INDEX(PP_Grid[#Data],$DD615,6),0)</f>
        <v/>
      </c>
      <c r="I615">
        <f>IFERROR(INDEX(PP_Grid[#Data],$DD615,7),0)</f>
        <v/>
      </c>
      <c r="J615">
        <f>IFERROR(INDEX(PP_Grid[#Data],$DD615,8),0)</f>
        <v/>
      </c>
      <c r="K615">
        <f>IFERROR(INDEX(PP_Grid[#Data],$DD615,9),0)</f>
        <v/>
      </c>
      <c r="L615">
        <f>IFERROR(INDEX(PP_Grid[#Data],$DD615,10),0)</f>
        <v/>
      </c>
      <c r="M615">
        <f>IFERROR(INDEX(PP_Grid[#Data],$DD615,11),0)</f>
        <v/>
      </c>
      <c r="N615">
        <f>IFERROR(INDEX(PP_Grid[#Data],$DD615,12),0)</f>
        <v/>
      </c>
      <c r="O615">
        <f>IFERROR(INDEX(PP_Grid[#Data],$DD615,13),0)</f>
        <v/>
      </c>
      <c r="P615">
        <f>IFERROR(INDEX(PP_Grid[#Data],$DD615,14),0)</f>
        <v/>
      </c>
      <c r="Q615">
        <f>IFERROR(INDEX(PP_Grid[#Data],$DD615,15),0)</f>
        <v/>
      </c>
      <c r="R615">
        <f>IFERROR(INDEX(PP_Grid[#Data],$DD615,16),0)</f>
        <v/>
      </c>
      <c r="S615">
        <f>IFERROR(INDEX(PP_Grid[#Data],$DD615,17),0)</f>
        <v/>
      </c>
      <c r="T615">
        <f>IFERROR(INDEX(PP_Grid[#Data],$DD615,18),0)</f>
        <v/>
      </c>
      <c r="U615">
        <f>IFERROR(INDEX(PP_Grid[#Data],$DD615,19),0)</f>
        <v/>
      </c>
      <c r="V615">
        <f>IFERROR(INDEX(PP_Grid[#Data],$DD615,20),0)</f>
        <v/>
      </c>
      <c r="W615">
        <f>IFERROR(INDEX(PP_Grid[#Data],$DD615,21),0)</f>
        <v/>
      </c>
      <c r="X615">
        <f>IFERROR(INDEX(PP_Grid[#Data],$DD615,22),0)</f>
        <v/>
      </c>
      <c r="Y615">
        <f>IFERROR(INDEX(PP_Grid[#Data],$DD615,23),0)</f>
        <v/>
      </c>
      <c r="Z615">
        <f>IFERROR(INDEX(PP_Grid[#Data],$DD615,24),0)</f>
        <v/>
      </c>
      <c r="AA615">
        <f>IFERROR(INDEX(PP_Grid[#Data],$DD615,25),0)</f>
        <v/>
      </c>
      <c r="AB615">
        <f>IFERROR(INDEX(PP_Grid[#Data],$DD615,26),0)</f>
        <v/>
      </c>
      <c r="AC615">
        <f>IFERROR(INDEX(PP_Grid[#Data],$DD615,27),0)</f>
        <v/>
      </c>
      <c r="AD615">
        <f>IFERROR(INDEX(PP_Grid[#Data],$DD615,28),0)</f>
        <v/>
      </c>
      <c r="AE615">
        <f>IFERROR(INDEX(PP_Grid[#Data],$DD615,29),0)</f>
        <v/>
      </c>
      <c r="AF615">
        <f>IFERROR(INDEX(PP_Grid[#Data],$DD615,30),0)</f>
        <v/>
      </c>
      <c r="AG615">
        <f>IFERROR(INDEX(PP_Grid[#Data],$DD615,31),0)</f>
        <v/>
      </c>
      <c r="AH615">
        <f>IFERROR(INDEX(PP_Grid[#Data],$DD615,32),0)</f>
        <v/>
      </c>
      <c r="AI615">
        <f>IFERROR(INDEX(PP_Grid[#Data],$DD615,33),0)</f>
        <v/>
      </c>
      <c r="AJ615">
        <f>IFERROR(INDEX(PP_Grid[#Data],$DD615,34),0)</f>
        <v/>
      </c>
      <c r="AK615">
        <f>IFERROR(INDEX(PP_Grid[#Data],$DD615,35),0)</f>
        <v/>
      </c>
      <c r="AL615">
        <f>IFERROR(INDEX(PP_Grid[#Data],$DD615,36),0)</f>
        <v/>
      </c>
      <c r="AM615">
        <f>IFERROR(INDEX(PP_Grid[#Data],$DD615,37),0)</f>
        <v/>
      </c>
      <c r="AN615">
        <f>IFERROR(INDEX(PP_Grid[#Data],$DD615,38),0)</f>
        <v/>
      </c>
      <c r="AO615">
        <f>IFERROR(INDEX(PP_Grid[#Data],$DD615,39),0)</f>
        <v/>
      </c>
      <c r="AP615">
        <f>IFERROR(INDEX(PP_Grid[#Data],$DD615,40),0)</f>
        <v/>
      </c>
      <c r="AQ615">
        <f>IFERROR(INDEX(PP_Grid[#Data],$DD615,41),0)</f>
        <v/>
      </c>
      <c r="AR615">
        <f>IFERROR(INDEX(PP_Grid[#Data],$DD615,42),0)</f>
        <v/>
      </c>
      <c r="AS615">
        <f>IFERROR(INDEX(PP_Grid[#Data],$DD615,43),0)</f>
        <v/>
      </c>
      <c r="AT615">
        <f>IFERROR(INDEX(PP_Grid[#Data],$DD615,44),0)</f>
        <v/>
      </c>
      <c r="AU615">
        <f>IFERROR(INDEX(PP_Grid[#Data],$DD615,45),0)</f>
        <v/>
      </c>
      <c r="AV615">
        <f>IFERROR(INDEX(PP_Grid[#Data],$DD615,46),0)</f>
        <v/>
      </c>
      <c r="AW615">
        <f>IFERROR(INDEX(PP_Grid[#Data],$DD615,47),0)</f>
        <v/>
      </c>
      <c r="AX615">
        <f>IFERROR(INDEX(PP_Grid[#Data],$DD615,48),0)</f>
        <v/>
      </c>
      <c r="AY615">
        <f>IFERROR(INDEX(PP_Grid[#Data],$DD615,49),0)</f>
        <v/>
      </c>
      <c r="AZ615">
        <f>IFERROR(INDEX(PP_Grid[#Data],$DD615,50),0)</f>
        <v/>
      </c>
      <c r="BA615">
        <f>IFERROR(INDEX(PP_Grid[#Data],$DD615,51),0)</f>
        <v/>
      </c>
      <c r="BB615">
        <f>IFERROR(INDEX(PP_Grid[#Data],$DD615,52),0)</f>
        <v/>
      </c>
      <c r="BC615">
        <f>IFERROR(INDEX(PP_Grid[#Data],$DD615,53),0)</f>
        <v/>
      </c>
      <c r="BD615">
        <f>IFERROR(INDEX(PP_Grid[#Data],$DD615,54),0)</f>
        <v/>
      </c>
      <c r="BE615">
        <f>IFERROR(INDEX(PP_Grid[#Data],$DD615,55),0)</f>
        <v/>
      </c>
      <c r="BF615">
        <f>IFERROR(INDEX(PP_Grid[#Data],$DD615,56),0)</f>
        <v/>
      </c>
      <c r="BG615">
        <f>IFERROR(INDEX(PP_Grid[#Data],$DD615,57),0)</f>
        <v/>
      </c>
      <c r="BH615">
        <f>IFERROR(INDEX(PP_Grid[#Data],$DD615,58),0)</f>
        <v/>
      </c>
      <c r="BI615">
        <f>IFERROR(INDEX(PP_Grid[#Data],$DD615,59),0)</f>
        <v/>
      </c>
      <c r="BJ615">
        <f>IFERROR(INDEX(PP_Grid[#Data],$DD615,60),0)</f>
        <v/>
      </c>
      <c r="BK615">
        <f>IFERROR(INDEX(PP_Grid[#Data],$DD615,61),0)</f>
        <v/>
      </c>
      <c r="BL615">
        <f>IFERROR(INDEX(PP_Grid[#Data],$DD615,62),0)</f>
        <v/>
      </c>
      <c r="BM615">
        <f>IFERROR(INDEX(PP_Grid[#Data],$DD615,63),0)</f>
        <v/>
      </c>
      <c r="BN615">
        <f>IFERROR(INDEX(PP_Grid[#Data],$DD615,64),0)</f>
        <v/>
      </c>
      <c r="BO615">
        <f>IFERROR(INDEX(PP_Grid[#Data],$DD615,65),0)</f>
        <v/>
      </c>
      <c r="BP615">
        <f>IFERROR(INDEX(PP_Grid[#Data],$DD615,66),0)</f>
        <v/>
      </c>
      <c r="BQ615">
        <f>IFERROR(INDEX(PP_Grid[#Data],$DD615,67),0)</f>
        <v/>
      </c>
      <c r="BR615">
        <f>IFERROR(INDEX(PP_Grid[#Data],$DD615,68),0)</f>
        <v/>
      </c>
      <c r="BS615">
        <f>IFERROR(INDEX(PP_Grid[#Data],$DD615,69),0)</f>
        <v/>
      </c>
      <c r="BT615">
        <f>IFERROR(INDEX(PP_Grid[#Data],$DD615,70),0)</f>
        <v/>
      </c>
      <c r="BU615">
        <f>IFERROR(INDEX(PP_Grid[#Data],$DD615,71),0)</f>
        <v/>
      </c>
      <c r="BV615">
        <f>IFERROR(INDEX(PP_Grid[#Data],$DD615,72),0)</f>
        <v/>
      </c>
      <c r="BW615">
        <f>IFERROR(INDEX(PP_Grid[#Data],$DD615,73),0)</f>
        <v/>
      </c>
      <c r="BX615">
        <f>IFERROR(INDEX(PP_Grid[#Data],$DD615,74),0)</f>
        <v/>
      </c>
      <c r="BY615">
        <f>IFERROR(INDEX(PP_Grid[#Data],$DD615,75),0)</f>
        <v/>
      </c>
      <c r="BZ615">
        <f>IFERROR(INDEX(PP_Grid[#Data],$DD615,76),0)</f>
        <v/>
      </c>
      <c r="CA615">
        <f>IFERROR(INDEX(PP_Grid[#Data],$DD615,77),0)</f>
        <v/>
      </c>
      <c r="CB615">
        <f>IFERROR(INDEX(PP_Grid[#Data],$DD615,78),0)</f>
        <v/>
      </c>
      <c r="CC615">
        <f>IFERROR(INDEX(PP_Grid[#Data],$DD615,79),0)</f>
        <v/>
      </c>
      <c r="CD615">
        <f>IFERROR(INDEX(PP_Grid[#Data],$DD615,80),0)</f>
        <v/>
      </c>
      <c r="CE615">
        <f>IFERROR(INDEX(PP_Grid[#Data],$DD615,81),0)</f>
        <v/>
      </c>
      <c r="CF615">
        <f>IFERROR(INDEX(PP_Grid[#Data],$DD615,82),0)</f>
        <v/>
      </c>
      <c r="CG615">
        <f>IFERROR(INDEX(PP_Grid[#Data],$DD615,83),0)</f>
        <v/>
      </c>
      <c r="CH615">
        <f>IFERROR(INDEX(PP_Grid[#Data],$DD615,84),0)</f>
        <v/>
      </c>
      <c r="CI615">
        <f>IFERROR(INDEX(PP_Grid[#Data],$DD615,85),0)</f>
        <v/>
      </c>
      <c r="CJ615">
        <f>IFERROR(INDEX(PP_Grid[#Data],$DD615,86),0)</f>
        <v/>
      </c>
      <c r="CK615">
        <f>IFERROR(INDEX(PP_Grid[#Data],$DD615,87),0)</f>
        <v/>
      </c>
      <c r="CL615">
        <f>IFERROR(INDEX(PP_Grid[#Data],$DD615,88),0)</f>
        <v/>
      </c>
      <c r="CM615">
        <f>IFERROR(INDEX(PP_Grid[#Data],$DD615,89),0)</f>
        <v/>
      </c>
      <c r="CN615">
        <f>IFERROR(INDEX(PP_Grid[#Data],$DD615,90),0)</f>
        <v/>
      </c>
      <c r="CO615">
        <f>IFERROR(INDEX(PP_Grid[#Data],$DD615,91),0)</f>
        <v/>
      </c>
      <c r="CP615">
        <f>IFERROR(INDEX(PP_Grid[#Data],$DD615,92),0)</f>
        <v/>
      </c>
      <c r="CQ615">
        <f>IFERROR(INDEX(PP_Grid[#Data],$DD615,93),0)</f>
        <v/>
      </c>
      <c r="CR615">
        <f>IFERROR(INDEX(PP_Grid[#Data],$DD615,94),0)</f>
        <v/>
      </c>
      <c r="CS615">
        <f>IFERROR(INDEX(PP_Grid[#Data],$DD615,95),0)</f>
        <v/>
      </c>
      <c r="CT615">
        <f>IFERROR(INDEX(PP_Grid[#Data],$DD615,96),0)</f>
        <v/>
      </c>
      <c r="CU615">
        <f>IFERROR(INDEX(PP_Grid[#Data],$DD615,97),0)</f>
        <v/>
      </c>
      <c r="CV615">
        <f>IFERROR(INDEX(PP_Grid[#Data],$DD615,98),0)</f>
        <v/>
      </c>
      <c r="CW615">
        <f>IFERROR(INDEX(PP_Grid[#Data],$DD615,99),0)</f>
        <v/>
      </c>
      <c r="CX615">
        <f>IFERROR(INDEX(PP_Grid[#Data],$DD615,100),0)</f>
        <v/>
      </c>
      <c r="CY615">
        <f>IFERROR(INDEX(PP_Grid[#Data],$DD615,101),0)</f>
        <v/>
      </c>
      <c r="CZ615">
        <f>IFERROR(INDEX(PP_Grid[#Data],$DD615,102),0)</f>
        <v/>
      </c>
      <c r="DA615">
        <f>IFERROR(INDEX(PP_Grid[#Data],$DD615,103),0)</f>
        <v/>
      </c>
      <c r="DB615">
        <f>IFERROR(INDEX(PP_Grid[#Data],$DD615,104),0)</f>
        <v/>
      </c>
      <c r="DC615">
        <f>IFERROR(INDEX(PP_Grid[#Data],$DD615,105),0)</f>
        <v/>
      </c>
      <c r="DD615" s="7">
        <f>IFERROR(MATCH($B615,PP_Grid[Intermediate],0),99999)</f>
        <v/>
      </c>
    </row>
    <row r="616">
      <c r="B616" t="inlineStr">
        <is>
          <t>使用量(kg)</t>
        </is>
      </c>
      <c r="C616">
        <f>SUMIFS(M_BOM[RM_Qty_Per_Batch],M_BOM[Intermediate],$B615,M_BOM[Part Name],$A580)</f>
        <v/>
      </c>
      <c r="D616">
        <f>$C616*D615</f>
        <v/>
      </c>
      <c r="E616">
        <f>$C616*E615</f>
        <v/>
      </c>
      <c r="F616">
        <f>$C616*F615</f>
        <v/>
      </c>
      <c r="G616">
        <f>$C616*G615</f>
        <v/>
      </c>
      <c r="H616">
        <f>$C616*H615</f>
        <v/>
      </c>
      <c r="I616">
        <f>$C616*I615</f>
        <v/>
      </c>
      <c r="J616">
        <f>$C616*J615</f>
        <v/>
      </c>
      <c r="K616">
        <f>$C616*K615</f>
        <v/>
      </c>
      <c r="L616">
        <f>$C616*L615</f>
        <v/>
      </c>
      <c r="M616">
        <f>$C616*M615</f>
        <v/>
      </c>
      <c r="N616">
        <f>$C616*N615</f>
        <v/>
      </c>
      <c r="O616">
        <f>$C616*O615</f>
        <v/>
      </c>
      <c r="P616">
        <f>$C616*P615</f>
        <v/>
      </c>
      <c r="Q616">
        <f>$C616*Q615</f>
        <v/>
      </c>
      <c r="R616">
        <f>$C616*R615</f>
        <v/>
      </c>
      <c r="S616">
        <f>$C616*S615</f>
        <v/>
      </c>
      <c r="T616">
        <f>$C616*T615</f>
        <v/>
      </c>
      <c r="U616">
        <f>$C616*U615</f>
        <v/>
      </c>
      <c r="V616">
        <f>$C616*V615</f>
        <v/>
      </c>
      <c r="W616">
        <f>$C616*W615</f>
        <v/>
      </c>
      <c r="X616">
        <f>$C616*X615</f>
        <v/>
      </c>
      <c r="Y616">
        <f>$C616*Y615</f>
        <v/>
      </c>
      <c r="Z616">
        <f>$C616*Z615</f>
        <v/>
      </c>
      <c r="AA616">
        <f>$C616*AA615</f>
        <v/>
      </c>
      <c r="AB616">
        <f>$C616*AB615</f>
        <v/>
      </c>
      <c r="AC616">
        <f>$C616*AC615</f>
        <v/>
      </c>
      <c r="AD616">
        <f>$C616*AD615</f>
        <v/>
      </c>
      <c r="AE616">
        <f>$C616*AE615</f>
        <v/>
      </c>
      <c r="AF616">
        <f>$C616*AF615</f>
        <v/>
      </c>
      <c r="AG616">
        <f>$C616*AG615</f>
        <v/>
      </c>
      <c r="AH616">
        <f>$C616*AH615</f>
        <v/>
      </c>
      <c r="AI616">
        <f>$C616*AI615</f>
        <v/>
      </c>
      <c r="AJ616">
        <f>$C616*AJ615</f>
        <v/>
      </c>
      <c r="AK616">
        <f>$C616*AK615</f>
        <v/>
      </c>
      <c r="AL616">
        <f>$C616*AL615</f>
        <v/>
      </c>
      <c r="AM616">
        <f>$C616*AM615</f>
        <v/>
      </c>
      <c r="AN616">
        <f>$C616*AN615</f>
        <v/>
      </c>
      <c r="AO616">
        <f>$C616*AO615</f>
        <v/>
      </c>
      <c r="AP616">
        <f>$C616*AP615</f>
        <v/>
      </c>
      <c r="AQ616">
        <f>$C616*AQ615</f>
        <v/>
      </c>
      <c r="AR616">
        <f>$C616*AR615</f>
        <v/>
      </c>
      <c r="AS616">
        <f>$C616*AS615</f>
        <v/>
      </c>
      <c r="AT616">
        <f>$C616*AT615</f>
        <v/>
      </c>
      <c r="AU616">
        <f>$C616*AU615</f>
        <v/>
      </c>
      <c r="AV616">
        <f>$C616*AV615</f>
        <v/>
      </c>
      <c r="AW616">
        <f>$C616*AW615</f>
        <v/>
      </c>
      <c r="AX616">
        <f>$C616*AX615</f>
        <v/>
      </c>
      <c r="AY616">
        <f>$C616*AY615</f>
        <v/>
      </c>
      <c r="AZ616">
        <f>$C616*AZ615</f>
        <v/>
      </c>
      <c r="BA616">
        <f>$C616*BA615</f>
        <v/>
      </c>
      <c r="BB616">
        <f>$C616*BB615</f>
        <v/>
      </c>
      <c r="BC616">
        <f>$C616*BC615</f>
        <v/>
      </c>
      <c r="BD616">
        <f>$C616*BD615</f>
        <v/>
      </c>
      <c r="BE616">
        <f>$C616*BE615</f>
        <v/>
      </c>
      <c r="BF616">
        <f>$C616*BF615</f>
        <v/>
      </c>
      <c r="BG616">
        <f>$C616*BG615</f>
        <v/>
      </c>
      <c r="BH616">
        <f>$C616*BH615</f>
        <v/>
      </c>
      <c r="BI616">
        <f>$C616*BI615</f>
        <v/>
      </c>
      <c r="BJ616">
        <f>$C616*BJ615</f>
        <v/>
      </c>
      <c r="BK616">
        <f>$C616*BK615</f>
        <v/>
      </c>
      <c r="BL616">
        <f>$C616*BL615</f>
        <v/>
      </c>
      <c r="BM616">
        <f>$C616*BM615</f>
        <v/>
      </c>
      <c r="BN616">
        <f>$C616*BN615</f>
        <v/>
      </c>
      <c r="BO616">
        <f>$C616*BO615</f>
        <v/>
      </c>
      <c r="BP616">
        <f>$C616*BP615</f>
        <v/>
      </c>
      <c r="BQ616">
        <f>$C616*BQ615</f>
        <v/>
      </c>
      <c r="BR616">
        <f>$C616*BR615</f>
        <v/>
      </c>
      <c r="BS616">
        <f>$C616*BS615</f>
        <v/>
      </c>
      <c r="BT616">
        <f>$C616*BT615</f>
        <v/>
      </c>
      <c r="BU616">
        <f>$C616*BU615</f>
        <v/>
      </c>
      <c r="BV616">
        <f>$C616*BV615</f>
        <v/>
      </c>
      <c r="BW616">
        <f>$C616*BW615</f>
        <v/>
      </c>
      <c r="BX616">
        <f>$C616*BX615</f>
        <v/>
      </c>
      <c r="BY616">
        <f>$C616*BY615</f>
        <v/>
      </c>
      <c r="BZ616">
        <f>$C616*BZ615</f>
        <v/>
      </c>
      <c r="CA616">
        <f>$C616*CA615</f>
        <v/>
      </c>
      <c r="CB616">
        <f>$C616*CB615</f>
        <v/>
      </c>
      <c r="CC616">
        <f>$C616*CC615</f>
        <v/>
      </c>
      <c r="CD616">
        <f>$C616*CD615</f>
        <v/>
      </c>
      <c r="CE616">
        <f>$C616*CE615</f>
        <v/>
      </c>
      <c r="CF616">
        <f>$C616*CF615</f>
        <v/>
      </c>
      <c r="CG616">
        <f>$C616*CG615</f>
        <v/>
      </c>
      <c r="CH616">
        <f>$C616*CH615</f>
        <v/>
      </c>
      <c r="CI616">
        <f>$C616*CI615</f>
        <v/>
      </c>
      <c r="CJ616">
        <f>$C616*CJ615</f>
        <v/>
      </c>
      <c r="CK616">
        <f>$C616*CK615</f>
        <v/>
      </c>
      <c r="CL616">
        <f>$C616*CL615</f>
        <v/>
      </c>
      <c r="CM616">
        <f>$C616*CM615</f>
        <v/>
      </c>
      <c r="CN616">
        <f>$C616*CN615</f>
        <v/>
      </c>
      <c r="CO616">
        <f>$C616*CO615</f>
        <v/>
      </c>
      <c r="CP616">
        <f>$C616*CP615</f>
        <v/>
      </c>
      <c r="CQ616">
        <f>$C616*CQ615</f>
        <v/>
      </c>
      <c r="CR616">
        <f>$C616*CR615</f>
        <v/>
      </c>
      <c r="CS616">
        <f>$C616*CS615</f>
        <v/>
      </c>
      <c r="CT616">
        <f>$C616*CT615</f>
        <v/>
      </c>
      <c r="CU616">
        <f>$C616*CU615</f>
        <v/>
      </c>
      <c r="CV616">
        <f>$C616*CV615</f>
        <v/>
      </c>
      <c r="CW616">
        <f>$C616*CW615</f>
        <v/>
      </c>
      <c r="CX616">
        <f>$C616*CX615</f>
        <v/>
      </c>
      <c r="CY616">
        <f>$C616*CY615</f>
        <v/>
      </c>
      <c r="CZ616">
        <f>$C616*CZ615</f>
        <v/>
      </c>
      <c r="DA616">
        <f>$C616*DA615</f>
        <v/>
      </c>
      <c r="DB616">
        <f>$C616*DB615</f>
        <v/>
      </c>
      <c r="DC616">
        <f>$C616*DC615</f>
        <v/>
      </c>
    </row>
    <row r="617">
      <c r="B617" t="inlineStr">
        <is>
          <t>TPP-704</t>
        </is>
      </c>
      <c r="C617" t="inlineStr">
        <is>
          <t>No. of batches</t>
        </is>
      </c>
      <c r="D617">
        <f>IFERROR(INDEX(PP_Grid[#Data],$DD617,2),0)</f>
        <v/>
      </c>
      <c r="E617">
        <f>IFERROR(INDEX(PP_Grid[#Data],$DD617,3),0)</f>
        <v/>
      </c>
      <c r="F617">
        <f>IFERROR(INDEX(PP_Grid[#Data],$DD617,4),0)</f>
        <v/>
      </c>
      <c r="G617">
        <f>IFERROR(INDEX(PP_Grid[#Data],$DD617,5),0)</f>
        <v/>
      </c>
      <c r="H617">
        <f>IFERROR(INDEX(PP_Grid[#Data],$DD617,6),0)</f>
        <v/>
      </c>
      <c r="I617">
        <f>IFERROR(INDEX(PP_Grid[#Data],$DD617,7),0)</f>
        <v/>
      </c>
      <c r="J617">
        <f>IFERROR(INDEX(PP_Grid[#Data],$DD617,8),0)</f>
        <v/>
      </c>
      <c r="K617">
        <f>IFERROR(INDEX(PP_Grid[#Data],$DD617,9),0)</f>
        <v/>
      </c>
      <c r="L617">
        <f>IFERROR(INDEX(PP_Grid[#Data],$DD617,10),0)</f>
        <v/>
      </c>
      <c r="M617">
        <f>IFERROR(INDEX(PP_Grid[#Data],$DD617,11),0)</f>
        <v/>
      </c>
      <c r="N617">
        <f>IFERROR(INDEX(PP_Grid[#Data],$DD617,12),0)</f>
        <v/>
      </c>
      <c r="O617">
        <f>IFERROR(INDEX(PP_Grid[#Data],$DD617,13),0)</f>
        <v/>
      </c>
      <c r="P617">
        <f>IFERROR(INDEX(PP_Grid[#Data],$DD617,14),0)</f>
        <v/>
      </c>
      <c r="Q617">
        <f>IFERROR(INDEX(PP_Grid[#Data],$DD617,15),0)</f>
        <v/>
      </c>
      <c r="R617">
        <f>IFERROR(INDEX(PP_Grid[#Data],$DD617,16),0)</f>
        <v/>
      </c>
      <c r="S617">
        <f>IFERROR(INDEX(PP_Grid[#Data],$DD617,17),0)</f>
        <v/>
      </c>
      <c r="T617">
        <f>IFERROR(INDEX(PP_Grid[#Data],$DD617,18),0)</f>
        <v/>
      </c>
      <c r="U617">
        <f>IFERROR(INDEX(PP_Grid[#Data],$DD617,19),0)</f>
        <v/>
      </c>
      <c r="V617">
        <f>IFERROR(INDEX(PP_Grid[#Data],$DD617,20),0)</f>
        <v/>
      </c>
      <c r="W617">
        <f>IFERROR(INDEX(PP_Grid[#Data],$DD617,21),0)</f>
        <v/>
      </c>
      <c r="X617">
        <f>IFERROR(INDEX(PP_Grid[#Data],$DD617,22),0)</f>
        <v/>
      </c>
      <c r="Y617">
        <f>IFERROR(INDEX(PP_Grid[#Data],$DD617,23),0)</f>
        <v/>
      </c>
      <c r="Z617">
        <f>IFERROR(INDEX(PP_Grid[#Data],$DD617,24),0)</f>
        <v/>
      </c>
      <c r="AA617">
        <f>IFERROR(INDEX(PP_Grid[#Data],$DD617,25),0)</f>
        <v/>
      </c>
      <c r="AB617">
        <f>IFERROR(INDEX(PP_Grid[#Data],$DD617,26),0)</f>
        <v/>
      </c>
      <c r="AC617">
        <f>IFERROR(INDEX(PP_Grid[#Data],$DD617,27),0)</f>
        <v/>
      </c>
      <c r="AD617">
        <f>IFERROR(INDEX(PP_Grid[#Data],$DD617,28),0)</f>
        <v/>
      </c>
      <c r="AE617">
        <f>IFERROR(INDEX(PP_Grid[#Data],$DD617,29),0)</f>
        <v/>
      </c>
      <c r="AF617">
        <f>IFERROR(INDEX(PP_Grid[#Data],$DD617,30),0)</f>
        <v/>
      </c>
      <c r="AG617">
        <f>IFERROR(INDEX(PP_Grid[#Data],$DD617,31),0)</f>
        <v/>
      </c>
      <c r="AH617">
        <f>IFERROR(INDEX(PP_Grid[#Data],$DD617,32),0)</f>
        <v/>
      </c>
      <c r="AI617">
        <f>IFERROR(INDEX(PP_Grid[#Data],$DD617,33),0)</f>
        <v/>
      </c>
      <c r="AJ617">
        <f>IFERROR(INDEX(PP_Grid[#Data],$DD617,34),0)</f>
        <v/>
      </c>
      <c r="AK617">
        <f>IFERROR(INDEX(PP_Grid[#Data],$DD617,35),0)</f>
        <v/>
      </c>
      <c r="AL617">
        <f>IFERROR(INDEX(PP_Grid[#Data],$DD617,36),0)</f>
        <v/>
      </c>
      <c r="AM617">
        <f>IFERROR(INDEX(PP_Grid[#Data],$DD617,37),0)</f>
        <v/>
      </c>
      <c r="AN617">
        <f>IFERROR(INDEX(PP_Grid[#Data],$DD617,38),0)</f>
        <v/>
      </c>
      <c r="AO617">
        <f>IFERROR(INDEX(PP_Grid[#Data],$DD617,39),0)</f>
        <v/>
      </c>
      <c r="AP617">
        <f>IFERROR(INDEX(PP_Grid[#Data],$DD617,40),0)</f>
        <v/>
      </c>
      <c r="AQ617">
        <f>IFERROR(INDEX(PP_Grid[#Data],$DD617,41),0)</f>
        <v/>
      </c>
      <c r="AR617">
        <f>IFERROR(INDEX(PP_Grid[#Data],$DD617,42),0)</f>
        <v/>
      </c>
      <c r="AS617">
        <f>IFERROR(INDEX(PP_Grid[#Data],$DD617,43),0)</f>
        <v/>
      </c>
      <c r="AT617">
        <f>IFERROR(INDEX(PP_Grid[#Data],$DD617,44),0)</f>
        <v/>
      </c>
      <c r="AU617">
        <f>IFERROR(INDEX(PP_Grid[#Data],$DD617,45),0)</f>
        <v/>
      </c>
      <c r="AV617">
        <f>IFERROR(INDEX(PP_Grid[#Data],$DD617,46),0)</f>
        <v/>
      </c>
      <c r="AW617">
        <f>IFERROR(INDEX(PP_Grid[#Data],$DD617,47),0)</f>
        <v/>
      </c>
      <c r="AX617">
        <f>IFERROR(INDEX(PP_Grid[#Data],$DD617,48),0)</f>
        <v/>
      </c>
      <c r="AY617">
        <f>IFERROR(INDEX(PP_Grid[#Data],$DD617,49),0)</f>
        <v/>
      </c>
      <c r="AZ617">
        <f>IFERROR(INDEX(PP_Grid[#Data],$DD617,50),0)</f>
        <v/>
      </c>
      <c r="BA617">
        <f>IFERROR(INDEX(PP_Grid[#Data],$DD617,51),0)</f>
        <v/>
      </c>
      <c r="BB617">
        <f>IFERROR(INDEX(PP_Grid[#Data],$DD617,52),0)</f>
        <v/>
      </c>
      <c r="BC617">
        <f>IFERROR(INDEX(PP_Grid[#Data],$DD617,53),0)</f>
        <v/>
      </c>
      <c r="BD617">
        <f>IFERROR(INDEX(PP_Grid[#Data],$DD617,54),0)</f>
        <v/>
      </c>
      <c r="BE617">
        <f>IFERROR(INDEX(PP_Grid[#Data],$DD617,55),0)</f>
        <v/>
      </c>
      <c r="BF617">
        <f>IFERROR(INDEX(PP_Grid[#Data],$DD617,56),0)</f>
        <v/>
      </c>
      <c r="BG617">
        <f>IFERROR(INDEX(PP_Grid[#Data],$DD617,57),0)</f>
        <v/>
      </c>
      <c r="BH617">
        <f>IFERROR(INDEX(PP_Grid[#Data],$DD617,58),0)</f>
        <v/>
      </c>
      <c r="BI617">
        <f>IFERROR(INDEX(PP_Grid[#Data],$DD617,59),0)</f>
        <v/>
      </c>
      <c r="BJ617">
        <f>IFERROR(INDEX(PP_Grid[#Data],$DD617,60),0)</f>
        <v/>
      </c>
      <c r="BK617">
        <f>IFERROR(INDEX(PP_Grid[#Data],$DD617,61),0)</f>
        <v/>
      </c>
      <c r="BL617">
        <f>IFERROR(INDEX(PP_Grid[#Data],$DD617,62),0)</f>
        <v/>
      </c>
      <c r="BM617">
        <f>IFERROR(INDEX(PP_Grid[#Data],$DD617,63),0)</f>
        <v/>
      </c>
      <c r="BN617">
        <f>IFERROR(INDEX(PP_Grid[#Data],$DD617,64),0)</f>
        <v/>
      </c>
      <c r="BO617">
        <f>IFERROR(INDEX(PP_Grid[#Data],$DD617,65),0)</f>
        <v/>
      </c>
      <c r="BP617">
        <f>IFERROR(INDEX(PP_Grid[#Data],$DD617,66),0)</f>
        <v/>
      </c>
      <c r="BQ617">
        <f>IFERROR(INDEX(PP_Grid[#Data],$DD617,67),0)</f>
        <v/>
      </c>
      <c r="BR617">
        <f>IFERROR(INDEX(PP_Grid[#Data],$DD617,68),0)</f>
        <v/>
      </c>
      <c r="BS617">
        <f>IFERROR(INDEX(PP_Grid[#Data],$DD617,69),0)</f>
        <v/>
      </c>
      <c r="BT617">
        <f>IFERROR(INDEX(PP_Grid[#Data],$DD617,70),0)</f>
        <v/>
      </c>
      <c r="BU617">
        <f>IFERROR(INDEX(PP_Grid[#Data],$DD617,71),0)</f>
        <v/>
      </c>
      <c r="BV617">
        <f>IFERROR(INDEX(PP_Grid[#Data],$DD617,72),0)</f>
        <v/>
      </c>
      <c r="BW617">
        <f>IFERROR(INDEX(PP_Grid[#Data],$DD617,73),0)</f>
        <v/>
      </c>
      <c r="BX617">
        <f>IFERROR(INDEX(PP_Grid[#Data],$DD617,74),0)</f>
        <v/>
      </c>
      <c r="BY617">
        <f>IFERROR(INDEX(PP_Grid[#Data],$DD617,75),0)</f>
        <v/>
      </c>
      <c r="BZ617">
        <f>IFERROR(INDEX(PP_Grid[#Data],$DD617,76),0)</f>
        <v/>
      </c>
      <c r="CA617">
        <f>IFERROR(INDEX(PP_Grid[#Data],$DD617,77),0)</f>
        <v/>
      </c>
      <c r="CB617">
        <f>IFERROR(INDEX(PP_Grid[#Data],$DD617,78),0)</f>
        <v/>
      </c>
      <c r="CC617">
        <f>IFERROR(INDEX(PP_Grid[#Data],$DD617,79),0)</f>
        <v/>
      </c>
      <c r="CD617">
        <f>IFERROR(INDEX(PP_Grid[#Data],$DD617,80),0)</f>
        <v/>
      </c>
      <c r="CE617">
        <f>IFERROR(INDEX(PP_Grid[#Data],$DD617,81),0)</f>
        <v/>
      </c>
      <c r="CF617">
        <f>IFERROR(INDEX(PP_Grid[#Data],$DD617,82),0)</f>
        <v/>
      </c>
      <c r="CG617">
        <f>IFERROR(INDEX(PP_Grid[#Data],$DD617,83),0)</f>
        <v/>
      </c>
      <c r="CH617">
        <f>IFERROR(INDEX(PP_Grid[#Data],$DD617,84),0)</f>
        <v/>
      </c>
      <c r="CI617">
        <f>IFERROR(INDEX(PP_Grid[#Data],$DD617,85),0)</f>
        <v/>
      </c>
      <c r="CJ617">
        <f>IFERROR(INDEX(PP_Grid[#Data],$DD617,86),0)</f>
        <v/>
      </c>
      <c r="CK617">
        <f>IFERROR(INDEX(PP_Grid[#Data],$DD617,87),0)</f>
        <v/>
      </c>
      <c r="CL617">
        <f>IFERROR(INDEX(PP_Grid[#Data],$DD617,88),0)</f>
        <v/>
      </c>
      <c r="CM617">
        <f>IFERROR(INDEX(PP_Grid[#Data],$DD617,89),0)</f>
        <v/>
      </c>
      <c r="CN617">
        <f>IFERROR(INDEX(PP_Grid[#Data],$DD617,90),0)</f>
        <v/>
      </c>
      <c r="CO617">
        <f>IFERROR(INDEX(PP_Grid[#Data],$DD617,91),0)</f>
        <v/>
      </c>
      <c r="CP617">
        <f>IFERROR(INDEX(PP_Grid[#Data],$DD617,92),0)</f>
        <v/>
      </c>
      <c r="CQ617">
        <f>IFERROR(INDEX(PP_Grid[#Data],$DD617,93),0)</f>
        <v/>
      </c>
      <c r="CR617">
        <f>IFERROR(INDEX(PP_Grid[#Data],$DD617,94),0)</f>
        <v/>
      </c>
      <c r="CS617">
        <f>IFERROR(INDEX(PP_Grid[#Data],$DD617,95),0)</f>
        <v/>
      </c>
      <c r="CT617">
        <f>IFERROR(INDEX(PP_Grid[#Data],$DD617,96),0)</f>
        <v/>
      </c>
      <c r="CU617">
        <f>IFERROR(INDEX(PP_Grid[#Data],$DD617,97),0)</f>
        <v/>
      </c>
      <c r="CV617">
        <f>IFERROR(INDEX(PP_Grid[#Data],$DD617,98),0)</f>
        <v/>
      </c>
      <c r="CW617">
        <f>IFERROR(INDEX(PP_Grid[#Data],$DD617,99),0)</f>
        <v/>
      </c>
      <c r="CX617">
        <f>IFERROR(INDEX(PP_Grid[#Data],$DD617,100),0)</f>
        <v/>
      </c>
      <c r="CY617">
        <f>IFERROR(INDEX(PP_Grid[#Data],$DD617,101),0)</f>
        <v/>
      </c>
      <c r="CZ617">
        <f>IFERROR(INDEX(PP_Grid[#Data],$DD617,102),0)</f>
        <v/>
      </c>
      <c r="DA617">
        <f>IFERROR(INDEX(PP_Grid[#Data],$DD617,103),0)</f>
        <v/>
      </c>
      <c r="DB617">
        <f>IFERROR(INDEX(PP_Grid[#Data],$DD617,104),0)</f>
        <v/>
      </c>
      <c r="DC617">
        <f>IFERROR(INDEX(PP_Grid[#Data],$DD617,105),0)</f>
        <v/>
      </c>
      <c r="DD617" s="7">
        <f>IFERROR(MATCH($B617,PP_Grid[Intermediate],0),99999)</f>
        <v/>
      </c>
    </row>
    <row r="618">
      <c r="B618" t="inlineStr">
        <is>
          <t>使用量(kg)</t>
        </is>
      </c>
      <c r="C618">
        <f>SUMIFS(M_BOM[RM_Qty_Per_Batch],M_BOM[Intermediate],$B617,M_BOM[Part Name],$A580)</f>
        <v/>
      </c>
      <c r="D618">
        <f>$C618*D617</f>
        <v/>
      </c>
      <c r="E618">
        <f>$C618*E617</f>
        <v/>
      </c>
      <c r="F618">
        <f>$C618*F617</f>
        <v/>
      </c>
      <c r="G618">
        <f>$C618*G617</f>
        <v/>
      </c>
      <c r="H618">
        <f>$C618*H617</f>
        <v/>
      </c>
      <c r="I618">
        <f>$C618*I617</f>
        <v/>
      </c>
      <c r="J618">
        <f>$C618*J617</f>
        <v/>
      </c>
      <c r="K618">
        <f>$C618*K617</f>
        <v/>
      </c>
      <c r="L618">
        <f>$C618*L617</f>
        <v/>
      </c>
      <c r="M618">
        <f>$C618*M617</f>
        <v/>
      </c>
      <c r="N618">
        <f>$C618*N617</f>
        <v/>
      </c>
      <c r="O618">
        <f>$C618*O617</f>
        <v/>
      </c>
      <c r="P618">
        <f>$C618*P617</f>
        <v/>
      </c>
      <c r="Q618">
        <f>$C618*Q617</f>
        <v/>
      </c>
      <c r="R618">
        <f>$C618*R617</f>
        <v/>
      </c>
      <c r="S618">
        <f>$C618*S617</f>
        <v/>
      </c>
      <c r="T618">
        <f>$C618*T617</f>
        <v/>
      </c>
      <c r="U618">
        <f>$C618*U617</f>
        <v/>
      </c>
      <c r="V618">
        <f>$C618*V617</f>
        <v/>
      </c>
      <c r="W618">
        <f>$C618*W617</f>
        <v/>
      </c>
      <c r="X618">
        <f>$C618*X617</f>
        <v/>
      </c>
      <c r="Y618">
        <f>$C618*Y617</f>
        <v/>
      </c>
      <c r="Z618">
        <f>$C618*Z617</f>
        <v/>
      </c>
      <c r="AA618">
        <f>$C618*AA617</f>
        <v/>
      </c>
      <c r="AB618">
        <f>$C618*AB617</f>
        <v/>
      </c>
      <c r="AC618">
        <f>$C618*AC617</f>
        <v/>
      </c>
      <c r="AD618">
        <f>$C618*AD617</f>
        <v/>
      </c>
      <c r="AE618">
        <f>$C618*AE617</f>
        <v/>
      </c>
      <c r="AF618">
        <f>$C618*AF617</f>
        <v/>
      </c>
      <c r="AG618">
        <f>$C618*AG617</f>
        <v/>
      </c>
      <c r="AH618">
        <f>$C618*AH617</f>
        <v/>
      </c>
      <c r="AI618">
        <f>$C618*AI617</f>
        <v/>
      </c>
      <c r="AJ618">
        <f>$C618*AJ617</f>
        <v/>
      </c>
      <c r="AK618">
        <f>$C618*AK617</f>
        <v/>
      </c>
      <c r="AL618">
        <f>$C618*AL617</f>
        <v/>
      </c>
      <c r="AM618">
        <f>$C618*AM617</f>
        <v/>
      </c>
      <c r="AN618">
        <f>$C618*AN617</f>
        <v/>
      </c>
      <c r="AO618">
        <f>$C618*AO617</f>
        <v/>
      </c>
      <c r="AP618">
        <f>$C618*AP617</f>
        <v/>
      </c>
      <c r="AQ618">
        <f>$C618*AQ617</f>
        <v/>
      </c>
      <c r="AR618">
        <f>$C618*AR617</f>
        <v/>
      </c>
      <c r="AS618">
        <f>$C618*AS617</f>
        <v/>
      </c>
      <c r="AT618">
        <f>$C618*AT617</f>
        <v/>
      </c>
      <c r="AU618">
        <f>$C618*AU617</f>
        <v/>
      </c>
      <c r="AV618">
        <f>$C618*AV617</f>
        <v/>
      </c>
      <c r="AW618">
        <f>$C618*AW617</f>
        <v/>
      </c>
      <c r="AX618">
        <f>$C618*AX617</f>
        <v/>
      </c>
      <c r="AY618">
        <f>$C618*AY617</f>
        <v/>
      </c>
      <c r="AZ618">
        <f>$C618*AZ617</f>
        <v/>
      </c>
      <c r="BA618">
        <f>$C618*BA617</f>
        <v/>
      </c>
      <c r="BB618">
        <f>$C618*BB617</f>
        <v/>
      </c>
      <c r="BC618">
        <f>$C618*BC617</f>
        <v/>
      </c>
      <c r="BD618">
        <f>$C618*BD617</f>
        <v/>
      </c>
      <c r="BE618">
        <f>$C618*BE617</f>
        <v/>
      </c>
      <c r="BF618">
        <f>$C618*BF617</f>
        <v/>
      </c>
      <c r="BG618">
        <f>$C618*BG617</f>
        <v/>
      </c>
      <c r="BH618">
        <f>$C618*BH617</f>
        <v/>
      </c>
      <c r="BI618">
        <f>$C618*BI617</f>
        <v/>
      </c>
      <c r="BJ618">
        <f>$C618*BJ617</f>
        <v/>
      </c>
      <c r="BK618">
        <f>$C618*BK617</f>
        <v/>
      </c>
      <c r="BL618">
        <f>$C618*BL617</f>
        <v/>
      </c>
      <c r="BM618">
        <f>$C618*BM617</f>
        <v/>
      </c>
      <c r="BN618">
        <f>$C618*BN617</f>
        <v/>
      </c>
      <c r="BO618">
        <f>$C618*BO617</f>
        <v/>
      </c>
      <c r="BP618">
        <f>$C618*BP617</f>
        <v/>
      </c>
      <c r="BQ618">
        <f>$C618*BQ617</f>
        <v/>
      </c>
      <c r="BR618">
        <f>$C618*BR617</f>
        <v/>
      </c>
      <c r="BS618">
        <f>$C618*BS617</f>
        <v/>
      </c>
      <c r="BT618">
        <f>$C618*BT617</f>
        <v/>
      </c>
      <c r="BU618">
        <f>$C618*BU617</f>
        <v/>
      </c>
      <c r="BV618">
        <f>$C618*BV617</f>
        <v/>
      </c>
      <c r="BW618">
        <f>$C618*BW617</f>
        <v/>
      </c>
      <c r="BX618">
        <f>$C618*BX617</f>
        <v/>
      </c>
      <c r="BY618">
        <f>$C618*BY617</f>
        <v/>
      </c>
      <c r="BZ618">
        <f>$C618*BZ617</f>
        <v/>
      </c>
      <c r="CA618">
        <f>$C618*CA617</f>
        <v/>
      </c>
      <c r="CB618">
        <f>$C618*CB617</f>
        <v/>
      </c>
      <c r="CC618">
        <f>$C618*CC617</f>
        <v/>
      </c>
      <c r="CD618">
        <f>$C618*CD617</f>
        <v/>
      </c>
      <c r="CE618">
        <f>$C618*CE617</f>
        <v/>
      </c>
      <c r="CF618">
        <f>$C618*CF617</f>
        <v/>
      </c>
      <c r="CG618">
        <f>$C618*CG617</f>
        <v/>
      </c>
      <c r="CH618">
        <f>$C618*CH617</f>
        <v/>
      </c>
      <c r="CI618">
        <f>$C618*CI617</f>
        <v/>
      </c>
      <c r="CJ618">
        <f>$C618*CJ617</f>
        <v/>
      </c>
      <c r="CK618">
        <f>$C618*CK617</f>
        <v/>
      </c>
      <c r="CL618">
        <f>$C618*CL617</f>
        <v/>
      </c>
      <c r="CM618">
        <f>$C618*CM617</f>
        <v/>
      </c>
      <c r="CN618">
        <f>$C618*CN617</f>
        <v/>
      </c>
      <c r="CO618">
        <f>$C618*CO617</f>
        <v/>
      </c>
      <c r="CP618">
        <f>$C618*CP617</f>
        <v/>
      </c>
      <c r="CQ618">
        <f>$C618*CQ617</f>
        <v/>
      </c>
      <c r="CR618">
        <f>$C618*CR617</f>
        <v/>
      </c>
      <c r="CS618">
        <f>$C618*CS617</f>
        <v/>
      </c>
      <c r="CT618">
        <f>$C618*CT617</f>
        <v/>
      </c>
      <c r="CU618">
        <f>$C618*CU617</f>
        <v/>
      </c>
      <c r="CV618">
        <f>$C618*CV617</f>
        <v/>
      </c>
      <c r="CW618">
        <f>$C618*CW617</f>
        <v/>
      </c>
      <c r="CX618">
        <f>$C618*CX617</f>
        <v/>
      </c>
      <c r="CY618">
        <f>$C618*CY617</f>
        <v/>
      </c>
      <c r="CZ618">
        <f>$C618*CZ617</f>
        <v/>
      </c>
      <c r="DA618">
        <f>$C618*DA617</f>
        <v/>
      </c>
      <c r="DB618">
        <f>$C618*DB617</f>
        <v/>
      </c>
      <c r="DC618">
        <f>$C618*DC617</f>
        <v/>
      </c>
    </row>
    <row r="619">
      <c r="B619" t="inlineStr">
        <is>
          <t>TPP-650</t>
        </is>
      </c>
      <c r="C619" t="inlineStr">
        <is>
          <t>No. of batches</t>
        </is>
      </c>
      <c r="D619">
        <f>IFERROR(INDEX(PP_Grid[#Data],$DD619,2),0)</f>
        <v/>
      </c>
      <c r="E619">
        <f>IFERROR(INDEX(PP_Grid[#Data],$DD619,3),0)</f>
        <v/>
      </c>
      <c r="F619">
        <f>IFERROR(INDEX(PP_Grid[#Data],$DD619,4),0)</f>
        <v/>
      </c>
      <c r="G619">
        <f>IFERROR(INDEX(PP_Grid[#Data],$DD619,5),0)</f>
        <v/>
      </c>
      <c r="H619">
        <f>IFERROR(INDEX(PP_Grid[#Data],$DD619,6),0)</f>
        <v/>
      </c>
      <c r="I619">
        <f>IFERROR(INDEX(PP_Grid[#Data],$DD619,7),0)</f>
        <v/>
      </c>
      <c r="J619">
        <f>IFERROR(INDEX(PP_Grid[#Data],$DD619,8),0)</f>
        <v/>
      </c>
      <c r="K619">
        <f>IFERROR(INDEX(PP_Grid[#Data],$DD619,9),0)</f>
        <v/>
      </c>
      <c r="L619">
        <f>IFERROR(INDEX(PP_Grid[#Data],$DD619,10),0)</f>
        <v/>
      </c>
      <c r="M619">
        <f>IFERROR(INDEX(PP_Grid[#Data],$DD619,11),0)</f>
        <v/>
      </c>
      <c r="N619">
        <f>IFERROR(INDEX(PP_Grid[#Data],$DD619,12),0)</f>
        <v/>
      </c>
      <c r="O619">
        <f>IFERROR(INDEX(PP_Grid[#Data],$DD619,13),0)</f>
        <v/>
      </c>
      <c r="P619">
        <f>IFERROR(INDEX(PP_Grid[#Data],$DD619,14),0)</f>
        <v/>
      </c>
      <c r="Q619">
        <f>IFERROR(INDEX(PP_Grid[#Data],$DD619,15),0)</f>
        <v/>
      </c>
      <c r="R619">
        <f>IFERROR(INDEX(PP_Grid[#Data],$DD619,16),0)</f>
        <v/>
      </c>
      <c r="S619">
        <f>IFERROR(INDEX(PP_Grid[#Data],$DD619,17),0)</f>
        <v/>
      </c>
      <c r="T619">
        <f>IFERROR(INDEX(PP_Grid[#Data],$DD619,18),0)</f>
        <v/>
      </c>
      <c r="U619">
        <f>IFERROR(INDEX(PP_Grid[#Data],$DD619,19),0)</f>
        <v/>
      </c>
      <c r="V619">
        <f>IFERROR(INDEX(PP_Grid[#Data],$DD619,20),0)</f>
        <v/>
      </c>
      <c r="W619">
        <f>IFERROR(INDEX(PP_Grid[#Data],$DD619,21),0)</f>
        <v/>
      </c>
      <c r="X619">
        <f>IFERROR(INDEX(PP_Grid[#Data],$DD619,22),0)</f>
        <v/>
      </c>
      <c r="Y619">
        <f>IFERROR(INDEX(PP_Grid[#Data],$DD619,23),0)</f>
        <v/>
      </c>
      <c r="Z619">
        <f>IFERROR(INDEX(PP_Grid[#Data],$DD619,24),0)</f>
        <v/>
      </c>
      <c r="AA619">
        <f>IFERROR(INDEX(PP_Grid[#Data],$DD619,25),0)</f>
        <v/>
      </c>
      <c r="AB619">
        <f>IFERROR(INDEX(PP_Grid[#Data],$DD619,26),0)</f>
        <v/>
      </c>
      <c r="AC619">
        <f>IFERROR(INDEX(PP_Grid[#Data],$DD619,27),0)</f>
        <v/>
      </c>
      <c r="AD619">
        <f>IFERROR(INDEX(PP_Grid[#Data],$DD619,28),0)</f>
        <v/>
      </c>
      <c r="AE619">
        <f>IFERROR(INDEX(PP_Grid[#Data],$DD619,29),0)</f>
        <v/>
      </c>
      <c r="AF619">
        <f>IFERROR(INDEX(PP_Grid[#Data],$DD619,30),0)</f>
        <v/>
      </c>
      <c r="AG619">
        <f>IFERROR(INDEX(PP_Grid[#Data],$DD619,31),0)</f>
        <v/>
      </c>
      <c r="AH619">
        <f>IFERROR(INDEX(PP_Grid[#Data],$DD619,32),0)</f>
        <v/>
      </c>
      <c r="AI619">
        <f>IFERROR(INDEX(PP_Grid[#Data],$DD619,33),0)</f>
        <v/>
      </c>
      <c r="AJ619">
        <f>IFERROR(INDEX(PP_Grid[#Data],$DD619,34),0)</f>
        <v/>
      </c>
      <c r="AK619">
        <f>IFERROR(INDEX(PP_Grid[#Data],$DD619,35),0)</f>
        <v/>
      </c>
      <c r="AL619">
        <f>IFERROR(INDEX(PP_Grid[#Data],$DD619,36),0)</f>
        <v/>
      </c>
      <c r="AM619">
        <f>IFERROR(INDEX(PP_Grid[#Data],$DD619,37),0)</f>
        <v/>
      </c>
      <c r="AN619">
        <f>IFERROR(INDEX(PP_Grid[#Data],$DD619,38),0)</f>
        <v/>
      </c>
      <c r="AO619">
        <f>IFERROR(INDEX(PP_Grid[#Data],$DD619,39),0)</f>
        <v/>
      </c>
      <c r="AP619">
        <f>IFERROR(INDEX(PP_Grid[#Data],$DD619,40),0)</f>
        <v/>
      </c>
      <c r="AQ619">
        <f>IFERROR(INDEX(PP_Grid[#Data],$DD619,41),0)</f>
        <v/>
      </c>
      <c r="AR619">
        <f>IFERROR(INDEX(PP_Grid[#Data],$DD619,42),0)</f>
        <v/>
      </c>
      <c r="AS619">
        <f>IFERROR(INDEX(PP_Grid[#Data],$DD619,43),0)</f>
        <v/>
      </c>
      <c r="AT619">
        <f>IFERROR(INDEX(PP_Grid[#Data],$DD619,44),0)</f>
        <v/>
      </c>
      <c r="AU619">
        <f>IFERROR(INDEX(PP_Grid[#Data],$DD619,45),0)</f>
        <v/>
      </c>
      <c r="AV619">
        <f>IFERROR(INDEX(PP_Grid[#Data],$DD619,46),0)</f>
        <v/>
      </c>
      <c r="AW619">
        <f>IFERROR(INDEX(PP_Grid[#Data],$DD619,47),0)</f>
        <v/>
      </c>
      <c r="AX619">
        <f>IFERROR(INDEX(PP_Grid[#Data],$DD619,48),0)</f>
        <v/>
      </c>
      <c r="AY619">
        <f>IFERROR(INDEX(PP_Grid[#Data],$DD619,49),0)</f>
        <v/>
      </c>
      <c r="AZ619">
        <f>IFERROR(INDEX(PP_Grid[#Data],$DD619,50),0)</f>
        <v/>
      </c>
      <c r="BA619">
        <f>IFERROR(INDEX(PP_Grid[#Data],$DD619,51),0)</f>
        <v/>
      </c>
      <c r="BB619">
        <f>IFERROR(INDEX(PP_Grid[#Data],$DD619,52),0)</f>
        <v/>
      </c>
      <c r="BC619">
        <f>IFERROR(INDEX(PP_Grid[#Data],$DD619,53),0)</f>
        <v/>
      </c>
      <c r="BD619">
        <f>IFERROR(INDEX(PP_Grid[#Data],$DD619,54),0)</f>
        <v/>
      </c>
      <c r="BE619">
        <f>IFERROR(INDEX(PP_Grid[#Data],$DD619,55),0)</f>
        <v/>
      </c>
      <c r="BF619">
        <f>IFERROR(INDEX(PP_Grid[#Data],$DD619,56),0)</f>
        <v/>
      </c>
      <c r="BG619">
        <f>IFERROR(INDEX(PP_Grid[#Data],$DD619,57),0)</f>
        <v/>
      </c>
      <c r="BH619">
        <f>IFERROR(INDEX(PP_Grid[#Data],$DD619,58),0)</f>
        <v/>
      </c>
      <c r="BI619">
        <f>IFERROR(INDEX(PP_Grid[#Data],$DD619,59),0)</f>
        <v/>
      </c>
      <c r="BJ619">
        <f>IFERROR(INDEX(PP_Grid[#Data],$DD619,60),0)</f>
        <v/>
      </c>
      <c r="BK619">
        <f>IFERROR(INDEX(PP_Grid[#Data],$DD619,61),0)</f>
        <v/>
      </c>
      <c r="BL619">
        <f>IFERROR(INDEX(PP_Grid[#Data],$DD619,62),0)</f>
        <v/>
      </c>
      <c r="BM619">
        <f>IFERROR(INDEX(PP_Grid[#Data],$DD619,63),0)</f>
        <v/>
      </c>
      <c r="BN619">
        <f>IFERROR(INDEX(PP_Grid[#Data],$DD619,64),0)</f>
        <v/>
      </c>
      <c r="BO619">
        <f>IFERROR(INDEX(PP_Grid[#Data],$DD619,65),0)</f>
        <v/>
      </c>
      <c r="BP619">
        <f>IFERROR(INDEX(PP_Grid[#Data],$DD619,66),0)</f>
        <v/>
      </c>
      <c r="BQ619">
        <f>IFERROR(INDEX(PP_Grid[#Data],$DD619,67),0)</f>
        <v/>
      </c>
      <c r="BR619">
        <f>IFERROR(INDEX(PP_Grid[#Data],$DD619,68),0)</f>
        <v/>
      </c>
      <c r="BS619">
        <f>IFERROR(INDEX(PP_Grid[#Data],$DD619,69),0)</f>
        <v/>
      </c>
      <c r="BT619">
        <f>IFERROR(INDEX(PP_Grid[#Data],$DD619,70),0)</f>
        <v/>
      </c>
      <c r="BU619">
        <f>IFERROR(INDEX(PP_Grid[#Data],$DD619,71),0)</f>
        <v/>
      </c>
      <c r="BV619">
        <f>IFERROR(INDEX(PP_Grid[#Data],$DD619,72),0)</f>
        <v/>
      </c>
      <c r="BW619">
        <f>IFERROR(INDEX(PP_Grid[#Data],$DD619,73),0)</f>
        <v/>
      </c>
      <c r="BX619">
        <f>IFERROR(INDEX(PP_Grid[#Data],$DD619,74),0)</f>
        <v/>
      </c>
      <c r="BY619">
        <f>IFERROR(INDEX(PP_Grid[#Data],$DD619,75),0)</f>
        <v/>
      </c>
      <c r="BZ619">
        <f>IFERROR(INDEX(PP_Grid[#Data],$DD619,76),0)</f>
        <v/>
      </c>
      <c r="CA619">
        <f>IFERROR(INDEX(PP_Grid[#Data],$DD619,77),0)</f>
        <v/>
      </c>
      <c r="CB619">
        <f>IFERROR(INDEX(PP_Grid[#Data],$DD619,78),0)</f>
        <v/>
      </c>
      <c r="CC619">
        <f>IFERROR(INDEX(PP_Grid[#Data],$DD619,79),0)</f>
        <v/>
      </c>
      <c r="CD619">
        <f>IFERROR(INDEX(PP_Grid[#Data],$DD619,80),0)</f>
        <v/>
      </c>
      <c r="CE619">
        <f>IFERROR(INDEX(PP_Grid[#Data],$DD619,81),0)</f>
        <v/>
      </c>
      <c r="CF619">
        <f>IFERROR(INDEX(PP_Grid[#Data],$DD619,82),0)</f>
        <v/>
      </c>
      <c r="CG619">
        <f>IFERROR(INDEX(PP_Grid[#Data],$DD619,83),0)</f>
        <v/>
      </c>
      <c r="CH619">
        <f>IFERROR(INDEX(PP_Grid[#Data],$DD619,84),0)</f>
        <v/>
      </c>
      <c r="CI619">
        <f>IFERROR(INDEX(PP_Grid[#Data],$DD619,85),0)</f>
        <v/>
      </c>
      <c r="CJ619">
        <f>IFERROR(INDEX(PP_Grid[#Data],$DD619,86),0)</f>
        <v/>
      </c>
      <c r="CK619">
        <f>IFERROR(INDEX(PP_Grid[#Data],$DD619,87),0)</f>
        <v/>
      </c>
      <c r="CL619">
        <f>IFERROR(INDEX(PP_Grid[#Data],$DD619,88),0)</f>
        <v/>
      </c>
      <c r="CM619">
        <f>IFERROR(INDEX(PP_Grid[#Data],$DD619,89),0)</f>
        <v/>
      </c>
      <c r="CN619">
        <f>IFERROR(INDEX(PP_Grid[#Data],$DD619,90),0)</f>
        <v/>
      </c>
      <c r="CO619">
        <f>IFERROR(INDEX(PP_Grid[#Data],$DD619,91),0)</f>
        <v/>
      </c>
      <c r="CP619">
        <f>IFERROR(INDEX(PP_Grid[#Data],$DD619,92),0)</f>
        <v/>
      </c>
      <c r="CQ619">
        <f>IFERROR(INDEX(PP_Grid[#Data],$DD619,93),0)</f>
        <v/>
      </c>
      <c r="CR619">
        <f>IFERROR(INDEX(PP_Grid[#Data],$DD619,94),0)</f>
        <v/>
      </c>
      <c r="CS619">
        <f>IFERROR(INDEX(PP_Grid[#Data],$DD619,95),0)</f>
        <v/>
      </c>
      <c r="CT619">
        <f>IFERROR(INDEX(PP_Grid[#Data],$DD619,96),0)</f>
        <v/>
      </c>
      <c r="CU619">
        <f>IFERROR(INDEX(PP_Grid[#Data],$DD619,97),0)</f>
        <v/>
      </c>
      <c r="CV619">
        <f>IFERROR(INDEX(PP_Grid[#Data],$DD619,98),0)</f>
        <v/>
      </c>
      <c r="CW619">
        <f>IFERROR(INDEX(PP_Grid[#Data],$DD619,99),0)</f>
        <v/>
      </c>
      <c r="CX619">
        <f>IFERROR(INDEX(PP_Grid[#Data],$DD619,100),0)</f>
        <v/>
      </c>
      <c r="CY619">
        <f>IFERROR(INDEX(PP_Grid[#Data],$DD619,101),0)</f>
        <v/>
      </c>
      <c r="CZ619">
        <f>IFERROR(INDEX(PP_Grid[#Data],$DD619,102),0)</f>
        <v/>
      </c>
      <c r="DA619">
        <f>IFERROR(INDEX(PP_Grid[#Data],$DD619,103),0)</f>
        <v/>
      </c>
      <c r="DB619">
        <f>IFERROR(INDEX(PP_Grid[#Data],$DD619,104),0)</f>
        <v/>
      </c>
      <c r="DC619">
        <f>IFERROR(INDEX(PP_Grid[#Data],$DD619,105),0)</f>
        <v/>
      </c>
      <c r="DD619" s="7">
        <f>IFERROR(MATCH($B619,PP_Grid[Intermediate],0),99999)</f>
        <v/>
      </c>
    </row>
    <row r="620">
      <c r="B620" t="inlineStr">
        <is>
          <t>使用量(kg)</t>
        </is>
      </c>
      <c r="C620">
        <f>SUMIFS(M_BOM[RM_Qty_Per_Batch],M_BOM[Intermediate],$B619,M_BOM[Part Name],$A580)</f>
        <v/>
      </c>
      <c r="D620">
        <f>$C620*D619</f>
        <v/>
      </c>
      <c r="E620">
        <f>$C620*E619</f>
        <v/>
      </c>
      <c r="F620">
        <f>$C620*F619</f>
        <v/>
      </c>
      <c r="G620">
        <f>$C620*G619</f>
        <v/>
      </c>
      <c r="H620">
        <f>$C620*H619</f>
        <v/>
      </c>
      <c r="I620">
        <f>$C620*I619</f>
        <v/>
      </c>
      <c r="J620">
        <f>$C620*J619</f>
        <v/>
      </c>
      <c r="K620">
        <f>$C620*K619</f>
        <v/>
      </c>
      <c r="L620">
        <f>$C620*L619</f>
        <v/>
      </c>
      <c r="M620">
        <f>$C620*M619</f>
        <v/>
      </c>
      <c r="N620">
        <f>$C620*N619</f>
        <v/>
      </c>
      <c r="O620">
        <f>$C620*O619</f>
        <v/>
      </c>
      <c r="P620">
        <f>$C620*P619</f>
        <v/>
      </c>
      <c r="Q620">
        <f>$C620*Q619</f>
        <v/>
      </c>
      <c r="R620">
        <f>$C620*R619</f>
        <v/>
      </c>
      <c r="S620">
        <f>$C620*S619</f>
        <v/>
      </c>
      <c r="T620">
        <f>$C620*T619</f>
        <v/>
      </c>
      <c r="U620">
        <f>$C620*U619</f>
        <v/>
      </c>
      <c r="V620">
        <f>$C620*V619</f>
        <v/>
      </c>
      <c r="W620">
        <f>$C620*W619</f>
        <v/>
      </c>
      <c r="X620">
        <f>$C620*X619</f>
        <v/>
      </c>
      <c r="Y620">
        <f>$C620*Y619</f>
        <v/>
      </c>
      <c r="Z620">
        <f>$C620*Z619</f>
        <v/>
      </c>
      <c r="AA620">
        <f>$C620*AA619</f>
        <v/>
      </c>
      <c r="AB620">
        <f>$C620*AB619</f>
        <v/>
      </c>
      <c r="AC620">
        <f>$C620*AC619</f>
        <v/>
      </c>
      <c r="AD620">
        <f>$C620*AD619</f>
        <v/>
      </c>
      <c r="AE620">
        <f>$C620*AE619</f>
        <v/>
      </c>
      <c r="AF620">
        <f>$C620*AF619</f>
        <v/>
      </c>
      <c r="AG620">
        <f>$C620*AG619</f>
        <v/>
      </c>
      <c r="AH620">
        <f>$C620*AH619</f>
        <v/>
      </c>
      <c r="AI620">
        <f>$C620*AI619</f>
        <v/>
      </c>
      <c r="AJ620">
        <f>$C620*AJ619</f>
        <v/>
      </c>
      <c r="AK620">
        <f>$C620*AK619</f>
        <v/>
      </c>
      <c r="AL620">
        <f>$C620*AL619</f>
        <v/>
      </c>
      <c r="AM620">
        <f>$C620*AM619</f>
        <v/>
      </c>
      <c r="AN620">
        <f>$C620*AN619</f>
        <v/>
      </c>
      <c r="AO620">
        <f>$C620*AO619</f>
        <v/>
      </c>
      <c r="AP620">
        <f>$C620*AP619</f>
        <v/>
      </c>
      <c r="AQ620">
        <f>$C620*AQ619</f>
        <v/>
      </c>
      <c r="AR620">
        <f>$C620*AR619</f>
        <v/>
      </c>
      <c r="AS620">
        <f>$C620*AS619</f>
        <v/>
      </c>
      <c r="AT620">
        <f>$C620*AT619</f>
        <v/>
      </c>
      <c r="AU620">
        <f>$C620*AU619</f>
        <v/>
      </c>
      <c r="AV620">
        <f>$C620*AV619</f>
        <v/>
      </c>
      <c r="AW620">
        <f>$C620*AW619</f>
        <v/>
      </c>
      <c r="AX620">
        <f>$C620*AX619</f>
        <v/>
      </c>
      <c r="AY620">
        <f>$C620*AY619</f>
        <v/>
      </c>
      <c r="AZ620">
        <f>$C620*AZ619</f>
        <v/>
      </c>
      <c r="BA620">
        <f>$C620*BA619</f>
        <v/>
      </c>
      <c r="BB620">
        <f>$C620*BB619</f>
        <v/>
      </c>
      <c r="BC620">
        <f>$C620*BC619</f>
        <v/>
      </c>
      <c r="BD620">
        <f>$C620*BD619</f>
        <v/>
      </c>
      <c r="BE620">
        <f>$C620*BE619</f>
        <v/>
      </c>
      <c r="BF620">
        <f>$C620*BF619</f>
        <v/>
      </c>
      <c r="BG620">
        <f>$C620*BG619</f>
        <v/>
      </c>
      <c r="BH620">
        <f>$C620*BH619</f>
        <v/>
      </c>
      <c r="BI620">
        <f>$C620*BI619</f>
        <v/>
      </c>
      <c r="BJ620">
        <f>$C620*BJ619</f>
        <v/>
      </c>
      <c r="BK620">
        <f>$C620*BK619</f>
        <v/>
      </c>
      <c r="BL620">
        <f>$C620*BL619</f>
        <v/>
      </c>
      <c r="BM620">
        <f>$C620*BM619</f>
        <v/>
      </c>
      <c r="BN620">
        <f>$C620*BN619</f>
        <v/>
      </c>
      <c r="BO620">
        <f>$C620*BO619</f>
        <v/>
      </c>
      <c r="BP620">
        <f>$C620*BP619</f>
        <v/>
      </c>
      <c r="BQ620">
        <f>$C620*BQ619</f>
        <v/>
      </c>
      <c r="BR620">
        <f>$C620*BR619</f>
        <v/>
      </c>
      <c r="BS620">
        <f>$C620*BS619</f>
        <v/>
      </c>
      <c r="BT620">
        <f>$C620*BT619</f>
        <v/>
      </c>
      <c r="BU620">
        <f>$C620*BU619</f>
        <v/>
      </c>
      <c r="BV620">
        <f>$C620*BV619</f>
        <v/>
      </c>
      <c r="BW620">
        <f>$C620*BW619</f>
        <v/>
      </c>
      <c r="BX620">
        <f>$C620*BX619</f>
        <v/>
      </c>
      <c r="BY620">
        <f>$C620*BY619</f>
        <v/>
      </c>
      <c r="BZ620">
        <f>$C620*BZ619</f>
        <v/>
      </c>
      <c r="CA620">
        <f>$C620*CA619</f>
        <v/>
      </c>
      <c r="CB620">
        <f>$C620*CB619</f>
        <v/>
      </c>
      <c r="CC620">
        <f>$C620*CC619</f>
        <v/>
      </c>
      <c r="CD620">
        <f>$C620*CD619</f>
        <v/>
      </c>
      <c r="CE620">
        <f>$C620*CE619</f>
        <v/>
      </c>
      <c r="CF620">
        <f>$C620*CF619</f>
        <v/>
      </c>
      <c r="CG620">
        <f>$C620*CG619</f>
        <v/>
      </c>
      <c r="CH620">
        <f>$C620*CH619</f>
        <v/>
      </c>
      <c r="CI620">
        <f>$C620*CI619</f>
        <v/>
      </c>
      <c r="CJ620">
        <f>$C620*CJ619</f>
        <v/>
      </c>
      <c r="CK620">
        <f>$C620*CK619</f>
        <v/>
      </c>
      <c r="CL620">
        <f>$C620*CL619</f>
        <v/>
      </c>
      <c r="CM620">
        <f>$C620*CM619</f>
        <v/>
      </c>
      <c r="CN620">
        <f>$C620*CN619</f>
        <v/>
      </c>
      <c r="CO620">
        <f>$C620*CO619</f>
        <v/>
      </c>
      <c r="CP620">
        <f>$C620*CP619</f>
        <v/>
      </c>
      <c r="CQ620">
        <f>$C620*CQ619</f>
        <v/>
      </c>
      <c r="CR620">
        <f>$C620*CR619</f>
        <v/>
      </c>
      <c r="CS620">
        <f>$C620*CS619</f>
        <v/>
      </c>
      <c r="CT620">
        <f>$C620*CT619</f>
        <v/>
      </c>
      <c r="CU620">
        <f>$C620*CU619</f>
        <v/>
      </c>
      <c r="CV620">
        <f>$C620*CV619</f>
        <v/>
      </c>
      <c r="CW620">
        <f>$C620*CW619</f>
        <v/>
      </c>
      <c r="CX620">
        <f>$C620*CX619</f>
        <v/>
      </c>
      <c r="CY620">
        <f>$C620*CY619</f>
        <v/>
      </c>
      <c r="CZ620">
        <f>$C620*CZ619</f>
        <v/>
      </c>
      <c r="DA620">
        <f>$C620*DA619</f>
        <v/>
      </c>
      <c r="DB620">
        <f>$C620*DB619</f>
        <v/>
      </c>
      <c r="DC620">
        <f>$C620*DC619</f>
        <v/>
      </c>
    </row>
    <row r="621">
      <c r="B621" t="inlineStr">
        <is>
          <t>TPP-527</t>
        </is>
      </c>
      <c r="C621" t="inlineStr">
        <is>
          <t>No. of batches</t>
        </is>
      </c>
      <c r="D621">
        <f>IFERROR(INDEX(PP_Grid[#Data],$DD621,2),0)</f>
        <v/>
      </c>
      <c r="E621">
        <f>IFERROR(INDEX(PP_Grid[#Data],$DD621,3),0)</f>
        <v/>
      </c>
      <c r="F621">
        <f>IFERROR(INDEX(PP_Grid[#Data],$DD621,4),0)</f>
        <v/>
      </c>
      <c r="G621">
        <f>IFERROR(INDEX(PP_Grid[#Data],$DD621,5),0)</f>
        <v/>
      </c>
      <c r="H621">
        <f>IFERROR(INDEX(PP_Grid[#Data],$DD621,6),0)</f>
        <v/>
      </c>
      <c r="I621">
        <f>IFERROR(INDEX(PP_Grid[#Data],$DD621,7),0)</f>
        <v/>
      </c>
      <c r="J621">
        <f>IFERROR(INDEX(PP_Grid[#Data],$DD621,8),0)</f>
        <v/>
      </c>
      <c r="K621">
        <f>IFERROR(INDEX(PP_Grid[#Data],$DD621,9),0)</f>
        <v/>
      </c>
      <c r="L621">
        <f>IFERROR(INDEX(PP_Grid[#Data],$DD621,10),0)</f>
        <v/>
      </c>
      <c r="M621">
        <f>IFERROR(INDEX(PP_Grid[#Data],$DD621,11),0)</f>
        <v/>
      </c>
      <c r="N621">
        <f>IFERROR(INDEX(PP_Grid[#Data],$DD621,12),0)</f>
        <v/>
      </c>
      <c r="O621">
        <f>IFERROR(INDEX(PP_Grid[#Data],$DD621,13),0)</f>
        <v/>
      </c>
      <c r="P621">
        <f>IFERROR(INDEX(PP_Grid[#Data],$DD621,14),0)</f>
        <v/>
      </c>
      <c r="Q621">
        <f>IFERROR(INDEX(PP_Grid[#Data],$DD621,15),0)</f>
        <v/>
      </c>
      <c r="R621">
        <f>IFERROR(INDEX(PP_Grid[#Data],$DD621,16),0)</f>
        <v/>
      </c>
      <c r="S621">
        <f>IFERROR(INDEX(PP_Grid[#Data],$DD621,17),0)</f>
        <v/>
      </c>
      <c r="T621">
        <f>IFERROR(INDEX(PP_Grid[#Data],$DD621,18),0)</f>
        <v/>
      </c>
      <c r="U621">
        <f>IFERROR(INDEX(PP_Grid[#Data],$DD621,19),0)</f>
        <v/>
      </c>
      <c r="V621">
        <f>IFERROR(INDEX(PP_Grid[#Data],$DD621,20),0)</f>
        <v/>
      </c>
      <c r="W621">
        <f>IFERROR(INDEX(PP_Grid[#Data],$DD621,21),0)</f>
        <v/>
      </c>
      <c r="X621">
        <f>IFERROR(INDEX(PP_Grid[#Data],$DD621,22),0)</f>
        <v/>
      </c>
      <c r="Y621">
        <f>IFERROR(INDEX(PP_Grid[#Data],$DD621,23),0)</f>
        <v/>
      </c>
      <c r="Z621">
        <f>IFERROR(INDEX(PP_Grid[#Data],$DD621,24),0)</f>
        <v/>
      </c>
      <c r="AA621">
        <f>IFERROR(INDEX(PP_Grid[#Data],$DD621,25),0)</f>
        <v/>
      </c>
      <c r="AB621">
        <f>IFERROR(INDEX(PP_Grid[#Data],$DD621,26),0)</f>
        <v/>
      </c>
      <c r="AC621">
        <f>IFERROR(INDEX(PP_Grid[#Data],$DD621,27),0)</f>
        <v/>
      </c>
      <c r="AD621">
        <f>IFERROR(INDEX(PP_Grid[#Data],$DD621,28),0)</f>
        <v/>
      </c>
      <c r="AE621">
        <f>IFERROR(INDEX(PP_Grid[#Data],$DD621,29),0)</f>
        <v/>
      </c>
      <c r="AF621">
        <f>IFERROR(INDEX(PP_Grid[#Data],$DD621,30),0)</f>
        <v/>
      </c>
      <c r="AG621">
        <f>IFERROR(INDEX(PP_Grid[#Data],$DD621,31),0)</f>
        <v/>
      </c>
      <c r="AH621">
        <f>IFERROR(INDEX(PP_Grid[#Data],$DD621,32),0)</f>
        <v/>
      </c>
      <c r="AI621">
        <f>IFERROR(INDEX(PP_Grid[#Data],$DD621,33),0)</f>
        <v/>
      </c>
      <c r="AJ621">
        <f>IFERROR(INDEX(PP_Grid[#Data],$DD621,34),0)</f>
        <v/>
      </c>
      <c r="AK621">
        <f>IFERROR(INDEX(PP_Grid[#Data],$DD621,35),0)</f>
        <v/>
      </c>
      <c r="AL621">
        <f>IFERROR(INDEX(PP_Grid[#Data],$DD621,36),0)</f>
        <v/>
      </c>
      <c r="AM621">
        <f>IFERROR(INDEX(PP_Grid[#Data],$DD621,37),0)</f>
        <v/>
      </c>
      <c r="AN621">
        <f>IFERROR(INDEX(PP_Grid[#Data],$DD621,38),0)</f>
        <v/>
      </c>
      <c r="AO621">
        <f>IFERROR(INDEX(PP_Grid[#Data],$DD621,39),0)</f>
        <v/>
      </c>
      <c r="AP621">
        <f>IFERROR(INDEX(PP_Grid[#Data],$DD621,40),0)</f>
        <v/>
      </c>
      <c r="AQ621">
        <f>IFERROR(INDEX(PP_Grid[#Data],$DD621,41),0)</f>
        <v/>
      </c>
      <c r="AR621">
        <f>IFERROR(INDEX(PP_Grid[#Data],$DD621,42),0)</f>
        <v/>
      </c>
      <c r="AS621">
        <f>IFERROR(INDEX(PP_Grid[#Data],$DD621,43),0)</f>
        <v/>
      </c>
      <c r="AT621">
        <f>IFERROR(INDEX(PP_Grid[#Data],$DD621,44),0)</f>
        <v/>
      </c>
      <c r="AU621">
        <f>IFERROR(INDEX(PP_Grid[#Data],$DD621,45),0)</f>
        <v/>
      </c>
      <c r="AV621">
        <f>IFERROR(INDEX(PP_Grid[#Data],$DD621,46),0)</f>
        <v/>
      </c>
      <c r="AW621">
        <f>IFERROR(INDEX(PP_Grid[#Data],$DD621,47),0)</f>
        <v/>
      </c>
      <c r="AX621">
        <f>IFERROR(INDEX(PP_Grid[#Data],$DD621,48),0)</f>
        <v/>
      </c>
      <c r="AY621">
        <f>IFERROR(INDEX(PP_Grid[#Data],$DD621,49),0)</f>
        <v/>
      </c>
      <c r="AZ621">
        <f>IFERROR(INDEX(PP_Grid[#Data],$DD621,50),0)</f>
        <v/>
      </c>
      <c r="BA621">
        <f>IFERROR(INDEX(PP_Grid[#Data],$DD621,51),0)</f>
        <v/>
      </c>
      <c r="BB621">
        <f>IFERROR(INDEX(PP_Grid[#Data],$DD621,52),0)</f>
        <v/>
      </c>
      <c r="BC621">
        <f>IFERROR(INDEX(PP_Grid[#Data],$DD621,53),0)</f>
        <v/>
      </c>
      <c r="BD621">
        <f>IFERROR(INDEX(PP_Grid[#Data],$DD621,54),0)</f>
        <v/>
      </c>
      <c r="BE621">
        <f>IFERROR(INDEX(PP_Grid[#Data],$DD621,55),0)</f>
        <v/>
      </c>
      <c r="BF621">
        <f>IFERROR(INDEX(PP_Grid[#Data],$DD621,56),0)</f>
        <v/>
      </c>
      <c r="BG621">
        <f>IFERROR(INDEX(PP_Grid[#Data],$DD621,57),0)</f>
        <v/>
      </c>
      <c r="BH621">
        <f>IFERROR(INDEX(PP_Grid[#Data],$DD621,58),0)</f>
        <v/>
      </c>
      <c r="BI621">
        <f>IFERROR(INDEX(PP_Grid[#Data],$DD621,59),0)</f>
        <v/>
      </c>
      <c r="BJ621">
        <f>IFERROR(INDEX(PP_Grid[#Data],$DD621,60),0)</f>
        <v/>
      </c>
      <c r="BK621">
        <f>IFERROR(INDEX(PP_Grid[#Data],$DD621,61),0)</f>
        <v/>
      </c>
      <c r="BL621">
        <f>IFERROR(INDEX(PP_Grid[#Data],$DD621,62),0)</f>
        <v/>
      </c>
      <c r="BM621">
        <f>IFERROR(INDEX(PP_Grid[#Data],$DD621,63),0)</f>
        <v/>
      </c>
      <c r="BN621">
        <f>IFERROR(INDEX(PP_Grid[#Data],$DD621,64),0)</f>
        <v/>
      </c>
      <c r="BO621">
        <f>IFERROR(INDEX(PP_Grid[#Data],$DD621,65),0)</f>
        <v/>
      </c>
      <c r="BP621">
        <f>IFERROR(INDEX(PP_Grid[#Data],$DD621,66),0)</f>
        <v/>
      </c>
      <c r="BQ621">
        <f>IFERROR(INDEX(PP_Grid[#Data],$DD621,67),0)</f>
        <v/>
      </c>
      <c r="BR621">
        <f>IFERROR(INDEX(PP_Grid[#Data],$DD621,68),0)</f>
        <v/>
      </c>
      <c r="BS621">
        <f>IFERROR(INDEX(PP_Grid[#Data],$DD621,69),0)</f>
        <v/>
      </c>
      <c r="BT621">
        <f>IFERROR(INDEX(PP_Grid[#Data],$DD621,70),0)</f>
        <v/>
      </c>
      <c r="BU621">
        <f>IFERROR(INDEX(PP_Grid[#Data],$DD621,71),0)</f>
        <v/>
      </c>
      <c r="BV621">
        <f>IFERROR(INDEX(PP_Grid[#Data],$DD621,72),0)</f>
        <v/>
      </c>
      <c r="BW621">
        <f>IFERROR(INDEX(PP_Grid[#Data],$DD621,73),0)</f>
        <v/>
      </c>
      <c r="BX621">
        <f>IFERROR(INDEX(PP_Grid[#Data],$DD621,74),0)</f>
        <v/>
      </c>
      <c r="BY621">
        <f>IFERROR(INDEX(PP_Grid[#Data],$DD621,75),0)</f>
        <v/>
      </c>
      <c r="BZ621">
        <f>IFERROR(INDEX(PP_Grid[#Data],$DD621,76),0)</f>
        <v/>
      </c>
      <c r="CA621">
        <f>IFERROR(INDEX(PP_Grid[#Data],$DD621,77),0)</f>
        <v/>
      </c>
      <c r="CB621">
        <f>IFERROR(INDEX(PP_Grid[#Data],$DD621,78),0)</f>
        <v/>
      </c>
      <c r="CC621">
        <f>IFERROR(INDEX(PP_Grid[#Data],$DD621,79),0)</f>
        <v/>
      </c>
      <c r="CD621">
        <f>IFERROR(INDEX(PP_Grid[#Data],$DD621,80),0)</f>
        <v/>
      </c>
      <c r="CE621">
        <f>IFERROR(INDEX(PP_Grid[#Data],$DD621,81),0)</f>
        <v/>
      </c>
      <c r="CF621">
        <f>IFERROR(INDEX(PP_Grid[#Data],$DD621,82),0)</f>
        <v/>
      </c>
      <c r="CG621">
        <f>IFERROR(INDEX(PP_Grid[#Data],$DD621,83),0)</f>
        <v/>
      </c>
      <c r="CH621">
        <f>IFERROR(INDEX(PP_Grid[#Data],$DD621,84),0)</f>
        <v/>
      </c>
      <c r="CI621">
        <f>IFERROR(INDEX(PP_Grid[#Data],$DD621,85),0)</f>
        <v/>
      </c>
      <c r="CJ621">
        <f>IFERROR(INDEX(PP_Grid[#Data],$DD621,86),0)</f>
        <v/>
      </c>
      <c r="CK621">
        <f>IFERROR(INDEX(PP_Grid[#Data],$DD621,87),0)</f>
        <v/>
      </c>
      <c r="CL621">
        <f>IFERROR(INDEX(PP_Grid[#Data],$DD621,88),0)</f>
        <v/>
      </c>
      <c r="CM621">
        <f>IFERROR(INDEX(PP_Grid[#Data],$DD621,89),0)</f>
        <v/>
      </c>
      <c r="CN621">
        <f>IFERROR(INDEX(PP_Grid[#Data],$DD621,90),0)</f>
        <v/>
      </c>
      <c r="CO621">
        <f>IFERROR(INDEX(PP_Grid[#Data],$DD621,91),0)</f>
        <v/>
      </c>
      <c r="CP621">
        <f>IFERROR(INDEX(PP_Grid[#Data],$DD621,92),0)</f>
        <v/>
      </c>
      <c r="CQ621">
        <f>IFERROR(INDEX(PP_Grid[#Data],$DD621,93),0)</f>
        <v/>
      </c>
      <c r="CR621">
        <f>IFERROR(INDEX(PP_Grid[#Data],$DD621,94),0)</f>
        <v/>
      </c>
      <c r="CS621">
        <f>IFERROR(INDEX(PP_Grid[#Data],$DD621,95),0)</f>
        <v/>
      </c>
      <c r="CT621">
        <f>IFERROR(INDEX(PP_Grid[#Data],$DD621,96),0)</f>
        <v/>
      </c>
      <c r="CU621">
        <f>IFERROR(INDEX(PP_Grid[#Data],$DD621,97),0)</f>
        <v/>
      </c>
      <c r="CV621">
        <f>IFERROR(INDEX(PP_Grid[#Data],$DD621,98),0)</f>
        <v/>
      </c>
      <c r="CW621">
        <f>IFERROR(INDEX(PP_Grid[#Data],$DD621,99),0)</f>
        <v/>
      </c>
      <c r="CX621">
        <f>IFERROR(INDEX(PP_Grid[#Data],$DD621,100),0)</f>
        <v/>
      </c>
      <c r="CY621">
        <f>IFERROR(INDEX(PP_Grid[#Data],$DD621,101),0)</f>
        <v/>
      </c>
      <c r="CZ621">
        <f>IFERROR(INDEX(PP_Grid[#Data],$DD621,102),0)</f>
        <v/>
      </c>
      <c r="DA621">
        <f>IFERROR(INDEX(PP_Grid[#Data],$DD621,103),0)</f>
        <v/>
      </c>
      <c r="DB621">
        <f>IFERROR(INDEX(PP_Grid[#Data],$DD621,104),0)</f>
        <v/>
      </c>
      <c r="DC621">
        <f>IFERROR(INDEX(PP_Grid[#Data],$DD621,105),0)</f>
        <v/>
      </c>
      <c r="DD621" s="7">
        <f>IFERROR(MATCH($B621,PP_Grid[Intermediate],0),99999)</f>
        <v/>
      </c>
    </row>
    <row r="622">
      <c r="B622" t="inlineStr">
        <is>
          <t>使用量(kg)</t>
        </is>
      </c>
      <c r="C622">
        <f>SUMIFS(M_BOM[RM_Qty_Per_Batch],M_BOM[Intermediate],$B621,M_BOM[Part Name],$A580)</f>
        <v/>
      </c>
      <c r="D622">
        <f>$C622*D621</f>
        <v/>
      </c>
      <c r="E622">
        <f>$C622*E621</f>
        <v/>
      </c>
      <c r="F622">
        <f>$C622*F621</f>
        <v/>
      </c>
      <c r="G622">
        <f>$C622*G621</f>
        <v/>
      </c>
      <c r="H622">
        <f>$C622*H621</f>
        <v/>
      </c>
      <c r="I622">
        <f>$C622*I621</f>
        <v/>
      </c>
      <c r="J622">
        <f>$C622*J621</f>
        <v/>
      </c>
      <c r="K622">
        <f>$C622*K621</f>
        <v/>
      </c>
      <c r="L622">
        <f>$C622*L621</f>
        <v/>
      </c>
      <c r="M622">
        <f>$C622*M621</f>
        <v/>
      </c>
      <c r="N622">
        <f>$C622*N621</f>
        <v/>
      </c>
      <c r="O622">
        <f>$C622*O621</f>
        <v/>
      </c>
      <c r="P622">
        <f>$C622*P621</f>
        <v/>
      </c>
      <c r="Q622">
        <f>$C622*Q621</f>
        <v/>
      </c>
      <c r="R622">
        <f>$C622*R621</f>
        <v/>
      </c>
      <c r="S622">
        <f>$C622*S621</f>
        <v/>
      </c>
      <c r="T622">
        <f>$C622*T621</f>
        <v/>
      </c>
      <c r="U622">
        <f>$C622*U621</f>
        <v/>
      </c>
      <c r="V622">
        <f>$C622*V621</f>
        <v/>
      </c>
      <c r="W622">
        <f>$C622*W621</f>
        <v/>
      </c>
      <c r="X622">
        <f>$C622*X621</f>
        <v/>
      </c>
      <c r="Y622">
        <f>$C622*Y621</f>
        <v/>
      </c>
      <c r="Z622">
        <f>$C622*Z621</f>
        <v/>
      </c>
      <c r="AA622">
        <f>$C622*AA621</f>
        <v/>
      </c>
      <c r="AB622">
        <f>$C622*AB621</f>
        <v/>
      </c>
      <c r="AC622">
        <f>$C622*AC621</f>
        <v/>
      </c>
      <c r="AD622">
        <f>$C622*AD621</f>
        <v/>
      </c>
      <c r="AE622">
        <f>$C622*AE621</f>
        <v/>
      </c>
      <c r="AF622">
        <f>$C622*AF621</f>
        <v/>
      </c>
      <c r="AG622">
        <f>$C622*AG621</f>
        <v/>
      </c>
      <c r="AH622">
        <f>$C622*AH621</f>
        <v/>
      </c>
      <c r="AI622">
        <f>$C622*AI621</f>
        <v/>
      </c>
      <c r="AJ622">
        <f>$C622*AJ621</f>
        <v/>
      </c>
      <c r="AK622">
        <f>$C622*AK621</f>
        <v/>
      </c>
      <c r="AL622">
        <f>$C622*AL621</f>
        <v/>
      </c>
      <c r="AM622">
        <f>$C622*AM621</f>
        <v/>
      </c>
      <c r="AN622">
        <f>$C622*AN621</f>
        <v/>
      </c>
      <c r="AO622">
        <f>$C622*AO621</f>
        <v/>
      </c>
      <c r="AP622">
        <f>$C622*AP621</f>
        <v/>
      </c>
      <c r="AQ622">
        <f>$C622*AQ621</f>
        <v/>
      </c>
      <c r="AR622">
        <f>$C622*AR621</f>
        <v/>
      </c>
      <c r="AS622">
        <f>$C622*AS621</f>
        <v/>
      </c>
      <c r="AT622">
        <f>$C622*AT621</f>
        <v/>
      </c>
      <c r="AU622">
        <f>$C622*AU621</f>
        <v/>
      </c>
      <c r="AV622">
        <f>$C622*AV621</f>
        <v/>
      </c>
      <c r="AW622">
        <f>$C622*AW621</f>
        <v/>
      </c>
      <c r="AX622">
        <f>$C622*AX621</f>
        <v/>
      </c>
      <c r="AY622">
        <f>$C622*AY621</f>
        <v/>
      </c>
      <c r="AZ622">
        <f>$C622*AZ621</f>
        <v/>
      </c>
      <c r="BA622">
        <f>$C622*BA621</f>
        <v/>
      </c>
      <c r="BB622">
        <f>$C622*BB621</f>
        <v/>
      </c>
      <c r="BC622">
        <f>$C622*BC621</f>
        <v/>
      </c>
      <c r="BD622">
        <f>$C622*BD621</f>
        <v/>
      </c>
      <c r="BE622">
        <f>$C622*BE621</f>
        <v/>
      </c>
      <c r="BF622">
        <f>$C622*BF621</f>
        <v/>
      </c>
      <c r="BG622">
        <f>$C622*BG621</f>
        <v/>
      </c>
      <c r="BH622">
        <f>$C622*BH621</f>
        <v/>
      </c>
      <c r="BI622">
        <f>$C622*BI621</f>
        <v/>
      </c>
      <c r="BJ622">
        <f>$C622*BJ621</f>
        <v/>
      </c>
      <c r="BK622">
        <f>$C622*BK621</f>
        <v/>
      </c>
      <c r="BL622">
        <f>$C622*BL621</f>
        <v/>
      </c>
      <c r="BM622">
        <f>$C622*BM621</f>
        <v/>
      </c>
      <c r="BN622">
        <f>$C622*BN621</f>
        <v/>
      </c>
      <c r="BO622">
        <f>$C622*BO621</f>
        <v/>
      </c>
      <c r="BP622">
        <f>$C622*BP621</f>
        <v/>
      </c>
      <c r="BQ622">
        <f>$C622*BQ621</f>
        <v/>
      </c>
      <c r="BR622">
        <f>$C622*BR621</f>
        <v/>
      </c>
      <c r="BS622">
        <f>$C622*BS621</f>
        <v/>
      </c>
      <c r="BT622">
        <f>$C622*BT621</f>
        <v/>
      </c>
      <c r="BU622">
        <f>$C622*BU621</f>
        <v/>
      </c>
      <c r="BV622">
        <f>$C622*BV621</f>
        <v/>
      </c>
      <c r="BW622">
        <f>$C622*BW621</f>
        <v/>
      </c>
      <c r="BX622">
        <f>$C622*BX621</f>
        <v/>
      </c>
      <c r="BY622">
        <f>$C622*BY621</f>
        <v/>
      </c>
      <c r="BZ622">
        <f>$C622*BZ621</f>
        <v/>
      </c>
      <c r="CA622">
        <f>$C622*CA621</f>
        <v/>
      </c>
      <c r="CB622">
        <f>$C622*CB621</f>
        <v/>
      </c>
      <c r="CC622">
        <f>$C622*CC621</f>
        <v/>
      </c>
      <c r="CD622">
        <f>$C622*CD621</f>
        <v/>
      </c>
      <c r="CE622">
        <f>$C622*CE621</f>
        <v/>
      </c>
      <c r="CF622">
        <f>$C622*CF621</f>
        <v/>
      </c>
      <c r="CG622">
        <f>$C622*CG621</f>
        <v/>
      </c>
      <c r="CH622">
        <f>$C622*CH621</f>
        <v/>
      </c>
      <c r="CI622">
        <f>$C622*CI621</f>
        <v/>
      </c>
      <c r="CJ622">
        <f>$C622*CJ621</f>
        <v/>
      </c>
      <c r="CK622">
        <f>$C622*CK621</f>
        <v/>
      </c>
      <c r="CL622">
        <f>$C622*CL621</f>
        <v/>
      </c>
      <c r="CM622">
        <f>$C622*CM621</f>
        <v/>
      </c>
      <c r="CN622">
        <f>$C622*CN621</f>
        <v/>
      </c>
      <c r="CO622">
        <f>$C622*CO621</f>
        <v/>
      </c>
      <c r="CP622">
        <f>$C622*CP621</f>
        <v/>
      </c>
      <c r="CQ622">
        <f>$C622*CQ621</f>
        <v/>
      </c>
      <c r="CR622">
        <f>$C622*CR621</f>
        <v/>
      </c>
      <c r="CS622">
        <f>$C622*CS621</f>
        <v/>
      </c>
      <c r="CT622">
        <f>$C622*CT621</f>
        <v/>
      </c>
      <c r="CU622">
        <f>$C622*CU621</f>
        <v/>
      </c>
      <c r="CV622">
        <f>$C622*CV621</f>
        <v/>
      </c>
      <c r="CW622">
        <f>$C622*CW621</f>
        <v/>
      </c>
      <c r="CX622">
        <f>$C622*CX621</f>
        <v/>
      </c>
      <c r="CY622">
        <f>$C622*CY621</f>
        <v/>
      </c>
      <c r="CZ622">
        <f>$C622*CZ621</f>
        <v/>
      </c>
      <c r="DA622">
        <f>$C622*DA621</f>
        <v/>
      </c>
      <c r="DB622">
        <f>$C622*DB621</f>
        <v/>
      </c>
      <c r="DC622">
        <f>$C622*DC621</f>
        <v/>
      </c>
    </row>
    <row r="623">
      <c r="B623" t="inlineStr">
        <is>
          <t>TPP-537</t>
        </is>
      </c>
      <c r="C623" t="inlineStr">
        <is>
          <t>No. of batches</t>
        </is>
      </c>
      <c r="D623">
        <f>IFERROR(INDEX(PP_Grid[#Data],$DD623,2),0)</f>
        <v/>
      </c>
      <c r="E623">
        <f>IFERROR(INDEX(PP_Grid[#Data],$DD623,3),0)</f>
        <v/>
      </c>
      <c r="F623">
        <f>IFERROR(INDEX(PP_Grid[#Data],$DD623,4),0)</f>
        <v/>
      </c>
      <c r="G623">
        <f>IFERROR(INDEX(PP_Grid[#Data],$DD623,5),0)</f>
        <v/>
      </c>
      <c r="H623">
        <f>IFERROR(INDEX(PP_Grid[#Data],$DD623,6),0)</f>
        <v/>
      </c>
      <c r="I623">
        <f>IFERROR(INDEX(PP_Grid[#Data],$DD623,7),0)</f>
        <v/>
      </c>
      <c r="J623">
        <f>IFERROR(INDEX(PP_Grid[#Data],$DD623,8),0)</f>
        <v/>
      </c>
      <c r="K623">
        <f>IFERROR(INDEX(PP_Grid[#Data],$DD623,9),0)</f>
        <v/>
      </c>
      <c r="L623">
        <f>IFERROR(INDEX(PP_Grid[#Data],$DD623,10),0)</f>
        <v/>
      </c>
      <c r="M623">
        <f>IFERROR(INDEX(PP_Grid[#Data],$DD623,11),0)</f>
        <v/>
      </c>
      <c r="N623">
        <f>IFERROR(INDEX(PP_Grid[#Data],$DD623,12),0)</f>
        <v/>
      </c>
      <c r="O623">
        <f>IFERROR(INDEX(PP_Grid[#Data],$DD623,13),0)</f>
        <v/>
      </c>
      <c r="P623">
        <f>IFERROR(INDEX(PP_Grid[#Data],$DD623,14),0)</f>
        <v/>
      </c>
      <c r="Q623">
        <f>IFERROR(INDEX(PP_Grid[#Data],$DD623,15),0)</f>
        <v/>
      </c>
      <c r="R623">
        <f>IFERROR(INDEX(PP_Grid[#Data],$DD623,16),0)</f>
        <v/>
      </c>
      <c r="S623">
        <f>IFERROR(INDEX(PP_Grid[#Data],$DD623,17),0)</f>
        <v/>
      </c>
      <c r="T623">
        <f>IFERROR(INDEX(PP_Grid[#Data],$DD623,18),0)</f>
        <v/>
      </c>
      <c r="U623">
        <f>IFERROR(INDEX(PP_Grid[#Data],$DD623,19),0)</f>
        <v/>
      </c>
      <c r="V623">
        <f>IFERROR(INDEX(PP_Grid[#Data],$DD623,20),0)</f>
        <v/>
      </c>
      <c r="W623">
        <f>IFERROR(INDEX(PP_Grid[#Data],$DD623,21),0)</f>
        <v/>
      </c>
      <c r="X623">
        <f>IFERROR(INDEX(PP_Grid[#Data],$DD623,22),0)</f>
        <v/>
      </c>
      <c r="Y623">
        <f>IFERROR(INDEX(PP_Grid[#Data],$DD623,23),0)</f>
        <v/>
      </c>
      <c r="Z623">
        <f>IFERROR(INDEX(PP_Grid[#Data],$DD623,24),0)</f>
        <v/>
      </c>
      <c r="AA623">
        <f>IFERROR(INDEX(PP_Grid[#Data],$DD623,25),0)</f>
        <v/>
      </c>
      <c r="AB623">
        <f>IFERROR(INDEX(PP_Grid[#Data],$DD623,26),0)</f>
        <v/>
      </c>
      <c r="AC623">
        <f>IFERROR(INDEX(PP_Grid[#Data],$DD623,27),0)</f>
        <v/>
      </c>
      <c r="AD623">
        <f>IFERROR(INDEX(PP_Grid[#Data],$DD623,28),0)</f>
        <v/>
      </c>
      <c r="AE623">
        <f>IFERROR(INDEX(PP_Grid[#Data],$DD623,29),0)</f>
        <v/>
      </c>
      <c r="AF623">
        <f>IFERROR(INDEX(PP_Grid[#Data],$DD623,30),0)</f>
        <v/>
      </c>
      <c r="AG623">
        <f>IFERROR(INDEX(PP_Grid[#Data],$DD623,31),0)</f>
        <v/>
      </c>
      <c r="AH623">
        <f>IFERROR(INDEX(PP_Grid[#Data],$DD623,32),0)</f>
        <v/>
      </c>
      <c r="AI623">
        <f>IFERROR(INDEX(PP_Grid[#Data],$DD623,33),0)</f>
        <v/>
      </c>
      <c r="AJ623">
        <f>IFERROR(INDEX(PP_Grid[#Data],$DD623,34),0)</f>
        <v/>
      </c>
      <c r="AK623">
        <f>IFERROR(INDEX(PP_Grid[#Data],$DD623,35),0)</f>
        <v/>
      </c>
      <c r="AL623">
        <f>IFERROR(INDEX(PP_Grid[#Data],$DD623,36),0)</f>
        <v/>
      </c>
      <c r="AM623">
        <f>IFERROR(INDEX(PP_Grid[#Data],$DD623,37),0)</f>
        <v/>
      </c>
      <c r="AN623">
        <f>IFERROR(INDEX(PP_Grid[#Data],$DD623,38),0)</f>
        <v/>
      </c>
      <c r="AO623">
        <f>IFERROR(INDEX(PP_Grid[#Data],$DD623,39),0)</f>
        <v/>
      </c>
      <c r="AP623">
        <f>IFERROR(INDEX(PP_Grid[#Data],$DD623,40),0)</f>
        <v/>
      </c>
      <c r="AQ623">
        <f>IFERROR(INDEX(PP_Grid[#Data],$DD623,41),0)</f>
        <v/>
      </c>
      <c r="AR623">
        <f>IFERROR(INDEX(PP_Grid[#Data],$DD623,42),0)</f>
        <v/>
      </c>
      <c r="AS623">
        <f>IFERROR(INDEX(PP_Grid[#Data],$DD623,43),0)</f>
        <v/>
      </c>
      <c r="AT623">
        <f>IFERROR(INDEX(PP_Grid[#Data],$DD623,44),0)</f>
        <v/>
      </c>
      <c r="AU623">
        <f>IFERROR(INDEX(PP_Grid[#Data],$DD623,45),0)</f>
        <v/>
      </c>
      <c r="AV623">
        <f>IFERROR(INDEX(PP_Grid[#Data],$DD623,46),0)</f>
        <v/>
      </c>
      <c r="AW623">
        <f>IFERROR(INDEX(PP_Grid[#Data],$DD623,47),0)</f>
        <v/>
      </c>
      <c r="AX623">
        <f>IFERROR(INDEX(PP_Grid[#Data],$DD623,48),0)</f>
        <v/>
      </c>
      <c r="AY623">
        <f>IFERROR(INDEX(PP_Grid[#Data],$DD623,49),0)</f>
        <v/>
      </c>
      <c r="AZ623">
        <f>IFERROR(INDEX(PP_Grid[#Data],$DD623,50),0)</f>
        <v/>
      </c>
      <c r="BA623">
        <f>IFERROR(INDEX(PP_Grid[#Data],$DD623,51),0)</f>
        <v/>
      </c>
      <c r="BB623">
        <f>IFERROR(INDEX(PP_Grid[#Data],$DD623,52),0)</f>
        <v/>
      </c>
      <c r="BC623">
        <f>IFERROR(INDEX(PP_Grid[#Data],$DD623,53),0)</f>
        <v/>
      </c>
      <c r="BD623">
        <f>IFERROR(INDEX(PP_Grid[#Data],$DD623,54),0)</f>
        <v/>
      </c>
      <c r="BE623">
        <f>IFERROR(INDEX(PP_Grid[#Data],$DD623,55),0)</f>
        <v/>
      </c>
      <c r="BF623">
        <f>IFERROR(INDEX(PP_Grid[#Data],$DD623,56),0)</f>
        <v/>
      </c>
      <c r="BG623">
        <f>IFERROR(INDEX(PP_Grid[#Data],$DD623,57),0)</f>
        <v/>
      </c>
      <c r="BH623">
        <f>IFERROR(INDEX(PP_Grid[#Data],$DD623,58),0)</f>
        <v/>
      </c>
      <c r="BI623">
        <f>IFERROR(INDEX(PP_Grid[#Data],$DD623,59),0)</f>
        <v/>
      </c>
      <c r="BJ623">
        <f>IFERROR(INDEX(PP_Grid[#Data],$DD623,60),0)</f>
        <v/>
      </c>
      <c r="BK623">
        <f>IFERROR(INDEX(PP_Grid[#Data],$DD623,61),0)</f>
        <v/>
      </c>
      <c r="BL623">
        <f>IFERROR(INDEX(PP_Grid[#Data],$DD623,62),0)</f>
        <v/>
      </c>
      <c r="BM623">
        <f>IFERROR(INDEX(PP_Grid[#Data],$DD623,63),0)</f>
        <v/>
      </c>
      <c r="BN623">
        <f>IFERROR(INDEX(PP_Grid[#Data],$DD623,64),0)</f>
        <v/>
      </c>
      <c r="BO623">
        <f>IFERROR(INDEX(PP_Grid[#Data],$DD623,65),0)</f>
        <v/>
      </c>
      <c r="BP623">
        <f>IFERROR(INDEX(PP_Grid[#Data],$DD623,66),0)</f>
        <v/>
      </c>
      <c r="BQ623">
        <f>IFERROR(INDEX(PP_Grid[#Data],$DD623,67),0)</f>
        <v/>
      </c>
      <c r="BR623">
        <f>IFERROR(INDEX(PP_Grid[#Data],$DD623,68),0)</f>
        <v/>
      </c>
      <c r="BS623">
        <f>IFERROR(INDEX(PP_Grid[#Data],$DD623,69),0)</f>
        <v/>
      </c>
      <c r="BT623">
        <f>IFERROR(INDEX(PP_Grid[#Data],$DD623,70),0)</f>
        <v/>
      </c>
      <c r="BU623">
        <f>IFERROR(INDEX(PP_Grid[#Data],$DD623,71),0)</f>
        <v/>
      </c>
      <c r="BV623">
        <f>IFERROR(INDEX(PP_Grid[#Data],$DD623,72),0)</f>
        <v/>
      </c>
      <c r="BW623">
        <f>IFERROR(INDEX(PP_Grid[#Data],$DD623,73),0)</f>
        <v/>
      </c>
      <c r="BX623">
        <f>IFERROR(INDEX(PP_Grid[#Data],$DD623,74),0)</f>
        <v/>
      </c>
      <c r="BY623">
        <f>IFERROR(INDEX(PP_Grid[#Data],$DD623,75),0)</f>
        <v/>
      </c>
      <c r="BZ623">
        <f>IFERROR(INDEX(PP_Grid[#Data],$DD623,76),0)</f>
        <v/>
      </c>
      <c r="CA623">
        <f>IFERROR(INDEX(PP_Grid[#Data],$DD623,77),0)</f>
        <v/>
      </c>
      <c r="CB623">
        <f>IFERROR(INDEX(PP_Grid[#Data],$DD623,78),0)</f>
        <v/>
      </c>
      <c r="CC623">
        <f>IFERROR(INDEX(PP_Grid[#Data],$DD623,79),0)</f>
        <v/>
      </c>
      <c r="CD623">
        <f>IFERROR(INDEX(PP_Grid[#Data],$DD623,80),0)</f>
        <v/>
      </c>
      <c r="CE623">
        <f>IFERROR(INDEX(PP_Grid[#Data],$DD623,81),0)</f>
        <v/>
      </c>
      <c r="CF623">
        <f>IFERROR(INDEX(PP_Grid[#Data],$DD623,82),0)</f>
        <v/>
      </c>
      <c r="CG623">
        <f>IFERROR(INDEX(PP_Grid[#Data],$DD623,83),0)</f>
        <v/>
      </c>
      <c r="CH623">
        <f>IFERROR(INDEX(PP_Grid[#Data],$DD623,84),0)</f>
        <v/>
      </c>
      <c r="CI623">
        <f>IFERROR(INDEX(PP_Grid[#Data],$DD623,85),0)</f>
        <v/>
      </c>
      <c r="CJ623">
        <f>IFERROR(INDEX(PP_Grid[#Data],$DD623,86),0)</f>
        <v/>
      </c>
      <c r="CK623">
        <f>IFERROR(INDEX(PP_Grid[#Data],$DD623,87),0)</f>
        <v/>
      </c>
      <c r="CL623">
        <f>IFERROR(INDEX(PP_Grid[#Data],$DD623,88),0)</f>
        <v/>
      </c>
      <c r="CM623">
        <f>IFERROR(INDEX(PP_Grid[#Data],$DD623,89),0)</f>
        <v/>
      </c>
      <c r="CN623">
        <f>IFERROR(INDEX(PP_Grid[#Data],$DD623,90),0)</f>
        <v/>
      </c>
      <c r="CO623">
        <f>IFERROR(INDEX(PP_Grid[#Data],$DD623,91),0)</f>
        <v/>
      </c>
      <c r="CP623">
        <f>IFERROR(INDEX(PP_Grid[#Data],$DD623,92),0)</f>
        <v/>
      </c>
      <c r="CQ623">
        <f>IFERROR(INDEX(PP_Grid[#Data],$DD623,93),0)</f>
        <v/>
      </c>
      <c r="CR623">
        <f>IFERROR(INDEX(PP_Grid[#Data],$DD623,94),0)</f>
        <v/>
      </c>
      <c r="CS623">
        <f>IFERROR(INDEX(PP_Grid[#Data],$DD623,95),0)</f>
        <v/>
      </c>
      <c r="CT623">
        <f>IFERROR(INDEX(PP_Grid[#Data],$DD623,96),0)</f>
        <v/>
      </c>
      <c r="CU623">
        <f>IFERROR(INDEX(PP_Grid[#Data],$DD623,97),0)</f>
        <v/>
      </c>
      <c r="CV623">
        <f>IFERROR(INDEX(PP_Grid[#Data],$DD623,98),0)</f>
        <v/>
      </c>
      <c r="CW623">
        <f>IFERROR(INDEX(PP_Grid[#Data],$DD623,99),0)</f>
        <v/>
      </c>
      <c r="CX623">
        <f>IFERROR(INDEX(PP_Grid[#Data],$DD623,100),0)</f>
        <v/>
      </c>
      <c r="CY623">
        <f>IFERROR(INDEX(PP_Grid[#Data],$DD623,101),0)</f>
        <v/>
      </c>
      <c r="CZ623">
        <f>IFERROR(INDEX(PP_Grid[#Data],$DD623,102),0)</f>
        <v/>
      </c>
      <c r="DA623">
        <f>IFERROR(INDEX(PP_Grid[#Data],$DD623,103),0)</f>
        <v/>
      </c>
      <c r="DB623">
        <f>IFERROR(INDEX(PP_Grid[#Data],$DD623,104),0)</f>
        <v/>
      </c>
      <c r="DC623">
        <f>IFERROR(INDEX(PP_Grid[#Data],$DD623,105),0)</f>
        <v/>
      </c>
      <c r="DD623" s="7">
        <f>IFERROR(MATCH($B623,PP_Grid[Intermediate],0),99999)</f>
        <v/>
      </c>
    </row>
    <row r="624">
      <c r="B624" t="inlineStr">
        <is>
          <t>使用量(kg)</t>
        </is>
      </c>
      <c r="C624">
        <f>SUMIFS(M_BOM[RM_Qty_Per_Batch],M_BOM[Intermediate],$B623,M_BOM[Part Name],$A580)</f>
        <v/>
      </c>
      <c r="D624">
        <f>$C624*D623</f>
        <v/>
      </c>
      <c r="E624">
        <f>$C624*E623</f>
        <v/>
      </c>
      <c r="F624">
        <f>$C624*F623</f>
        <v/>
      </c>
      <c r="G624">
        <f>$C624*G623</f>
        <v/>
      </c>
      <c r="H624">
        <f>$C624*H623</f>
        <v/>
      </c>
      <c r="I624">
        <f>$C624*I623</f>
        <v/>
      </c>
      <c r="J624">
        <f>$C624*J623</f>
        <v/>
      </c>
      <c r="K624">
        <f>$C624*K623</f>
        <v/>
      </c>
      <c r="L624">
        <f>$C624*L623</f>
        <v/>
      </c>
      <c r="M624">
        <f>$C624*M623</f>
        <v/>
      </c>
      <c r="N624">
        <f>$C624*N623</f>
        <v/>
      </c>
      <c r="O624">
        <f>$C624*O623</f>
        <v/>
      </c>
      <c r="P624">
        <f>$C624*P623</f>
        <v/>
      </c>
      <c r="Q624">
        <f>$C624*Q623</f>
        <v/>
      </c>
      <c r="R624">
        <f>$C624*R623</f>
        <v/>
      </c>
      <c r="S624">
        <f>$C624*S623</f>
        <v/>
      </c>
      <c r="T624">
        <f>$C624*T623</f>
        <v/>
      </c>
      <c r="U624">
        <f>$C624*U623</f>
        <v/>
      </c>
      <c r="V624">
        <f>$C624*V623</f>
        <v/>
      </c>
      <c r="W624">
        <f>$C624*W623</f>
        <v/>
      </c>
      <c r="X624">
        <f>$C624*X623</f>
        <v/>
      </c>
      <c r="Y624">
        <f>$C624*Y623</f>
        <v/>
      </c>
      <c r="Z624">
        <f>$C624*Z623</f>
        <v/>
      </c>
      <c r="AA624">
        <f>$C624*AA623</f>
        <v/>
      </c>
      <c r="AB624">
        <f>$C624*AB623</f>
        <v/>
      </c>
      <c r="AC624">
        <f>$C624*AC623</f>
        <v/>
      </c>
      <c r="AD624">
        <f>$C624*AD623</f>
        <v/>
      </c>
      <c r="AE624">
        <f>$C624*AE623</f>
        <v/>
      </c>
      <c r="AF624">
        <f>$C624*AF623</f>
        <v/>
      </c>
      <c r="AG624">
        <f>$C624*AG623</f>
        <v/>
      </c>
      <c r="AH624">
        <f>$C624*AH623</f>
        <v/>
      </c>
      <c r="AI624">
        <f>$C624*AI623</f>
        <v/>
      </c>
      <c r="AJ624">
        <f>$C624*AJ623</f>
        <v/>
      </c>
      <c r="AK624">
        <f>$C624*AK623</f>
        <v/>
      </c>
      <c r="AL624">
        <f>$C624*AL623</f>
        <v/>
      </c>
      <c r="AM624">
        <f>$C624*AM623</f>
        <v/>
      </c>
      <c r="AN624">
        <f>$C624*AN623</f>
        <v/>
      </c>
      <c r="AO624">
        <f>$C624*AO623</f>
        <v/>
      </c>
      <c r="AP624">
        <f>$C624*AP623</f>
        <v/>
      </c>
      <c r="AQ624">
        <f>$C624*AQ623</f>
        <v/>
      </c>
      <c r="AR624">
        <f>$C624*AR623</f>
        <v/>
      </c>
      <c r="AS624">
        <f>$C624*AS623</f>
        <v/>
      </c>
      <c r="AT624">
        <f>$C624*AT623</f>
        <v/>
      </c>
      <c r="AU624">
        <f>$C624*AU623</f>
        <v/>
      </c>
      <c r="AV624">
        <f>$C624*AV623</f>
        <v/>
      </c>
      <c r="AW624">
        <f>$C624*AW623</f>
        <v/>
      </c>
      <c r="AX624">
        <f>$C624*AX623</f>
        <v/>
      </c>
      <c r="AY624">
        <f>$C624*AY623</f>
        <v/>
      </c>
      <c r="AZ624">
        <f>$C624*AZ623</f>
        <v/>
      </c>
      <c r="BA624">
        <f>$C624*BA623</f>
        <v/>
      </c>
      <c r="BB624">
        <f>$C624*BB623</f>
        <v/>
      </c>
      <c r="BC624">
        <f>$C624*BC623</f>
        <v/>
      </c>
      <c r="BD624">
        <f>$C624*BD623</f>
        <v/>
      </c>
      <c r="BE624">
        <f>$C624*BE623</f>
        <v/>
      </c>
      <c r="BF624">
        <f>$C624*BF623</f>
        <v/>
      </c>
      <c r="BG624">
        <f>$C624*BG623</f>
        <v/>
      </c>
      <c r="BH624">
        <f>$C624*BH623</f>
        <v/>
      </c>
      <c r="BI624">
        <f>$C624*BI623</f>
        <v/>
      </c>
      <c r="BJ624">
        <f>$C624*BJ623</f>
        <v/>
      </c>
      <c r="BK624">
        <f>$C624*BK623</f>
        <v/>
      </c>
      <c r="BL624">
        <f>$C624*BL623</f>
        <v/>
      </c>
      <c r="BM624">
        <f>$C624*BM623</f>
        <v/>
      </c>
      <c r="BN624">
        <f>$C624*BN623</f>
        <v/>
      </c>
      <c r="BO624">
        <f>$C624*BO623</f>
        <v/>
      </c>
      <c r="BP624">
        <f>$C624*BP623</f>
        <v/>
      </c>
      <c r="BQ624">
        <f>$C624*BQ623</f>
        <v/>
      </c>
      <c r="BR624">
        <f>$C624*BR623</f>
        <v/>
      </c>
      <c r="BS624">
        <f>$C624*BS623</f>
        <v/>
      </c>
      <c r="BT624">
        <f>$C624*BT623</f>
        <v/>
      </c>
      <c r="BU624">
        <f>$C624*BU623</f>
        <v/>
      </c>
      <c r="BV624">
        <f>$C624*BV623</f>
        <v/>
      </c>
      <c r="BW624">
        <f>$C624*BW623</f>
        <v/>
      </c>
      <c r="BX624">
        <f>$C624*BX623</f>
        <v/>
      </c>
      <c r="BY624">
        <f>$C624*BY623</f>
        <v/>
      </c>
      <c r="BZ624">
        <f>$C624*BZ623</f>
        <v/>
      </c>
      <c r="CA624">
        <f>$C624*CA623</f>
        <v/>
      </c>
      <c r="CB624">
        <f>$C624*CB623</f>
        <v/>
      </c>
      <c r="CC624">
        <f>$C624*CC623</f>
        <v/>
      </c>
      <c r="CD624">
        <f>$C624*CD623</f>
        <v/>
      </c>
      <c r="CE624">
        <f>$C624*CE623</f>
        <v/>
      </c>
      <c r="CF624">
        <f>$C624*CF623</f>
        <v/>
      </c>
      <c r="CG624">
        <f>$C624*CG623</f>
        <v/>
      </c>
      <c r="CH624">
        <f>$C624*CH623</f>
        <v/>
      </c>
      <c r="CI624">
        <f>$C624*CI623</f>
        <v/>
      </c>
      <c r="CJ624">
        <f>$C624*CJ623</f>
        <v/>
      </c>
      <c r="CK624">
        <f>$C624*CK623</f>
        <v/>
      </c>
      <c r="CL624">
        <f>$C624*CL623</f>
        <v/>
      </c>
      <c r="CM624">
        <f>$C624*CM623</f>
        <v/>
      </c>
      <c r="CN624">
        <f>$C624*CN623</f>
        <v/>
      </c>
      <c r="CO624">
        <f>$C624*CO623</f>
        <v/>
      </c>
      <c r="CP624">
        <f>$C624*CP623</f>
        <v/>
      </c>
      <c r="CQ624">
        <f>$C624*CQ623</f>
        <v/>
      </c>
      <c r="CR624">
        <f>$C624*CR623</f>
        <v/>
      </c>
      <c r="CS624">
        <f>$C624*CS623</f>
        <v/>
      </c>
      <c r="CT624">
        <f>$C624*CT623</f>
        <v/>
      </c>
      <c r="CU624">
        <f>$C624*CU623</f>
        <v/>
      </c>
      <c r="CV624">
        <f>$C624*CV623</f>
        <v/>
      </c>
      <c r="CW624">
        <f>$C624*CW623</f>
        <v/>
      </c>
      <c r="CX624">
        <f>$C624*CX623</f>
        <v/>
      </c>
      <c r="CY624">
        <f>$C624*CY623</f>
        <v/>
      </c>
      <c r="CZ624">
        <f>$C624*CZ623</f>
        <v/>
      </c>
      <c r="DA624">
        <f>$C624*DA623</f>
        <v/>
      </c>
      <c r="DB624">
        <f>$C624*DB623</f>
        <v/>
      </c>
      <c r="DC624">
        <f>$C624*DC623</f>
        <v/>
      </c>
    </row>
    <row r="625">
      <c r="B625" t="inlineStr">
        <is>
          <t>TPP-609</t>
        </is>
      </c>
      <c r="C625" t="inlineStr">
        <is>
          <t>No. of batches</t>
        </is>
      </c>
      <c r="D625">
        <f>IFERROR(INDEX(PP_Grid[#Data],$DD625,2),0)</f>
        <v/>
      </c>
      <c r="E625">
        <f>IFERROR(INDEX(PP_Grid[#Data],$DD625,3),0)</f>
        <v/>
      </c>
      <c r="F625">
        <f>IFERROR(INDEX(PP_Grid[#Data],$DD625,4),0)</f>
        <v/>
      </c>
      <c r="G625">
        <f>IFERROR(INDEX(PP_Grid[#Data],$DD625,5),0)</f>
        <v/>
      </c>
      <c r="H625">
        <f>IFERROR(INDEX(PP_Grid[#Data],$DD625,6),0)</f>
        <v/>
      </c>
      <c r="I625">
        <f>IFERROR(INDEX(PP_Grid[#Data],$DD625,7),0)</f>
        <v/>
      </c>
      <c r="J625">
        <f>IFERROR(INDEX(PP_Grid[#Data],$DD625,8),0)</f>
        <v/>
      </c>
      <c r="K625">
        <f>IFERROR(INDEX(PP_Grid[#Data],$DD625,9),0)</f>
        <v/>
      </c>
      <c r="L625">
        <f>IFERROR(INDEX(PP_Grid[#Data],$DD625,10),0)</f>
        <v/>
      </c>
      <c r="M625">
        <f>IFERROR(INDEX(PP_Grid[#Data],$DD625,11),0)</f>
        <v/>
      </c>
      <c r="N625">
        <f>IFERROR(INDEX(PP_Grid[#Data],$DD625,12),0)</f>
        <v/>
      </c>
      <c r="O625">
        <f>IFERROR(INDEX(PP_Grid[#Data],$DD625,13),0)</f>
        <v/>
      </c>
      <c r="P625">
        <f>IFERROR(INDEX(PP_Grid[#Data],$DD625,14),0)</f>
        <v/>
      </c>
      <c r="Q625">
        <f>IFERROR(INDEX(PP_Grid[#Data],$DD625,15),0)</f>
        <v/>
      </c>
      <c r="R625">
        <f>IFERROR(INDEX(PP_Grid[#Data],$DD625,16),0)</f>
        <v/>
      </c>
      <c r="S625">
        <f>IFERROR(INDEX(PP_Grid[#Data],$DD625,17),0)</f>
        <v/>
      </c>
      <c r="T625">
        <f>IFERROR(INDEX(PP_Grid[#Data],$DD625,18),0)</f>
        <v/>
      </c>
      <c r="U625">
        <f>IFERROR(INDEX(PP_Grid[#Data],$DD625,19),0)</f>
        <v/>
      </c>
      <c r="V625">
        <f>IFERROR(INDEX(PP_Grid[#Data],$DD625,20),0)</f>
        <v/>
      </c>
      <c r="W625">
        <f>IFERROR(INDEX(PP_Grid[#Data],$DD625,21),0)</f>
        <v/>
      </c>
      <c r="X625">
        <f>IFERROR(INDEX(PP_Grid[#Data],$DD625,22),0)</f>
        <v/>
      </c>
      <c r="Y625">
        <f>IFERROR(INDEX(PP_Grid[#Data],$DD625,23),0)</f>
        <v/>
      </c>
      <c r="Z625">
        <f>IFERROR(INDEX(PP_Grid[#Data],$DD625,24),0)</f>
        <v/>
      </c>
      <c r="AA625">
        <f>IFERROR(INDEX(PP_Grid[#Data],$DD625,25),0)</f>
        <v/>
      </c>
      <c r="AB625">
        <f>IFERROR(INDEX(PP_Grid[#Data],$DD625,26),0)</f>
        <v/>
      </c>
      <c r="AC625">
        <f>IFERROR(INDEX(PP_Grid[#Data],$DD625,27),0)</f>
        <v/>
      </c>
      <c r="AD625">
        <f>IFERROR(INDEX(PP_Grid[#Data],$DD625,28),0)</f>
        <v/>
      </c>
      <c r="AE625">
        <f>IFERROR(INDEX(PP_Grid[#Data],$DD625,29),0)</f>
        <v/>
      </c>
      <c r="AF625">
        <f>IFERROR(INDEX(PP_Grid[#Data],$DD625,30),0)</f>
        <v/>
      </c>
      <c r="AG625">
        <f>IFERROR(INDEX(PP_Grid[#Data],$DD625,31),0)</f>
        <v/>
      </c>
      <c r="AH625">
        <f>IFERROR(INDEX(PP_Grid[#Data],$DD625,32),0)</f>
        <v/>
      </c>
      <c r="AI625">
        <f>IFERROR(INDEX(PP_Grid[#Data],$DD625,33),0)</f>
        <v/>
      </c>
      <c r="AJ625">
        <f>IFERROR(INDEX(PP_Grid[#Data],$DD625,34),0)</f>
        <v/>
      </c>
      <c r="AK625">
        <f>IFERROR(INDEX(PP_Grid[#Data],$DD625,35),0)</f>
        <v/>
      </c>
      <c r="AL625">
        <f>IFERROR(INDEX(PP_Grid[#Data],$DD625,36),0)</f>
        <v/>
      </c>
      <c r="AM625">
        <f>IFERROR(INDEX(PP_Grid[#Data],$DD625,37),0)</f>
        <v/>
      </c>
      <c r="AN625">
        <f>IFERROR(INDEX(PP_Grid[#Data],$DD625,38),0)</f>
        <v/>
      </c>
      <c r="AO625">
        <f>IFERROR(INDEX(PP_Grid[#Data],$DD625,39),0)</f>
        <v/>
      </c>
      <c r="AP625">
        <f>IFERROR(INDEX(PP_Grid[#Data],$DD625,40),0)</f>
        <v/>
      </c>
      <c r="AQ625">
        <f>IFERROR(INDEX(PP_Grid[#Data],$DD625,41),0)</f>
        <v/>
      </c>
      <c r="AR625">
        <f>IFERROR(INDEX(PP_Grid[#Data],$DD625,42),0)</f>
        <v/>
      </c>
      <c r="AS625">
        <f>IFERROR(INDEX(PP_Grid[#Data],$DD625,43),0)</f>
        <v/>
      </c>
      <c r="AT625">
        <f>IFERROR(INDEX(PP_Grid[#Data],$DD625,44),0)</f>
        <v/>
      </c>
      <c r="AU625">
        <f>IFERROR(INDEX(PP_Grid[#Data],$DD625,45),0)</f>
        <v/>
      </c>
      <c r="AV625">
        <f>IFERROR(INDEX(PP_Grid[#Data],$DD625,46),0)</f>
        <v/>
      </c>
      <c r="AW625">
        <f>IFERROR(INDEX(PP_Grid[#Data],$DD625,47),0)</f>
        <v/>
      </c>
      <c r="AX625">
        <f>IFERROR(INDEX(PP_Grid[#Data],$DD625,48),0)</f>
        <v/>
      </c>
      <c r="AY625">
        <f>IFERROR(INDEX(PP_Grid[#Data],$DD625,49),0)</f>
        <v/>
      </c>
      <c r="AZ625">
        <f>IFERROR(INDEX(PP_Grid[#Data],$DD625,50),0)</f>
        <v/>
      </c>
      <c r="BA625">
        <f>IFERROR(INDEX(PP_Grid[#Data],$DD625,51),0)</f>
        <v/>
      </c>
      <c r="BB625">
        <f>IFERROR(INDEX(PP_Grid[#Data],$DD625,52),0)</f>
        <v/>
      </c>
      <c r="BC625">
        <f>IFERROR(INDEX(PP_Grid[#Data],$DD625,53),0)</f>
        <v/>
      </c>
      <c r="BD625">
        <f>IFERROR(INDEX(PP_Grid[#Data],$DD625,54),0)</f>
        <v/>
      </c>
      <c r="BE625">
        <f>IFERROR(INDEX(PP_Grid[#Data],$DD625,55),0)</f>
        <v/>
      </c>
      <c r="BF625">
        <f>IFERROR(INDEX(PP_Grid[#Data],$DD625,56),0)</f>
        <v/>
      </c>
      <c r="BG625">
        <f>IFERROR(INDEX(PP_Grid[#Data],$DD625,57),0)</f>
        <v/>
      </c>
      <c r="BH625">
        <f>IFERROR(INDEX(PP_Grid[#Data],$DD625,58),0)</f>
        <v/>
      </c>
      <c r="BI625">
        <f>IFERROR(INDEX(PP_Grid[#Data],$DD625,59),0)</f>
        <v/>
      </c>
      <c r="BJ625">
        <f>IFERROR(INDEX(PP_Grid[#Data],$DD625,60),0)</f>
        <v/>
      </c>
      <c r="BK625">
        <f>IFERROR(INDEX(PP_Grid[#Data],$DD625,61),0)</f>
        <v/>
      </c>
      <c r="BL625">
        <f>IFERROR(INDEX(PP_Grid[#Data],$DD625,62),0)</f>
        <v/>
      </c>
      <c r="BM625">
        <f>IFERROR(INDEX(PP_Grid[#Data],$DD625,63),0)</f>
        <v/>
      </c>
      <c r="BN625">
        <f>IFERROR(INDEX(PP_Grid[#Data],$DD625,64),0)</f>
        <v/>
      </c>
      <c r="BO625">
        <f>IFERROR(INDEX(PP_Grid[#Data],$DD625,65),0)</f>
        <v/>
      </c>
      <c r="BP625">
        <f>IFERROR(INDEX(PP_Grid[#Data],$DD625,66),0)</f>
        <v/>
      </c>
      <c r="BQ625">
        <f>IFERROR(INDEX(PP_Grid[#Data],$DD625,67),0)</f>
        <v/>
      </c>
      <c r="BR625">
        <f>IFERROR(INDEX(PP_Grid[#Data],$DD625,68),0)</f>
        <v/>
      </c>
      <c r="BS625">
        <f>IFERROR(INDEX(PP_Grid[#Data],$DD625,69),0)</f>
        <v/>
      </c>
      <c r="BT625">
        <f>IFERROR(INDEX(PP_Grid[#Data],$DD625,70),0)</f>
        <v/>
      </c>
      <c r="BU625">
        <f>IFERROR(INDEX(PP_Grid[#Data],$DD625,71),0)</f>
        <v/>
      </c>
      <c r="BV625">
        <f>IFERROR(INDEX(PP_Grid[#Data],$DD625,72),0)</f>
        <v/>
      </c>
      <c r="BW625">
        <f>IFERROR(INDEX(PP_Grid[#Data],$DD625,73),0)</f>
        <v/>
      </c>
      <c r="BX625">
        <f>IFERROR(INDEX(PP_Grid[#Data],$DD625,74),0)</f>
        <v/>
      </c>
      <c r="BY625">
        <f>IFERROR(INDEX(PP_Grid[#Data],$DD625,75),0)</f>
        <v/>
      </c>
      <c r="BZ625">
        <f>IFERROR(INDEX(PP_Grid[#Data],$DD625,76),0)</f>
        <v/>
      </c>
      <c r="CA625">
        <f>IFERROR(INDEX(PP_Grid[#Data],$DD625,77),0)</f>
        <v/>
      </c>
      <c r="CB625">
        <f>IFERROR(INDEX(PP_Grid[#Data],$DD625,78),0)</f>
        <v/>
      </c>
      <c r="CC625">
        <f>IFERROR(INDEX(PP_Grid[#Data],$DD625,79),0)</f>
        <v/>
      </c>
      <c r="CD625">
        <f>IFERROR(INDEX(PP_Grid[#Data],$DD625,80),0)</f>
        <v/>
      </c>
      <c r="CE625">
        <f>IFERROR(INDEX(PP_Grid[#Data],$DD625,81),0)</f>
        <v/>
      </c>
      <c r="CF625">
        <f>IFERROR(INDEX(PP_Grid[#Data],$DD625,82),0)</f>
        <v/>
      </c>
      <c r="CG625">
        <f>IFERROR(INDEX(PP_Grid[#Data],$DD625,83),0)</f>
        <v/>
      </c>
      <c r="CH625">
        <f>IFERROR(INDEX(PP_Grid[#Data],$DD625,84),0)</f>
        <v/>
      </c>
      <c r="CI625">
        <f>IFERROR(INDEX(PP_Grid[#Data],$DD625,85),0)</f>
        <v/>
      </c>
      <c r="CJ625">
        <f>IFERROR(INDEX(PP_Grid[#Data],$DD625,86),0)</f>
        <v/>
      </c>
      <c r="CK625">
        <f>IFERROR(INDEX(PP_Grid[#Data],$DD625,87),0)</f>
        <v/>
      </c>
      <c r="CL625">
        <f>IFERROR(INDEX(PP_Grid[#Data],$DD625,88),0)</f>
        <v/>
      </c>
      <c r="CM625">
        <f>IFERROR(INDEX(PP_Grid[#Data],$DD625,89),0)</f>
        <v/>
      </c>
      <c r="CN625">
        <f>IFERROR(INDEX(PP_Grid[#Data],$DD625,90),0)</f>
        <v/>
      </c>
      <c r="CO625">
        <f>IFERROR(INDEX(PP_Grid[#Data],$DD625,91),0)</f>
        <v/>
      </c>
      <c r="CP625">
        <f>IFERROR(INDEX(PP_Grid[#Data],$DD625,92),0)</f>
        <v/>
      </c>
      <c r="CQ625">
        <f>IFERROR(INDEX(PP_Grid[#Data],$DD625,93),0)</f>
        <v/>
      </c>
      <c r="CR625">
        <f>IFERROR(INDEX(PP_Grid[#Data],$DD625,94),0)</f>
        <v/>
      </c>
      <c r="CS625">
        <f>IFERROR(INDEX(PP_Grid[#Data],$DD625,95),0)</f>
        <v/>
      </c>
      <c r="CT625">
        <f>IFERROR(INDEX(PP_Grid[#Data],$DD625,96),0)</f>
        <v/>
      </c>
      <c r="CU625">
        <f>IFERROR(INDEX(PP_Grid[#Data],$DD625,97),0)</f>
        <v/>
      </c>
      <c r="CV625">
        <f>IFERROR(INDEX(PP_Grid[#Data],$DD625,98),0)</f>
        <v/>
      </c>
      <c r="CW625">
        <f>IFERROR(INDEX(PP_Grid[#Data],$DD625,99),0)</f>
        <v/>
      </c>
      <c r="CX625">
        <f>IFERROR(INDEX(PP_Grid[#Data],$DD625,100),0)</f>
        <v/>
      </c>
      <c r="CY625">
        <f>IFERROR(INDEX(PP_Grid[#Data],$DD625,101),0)</f>
        <v/>
      </c>
      <c r="CZ625">
        <f>IFERROR(INDEX(PP_Grid[#Data],$DD625,102),0)</f>
        <v/>
      </c>
      <c r="DA625">
        <f>IFERROR(INDEX(PP_Grid[#Data],$DD625,103),0)</f>
        <v/>
      </c>
      <c r="DB625">
        <f>IFERROR(INDEX(PP_Grid[#Data],$DD625,104),0)</f>
        <v/>
      </c>
      <c r="DC625">
        <f>IFERROR(INDEX(PP_Grid[#Data],$DD625,105),0)</f>
        <v/>
      </c>
      <c r="DD625" s="7">
        <f>IFERROR(MATCH($B625,PP_Grid[Intermediate],0),99999)</f>
        <v/>
      </c>
    </row>
    <row r="626">
      <c r="B626" t="inlineStr">
        <is>
          <t>使用量(kg)</t>
        </is>
      </c>
      <c r="C626">
        <f>SUMIFS(M_BOM[RM_Qty_Per_Batch],M_BOM[Intermediate],$B625,M_BOM[Part Name],$A580)</f>
        <v/>
      </c>
      <c r="D626">
        <f>$C626*D625</f>
        <v/>
      </c>
      <c r="E626">
        <f>$C626*E625</f>
        <v/>
      </c>
      <c r="F626">
        <f>$C626*F625</f>
        <v/>
      </c>
      <c r="G626">
        <f>$C626*G625</f>
        <v/>
      </c>
      <c r="H626">
        <f>$C626*H625</f>
        <v/>
      </c>
      <c r="I626">
        <f>$C626*I625</f>
        <v/>
      </c>
      <c r="J626">
        <f>$C626*J625</f>
        <v/>
      </c>
      <c r="K626">
        <f>$C626*K625</f>
        <v/>
      </c>
      <c r="L626">
        <f>$C626*L625</f>
        <v/>
      </c>
      <c r="M626">
        <f>$C626*M625</f>
        <v/>
      </c>
      <c r="N626">
        <f>$C626*N625</f>
        <v/>
      </c>
      <c r="O626">
        <f>$C626*O625</f>
        <v/>
      </c>
      <c r="P626">
        <f>$C626*P625</f>
        <v/>
      </c>
      <c r="Q626">
        <f>$C626*Q625</f>
        <v/>
      </c>
      <c r="R626">
        <f>$C626*R625</f>
        <v/>
      </c>
      <c r="S626">
        <f>$C626*S625</f>
        <v/>
      </c>
      <c r="T626">
        <f>$C626*T625</f>
        <v/>
      </c>
      <c r="U626">
        <f>$C626*U625</f>
        <v/>
      </c>
      <c r="V626">
        <f>$C626*V625</f>
        <v/>
      </c>
      <c r="W626">
        <f>$C626*W625</f>
        <v/>
      </c>
      <c r="X626">
        <f>$C626*X625</f>
        <v/>
      </c>
      <c r="Y626">
        <f>$C626*Y625</f>
        <v/>
      </c>
      <c r="Z626">
        <f>$C626*Z625</f>
        <v/>
      </c>
      <c r="AA626">
        <f>$C626*AA625</f>
        <v/>
      </c>
      <c r="AB626">
        <f>$C626*AB625</f>
        <v/>
      </c>
      <c r="AC626">
        <f>$C626*AC625</f>
        <v/>
      </c>
      <c r="AD626">
        <f>$C626*AD625</f>
        <v/>
      </c>
      <c r="AE626">
        <f>$C626*AE625</f>
        <v/>
      </c>
      <c r="AF626">
        <f>$C626*AF625</f>
        <v/>
      </c>
      <c r="AG626">
        <f>$C626*AG625</f>
        <v/>
      </c>
      <c r="AH626">
        <f>$C626*AH625</f>
        <v/>
      </c>
      <c r="AI626">
        <f>$C626*AI625</f>
        <v/>
      </c>
      <c r="AJ626">
        <f>$C626*AJ625</f>
        <v/>
      </c>
      <c r="AK626">
        <f>$C626*AK625</f>
        <v/>
      </c>
      <c r="AL626">
        <f>$C626*AL625</f>
        <v/>
      </c>
      <c r="AM626">
        <f>$C626*AM625</f>
        <v/>
      </c>
      <c r="AN626">
        <f>$C626*AN625</f>
        <v/>
      </c>
      <c r="AO626">
        <f>$C626*AO625</f>
        <v/>
      </c>
      <c r="AP626">
        <f>$C626*AP625</f>
        <v/>
      </c>
      <c r="AQ626">
        <f>$C626*AQ625</f>
        <v/>
      </c>
      <c r="AR626">
        <f>$C626*AR625</f>
        <v/>
      </c>
      <c r="AS626">
        <f>$C626*AS625</f>
        <v/>
      </c>
      <c r="AT626">
        <f>$C626*AT625</f>
        <v/>
      </c>
      <c r="AU626">
        <f>$C626*AU625</f>
        <v/>
      </c>
      <c r="AV626">
        <f>$C626*AV625</f>
        <v/>
      </c>
      <c r="AW626">
        <f>$C626*AW625</f>
        <v/>
      </c>
      <c r="AX626">
        <f>$C626*AX625</f>
        <v/>
      </c>
      <c r="AY626">
        <f>$C626*AY625</f>
        <v/>
      </c>
      <c r="AZ626">
        <f>$C626*AZ625</f>
        <v/>
      </c>
      <c r="BA626">
        <f>$C626*BA625</f>
        <v/>
      </c>
      <c r="BB626">
        <f>$C626*BB625</f>
        <v/>
      </c>
      <c r="BC626">
        <f>$C626*BC625</f>
        <v/>
      </c>
      <c r="BD626">
        <f>$C626*BD625</f>
        <v/>
      </c>
      <c r="BE626">
        <f>$C626*BE625</f>
        <v/>
      </c>
      <c r="BF626">
        <f>$C626*BF625</f>
        <v/>
      </c>
      <c r="BG626">
        <f>$C626*BG625</f>
        <v/>
      </c>
      <c r="BH626">
        <f>$C626*BH625</f>
        <v/>
      </c>
      <c r="BI626">
        <f>$C626*BI625</f>
        <v/>
      </c>
      <c r="BJ626">
        <f>$C626*BJ625</f>
        <v/>
      </c>
      <c r="BK626">
        <f>$C626*BK625</f>
        <v/>
      </c>
      <c r="BL626">
        <f>$C626*BL625</f>
        <v/>
      </c>
      <c r="BM626">
        <f>$C626*BM625</f>
        <v/>
      </c>
      <c r="BN626">
        <f>$C626*BN625</f>
        <v/>
      </c>
      <c r="BO626">
        <f>$C626*BO625</f>
        <v/>
      </c>
      <c r="BP626">
        <f>$C626*BP625</f>
        <v/>
      </c>
      <c r="BQ626">
        <f>$C626*BQ625</f>
        <v/>
      </c>
      <c r="BR626">
        <f>$C626*BR625</f>
        <v/>
      </c>
      <c r="BS626">
        <f>$C626*BS625</f>
        <v/>
      </c>
      <c r="BT626">
        <f>$C626*BT625</f>
        <v/>
      </c>
      <c r="BU626">
        <f>$C626*BU625</f>
        <v/>
      </c>
      <c r="BV626">
        <f>$C626*BV625</f>
        <v/>
      </c>
      <c r="BW626">
        <f>$C626*BW625</f>
        <v/>
      </c>
      <c r="BX626">
        <f>$C626*BX625</f>
        <v/>
      </c>
      <c r="BY626">
        <f>$C626*BY625</f>
        <v/>
      </c>
      <c r="BZ626">
        <f>$C626*BZ625</f>
        <v/>
      </c>
      <c r="CA626">
        <f>$C626*CA625</f>
        <v/>
      </c>
      <c r="CB626">
        <f>$C626*CB625</f>
        <v/>
      </c>
      <c r="CC626">
        <f>$C626*CC625</f>
        <v/>
      </c>
      <c r="CD626">
        <f>$C626*CD625</f>
        <v/>
      </c>
      <c r="CE626">
        <f>$C626*CE625</f>
        <v/>
      </c>
      <c r="CF626">
        <f>$C626*CF625</f>
        <v/>
      </c>
      <c r="CG626">
        <f>$C626*CG625</f>
        <v/>
      </c>
      <c r="CH626">
        <f>$C626*CH625</f>
        <v/>
      </c>
      <c r="CI626">
        <f>$C626*CI625</f>
        <v/>
      </c>
      <c r="CJ626">
        <f>$C626*CJ625</f>
        <v/>
      </c>
      <c r="CK626">
        <f>$C626*CK625</f>
        <v/>
      </c>
      <c r="CL626">
        <f>$C626*CL625</f>
        <v/>
      </c>
      <c r="CM626">
        <f>$C626*CM625</f>
        <v/>
      </c>
      <c r="CN626">
        <f>$C626*CN625</f>
        <v/>
      </c>
      <c r="CO626">
        <f>$C626*CO625</f>
        <v/>
      </c>
      <c r="CP626">
        <f>$C626*CP625</f>
        <v/>
      </c>
      <c r="CQ626">
        <f>$C626*CQ625</f>
        <v/>
      </c>
      <c r="CR626">
        <f>$C626*CR625</f>
        <v/>
      </c>
      <c r="CS626">
        <f>$C626*CS625</f>
        <v/>
      </c>
      <c r="CT626">
        <f>$C626*CT625</f>
        <v/>
      </c>
      <c r="CU626">
        <f>$C626*CU625</f>
        <v/>
      </c>
      <c r="CV626">
        <f>$C626*CV625</f>
        <v/>
      </c>
      <c r="CW626">
        <f>$C626*CW625</f>
        <v/>
      </c>
      <c r="CX626">
        <f>$C626*CX625</f>
        <v/>
      </c>
      <c r="CY626">
        <f>$C626*CY625</f>
        <v/>
      </c>
      <c r="CZ626">
        <f>$C626*CZ625</f>
        <v/>
      </c>
      <c r="DA626">
        <f>$C626*DA625</f>
        <v/>
      </c>
      <c r="DB626">
        <f>$C626*DB625</f>
        <v/>
      </c>
      <c r="DC626">
        <f>$C626*DC625</f>
        <v/>
      </c>
    </row>
    <row r="627">
      <c r="B627" t="inlineStr">
        <is>
          <t>TPP-911</t>
        </is>
      </c>
      <c r="C627" t="inlineStr">
        <is>
          <t>No. of batches</t>
        </is>
      </c>
      <c r="D627">
        <f>IFERROR(INDEX(PP_Grid[#Data],$DD627,2),0)</f>
        <v/>
      </c>
      <c r="E627">
        <f>IFERROR(INDEX(PP_Grid[#Data],$DD627,3),0)</f>
        <v/>
      </c>
      <c r="F627">
        <f>IFERROR(INDEX(PP_Grid[#Data],$DD627,4),0)</f>
        <v/>
      </c>
      <c r="G627">
        <f>IFERROR(INDEX(PP_Grid[#Data],$DD627,5),0)</f>
        <v/>
      </c>
      <c r="H627">
        <f>IFERROR(INDEX(PP_Grid[#Data],$DD627,6),0)</f>
        <v/>
      </c>
      <c r="I627">
        <f>IFERROR(INDEX(PP_Grid[#Data],$DD627,7),0)</f>
        <v/>
      </c>
      <c r="J627">
        <f>IFERROR(INDEX(PP_Grid[#Data],$DD627,8),0)</f>
        <v/>
      </c>
      <c r="K627">
        <f>IFERROR(INDEX(PP_Grid[#Data],$DD627,9),0)</f>
        <v/>
      </c>
      <c r="L627">
        <f>IFERROR(INDEX(PP_Grid[#Data],$DD627,10),0)</f>
        <v/>
      </c>
      <c r="M627">
        <f>IFERROR(INDEX(PP_Grid[#Data],$DD627,11),0)</f>
        <v/>
      </c>
      <c r="N627">
        <f>IFERROR(INDEX(PP_Grid[#Data],$DD627,12),0)</f>
        <v/>
      </c>
      <c r="O627">
        <f>IFERROR(INDEX(PP_Grid[#Data],$DD627,13),0)</f>
        <v/>
      </c>
      <c r="P627">
        <f>IFERROR(INDEX(PP_Grid[#Data],$DD627,14),0)</f>
        <v/>
      </c>
      <c r="Q627">
        <f>IFERROR(INDEX(PP_Grid[#Data],$DD627,15),0)</f>
        <v/>
      </c>
      <c r="R627">
        <f>IFERROR(INDEX(PP_Grid[#Data],$DD627,16),0)</f>
        <v/>
      </c>
      <c r="S627">
        <f>IFERROR(INDEX(PP_Grid[#Data],$DD627,17),0)</f>
        <v/>
      </c>
      <c r="T627">
        <f>IFERROR(INDEX(PP_Grid[#Data],$DD627,18),0)</f>
        <v/>
      </c>
      <c r="U627">
        <f>IFERROR(INDEX(PP_Grid[#Data],$DD627,19),0)</f>
        <v/>
      </c>
      <c r="V627">
        <f>IFERROR(INDEX(PP_Grid[#Data],$DD627,20),0)</f>
        <v/>
      </c>
      <c r="W627">
        <f>IFERROR(INDEX(PP_Grid[#Data],$DD627,21),0)</f>
        <v/>
      </c>
      <c r="X627">
        <f>IFERROR(INDEX(PP_Grid[#Data],$DD627,22),0)</f>
        <v/>
      </c>
      <c r="Y627">
        <f>IFERROR(INDEX(PP_Grid[#Data],$DD627,23),0)</f>
        <v/>
      </c>
      <c r="Z627">
        <f>IFERROR(INDEX(PP_Grid[#Data],$DD627,24),0)</f>
        <v/>
      </c>
      <c r="AA627">
        <f>IFERROR(INDEX(PP_Grid[#Data],$DD627,25),0)</f>
        <v/>
      </c>
      <c r="AB627">
        <f>IFERROR(INDEX(PP_Grid[#Data],$DD627,26),0)</f>
        <v/>
      </c>
      <c r="AC627">
        <f>IFERROR(INDEX(PP_Grid[#Data],$DD627,27),0)</f>
        <v/>
      </c>
      <c r="AD627">
        <f>IFERROR(INDEX(PP_Grid[#Data],$DD627,28),0)</f>
        <v/>
      </c>
      <c r="AE627">
        <f>IFERROR(INDEX(PP_Grid[#Data],$DD627,29),0)</f>
        <v/>
      </c>
      <c r="AF627">
        <f>IFERROR(INDEX(PP_Grid[#Data],$DD627,30),0)</f>
        <v/>
      </c>
      <c r="AG627">
        <f>IFERROR(INDEX(PP_Grid[#Data],$DD627,31),0)</f>
        <v/>
      </c>
      <c r="AH627">
        <f>IFERROR(INDEX(PP_Grid[#Data],$DD627,32),0)</f>
        <v/>
      </c>
      <c r="AI627">
        <f>IFERROR(INDEX(PP_Grid[#Data],$DD627,33),0)</f>
        <v/>
      </c>
      <c r="AJ627">
        <f>IFERROR(INDEX(PP_Grid[#Data],$DD627,34),0)</f>
        <v/>
      </c>
      <c r="AK627">
        <f>IFERROR(INDEX(PP_Grid[#Data],$DD627,35),0)</f>
        <v/>
      </c>
      <c r="AL627">
        <f>IFERROR(INDEX(PP_Grid[#Data],$DD627,36),0)</f>
        <v/>
      </c>
      <c r="AM627">
        <f>IFERROR(INDEX(PP_Grid[#Data],$DD627,37),0)</f>
        <v/>
      </c>
      <c r="AN627">
        <f>IFERROR(INDEX(PP_Grid[#Data],$DD627,38),0)</f>
        <v/>
      </c>
      <c r="AO627">
        <f>IFERROR(INDEX(PP_Grid[#Data],$DD627,39),0)</f>
        <v/>
      </c>
      <c r="AP627">
        <f>IFERROR(INDEX(PP_Grid[#Data],$DD627,40),0)</f>
        <v/>
      </c>
      <c r="AQ627">
        <f>IFERROR(INDEX(PP_Grid[#Data],$DD627,41),0)</f>
        <v/>
      </c>
      <c r="AR627">
        <f>IFERROR(INDEX(PP_Grid[#Data],$DD627,42),0)</f>
        <v/>
      </c>
      <c r="AS627">
        <f>IFERROR(INDEX(PP_Grid[#Data],$DD627,43),0)</f>
        <v/>
      </c>
      <c r="AT627">
        <f>IFERROR(INDEX(PP_Grid[#Data],$DD627,44),0)</f>
        <v/>
      </c>
      <c r="AU627">
        <f>IFERROR(INDEX(PP_Grid[#Data],$DD627,45),0)</f>
        <v/>
      </c>
      <c r="AV627">
        <f>IFERROR(INDEX(PP_Grid[#Data],$DD627,46),0)</f>
        <v/>
      </c>
      <c r="AW627">
        <f>IFERROR(INDEX(PP_Grid[#Data],$DD627,47),0)</f>
        <v/>
      </c>
      <c r="AX627">
        <f>IFERROR(INDEX(PP_Grid[#Data],$DD627,48),0)</f>
        <v/>
      </c>
      <c r="AY627">
        <f>IFERROR(INDEX(PP_Grid[#Data],$DD627,49),0)</f>
        <v/>
      </c>
      <c r="AZ627">
        <f>IFERROR(INDEX(PP_Grid[#Data],$DD627,50),0)</f>
        <v/>
      </c>
      <c r="BA627">
        <f>IFERROR(INDEX(PP_Grid[#Data],$DD627,51),0)</f>
        <v/>
      </c>
      <c r="BB627">
        <f>IFERROR(INDEX(PP_Grid[#Data],$DD627,52),0)</f>
        <v/>
      </c>
      <c r="BC627">
        <f>IFERROR(INDEX(PP_Grid[#Data],$DD627,53),0)</f>
        <v/>
      </c>
      <c r="BD627">
        <f>IFERROR(INDEX(PP_Grid[#Data],$DD627,54),0)</f>
        <v/>
      </c>
      <c r="BE627">
        <f>IFERROR(INDEX(PP_Grid[#Data],$DD627,55),0)</f>
        <v/>
      </c>
      <c r="BF627">
        <f>IFERROR(INDEX(PP_Grid[#Data],$DD627,56),0)</f>
        <v/>
      </c>
      <c r="BG627">
        <f>IFERROR(INDEX(PP_Grid[#Data],$DD627,57),0)</f>
        <v/>
      </c>
      <c r="BH627">
        <f>IFERROR(INDEX(PP_Grid[#Data],$DD627,58),0)</f>
        <v/>
      </c>
      <c r="BI627">
        <f>IFERROR(INDEX(PP_Grid[#Data],$DD627,59),0)</f>
        <v/>
      </c>
      <c r="BJ627">
        <f>IFERROR(INDEX(PP_Grid[#Data],$DD627,60),0)</f>
        <v/>
      </c>
      <c r="BK627">
        <f>IFERROR(INDEX(PP_Grid[#Data],$DD627,61),0)</f>
        <v/>
      </c>
      <c r="BL627">
        <f>IFERROR(INDEX(PP_Grid[#Data],$DD627,62),0)</f>
        <v/>
      </c>
      <c r="BM627">
        <f>IFERROR(INDEX(PP_Grid[#Data],$DD627,63),0)</f>
        <v/>
      </c>
      <c r="BN627">
        <f>IFERROR(INDEX(PP_Grid[#Data],$DD627,64),0)</f>
        <v/>
      </c>
      <c r="BO627">
        <f>IFERROR(INDEX(PP_Grid[#Data],$DD627,65),0)</f>
        <v/>
      </c>
      <c r="BP627">
        <f>IFERROR(INDEX(PP_Grid[#Data],$DD627,66),0)</f>
        <v/>
      </c>
      <c r="BQ627">
        <f>IFERROR(INDEX(PP_Grid[#Data],$DD627,67),0)</f>
        <v/>
      </c>
      <c r="BR627">
        <f>IFERROR(INDEX(PP_Grid[#Data],$DD627,68),0)</f>
        <v/>
      </c>
      <c r="BS627">
        <f>IFERROR(INDEX(PP_Grid[#Data],$DD627,69),0)</f>
        <v/>
      </c>
      <c r="BT627">
        <f>IFERROR(INDEX(PP_Grid[#Data],$DD627,70),0)</f>
        <v/>
      </c>
      <c r="BU627">
        <f>IFERROR(INDEX(PP_Grid[#Data],$DD627,71),0)</f>
        <v/>
      </c>
      <c r="BV627">
        <f>IFERROR(INDEX(PP_Grid[#Data],$DD627,72),0)</f>
        <v/>
      </c>
      <c r="BW627">
        <f>IFERROR(INDEX(PP_Grid[#Data],$DD627,73),0)</f>
        <v/>
      </c>
      <c r="BX627">
        <f>IFERROR(INDEX(PP_Grid[#Data],$DD627,74),0)</f>
        <v/>
      </c>
      <c r="BY627">
        <f>IFERROR(INDEX(PP_Grid[#Data],$DD627,75),0)</f>
        <v/>
      </c>
      <c r="BZ627">
        <f>IFERROR(INDEX(PP_Grid[#Data],$DD627,76),0)</f>
        <v/>
      </c>
      <c r="CA627">
        <f>IFERROR(INDEX(PP_Grid[#Data],$DD627,77),0)</f>
        <v/>
      </c>
      <c r="CB627">
        <f>IFERROR(INDEX(PP_Grid[#Data],$DD627,78),0)</f>
        <v/>
      </c>
      <c r="CC627">
        <f>IFERROR(INDEX(PP_Grid[#Data],$DD627,79),0)</f>
        <v/>
      </c>
      <c r="CD627">
        <f>IFERROR(INDEX(PP_Grid[#Data],$DD627,80),0)</f>
        <v/>
      </c>
      <c r="CE627">
        <f>IFERROR(INDEX(PP_Grid[#Data],$DD627,81),0)</f>
        <v/>
      </c>
      <c r="CF627">
        <f>IFERROR(INDEX(PP_Grid[#Data],$DD627,82),0)</f>
        <v/>
      </c>
      <c r="CG627">
        <f>IFERROR(INDEX(PP_Grid[#Data],$DD627,83),0)</f>
        <v/>
      </c>
      <c r="CH627">
        <f>IFERROR(INDEX(PP_Grid[#Data],$DD627,84),0)</f>
        <v/>
      </c>
      <c r="CI627">
        <f>IFERROR(INDEX(PP_Grid[#Data],$DD627,85),0)</f>
        <v/>
      </c>
      <c r="CJ627">
        <f>IFERROR(INDEX(PP_Grid[#Data],$DD627,86),0)</f>
        <v/>
      </c>
      <c r="CK627">
        <f>IFERROR(INDEX(PP_Grid[#Data],$DD627,87),0)</f>
        <v/>
      </c>
      <c r="CL627">
        <f>IFERROR(INDEX(PP_Grid[#Data],$DD627,88),0)</f>
        <v/>
      </c>
      <c r="CM627">
        <f>IFERROR(INDEX(PP_Grid[#Data],$DD627,89),0)</f>
        <v/>
      </c>
      <c r="CN627">
        <f>IFERROR(INDEX(PP_Grid[#Data],$DD627,90),0)</f>
        <v/>
      </c>
      <c r="CO627">
        <f>IFERROR(INDEX(PP_Grid[#Data],$DD627,91),0)</f>
        <v/>
      </c>
      <c r="CP627">
        <f>IFERROR(INDEX(PP_Grid[#Data],$DD627,92),0)</f>
        <v/>
      </c>
      <c r="CQ627">
        <f>IFERROR(INDEX(PP_Grid[#Data],$DD627,93),0)</f>
        <v/>
      </c>
      <c r="CR627">
        <f>IFERROR(INDEX(PP_Grid[#Data],$DD627,94),0)</f>
        <v/>
      </c>
      <c r="CS627">
        <f>IFERROR(INDEX(PP_Grid[#Data],$DD627,95),0)</f>
        <v/>
      </c>
      <c r="CT627">
        <f>IFERROR(INDEX(PP_Grid[#Data],$DD627,96),0)</f>
        <v/>
      </c>
      <c r="CU627">
        <f>IFERROR(INDEX(PP_Grid[#Data],$DD627,97),0)</f>
        <v/>
      </c>
      <c r="CV627">
        <f>IFERROR(INDEX(PP_Grid[#Data],$DD627,98),0)</f>
        <v/>
      </c>
      <c r="CW627">
        <f>IFERROR(INDEX(PP_Grid[#Data],$DD627,99),0)</f>
        <v/>
      </c>
      <c r="CX627">
        <f>IFERROR(INDEX(PP_Grid[#Data],$DD627,100),0)</f>
        <v/>
      </c>
      <c r="CY627">
        <f>IFERROR(INDEX(PP_Grid[#Data],$DD627,101),0)</f>
        <v/>
      </c>
      <c r="CZ627">
        <f>IFERROR(INDEX(PP_Grid[#Data],$DD627,102),0)</f>
        <v/>
      </c>
      <c r="DA627">
        <f>IFERROR(INDEX(PP_Grid[#Data],$DD627,103),0)</f>
        <v/>
      </c>
      <c r="DB627">
        <f>IFERROR(INDEX(PP_Grid[#Data],$DD627,104),0)</f>
        <v/>
      </c>
      <c r="DC627">
        <f>IFERROR(INDEX(PP_Grid[#Data],$DD627,105),0)</f>
        <v/>
      </c>
      <c r="DD627" s="7">
        <f>IFERROR(MATCH($B627,PP_Grid[Intermediate],0),99999)</f>
        <v/>
      </c>
    </row>
    <row r="628">
      <c r="B628" t="inlineStr">
        <is>
          <t>使用量(kg)</t>
        </is>
      </c>
      <c r="C628">
        <f>SUMIFS(M_BOM[RM_Qty_Per_Batch],M_BOM[Intermediate],$B627,M_BOM[Part Name],$A580)</f>
        <v/>
      </c>
      <c r="D628">
        <f>$C628*D627</f>
        <v/>
      </c>
      <c r="E628">
        <f>$C628*E627</f>
        <v/>
      </c>
      <c r="F628">
        <f>$C628*F627</f>
        <v/>
      </c>
      <c r="G628">
        <f>$C628*G627</f>
        <v/>
      </c>
      <c r="H628">
        <f>$C628*H627</f>
        <v/>
      </c>
      <c r="I628">
        <f>$C628*I627</f>
        <v/>
      </c>
      <c r="J628">
        <f>$C628*J627</f>
        <v/>
      </c>
      <c r="K628">
        <f>$C628*K627</f>
        <v/>
      </c>
      <c r="L628">
        <f>$C628*L627</f>
        <v/>
      </c>
      <c r="M628">
        <f>$C628*M627</f>
        <v/>
      </c>
      <c r="N628">
        <f>$C628*N627</f>
        <v/>
      </c>
      <c r="O628">
        <f>$C628*O627</f>
        <v/>
      </c>
      <c r="P628">
        <f>$C628*P627</f>
        <v/>
      </c>
      <c r="Q628">
        <f>$C628*Q627</f>
        <v/>
      </c>
      <c r="R628">
        <f>$C628*R627</f>
        <v/>
      </c>
      <c r="S628">
        <f>$C628*S627</f>
        <v/>
      </c>
      <c r="T628">
        <f>$C628*T627</f>
        <v/>
      </c>
      <c r="U628">
        <f>$C628*U627</f>
        <v/>
      </c>
      <c r="V628">
        <f>$C628*V627</f>
        <v/>
      </c>
      <c r="W628">
        <f>$C628*W627</f>
        <v/>
      </c>
      <c r="X628">
        <f>$C628*X627</f>
        <v/>
      </c>
      <c r="Y628">
        <f>$C628*Y627</f>
        <v/>
      </c>
      <c r="Z628">
        <f>$C628*Z627</f>
        <v/>
      </c>
      <c r="AA628">
        <f>$C628*AA627</f>
        <v/>
      </c>
      <c r="AB628">
        <f>$C628*AB627</f>
        <v/>
      </c>
      <c r="AC628">
        <f>$C628*AC627</f>
        <v/>
      </c>
      <c r="AD628">
        <f>$C628*AD627</f>
        <v/>
      </c>
      <c r="AE628">
        <f>$C628*AE627</f>
        <v/>
      </c>
      <c r="AF628">
        <f>$C628*AF627</f>
        <v/>
      </c>
      <c r="AG628">
        <f>$C628*AG627</f>
        <v/>
      </c>
      <c r="AH628">
        <f>$C628*AH627</f>
        <v/>
      </c>
      <c r="AI628">
        <f>$C628*AI627</f>
        <v/>
      </c>
      <c r="AJ628">
        <f>$C628*AJ627</f>
        <v/>
      </c>
      <c r="AK628">
        <f>$C628*AK627</f>
        <v/>
      </c>
      <c r="AL628">
        <f>$C628*AL627</f>
        <v/>
      </c>
      <c r="AM628">
        <f>$C628*AM627</f>
        <v/>
      </c>
      <c r="AN628">
        <f>$C628*AN627</f>
        <v/>
      </c>
      <c r="AO628">
        <f>$C628*AO627</f>
        <v/>
      </c>
      <c r="AP628">
        <f>$C628*AP627</f>
        <v/>
      </c>
      <c r="AQ628">
        <f>$C628*AQ627</f>
        <v/>
      </c>
      <c r="AR628">
        <f>$C628*AR627</f>
        <v/>
      </c>
      <c r="AS628">
        <f>$C628*AS627</f>
        <v/>
      </c>
      <c r="AT628">
        <f>$C628*AT627</f>
        <v/>
      </c>
      <c r="AU628">
        <f>$C628*AU627</f>
        <v/>
      </c>
      <c r="AV628">
        <f>$C628*AV627</f>
        <v/>
      </c>
      <c r="AW628">
        <f>$C628*AW627</f>
        <v/>
      </c>
      <c r="AX628">
        <f>$C628*AX627</f>
        <v/>
      </c>
      <c r="AY628">
        <f>$C628*AY627</f>
        <v/>
      </c>
      <c r="AZ628">
        <f>$C628*AZ627</f>
        <v/>
      </c>
      <c r="BA628">
        <f>$C628*BA627</f>
        <v/>
      </c>
      <c r="BB628">
        <f>$C628*BB627</f>
        <v/>
      </c>
      <c r="BC628">
        <f>$C628*BC627</f>
        <v/>
      </c>
      <c r="BD628">
        <f>$C628*BD627</f>
        <v/>
      </c>
      <c r="BE628">
        <f>$C628*BE627</f>
        <v/>
      </c>
      <c r="BF628">
        <f>$C628*BF627</f>
        <v/>
      </c>
      <c r="BG628">
        <f>$C628*BG627</f>
        <v/>
      </c>
      <c r="BH628">
        <f>$C628*BH627</f>
        <v/>
      </c>
      <c r="BI628">
        <f>$C628*BI627</f>
        <v/>
      </c>
      <c r="BJ628">
        <f>$C628*BJ627</f>
        <v/>
      </c>
      <c r="BK628">
        <f>$C628*BK627</f>
        <v/>
      </c>
      <c r="BL628">
        <f>$C628*BL627</f>
        <v/>
      </c>
      <c r="BM628">
        <f>$C628*BM627</f>
        <v/>
      </c>
      <c r="BN628">
        <f>$C628*BN627</f>
        <v/>
      </c>
      <c r="BO628">
        <f>$C628*BO627</f>
        <v/>
      </c>
      <c r="BP628">
        <f>$C628*BP627</f>
        <v/>
      </c>
      <c r="BQ628">
        <f>$C628*BQ627</f>
        <v/>
      </c>
      <c r="BR628">
        <f>$C628*BR627</f>
        <v/>
      </c>
      <c r="BS628">
        <f>$C628*BS627</f>
        <v/>
      </c>
      <c r="BT628">
        <f>$C628*BT627</f>
        <v/>
      </c>
      <c r="BU628">
        <f>$C628*BU627</f>
        <v/>
      </c>
      <c r="BV628">
        <f>$C628*BV627</f>
        <v/>
      </c>
      <c r="BW628">
        <f>$C628*BW627</f>
        <v/>
      </c>
      <c r="BX628">
        <f>$C628*BX627</f>
        <v/>
      </c>
      <c r="BY628">
        <f>$C628*BY627</f>
        <v/>
      </c>
      <c r="BZ628">
        <f>$C628*BZ627</f>
        <v/>
      </c>
      <c r="CA628">
        <f>$C628*CA627</f>
        <v/>
      </c>
      <c r="CB628">
        <f>$C628*CB627</f>
        <v/>
      </c>
      <c r="CC628">
        <f>$C628*CC627</f>
        <v/>
      </c>
      <c r="CD628">
        <f>$C628*CD627</f>
        <v/>
      </c>
      <c r="CE628">
        <f>$C628*CE627</f>
        <v/>
      </c>
      <c r="CF628">
        <f>$C628*CF627</f>
        <v/>
      </c>
      <c r="CG628">
        <f>$C628*CG627</f>
        <v/>
      </c>
      <c r="CH628">
        <f>$C628*CH627</f>
        <v/>
      </c>
      <c r="CI628">
        <f>$C628*CI627</f>
        <v/>
      </c>
      <c r="CJ628">
        <f>$C628*CJ627</f>
        <v/>
      </c>
      <c r="CK628">
        <f>$C628*CK627</f>
        <v/>
      </c>
      <c r="CL628">
        <f>$C628*CL627</f>
        <v/>
      </c>
      <c r="CM628">
        <f>$C628*CM627</f>
        <v/>
      </c>
      <c r="CN628">
        <f>$C628*CN627</f>
        <v/>
      </c>
      <c r="CO628">
        <f>$C628*CO627</f>
        <v/>
      </c>
      <c r="CP628">
        <f>$C628*CP627</f>
        <v/>
      </c>
      <c r="CQ628">
        <f>$C628*CQ627</f>
        <v/>
      </c>
      <c r="CR628">
        <f>$C628*CR627</f>
        <v/>
      </c>
      <c r="CS628">
        <f>$C628*CS627</f>
        <v/>
      </c>
      <c r="CT628">
        <f>$C628*CT627</f>
        <v/>
      </c>
      <c r="CU628">
        <f>$C628*CU627</f>
        <v/>
      </c>
      <c r="CV628">
        <f>$C628*CV627</f>
        <v/>
      </c>
      <c r="CW628">
        <f>$C628*CW627</f>
        <v/>
      </c>
      <c r="CX628">
        <f>$C628*CX627</f>
        <v/>
      </c>
      <c r="CY628">
        <f>$C628*CY627</f>
        <v/>
      </c>
      <c r="CZ628">
        <f>$C628*CZ627</f>
        <v/>
      </c>
      <c r="DA628">
        <f>$C628*DA627</f>
        <v/>
      </c>
      <c r="DB628">
        <f>$C628*DB627</f>
        <v/>
      </c>
      <c r="DC628">
        <f>$C628*DC627</f>
        <v/>
      </c>
    </row>
    <row r="629">
      <c r="B629" t="inlineStr">
        <is>
          <t>TPP-970</t>
        </is>
      </c>
      <c r="C629" t="inlineStr">
        <is>
          <t>No. of batches</t>
        </is>
      </c>
      <c r="D629">
        <f>IFERROR(INDEX(PP_Grid[#Data],$DD629,2),0)</f>
        <v/>
      </c>
      <c r="E629">
        <f>IFERROR(INDEX(PP_Grid[#Data],$DD629,3),0)</f>
        <v/>
      </c>
      <c r="F629">
        <f>IFERROR(INDEX(PP_Grid[#Data],$DD629,4),0)</f>
        <v/>
      </c>
      <c r="G629">
        <f>IFERROR(INDEX(PP_Grid[#Data],$DD629,5),0)</f>
        <v/>
      </c>
      <c r="H629">
        <f>IFERROR(INDEX(PP_Grid[#Data],$DD629,6),0)</f>
        <v/>
      </c>
      <c r="I629">
        <f>IFERROR(INDEX(PP_Grid[#Data],$DD629,7),0)</f>
        <v/>
      </c>
      <c r="J629">
        <f>IFERROR(INDEX(PP_Grid[#Data],$DD629,8),0)</f>
        <v/>
      </c>
      <c r="K629">
        <f>IFERROR(INDEX(PP_Grid[#Data],$DD629,9),0)</f>
        <v/>
      </c>
      <c r="L629">
        <f>IFERROR(INDEX(PP_Grid[#Data],$DD629,10),0)</f>
        <v/>
      </c>
      <c r="M629">
        <f>IFERROR(INDEX(PP_Grid[#Data],$DD629,11),0)</f>
        <v/>
      </c>
      <c r="N629">
        <f>IFERROR(INDEX(PP_Grid[#Data],$DD629,12),0)</f>
        <v/>
      </c>
      <c r="O629">
        <f>IFERROR(INDEX(PP_Grid[#Data],$DD629,13),0)</f>
        <v/>
      </c>
      <c r="P629">
        <f>IFERROR(INDEX(PP_Grid[#Data],$DD629,14),0)</f>
        <v/>
      </c>
      <c r="Q629">
        <f>IFERROR(INDEX(PP_Grid[#Data],$DD629,15),0)</f>
        <v/>
      </c>
      <c r="R629">
        <f>IFERROR(INDEX(PP_Grid[#Data],$DD629,16),0)</f>
        <v/>
      </c>
      <c r="S629">
        <f>IFERROR(INDEX(PP_Grid[#Data],$DD629,17),0)</f>
        <v/>
      </c>
      <c r="T629">
        <f>IFERROR(INDEX(PP_Grid[#Data],$DD629,18),0)</f>
        <v/>
      </c>
      <c r="U629">
        <f>IFERROR(INDEX(PP_Grid[#Data],$DD629,19),0)</f>
        <v/>
      </c>
      <c r="V629">
        <f>IFERROR(INDEX(PP_Grid[#Data],$DD629,20),0)</f>
        <v/>
      </c>
      <c r="W629">
        <f>IFERROR(INDEX(PP_Grid[#Data],$DD629,21),0)</f>
        <v/>
      </c>
      <c r="X629">
        <f>IFERROR(INDEX(PP_Grid[#Data],$DD629,22),0)</f>
        <v/>
      </c>
      <c r="Y629">
        <f>IFERROR(INDEX(PP_Grid[#Data],$DD629,23),0)</f>
        <v/>
      </c>
      <c r="Z629">
        <f>IFERROR(INDEX(PP_Grid[#Data],$DD629,24),0)</f>
        <v/>
      </c>
      <c r="AA629">
        <f>IFERROR(INDEX(PP_Grid[#Data],$DD629,25),0)</f>
        <v/>
      </c>
      <c r="AB629">
        <f>IFERROR(INDEX(PP_Grid[#Data],$DD629,26),0)</f>
        <v/>
      </c>
      <c r="AC629">
        <f>IFERROR(INDEX(PP_Grid[#Data],$DD629,27),0)</f>
        <v/>
      </c>
      <c r="AD629">
        <f>IFERROR(INDEX(PP_Grid[#Data],$DD629,28),0)</f>
        <v/>
      </c>
      <c r="AE629">
        <f>IFERROR(INDEX(PP_Grid[#Data],$DD629,29),0)</f>
        <v/>
      </c>
      <c r="AF629">
        <f>IFERROR(INDEX(PP_Grid[#Data],$DD629,30),0)</f>
        <v/>
      </c>
      <c r="AG629">
        <f>IFERROR(INDEX(PP_Grid[#Data],$DD629,31),0)</f>
        <v/>
      </c>
      <c r="AH629">
        <f>IFERROR(INDEX(PP_Grid[#Data],$DD629,32),0)</f>
        <v/>
      </c>
      <c r="AI629">
        <f>IFERROR(INDEX(PP_Grid[#Data],$DD629,33),0)</f>
        <v/>
      </c>
      <c r="AJ629">
        <f>IFERROR(INDEX(PP_Grid[#Data],$DD629,34),0)</f>
        <v/>
      </c>
      <c r="AK629">
        <f>IFERROR(INDEX(PP_Grid[#Data],$DD629,35),0)</f>
        <v/>
      </c>
      <c r="AL629">
        <f>IFERROR(INDEX(PP_Grid[#Data],$DD629,36),0)</f>
        <v/>
      </c>
      <c r="AM629">
        <f>IFERROR(INDEX(PP_Grid[#Data],$DD629,37),0)</f>
        <v/>
      </c>
      <c r="AN629">
        <f>IFERROR(INDEX(PP_Grid[#Data],$DD629,38),0)</f>
        <v/>
      </c>
      <c r="AO629">
        <f>IFERROR(INDEX(PP_Grid[#Data],$DD629,39),0)</f>
        <v/>
      </c>
      <c r="AP629">
        <f>IFERROR(INDEX(PP_Grid[#Data],$DD629,40),0)</f>
        <v/>
      </c>
      <c r="AQ629">
        <f>IFERROR(INDEX(PP_Grid[#Data],$DD629,41),0)</f>
        <v/>
      </c>
      <c r="AR629">
        <f>IFERROR(INDEX(PP_Grid[#Data],$DD629,42),0)</f>
        <v/>
      </c>
      <c r="AS629">
        <f>IFERROR(INDEX(PP_Grid[#Data],$DD629,43),0)</f>
        <v/>
      </c>
      <c r="AT629">
        <f>IFERROR(INDEX(PP_Grid[#Data],$DD629,44),0)</f>
        <v/>
      </c>
      <c r="AU629">
        <f>IFERROR(INDEX(PP_Grid[#Data],$DD629,45),0)</f>
        <v/>
      </c>
      <c r="AV629">
        <f>IFERROR(INDEX(PP_Grid[#Data],$DD629,46),0)</f>
        <v/>
      </c>
      <c r="AW629">
        <f>IFERROR(INDEX(PP_Grid[#Data],$DD629,47),0)</f>
        <v/>
      </c>
      <c r="AX629">
        <f>IFERROR(INDEX(PP_Grid[#Data],$DD629,48),0)</f>
        <v/>
      </c>
      <c r="AY629">
        <f>IFERROR(INDEX(PP_Grid[#Data],$DD629,49),0)</f>
        <v/>
      </c>
      <c r="AZ629">
        <f>IFERROR(INDEX(PP_Grid[#Data],$DD629,50),0)</f>
        <v/>
      </c>
      <c r="BA629">
        <f>IFERROR(INDEX(PP_Grid[#Data],$DD629,51),0)</f>
        <v/>
      </c>
      <c r="BB629">
        <f>IFERROR(INDEX(PP_Grid[#Data],$DD629,52),0)</f>
        <v/>
      </c>
      <c r="BC629">
        <f>IFERROR(INDEX(PP_Grid[#Data],$DD629,53),0)</f>
        <v/>
      </c>
      <c r="BD629">
        <f>IFERROR(INDEX(PP_Grid[#Data],$DD629,54),0)</f>
        <v/>
      </c>
      <c r="BE629">
        <f>IFERROR(INDEX(PP_Grid[#Data],$DD629,55),0)</f>
        <v/>
      </c>
      <c r="BF629">
        <f>IFERROR(INDEX(PP_Grid[#Data],$DD629,56),0)</f>
        <v/>
      </c>
      <c r="BG629">
        <f>IFERROR(INDEX(PP_Grid[#Data],$DD629,57),0)</f>
        <v/>
      </c>
      <c r="BH629">
        <f>IFERROR(INDEX(PP_Grid[#Data],$DD629,58),0)</f>
        <v/>
      </c>
      <c r="BI629">
        <f>IFERROR(INDEX(PP_Grid[#Data],$DD629,59),0)</f>
        <v/>
      </c>
      <c r="BJ629">
        <f>IFERROR(INDEX(PP_Grid[#Data],$DD629,60),0)</f>
        <v/>
      </c>
      <c r="BK629">
        <f>IFERROR(INDEX(PP_Grid[#Data],$DD629,61),0)</f>
        <v/>
      </c>
      <c r="BL629">
        <f>IFERROR(INDEX(PP_Grid[#Data],$DD629,62),0)</f>
        <v/>
      </c>
      <c r="BM629">
        <f>IFERROR(INDEX(PP_Grid[#Data],$DD629,63),0)</f>
        <v/>
      </c>
      <c r="BN629">
        <f>IFERROR(INDEX(PP_Grid[#Data],$DD629,64),0)</f>
        <v/>
      </c>
      <c r="BO629">
        <f>IFERROR(INDEX(PP_Grid[#Data],$DD629,65),0)</f>
        <v/>
      </c>
      <c r="BP629">
        <f>IFERROR(INDEX(PP_Grid[#Data],$DD629,66),0)</f>
        <v/>
      </c>
      <c r="BQ629">
        <f>IFERROR(INDEX(PP_Grid[#Data],$DD629,67),0)</f>
        <v/>
      </c>
      <c r="BR629">
        <f>IFERROR(INDEX(PP_Grid[#Data],$DD629,68),0)</f>
        <v/>
      </c>
      <c r="BS629">
        <f>IFERROR(INDEX(PP_Grid[#Data],$DD629,69),0)</f>
        <v/>
      </c>
      <c r="BT629">
        <f>IFERROR(INDEX(PP_Grid[#Data],$DD629,70),0)</f>
        <v/>
      </c>
      <c r="BU629">
        <f>IFERROR(INDEX(PP_Grid[#Data],$DD629,71),0)</f>
        <v/>
      </c>
      <c r="BV629">
        <f>IFERROR(INDEX(PP_Grid[#Data],$DD629,72),0)</f>
        <v/>
      </c>
      <c r="BW629">
        <f>IFERROR(INDEX(PP_Grid[#Data],$DD629,73),0)</f>
        <v/>
      </c>
      <c r="BX629">
        <f>IFERROR(INDEX(PP_Grid[#Data],$DD629,74),0)</f>
        <v/>
      </c>
      <c r="BY629">
        <f>IFERROR(INDEX(PP_Grid[#Data],$DD629,75),0)</f>
        <v/>
      </c>
      <c r="BZ629">
        <f>IFERROR(INDEX(PP_Grid[#Data],$DD629,76),0)</f>
        <v/>
      </c>
      <c r="CA629">
        <f>IFERROR(INDEX(PP_Grid[#Data],$DD629,77),0)</f>
        <v/>
      </c>
      <c r="CB629">
        <f>IFERROR(INDEX(PP_Grid[#Data],$DD629,78),0)</f>
        <v/>
      </c>
      <c r="CC629">
        <f>IFERROR(INDEX(PP_Grid[#Data],$DD629,79),0)</f>
        <v/>
      </c>
      <c r="CD629">
        <f>IFERROR(INDEX(PP_Grid[#Data],$DD629,80),0)</f>
        <v/>
      </c>
      <c r="CE629">
        <f>IFERROR(INDEX(PP_Grid[#Data],$DD629,81),0)</f>
        <v/>
      </c>
      <c r="CF629">
        <f>IFERROR(INDEX(PP_Grid[#Data],$DD629,82),0)</f>
        <v/>
      </c>
      <c r="CG629">
        <f>IFERROR(INDEX(PP_Grid[#Data],$DD629,83),0)</f>
        <v/>
      </c>
      <c r="CH629">
        <f>IFERROR(INDEX(PP_Grid[#Data],$DD629,84),0)</f>
        <v/>
      </c>
      <c r="CI629">
        <f>IFERROR(INDEX(PP_Grid[#Data],$DD629,85),0)</f>
        <v/>
      </c>
      <c r="CJ629">
        <f>IFERROR(INDEX(PP_Grid[#Data],$DD629,86),0)</f>
        <v/>
      </c>
      <c r="CK629">
        <f>IFERROR(INDEX(PP_Grid[#Data],$DD629,87),0)</f>
        <v/>
      </c>
      <c r="CL629">
        <f>IFERROR(INDEX(PP_Grid[#Data],$DD629,88),0)</f>
        <v/>
      </c>
      <c r="CM629">
        <f>IFERROR(INDEX(PP_Grid[#Data],$DD629,89),0)</f>
        <v/>
      </c>
      <c r="CN629">
        <f>IFERROR(INDEX(PP_Grid[#Data],$DD629,90),0)</f>
        <v/>
      </c>
      <c r="CO629">
        <f>IFERROR(INDEX(PP_Grid[#Data],$DD629,91),0)</f>
        <v/>
      </c>
      <c r="CP629">
        <f>IFERROR(INDEX(PP_Grid[#Data],$DD629,92),0)</f>
        <v/>
      </c>
      <c r="CQ629">
        <f>IFERROR(INDEX(PP_Grid[#Data],$DD629,93),0)</f>
        <v/>
      </c>
      <c r="CR629">
        <f>IFERROR(INDEX(PP_Grid[#Data],$DD629,94),0)</f>
        <v/>
      </c>
      <c r="CS629">
        <f>IFERROR(INDEX(PP_Grid[#Data],$DD629,95),0)</f>
        <v/>
      </c>
      <c r="CT629">
        <f>IFERROR(INDEX(PP_Grid[#Data],$DD629,96),0)</f>
        <v/>
      </c>
      <c r="CU629">
        <f>IFERROR(INDEX(PP_Grid[#Data],$DD629,97),0)</f>
        <v/>
      </c>
      <c r="CV629">
        <f>IFERROR(INDEX(PP_Grid[#Data],$DD629,98),0)</f>
        <v/>
      </c>
      <c r="CW629">
        <f>IFERROR(INDEX(PP_Grid[#Data],$DD629,99),0)</f>
        <v/>
      </c>
      <c r="CX629">
        <f>IFERROR(INDEX(PP_Grid[#Data],$DD629,100),0)</f>
        <v/>
      </c>
      <c r="CY629">
        <f>IFERROR(INDEX(PP_Grid[#Data],$DD629,101),0)</f>
        <v/>
      </c>
      <c r="CZ629">
        <f>IFERROR(INDEX(PP_Grid[#Data],$DD629,102),0)</f>
        <v/>
      </c>
      <c r="DA629">
        <f>IFERROR(INDEX(PP_Grid[#Data],$DD629,103),0)</f>
        <v/>
      </c>
      <c r="DB629">
        <f>IFERROR(INDEX(PP_Grid[#Data],$DD629,104),0)</f>
        <v/>
      </c>
      <c r="DC629">
        <f>IFERROR(INDEX(PP_Grid[#Data],$DD629,105),0)</f>
        <v/>
      </c>
      <c r="DD629" s="7">
        <f>IFERROR(MATCH($B629,PP_Grid[Intermediate],0),99999)</f>
        <v/>
      </c>
    </row>
    <row r="630">
      <c r="B630" t="inlineStr">
        <is>
          <t>使用量(kg)</t>
        </is>
      </c>
      <c r="C630">
        <f>SUMIFS(M_BOM[RM_Qty_Per_Batch],M_BOM[Intermediate],$B629,M_BOM[Part Name],$A580)</f>
        <v/>
      </c>
      <c r="D630">
        <f>$C630*D629</f>
        <v/>
      </c>
      <c r="E630">
        <f>$C630*E629</f>
        <v/>
      </c>
      <c r="F630">
        <f>$C630*F629</f>
        <v/>
      </c>
      <c r="G630">
        <f>$C630*G629</f>
        <v/>
      </c>
      <c r="H630">
        <f>$C630*H629</f>
        <v/>
      </c>
      <c r="I630">
        <f>$C630*I629</f>
        <v/>
      </c>
      <c r="J630">
        <f>$C630*J629</f>
        <v/>
      </c>
      <c r="K630">
        <f>$C630*K629</f>
        <v/>
      </c>
      <c r="L630">
        <f>$C630*L629</f>
        <v/>
      </c>
      <c r="M630">
        <f>$C630*M629</f>
        <v/>
      </c>
      <c r="N630">
        <f>$C630*N629</f>
        <v/>
      </c>
      <c r="O630">
        <f>$C630*O629</f>
        <v/>
      </c>
      <c r="P630">
        <f>$C630*P629</f>
        <v/>
      </c>
      <c r="Q630">
        <f>$C630*Q629</f>
        <v/>
      </c>
      <c r="R630">
        <f>$C630*R629</f>
        <v/>
      </c>
      <c r="S630">
        <f>$C630*S629</f>
        <v/>
      </c>
      <c r="T630">
        <f>$C630*T629</f>
        <v/>
      </c>
      <c r="U630">
        <f>$C630*U629</f>
        <v/>
      </c>
      <c r="V630">
        <f>$C630*V629</f>
        <v/>
      </c>
      <c r="W630">
        <f>$C630*W629</f>
        <v/>
      </c>
      <c r="X630">
        <f>$C630*X629</f>
        <v/>
      </c>
      <c r="Y630">
        <f>$C630*Y629</f>
        <v/>
      </c>
      <c r="Z630">
        <f>$C630*Z629</f>
        <v/>
      </c>
      <c r="AA630">
        <f>$C630*AA629</f>
        <v/>
      </c>
      <c r="AB630">
        <f>$C630*AB629</f>
        <v/>
      </c>
      <c r="AC630">
        <f>$C630*AC629</f>
        <v/>
      </c>
      <c r="AD630">
        <f>$C630*AD629</f>
        <v/>
      </c>
      <c r="AE630">
        <f>$C630*AE629</f>
        <v/>
      </c>
      <c r="AF630">
        <f>$C630*AF629</f>
        <v/>
      </c>
      <c r="AG630">
        <f>$C630*AG629</f>
        <v/>
      </c>
      <c r="AH630">
        <f>$C630*AH629</f>
        <v/>
      </c>
      <c r="AI630">
        <f>$C630*AI629</f>
        <v/>
      </c>
      <c r="AJ630">
        <f>$C630*AJ629</f>
        <v/>
      </c>
      <c r="AK630">
        <f>$C630*AK629</f>
        <v/>
      </c>
      <c r="AL630">
        <f>$C630*AL629</f>
        <v/>
      </c>
      <c r="AM630">
        <f>$C630*AM629</f>
        <v/>
      </c>
      <c r="AN630">
        <f>$C630*AN629</f>
        <v/>
      </c>
      <c r="AO630">
        <f>$C630*AO629</f>
        <v/>
      </c>
      <c r="AP630">
        <f>$C630*AP629</f>
        <v/>
      </c>
      <c r="AQ630">
        <f>$C630*AQ629</f>
        <v/>
      </c>
      <c r="AR630">
        <f>$C630*AR629</f>
        <v/>
      </c>
      <c r="AS630">
        <f>$C630*AS629</f>
        <v/>
      </c>
      <c r="AT630">
        <f>$C630*AT629</f>
        <v/>
      </c>
      <c r="AU630">
        <f>$C630*AU629</f>
        <v/>
      </c>
      <c r="AV630">
        <f>$C630*AV629</f>
        <v/>
      </c>
      <c r="AW630">
        <f>$C630*AW629</f>
        <v/>
      </c>
      <c r="AX630">
        <f>$C630*AX629</f>
        <v/>
      </c>
      <c r="AY630">
        <f>$C630*AY629</f>
        <v/>
      </c>
      <c r="AZ630">
        <f>$C630*AZ629</f>
        <v/>
      </c>
      <c r="BA630">
        <f>$C630*BA629</f>
        <v/>
      </c>
      <c r="BB630">
        <f>$C630*BB629</f>
        <v/>
      </c>
      <c r="BC630">
        <f>$C630*BC629</f>
        <v/>
      </c>
      <c r="BD630">
        <f>$C630*BD629</f>
        <v/>
      </c>
      <c r="BE630">
        <f>$C630*BE629</f>
        <v/>
      </c>
      <c r="BF630">
        <f>$C630*BF629</f>
        <v/>
      </c>
      <c r="BG630">
        <f>$C630*BG629</f>
        <v/>
      </c>
      <c r="BH630">
        <f>$C630*BH629</f>
        <v/>
      </c>
      <c r="BI630">
        <f>$C630*BI629</f>
        <v/>
      </c>
      <c r="BJ630">
        <f>$C630*BJ629</f>
        <v/>
      </c>
      <c r="BK630">
        <f>$C630*BK629</f>
        <v/>
      </c>
      <c r="BL630">
        <f>$C630*BL629</f>
        <v/>
      </c>
      <c r="BM630">
        <f>$C630*BM629</f>
        <v/>
      </c>
      <c r="BN630">
        <f>$C630*BN629</f>
        <v/>
      </c>
      <c r="BO630">
        <f>$C630*BO629</f>
        <v/>
      </c>
      <c r="BP630">
        <f>$C630*BP629</f>
        <v/>
      </c>
      <c r="BQ630">
        <f>$C630*BQ629</f>
        <v/>
      </c>
      <c r="BR630">
        <f>$C630*BR629</f>
        <v/>
      </c>
      <c r="BS630">
        <f>$C630*BS629</f>
        <v/>
      </c>
      <c r="BT630">
        <f>$C630*BT629</f>
        <v/>
      </c>
      <c r="BU630">
        <f>$C630*BU629</f>
        <v/>
      </c>
      <c r="BV630">
        <f>$C630*BV629</f>
        <v/>
      </c>
      <c r="BW630">
        <f>$C630*BW629</f>
        <v/>
      </c>
      <c r="BX630">
        <f>$C630*BX629</f>
        <v/>
      </c>
      <c r="BY630">
        <f>$C630*BY629</f>
        <v/>
      </c>
      <c r="BZ630">
        <f>$C630*BZ629</f>
        <v/>
      </c>
      <c r="CA630">
        <f>$C630*CA629</f>
        <v/>
      </c>
      <c r="CB630">
        <f>$C630*CB629</f>
        <v/>
      </c>
      <c r="CC630">
        <f>$C630*CC629</f>
        <v/>
      </c>
      <c r="CD630">
        <f>$C630*CD629</f>
        <v/>
      </c>
      <c r="CE630">
        <f>$C630*CE629</f>
        <v/>
      </c>
      <c r="CF630">
        <f>$C630*CF629</f>
        <v/>
      </c>
      <c r="CG630">
        <f>$C630*CG629</f>
        <v/>
      </c>
      <c r="CH630">
        <f>$C630*CH629</f>
        <v/>
      </c>
      <c r="CI630">
        <f>$C630*CI629</f>
        <v/>
      </c>
      <c r="CJ630">
        <f>$C630*CJ629</f>
        <v/>
      </c>
      <c r="CK630">
        <f>$C630*CK629</f>
        <v/>
      </c>
      <c r="CL630">
        <f>$C630*CL629</f>
        <v/>
      </c>
      <c r="CM630">
        <f>$C630*CM629</f>
        <v/>
      </c>
      <c r="CN630">
        <f>$C630*CN629</f>
        <v/>
      </c>
      <c r="CO630">
        <f>$C630*CO629</f>
        <v/>
      </c>
      <c r="CP630">
        <f>$C630*CP629</f>
        <v/>
      </c>
      <c r="CQ630">
        <f>$C630*CQ629</f>
        <v/>
      </c>
      <c r="CR630">
        <f>$C630*CR629</f>
        <v/>
      </c>
      <c r="CS630">
        <f>$C630*CS629</f>
        <v/>
      </c>
      <c r="CT630">
        <f>$C630*CT629</f>
        <v/>
      </c>
      <c r="CU630">
        <f>$C630*CU629</f>
        <v/>
      </c>
      <c r="CV630">
        <f>$C630*CV629</f>
        <v/>
      </c>
      <c r="CW630">
        <f>$C630*CW629</f>
        <v/>
      </c>
      <c r="CX630">
        <f>$C630*CX629</f>
        <v/>
      </c>
      <c r="CY630">
        <f>$C630*CY629</f>
        <v/>
      </c>
      <c r="CZ630">
        <f>$C630*CZ629</f>
        <v/>
      </c>
      <c r="DA630">
        <f>$C630*DA629</f>
        <v/>
      </c>
      <c r="DB630">
        <f>$C630*DB629</f>
        <v/>
      </c>
      <c r="DC630">
        <f>$C630*DC629</f>
        <v/>
      </c>
    </row>
    <row r="631">
      <c r="B631" t="inlineStr">
        <is>
          <t>TPP-912</t>
        </is>
      </c>
      <c r="C631" t="inlineStr">
        <is>
          <t>No. of batches</t>
        </is>
      </c>
      <c r="D631">
        <f>IFERROR(INDEX(PP_Grid[#Data],$DD631,2),0)</f>
        <v/>
      </c>
      <c r="E631">
        <f>IFERROR(INDEX(PP_Grid[#Data],$DD631,3),0)</f>
        <v/>
      </c>
      <c r="F631">
        <f>IFERROR(INDEX(PP_Grid[#Data],$DD631,4),0)</f>
        <v/>
      </c>
      <c r="G631">
        <f>IFERROR(INDEX(PP_Grid[#Data],$DD631,5),0)</f>
        <v/>
      </c>
      <c r="H631">
        <f>IFERROR(INDEX(PP_Grid[#Data],$DD631,6),0)</f>
        <v/>
      </c>
      <c r="I631">
        <f>IFERROR(INDEX(PP_Grid[#Data],$DD631,7),0)</f>
        <v/>
      </c>
      <c r="J631">
        <f>IFERROR(INDEX(PP_Grid[#Data],$DD631,8),0)</f>
        <v/>
      </c>
      <c r="K631">
        <f>IFERROR(INDEX(PP_Grid[#Data],$DD631,9),0)</f>
        <v/>
      </c>
      <c r="L631">
        <f>IFERROR(INDEX(PP_Grid[#Data],$DD631,10),0)</f>
        <v/>
      </c>
      <c r="M631">
        <f>IFERROR(INDEX(PP_Grid[#Data],$DD631,11),0)</f>
        <v/>
      </c>
      <c r="N631">
        <f>IFERROR(INDEX(PP_Grid[#Data],$DD631,12),0)</f>
        <v/>
      </c>
      <c r="O631">
        <f>IFERROR(INDEX(PP_Grid[#Data],$DD631,13),0)</f>
        <v/>
      </c>
      <c r="P631">
        <f>IFERROR(INDEX(PP_Grid[#Data],$DD631,14),0)</f>
        <v/>
      </c>
      <c r="Q631">
        <f>IFERROR(INDEX(PP_Grid[#Data],$DD631,15),0)</f>
        <v/>
      </c>
      <c r="R631">
        <f>IFERROR(INDEX(PP_Grid[#Data],$DD631,16),0)</f>
        <v/>
      </c>
      <c r="S631">
        <f>IFERROR(INDEX(PP_Grid[#Data],$DD631,17),0)</f>
        <v/>
      </c>
      <c r="T631">
        <f>IFERROR(INDEX(PP_Grid[#Data],$DD631,18),0)</f>
        <v/>
      </c>
      <c r="U631">
        <f>IFERROR(INDEX(PP_Grid[#Data],$DD631,19),0)</f>
        <v/>
      </c>
      <c r="V631">
        <f>IFERROR(INDEX(PP_Grid[#Data],$DD631,20),0)</f>
        <v/>
      </c>
      <c r="W631">
        <f>IFERROR(INDEX(PP_Grid[#Data],$DD631,21),0)</f>
        <v/>
      </c>
      <c r="X631">
        <f>IFERROR(INDEX(PP_Grid[#Data],$DD631,22),0)</f>
        <v/>
      </c>
      <c r="Y631">
        <f>IFERROR(INDEX(PP_Grid[#Data],$DD631,23),0)</f>
        <v/>
      </c>
      <c r="Z631">
        <f>IFERROR(INDEX(PP_Grid[#Data],$DD631,24),0)</f>
        <v/>
      </c>
      <c r="AA631">
        <f>IFERROR(INDEX(PP_Grid[#Data],$DD631,25),0)</f>
        <v/>
      </c>
      <c r="AB631">
        <f>IFERROR(INDEX(PP_Grid[#Data],$DD631,26),0)</f>
        <v/>
      </c>
      <c r="AC631">
        <f>IFERROR(INDEX(PP_Grid[#Data],$DD631,27),0)</f>
        <v/>
      </c>
      <c r="AD631">
        <f>IFERROR(INDEX(PP_Grid[#Data],$DD631,28),0)</f>
        <v/>
      </c>
      <c r="AE631">
        <f>IFERROR(INDEX(PP_Grid[#Data],$DD631,29),0)</f>
        <v/>
      </c>
      <c r="AF631">
        <f>IFERROR(INDEX(PP_Grid[#Data],$DD631,30),0)</f>
        <v/>
      </c>
      <c r="AG631">
        <f>IFERROR(INDEX(PP_Grid[#Data],$DD631,31),0)</f>
        <v/>
      </c>
      <c r="AH631">
        <f>IFERROR(INDEX(PP_Grid[#Data],$DD631,32),0)</f>
        <v/>
      </c>
      <c r="AI631">
        <f>IFERROR(INDEX(PP_Grid[#Data],$DD631,33),0)</f>
        <v/>
      </c>
      <c r="AJ631">
        <f>IFERROR(INDEX(PP_Grid[#Data],$DD631,34),0)</f>
        <v/>
      </c>
      <c r="AK631">
        <f>IFERROR(INDEX(PP_Grid[#Data],$DD631,35),0)</f>
        <v/>
      </c>
      <c r="AL631">
        <f>IFERROR(INDEX(PP_Grid[#Data],$DD631,36),0)</f>
        <v/>
      </c>
      <c r="AM631">
        <f>IFERROR(INDEX(PP_Grid[#Data],$DD631,37),0)</f>
        <v/>
      </c>
      <c r="AN631">
        <f>IFERROR(INDEX(PP_Grid[#Data],$DD631,38),0)</f>
        <v/>
      </c>
      <c r="AO631">
        <f>IFERROR(INDEX(PP_Grid[#Data],$DD631,39),0)</f>
        <v/>
      </c>
      <c r="AP631">
        <f>IFERROR(INDEX(PP_Grid[#Data],$DD631,40),0)</f>
        <v/>
      </c>
      <c r="AQ631">
        <f>IFERROR(INDEX(PP_Grid[#Data],$DD631,41),0)</f>
        <v/>
      </c>
      <c r="AR631">
        <f>IFERROR(INDEX(PP_Grid[#Data],$DD631,42),0)</f>
        <v/>
      </c>
      <c r="AS631">
        <f>IFERROR(INDEX(PP_Grid[#Data],$DD631,43),0)</f>
        <v/>
      </c>
      <c r="AT631">
        <f>IFERROR(INDEX(PP_Grid[#Data],$DD631,44),0)</f>
        <v/>
      </c>
      <c r="AU631">
        <f>IFERROR(INDEX(PP_Grid[#Data],$DD631,45),0)</f>
        <v/>
      </c>
      <c r="AV631">
        <f>IFERROR(INDEX(PP_Grid[#Data],$DD631,46),0)</f>
        <v/>
      </c>
      <c r="AW631">
        <f>IFERROR(INDEX(PP_Grid[#Data],$DD631,47),0)</f>
        <v/>
      </c>
      <c r="AX631">
        <f>IFERROR(INDEX(PP_Grid[#Data],$DD631,48),0)</f>
        <v/>
      </c>
      <c r="AY631">
        <f>IFERROR(INDEX(PP_Grid[#Data],$DD631,49),0)</f>
        <v/>
      </c>
      <c r="AZ631">
        <f>IFERROR(INDEX(PP_Grid[#Data],$DD631,50),0)</f>
        <v/>
      </c>
      <c r="BA631">
        <f>IFERROR(INDEX(PP_Grid[#Data],$DD631,51),0)</f>
        <v/>
      </c>
      <c r="BB631">
        <f>IFERROR(INDEX(PP_Grid[#Data],$DD631,52),0)</f>
        <v/>
      </c>
      <c r="BC631">
        <f>IFERROR(INDEX(PP_Grid[#Data],$DD631,53),0)</f>
        <v/>
      </c>
      <c r="BD631">
        <f>IFERROR(INDEX(PP_Grid[#Data],$DD631,54),0)</f>
        <v/>
      </c>
      <c r="BE631">
        <f>IFERROR(INDEX(PP_Grid[#Data],$DD631,55),0)</f>
        <v/>
      </c>
      <c r="BF631">
        <f>IFERROR(INDEX(PP_Grid[#Data],$DD631,56),0)</f>
        <v/>
      </c>
      <c r="BG631">
        <f>IFERROR(INDEX(PP_Grid[#Data],$DD631,57),0)</f>
        <v/>
      </c>
      <c r="BH631">
        <f>IFERROR(INDEX(PP_Grid[#Data],$DD631,58),0)</f>
        <v/>
      </c>
      <c r="BI631">
        <f>IFERROR(INDEX(PP_Grid[#Data],$DD631,59),0)</f>
        <v/>
      </c>
      <c r="BJ631">
        <f>IFERROR(INDEX(PP_Grid[#Data],$DD631,60),0)</f>
        <v/>
      </c>
      <c r="BK631">
        <f>IFERROR(INDEX(PP_Grid[#Data],$DD631,61),0)</f>
        <v/>
      </c>
      <c r="BL631">
        <f>IFERROR(INDEX(PP_Grid[#Data],$DD631,62),0)</f>
        <v/>
      </c>
      <c r="BM631">
        <f>IFERROR(INDEX(PP_Grid[#Data],$DD631,63),0)</f>
        <v/>
      </c>
      <c r="BN631">
        <f>IFERROR(INDEX(PP_Grid[#Data],$DD631,64),0)</f>
        <v/>
      </c>
      <c r="BO631">
        <f>IFERROR(INDEX(PP_Grid[#Data],$DD631,65),0)</f>
        <v/>
      </c>
      <c r="BP631">
        <f>IFERROR(INDEX(PP_Grid[#Data],$DD631,66),0)</f>
        <v/>
      </c>
      <c r="BQ631">
        <f>IFERROR(INDEX(PP_Grid[#Data],$DD631,67),0)</f>
        <v/>
      </c>
      <c r="BR631">
        <f>IFERROR(INDEX(PP_Grid[#Data],$DD631,68),0)</f>
        <v/>
      </c>
      <c r="BS631">
        <f>IFERROR(INDEX(PP_Grid[#Data],$DD631,69),0)</f>
        <v/>
      </c>
      <c r="BT631">
        <f>IFERROR(INDEX(PP_Grid[#Data],$DD631,70),0)</f>
        <v/>
      </c>
      <c r="BU631">
        <f>IFERROR(INDEX(PP_Grid[#Data],$DD631,71),0)</f>
        <v/>
      </c>
      <c r="BV631">
        <f>IFERROR(INDEX(PP_Grid[#Data],$DD631,72),0)</f>
        <v/>
      </c>
      <c r="BW631">
        <f>IFERROR(INDEX(PP_Grid[#Data],$DD631,73),0)</f>
        <v/>
      </c>
      <c r="BX631">
        <f>IFERROR(INDEX(PP_Grid[#Data],$DD631,74),0)</f>
        <v/>
      </c>
      <c r="BY631">
        <f>IFERROR(INDEX(PP_Grid[#Data],$DD631,75),0)</f>
        <v/>
      </c>
      <c r="BZ631">
        <f>IFERROR(INDEX(PP_Grid[#Data],$DD631,76),0)</f>
        <v/>
      </c>
      <c r="CA631">
        <f>IFERROR(INDEX(PP_Grid[#Data],$DD631,77),0)</f>
        <v/>
      </c>
      <c r="CB631">
        <f>IFERROR(INDEX(PP_Grid[#Data],$DD631,78),0)</f>
        <v/>
      </c>
      <c r="CC631">
        <f>IFERROR(INDEX(PP_Grid[#Data],$DD631,79),0)</f>
        <v/>
      </c>
      <c r="CD631">
        <f>IFERROR(INDEX(PP_Grid[#Data],$DD631,80),0)</f>
        <v/>
      </c>
      <c r="CE631">
        <f>IFERROR(INDEX(PP_Grid[#Data],$DD631,81),0)</f>
        <v/>
      </c>
      <c r="CF631">
        <f>IFERROR(INDEX(PP_Grid[#Data],$DD631,82),0)</f>
        <v/>
      </c>
      <c r="CG631">
        <f>IFERROR(INDEX(PP_Grid[#Data],$DD631,83),0)</f>
        <v/>
      </c>
      <c r="CH631">
        <f>IFERROR(INDEX(PP_Grid[#Data],$DD631,84),0)</f>
        <v/>
      </c>
      <c r="CI631">
        <f>IFERROR(INDEX(PP_Grid[#Data],$DD631,85),0)</f>
        <v/>
      </c>
      <c r="CJ631">
        <f>IFERROR(INDEX(PP_Grid[#Data],$DD631,86),0)</f>
        <v/>
      </c>
      <c r="CK631">
        <f>IFERROR(INDEX(PP_Grid[#Data],$DD631,87),0)</f>
        <v/>
      </c>
      <c r="CL631">
        <f>IFERROR(INDEX(PP_Grid[#Data],$DD631,88),0)</f>
        <v/>
      </c>
      <c r="CM631">
        <f>IFERROR(INDEX(PP_Grid[#Data],$DD631,89),0)</f>
        <v/>
      </c>
      <c r="CN631">
        <f>IFERROR(INDEX(PP_Grid[#Data],$DD631,90),0)</f>
        <v/>
      </c>
      <c r="CO631">
        <f>IFERROR(INDEX(PP_Grid[#Data],$DD631,91),0)</f>
        <v/>
      </c>
      <c r="CP631">
        <f>IFERROR(INDEX(PP_Grid[#Data],$DD631,92),0)</f>
        <v/>
      </c>
      <c r="CQ631">
        <f>IFERROR(INDEX(PP_Grid[#Data],$DD631,93),0)</f>
        <v/>
      </c>
      <c r="CR631">
        <f>IFERROR(INDEX(PP_Grid[#Data],$DD631,94),0)</f>
        <v/>
      </c>
      <c r="CS631">
        <f>IFERROR(INDEX(PP_Grid[#Data],$DD631,95),0)</f>
        <v/>
      </c>
      <c r="CT631">
        <f>IFERROR(INDEX(PP_Grid[#Data],$DD631,96),0)</f>
        <v/>
      </c>
      <c r="CU631">
        <f>IFERROR(INDEX(PP_Grid[#Data],$DD631,97),0)</f>
        <v/>
      </c>
      <c r="CV631">
        <f>IFERROR(INDEX(PP_Grid[#Data],$DD631,98),0)</f>
        <v/>
      </c>
      <c r="CW631">
        <f>IFERROR(INDEX(PP_Grid[#Data],$DD631,99),0)</f>
        <v/>
      </c>
      <c r="CX631">
        <f>IFERROR(INDEX(PP_Grid[#Data],$DD631,100),0)</f>
        <v/>
      </c>
      <c r="CY631">
        <f>IFERROR(INDEX(PP_Grid[#Data],$DD631,101),0)</f>
        <v/>
      </c>
      <c r="CZ631">
        <f>IFERROR(INDEX(PP_Grid[#Data],$DD631,102),0)</f>
        <v/>
      </c>
      <c r="DA631">
        <f>IFERROR(INDEX(PP_Grid[#Data],$DD631,103),0)</f>
        <v/>
      </c>
      <c r="DB631">
        <f>IFERROR(INDEX(PP_Grid[#Data],$DD631,104),0)</f>
        <v/>
      </c>
      <c r="DC631">
        <f>IFERROR(INDEX(PP_Grid[#Data],$DD631,105),0)</f>
        <v/>
      </c>
      <c r="DD631" s="7">
        <f>IFERROR(MATCH($B631,PP_Grid[Intermediate],0),99999)</f>
        <v/>
      </c>
    </row>
    <row r="632">
      <c r="B632" t="inlineStr">
        <is>
          <t>使用量(kg)</t>
        </is>
      </c>
      <c r="C632">
        <f>SUMIFS(M_BOM[RM_Qty_Per_Batch],M_BOM[Intermediate],$B631,M_BOM[Part Name],$A580)</f>
        <v/>
      </c>
      <c r="D632">
        <f>$C632*D631</f>
        <v/>
      </c>
      <c r="E632">
        <f>$C632*E631</f>
        <v/>
      </c>
      <c r="F632">
        <f>$C632*F631</f>
        <v/>
      </c>
      <c r="G632">
        <f>$C632*G631</f>
        <v/>
      </c>
      <c r="H632">
        <f>$C632*H631</f>
        <v/>
      </c>
      <c r="I632">
        <f>$C632*I631</f>
        <v/>
      </c>
      <c r="J632">
        <f>$C632*J631</f>
        <v/>
      </c>
      <c r="K632">
        <f>$C632*K631</f>
        <v/>
      </c>
      <c r="L632">
        <f>$C632*L631</f>
        <v/>
      </c>
      <c r="M632">
        <f>$C632*M631</f>
        <v/>
      </c>
      <c r="N632">
        <f>$C632*N631</f>
        <v/>
      </c>
      <c r="O632">
        <f>$C632*O631</f>
        <v/>
      </c>
      <c r="P632">
        <f>$C632*P631</f>
        <v/>
      </c>
      <c r="Q632">
        <f>$C632*Q631</f>
        <v/>
      </c>
      <c r="R632">
        <f>$C632*R631</f>
        <v/>
      </c>
      <c r="S632">
        <f>$C632*S631</f>
        <v/>
      </c>
      <c r="T632">
        <f>$C632*T631</f>
        <v/>
      </c>
      <c r="U632">
        <f>$C632*U631</f>
        <v/>
      </c>
      <c r="V632">
        <f>$C632*V631</f>
        <v/>
      </c>
      <c r="W632">
        <f>$C632*W631</f>
        <v/>
      </c>
      <c r="X632">
        <f>$C632*X631</f>
        <v/>
      </c>
      <c r="Y632">
        <f>$C632*Y631</f>
        <v/>
      </c>
      <c r="Z632">
        <f>$C632*Z631</f>
        <v/>
      </c>
      <c r="AA632">
        <f>$C632*AA631</f>
        <v/>
      </c>
      <c r="AB632">
        <f>$C632*AB631</f>
        <v/>
      </c>
      <c r="AC632">
        <f>$C632*AC631</f>
        <v/>
      </c>
      <c r="AD632">
        <f>$C632*AD631</f>
        <v/>
      </c>
      <c r="AE632">
        <f>$C632*AE631</f>
        <v/>
      </c>
      <c r="AF632">
        <f>$C632*AF631</f>
        <v/>
      </c>
      <c r="AG632">
        <f>$C632*AG631</f>
        <v/>
      </c>
      <c r="AH632">
        <f>$C632*AH631</f>
        <v/>
      </c>
      <c r="AI632">
        <f>$C632*AI631</f>
        <v/>
      </c>
      <c r="AJ632">
        <f>$C632*AJ631</f>
        <v/>
      </c>
      <c r="AK632">
        <f>$C632*AK631</f>
        <v/>
      </c>
      <c r="AL632">
        <f>$C632*AL631</f>
        <v/>
      </c>
      <c r="AM632">
        <f>$C632*AM631</f>
        <v/>
      </c>
      <c r="AN632">
        <f>$C632*AN631</f>
        <v/>
      </c>
      <c r="AO632">
        <f>$C632*AO631</f>
        <v/>
      </c>
      <c r="AP632">
        <f>$C632*AP631</f>
        <v/>
      </c>
      <c r="AQ632">
        <f>$C632*AQ631</f>
        <v/>
      </c>
      <c r="AR632">
        <f>$C632*AR631</f>
        <v/>
      </c>
      <c r="AS632">
        <f>$C632*AS631</f>
        <v/>
      </c>
      <c r="AT632">
        <f>$C632*AT631</f>
        <v/>
      </c>
      <c r="AU632">
        <f>$C632*AU631</f>
        <v/>
      </c>
      <c r="AV632">
        <f>$C632*AV631</f>
        <v/>
      </c>
      <c r="AW632">
        <f>$C632*AW631</f>
        <v/>
      </c>
      <c r="AX632">
        <f>$C632*AX631</f>
        <v/>
      </c>
      <c r="AY632">
        <f>$C632*AY631</f>
        <v/>
      </c>
      <c r="AZ632">
        <f>$C632*AZ631</f>
        <v/>
      </c>
      <c r="BA632">
        <f>$C632*BA631</f>
        <v/>
      </c>
      <c r="BB632">
        <f>$C632*BB631</f>
        <v/>
      </c>
      <c r="BC632">
        <f>$C632*BC631</f>
        <v/>
      </c>
      <c r="BD632">
        <f>$C632*BD631</f>
        <v/>
      </c>
      <c r="BE632">
        <f>$C632*BE631</f>
        <v/>
      </c>
      <c r="BF632">
        <f>$C632*BF631</f>
        <v/>
      </c>
      <c r="BG632">
        <f>$C632*BG631</f>
        <v/>
      </c>
      <c r="BH632">
        <f>$C632*BH631</f>
        <v/>
      </c>
      <c r="BI632">
        <f>$C632*BI631</f>
        <v/>
      </c>
      <c r="BJ632">
        <f>$C632*BJ631</f>
        <v/>
      </c>
      <c r="BK632">
        <f>$C632*BK631</f>
        <v/>
      </c>
      <c r="BL632">
        <f>$C632*BL631</f>
        <v/>
      </c>
      <c r="BM632">
        <f>$C632*BM631</f>
        <v/>
      </c>
      <c r="BN632">
        <f>$C632*BN631</f>
        <v/>
      </c>
      <c r="BO632">
        <f>$C632*BO631</f>
        <v/>
      </c>
      <c r="BP632">
        <f>$C632*BP631</f>
        <v/>
      </c>
      <c r="BQ632">
        <f>$C632*BQ631</f>
        <v/>
      </c>
      <c r="BR632">
        <f>$C632*BR631</f>
        <v/>
      </c>
      <c r="BS632">
        <f>$C632*BS631</f>
        <v/>
      </c>
      <c r="BT632">
        <f>$C632*BT631</f>
        <v/>
      </c>
      <c r="BU632">
        <f>$C632*BU631</f>
        <v/>
      </c>
      <c r="BV632">
        <f>$C632*BV631</f>
        <v/>
      </c>
      <c r="BW632">
        <f>$C632*BW631</f>
        <v/>
      </c>
      <c r="BX632">
        <f>$C632*BX631</f>
        <v/>
      </c>
      <c r="BY632">
        <f>$C632*BY631</f>
        <v/>
      </c>
      <c r="BZ632">
        <f>$C632*BZ631</f>
        <v/>
      </c>
      <c r="CA632">
        <f>$C632*CA631</f>
        <v/>
      </c>
      <c r="CB632">
        <f>$C632*CB631</f>
        <v/>
      </c>
      <c r="CC632">
        <f>$C632*CC631</f>
        <v/>
      </c>
      <c r="CD632">
        <f>$C632*CD631</f>
        <v/>
      </c>
      <c r="CE632">
        <f>$C632*CE631</f>
        <v/>
      </c>
      <c r="CF632">
        <f>$C632*CF631</f>
        <v/>
      </c>
      <c r="CG632">
        <f>$C632*CG631</f>
        <v/>
      </c>
      <c r="CH632">
        <f>$C632*CH631</f>
        <v/>
      </c>
      <c r="CI632">
        <f>$C632*CI631</f>
        <v/>
      </c>
      <c r="CJ632">
        <f>$C632*CJ631</f>
        <v/>
      </c>
      <c r="CK632">
        <f>$C632*CK631</f>
        <v/>
      </c>
      <c r="CL632">
        <f>$C632*CL631</f>
        <v/>
      </c>
      <c r="CM632">
        <f>$C632*CM631</f>
        <v/>
      </c>
      <c r="CN632">
        <f>$C632*CN631</f>
        <v/>
      </c>
      <c r="CO632">
        <f>$C632*CO631</f>
        <v/>
      </c>
      <c r="CP632">
        <f>$C632*CP631</f>
        <v/>
      </c>
      <c r="CQ632">
        <f>$C632*CQ631</f>
        <v/>
      </c>
      <c r="CR632">
        <f>$C632*CR631</f>
        <v/>
      </c>
      <c r="CS632">
        <f>$C632*CS631</f>
        <v/>
      </c>
      <c r="CT632">
        <f>$C632*CT631</f>
        <v/>
      </c>
      <c r="CU632">
        <f>$C632*CU631</f>
        <v/>
      </c>
      <c r="CV632">
        <f>$C632*CV631</f>
        <v/>
      </c>
      <c r="CW632">
        <f>$C632*CW631</f>
        <v/>
      </c>
      <c r="CX632">
        <f>$C632*CX631</f>
        <v/>
      </c>
      <c r="CY632">
        <f>$C632*CY631</f>
        <v/>
      </c>
      <c r="CZ632">
        <f>$C632*CZ631</f>
        <v/>
      </c>
      <c r="DA632">
        <f>$C632*DA631</f>
        <v/>
      </c>
      <c r="DB632">
        <f>$C632*DB631</f>
        <v/>
      </c>
      <c r="DC632">
        <f>$C632*DC631</f>
        <v/>
      </c>
    </row>
    <row r="633">
      <c r="B633" t="inlineStr">
        <is>
          <t>No of times used</t>
        </is>
      </c>
      <c r="C633" t="inlineStr">
        <is>
          <t>No. of batches</t>
        </is>
      </c>
      <c r="D633">
        <f>IFERROR(INDEX(PP_Grid[#Data],$DD633,2),0)</f>
        <v/>
      </c>
      <c r="E633">
        <f>IFERROR(INDEX(PP_Grid[#Data],$DD633,3),0)</f>
        <v/>
      </c>
      <c r="F633">
        <f>IFERROR(INDEX(PP_Grid[#Data],$DD633,4),0)</f>
        <v/>
      </c>
      <c r="G633">
        <f>IFERROR(INDEX(PP_Grid[#Data],$DD633,5),0)</f>
        <v/>
      </c>
      <c r="H633">
        <f>IFERROR(INDEX(PP_Grid[#Data],$DD633,6),0)</f>
        <v/>
      </c>
      <c r="I633">
        <f>IFERROR(INDEX(PP_Grid[#Data],$DD633,7),0)</f>
        <v/>
      </c>
      <c r="J633">
        <f>IFERROR(INDEX(PP_Grid[#Data],$DD633,8),0)</f>
        <v/>
      </c>
      <c r="K633">
        <f>IFERROR(INDEX(PP_Grid[#Data],$DD633,9),0)</f>
        <v/>
      </c>
      <c r="L633">
        <f>IFERROR(INDEX(PP_Grid[#Data],$DD633,10),0)</f>
        <v/>
      </c>
      <c r="M633">
        <f>IFERROR(INDEX(PP_Grid[#Data],$DD633,11),0)</f>
        <v/>
      </c>
      <c r="N633">
        <f>IFERROR(INDEX(PP_Grid[#Data],$DD633,12),0)</f>
        <v/>
      </c>
      <c r="O633">
        <f>IFERROR(INDEX(PP_Grid[#Data],$DD633,13),0)</f>
        <v/>
      </c>
      <c r="P633">
        <f>IFERROR(INDEX(PP_Grid[#Data],$DD633,14),0)</f>
        <v/>
      </c>
      <c r="Q633">
        <f>IFERROR(INDEX(PP_Grid[#Data],$DD633,15),0)</f>
        <v/>
      </c>
      <c r="R633">
        <f>IFERROR(INDEX(PP_Grid[#Data],$DD633,16),0)</f>
        <v/>
      </c>
      <c r="S633">
        <f>IFERROR(INDEX(PP_Grid[#Data],$DD633,17),0)</f>
        <v/>
      </c>
      <c r="T633">
        <f>IFERROR(INDEX(PP_Grid[#Data],$DD633,18),0)</f>
        <v/>
      </c>
      <c r="U633">
        <f>IFERROR(INDEX(PP_Grid[#Data],$DD633,19),0)</f>
        <v/>
      </c>
      <c r="V633">
        <f>IFERROR(INDEX(PP_Grid[#Data],$DD633,20),0)</f>
        <v/>
      </c>
      <c r="W633">
        <f>IFERROR(INDEX(PP_Grid[#Data],$DD633,21),0)</f>
        <v/>
      </c>
      <c r="X633">
        <f>IFERROR(INDEX(PP_Grid[#Data],$DD633,22),0)</f>
        <v/>
      </c>
      <c r="Y633">
        <f>IFERROR(INDEX(PP_Grid[#Data],$DD633,23),0)</f>
        <v/>
      </c>
      <c r="Z633">
        <f>IFERROR(INDEX(PP_Grid[#Data],$DD633,24),0)</f>
        <v/>
      </c>
      <c r="AA633">
        <f>IFERROR(INDEX(PP_Grid[#Data],$DD633,25),0)</f>
        <v/>
      </c>
      <c r="AB633">
        <f>IFERROR(INDEX(PP_Grid[#Data],$DD633,26),0)</f>
        <v/>
      </c>
      <c r="AC633">
        <f>IFERROR(INDEX(PP_Grid[#Data],$DD633,27),0)</f>
        <v/>
      </c>
      <c r="AD633">
        <f>IFERROR(INDEX(PP_Grid[#Data],$DD633,28),0)</f>
        <v/>
      </c>
      <c r="AE633">
        <f>IFERROR(INDEX(PP_Grid[#Data],$DD633,29),0)</f>
        <v/>
      </c>
      <c r="AF633">
        <f>IFERROR(INDEX(PP_Grid[#Data],$DD633,30),0)</f>
        <v/>
      </c>
      <c r="AG633">
        <f>IFERROR(INDEX(PP_Grid[#Data],$DD633,31),0)</f>
        <v/>
      </c>
      <c r="AH633">
        <f>IFERROR(INDEX(PP_Grid[#Data],$DD633,32),0)</f>
        <v/>
      </c>
      <c r="AI633">
        <f>IFERROR(INDEX(PP_Grid[#Data],$DD633,33),0)</f>
        <v/>
      </c>
      <c r="AJ633">
        <f>IFERROR(INDEX(PP_Grid[#Data],$DD633,34),0)</f>
        <v/>
      </c>
      <c r="AK633">
        <f>IFERROR(INDEX(PP_Grid[#Data],$DD633,35),0)</f>
        <v/>
      </c>
      <c r="AL633">
        <f>IFERROR(INDEX(PP_Grid[#Data],$DD633,36),0)</f>
        <v/>
      </c>
      <c r="AM633">
        <f>IFERROR(INDEX(PP_Grid[#Data],$DD633,37),0)</f>
        <v/>
      </c>
      <c r="AN633">
        <f>IFERROR(INDEX(PP_Grid[#Data],$DD633,38),0)</f>
        <v/>
      </c>
      <c r="AO633">
        <f>IFERROR(INDEX(PP_Grid[#Data],$DD633,39),0)</f>
        <v/>
      </c>
      <c r="AP633">
        <f>IFERROR(INDEX(PP_Grid[#Data],$DD633,40),0)</f>
        <v/>
      </c>
      <c r="AQ633">
        <f>IFERROR(INDEX(PP_Grid[#Data],$DD633,41),0)</f>
        <v/>
      </c>
      <c r="AR633">
        <f>IFERROR(INDEX(PP_Grid[#Data],$DD633,42),0)</f>
        <v/>
      </c>
      <c r="AS633">
        <f>IFERROR(INDEX(PP_Grid[#Data],$DD633,43),0)</f>
        <v/>
      </c>
      <c r="AT633">
        <f>IFERROR(INDEX(PP_Grid[#Data],$DD633,44),0)</f>
        <v/>
      </c>
      <c r="AU633">
        <f>IFERROR(INDEX(PP_Grid[#Data],$DD633,45),0)</f>
        <v/>
      </c>
      <c r="AV633">
        <f>IFERROR(INDEX(PP_Grid[#Data],$DD633,46),0)</f>
        <v/>
      </c>
      <c r="AW633">
        <f>IFERROR(INDEX(PP_Grid[#Data],$DD633,47),0)</f>
        <v/>
      </c>
      <c r="AX633">
        <f>IFERROR(INDEX(PP_Grid[#Data],$DD633,48),0)</f>
        <v/>
      </c>
      <c r="AY633">
        <f>IFERROR(INDEX(PP_Grid[#Data],$DD633,49),0)</f>
        <v/>
      </c>
      <c r="AZ633">
        <f>IFERROR(INDEX(PP_Grid[#Data],$DD633,50),0)</f>
        <v/>
      </c>
      <c r="BA633">
        <f>IFERROR(INDEX(PP_Grid[#Data],$DD633,51),0)</f>
        <v/>
      </c>
      <c r="BB633">
        <f>IFERROR(INDEX(PP_Grid[#Data],$DD633,52),0)</f>
        <v/>
      </c>
      <c r="BC633">
        <f>IFERROR(INDEX(PP_Grid[#Data],$DD633,53),0)</f>
        <v/>
      </c>
      <c r="BD633">
        <f>IFERROR(INDEX(PP_Grid[#Data],$DD633,54),0)</f>
        <v/>
      </c>
      <c r="BE633">
        <f>IFERROR(INDEX(PP_Grid[#Data],$DD633,55),0)</f>
        <v/>
      </c>
      <c r="BF633">
        <f>IFERROR(INDEX(PP_Grid[#Data],$DD633,56),0)</f>
        <v/>
      </c>
      <c r="BG633">
        <f>IFERROR(INDEX(PP_Grid[#Data],$DD633,57),0)</f>
        <v/>
      </c>
      <c r="BH633">
        <f>IFERROR(INDEX(PP_Grid[#Data],$DD633,58),0)</f>
        <v/>
      </c>
      <c r="BI633">
        <f>IFERROR(INDEX(PP_Grid[#Data],$DD633,59),0)</f>
        <v/>
      </c>
      <c r="BJ633">
        <f>IFERROR(INDEX(PP_Grid[#Data],$DD633,60),0)</f>
        <v/>
      </c>
      <c r="BK633">
        <f>IFERROR(INDEX(PP_Grid[#Data],$DD633,61),0)</f>
        <v/>
      </c>
      <c r="BL633">
        <f>IFERROR(INDEX(PP_Grid[#Data],$DD633,62),0)</f>
        <v/>
      </c>
      <c r="BM633">
        <f>IFERROR(INDEX(PP_Grid[#Data],$DD633,63),0)</f>
        <v/>
      </c>
      <c r="BN633">
        <f>IFERROR(INDEX(PP_Grid[#Data],$DD633,64),0)</f>
        <v/>
      </c>
      <c r="BO633">
        <f>IFERROR(INDEX(PP_Grid[#Data],$DD633,65),0)</f>
        <v/>
      </c>
      <c r="BP633">
        <f>IFERROR(INDEX(PP_Grid[#Data],$DD633,66),0)</f>
        <v/>
      </c>
      <c r="BQ633">
        <f>IFERROR(INDEX(PP_Grid[#Data],$DD633,67),0)</f>
        <v/>
      </c>
      <c r="BR633">
        <f>IFERROR(INDEX(PP_Grid[#Data],$DD633,68),0)</f>
        <v/>
      </c>
      <c r="BS633">
        <f>IFERROR(INDEX(PP_Grid[#Data],$DD633,69),0)</f>
        <v/>
      </c>
      <c r="BT633">
        <f>IFERROR(INDEX(PP_Grid[#Data],$DD633,70),0)</f>
        <v/>
      </c>
      <c r="BU633">
        <f>IFERROR(INDEX(PP_Grid[#Data],$DD633,71),0)</f>
        <v/>
      </c>
      <c r="BV633">
        <f>IFERROR(INDEX(PP_Grid[#Data],$DD633,72),0)</f>
        <v/>
      </c>
      <c r="BW633">
        <f>IFERROR(INDEX(PP_Grid[#Data],$DD633,73),0)</f>
        <v/>
      </c>
      <c r="BX633">
        <f>IFERROR(INDEX(PP_Grid[#Data],$DD633,74),0)</f>
        <v/>
      </c>
      <c r="BY633">
        <f>IFERROR(INDEX(PP_Grid[#Data],$DD633,75),0)</f>
        <v/>
      </c>
      <c r="BZ633">
        <f>IFERROR(INDEX(PP_Grid[#Data],$DD633,76),0)</f>
        <v/>
      </c>
      <c r="CA633">
        <f>IFERROR(INDEX(PP_Grid[#Data],$DD633,77),0)</f>
        <v/>
      </c>
      <c r="CB633">
        <f>IFERROR(INDEX(PP_Grid[#Data],$DD633,78),0)</f>
        <v/>
      </c>
      <c r="CC633">
        <f>IFERROR(INDEX(PP_Grid[#Data],$DD633,79),0)</f>
        <v/>
      </c>
      <c r="CD633">
        <f>IFERROR(INDEX(PP_Grid[#Data],$DD633,80),0)</f>
        <v/>
      </c>
      <c r="CE633">
        <f>IFERROR(INDEX(PP_Grid[#Data],$DD633,81),0)</f>
        <v/>
      </c>
      <c r="CF633">
        <f>IFERROR(INDEX(PP_Grid[#Data],$DD633,82),0)</f>
        <v/>
      </c>
      <c r="CG633">
        <f>IFERROR(INDEX(PP_Grid[#Data],$DD633,83),0)</f>
        <v/>
      </c>
      <c r="CH633">
        <f>IFERROR(INDEX(PP_Grid[#Data],$DD633,84),0)</f>
        <v/>
      </c>
      <c r="CI633">
        <f>IFERROR(INDEX(PP_Grid[#Data],$DD633,85),0)</f>
        <v/>
      </c>
      <c r="CJ633">
        <f>IFERROR(INDEX(PP_Grid[#Data],$DD633,86),0)</f>
        <v/>
      </c>
      <c r="CK633">
        <f>IFERROR(INDEX(PP_Grid[#Data],$DD633,87),0)</f>
        <v/>
      </c>
      <c r="CL633">
        <f>IFERROR(INDEX(PP_Grid[#Data],$DD633,88),0)</f>
        <v/>
      </c>
      <c r="CM633">
        <f>IFERROR(INDEX(PP_Grid[#Data],$DD633,89),0)</f>
        <v/>
      </c>
      <c r="CN633">
        <f>IFERROR(INDEX(PP_Grid[#Data],$DD633,90),0)</f>
        <v/>
      </c>
      <c r="CO633">
        <f>IFERROR(INDEX(PP_Grid[#Data],$DD633,91),0)</f>
        <v/>
      </c>
      <c r="CP633">
        <f>IFERROR(INDEX(PP_Grid[#Data],$DD633,92),0)</f>
        <v/>
      </c>
      <c r="CQ633">
        <f>IFERROR(INDEX(PP_Grid[#Data],$DD633,93),0)</f>
        <v/>
      </c>
      <c r="CR633">
        <f>IFERROR(INDEX(PP_Grid[#Data],$DD633,94),0)</f>
        <v/>
      </c>
      <c r="CS633">
        <f>IFERROR(INDEX(PP_Grid[#Data],$DD633,95),0)</f>
        <v/>
      </c>
      <c r="CT633">
        <f>IFERROR(INDEX(PP_Grid[#Data],$DD633,96),0)</f>
        <v/>
      </c>
      <c r="CU633">
        <f>IFERROR(INDEX(PP_Grid[#Data],$DD633,97),0)</f>
        <v/>
      </c>
      <c r="CV633">
        <f>IFERROR(INDEX(PP_Grid[#Data],$DD633,98),0)</f>
        <v/>
      </c>
      <c r="CW633">
        <f>IFERROR(INDEX(PP_Grid[#Data],$DD633,99),0)</f>
        <v/>
      </c>
      <c r="CX633">
        <f>IFERROR(INDEX(PP_Grid[#Data],$DD633,100),0)</f>
        <v/>
      </c>
      <c r="CY633">
        <f>IFERROR(INDEX(PP_Grid[#Data],$DD633,101),0)</f>
        <v/>
      </c>
      <c r="CZ633">
        <f>IFERROR(INDEX(PP_Grid[#Data],$DD633,102),0)</f>
        <v/>
      </c>
      <c r="DA633">
        <f>IFERROR(INDEX(PP_Grid[#Data],$DD633,103),0)</f>
        <v/>
      </c>
      <c r="DB633">
        <f>IFERROR(INDEX(PP_Grid[#Data],$DD633,104),0)</f>
        <v/>
      </c>
      <c r="DC633">
        <f>IFERROR(INDEX(PP_Grid[#Data],$DD633,105),0)</f>
        <v/>
      </c>
      <c r="DD633" s="7">
        <f>IFERROR(MATCH($B633,PP_Grid[Intermediate],0),99999)</f>
        <v/>
      </c>
    </row>
    <row r="634">
      <c r="B634" t="inlineStr">
        <is>
          <t>使用量(kg)</t>
        </is>
      </c>
      <c r="C634">
        <f>SUMIFS(M_BOM[RM_Qty_Per_Batch],M_BOM[Intermediate],$B633,M_BOM[Part Name],$A580)</f>
        <v/>
      </c>
      <c r="D634">
        <f>$C634*D633</f>
        <v/>
      </c>
      <c r="E634">
        <f>$C634*E633</f>
        <v/>
      </c>
      <c r="F634">
        <f>$C634*F633</f>
        <v/>
      </c>
      <c r="G634">
        <f>$C634*G633</f>
        <v/>
      </c>
      <c r="H634">
        <f>$C634*H633</f>
        <v/>
      </c>
      <c r="I634">
        <f>$C634*I633</f>
        <v/>
      </c>
      <c r="J634">
        <f>$C634*J633</f>
        <v/>
      </c>
      <c r="K634">
        <f>$C634*K633</f>
        <v/>
      </c>
      <c r="L634">
        <f>$C634*L633</f>
        <v/>
      </c>
      <c r="M634">
        <f>$C634*M633</f>
        <v/>
      </c>
      <c r="N634">
        <f>$C634*N633</f>
        <v/>
      </c>
      <c r="O634">
        <f>$C634*O633</f>
        <v/>
      </c>
      <c r="P634">
        <f>$C634*P633</f>
        <v/>
      </c>
      <c r="Q634">
        <f>$C634*Q633</f>
        <v/>
      </c>
      <c r="R634">
        <f>$C634*R633</f>
        <v/>
      </c>
      <c r="S634">
        <f>$C634*S633</f>
        <v/>
      </c>
      <c r="T634">
        <f>$C634*T633</f>
        <v/>
      </c>
      <c r="U634">
        <f>$C634*U633</f>
        <v/>
      </c>
      <c r="V634">
        <f>$C634*V633</f>
        <v/>
      </c>
      <c r="W634">
        <f>$C634*W633</f>
        <v/>
      </c>
      <c r="X634">
        <f>$C634*X633</f>
        <v/>
      </c>
      <c r="Y634">
        <f>$C634*Y633</f>
        <v/>
      </c>
      <c r="Z634">
        <f>$C634*Z633</f>
        <v/>
      </c>
      <c r="AA634">
        <f>$C634*AA633</f>
        <v/>
      </c>
      <c r="AB634">
        <f>$C634*AB633</f>
        <v/>
      </c>
      <c r="AC634">
        <f>$C634*AC633</f>
        <v/>
      </c>
      <c r="AD634">
        <f>$C634*AD633</f>
        <v/>
      </c>
      <c r="AE634">
        <f>$C634*AE633</f>
        <v/>
      </c>
      <c r="AF634">
        <f>$C634*AF633</f>
        <v/>
      </c>
      <c r="AG634">
        <f>$C634*AG633</f>
        <v/>
      </c>
      <c r="AH634">
        <f>$C634*AH633</f>
        <v/>
      </c>
      <c r="AI634">
        <f>$C634*AI633</f>
        <v/>
      </c>
      <c r="AJ634">
        <f>$C634*AJ633</f>
        <v/>
      </c>
      <c r="AK634">
        <f>$C634*AK633</f>
        <v/>
      </c>
      <c r="AL634">
        <f>$C634*AL633</f>
        <v/>
      </c>
      <c r="AM634">
        <f>$C634*AM633</f>
        <v/>
      </c>
      <c r="AN634">
        <f>$C634*AN633</f>
        <v/>
      </c>
      <c r="AO634">
        <f>$C634*AO633</f>
        <v/>
      </c>
      <c r="AP634">
        <f>$C634*AP633</f>
        <v/>
      </c>
      <c r="AQ634">
        <f>$C634*AQ633</f>
        <v/>
      </c>
      <c r="AR634">
        <f>$C634*AR633</f>
        <v/>
      </c>
      <c r="AS634">
        <f>$C634*AS633</f>
        <v/>
      </c>
      <c r="AT634">
        <f>$C634*AT633</f>
        <v/>
      </c>
      <c r="AU634">
        <f>$C634*AU633</f>
        <v/>
      </c>
      <c r="AV634">
        <f>$C634*AV633</f>
        <v/>
      </c>
      <c r="AW634">
        <f>$C634*AW633</f>
        <v/>
      </c>
      <c r="AX634">
        <f>$C634*AX633</f>
        <v/>
      </c>
      <c r="AY634">
        <f>$C634*AY633</f>
        <v/>
      </c>
      <c r="AZ634">
        <f>$C634*AZ633</f>
        <v/>
      </c>
      <c r="BA634">
        <f>$C634*BA633</f>
        <v/>
      </c>
      <c r="BB634">
        <f>$C634*BB633</f>
        <v/>
      </c>
      <c r="BC634">
        <f>$C634*BC633</f>
        <v/>
      </c>
      <c r="BD634">
        <f>$C634*BD633</f>
        <v/>
      </c>
      <c r="BE634">
        <f>$C634*BE633</f>
        <v/>
      </c>
      <c r="BF634">
        <f>$C634*BF633</f>
        <v/>
      </c>
      <c r="BG634">
        <f>$C634*BG633</f>
        <v/>
      </c>
      <c r="BH634">
        <f>$C634*BH633</f>
        <v/>
      </c>
      <c r="BI634">
        <f>$C634*BI633</f>
        <v/>
      </c>
      <c r="BJ634">
        <f>$C634*BJ633</f>
        <v/>
      </c>
      <c r="BK634">
        <f>$C634*BK633</f>
        <v/>
      </c>
      <c r="BL634">
        <f>$C634*BL633</f>
        <v/>
      </c>
      <c r="BM634">
        <f>$C634*BM633</f>
        <v/>
      </c>
      <c r="BN634">
        <f>$C634*BN633</f>
        <v/>
      </c>
      <c r="BO634">
        <f>$C634*BO633</f>
        <v/>
      </c>
      <c r="BP634">
        <f>$C634*BP633</f>
        <v/>
      </c>
      <c r="BQ634">
        <f>$C634*BQ633</f>
        <v/>
      </c>
      <c r="BR634">
        <f>$C634*BR633</f>
        <v/>
      </c>
      <c r="BS634">
        <f>$C634*BS633</f>
        <v/>
      </c>
      <c r="BT634">
        <f>$C634*BT633</f>
        <v/>
      </c>
      <c r="BU634">
        <f>$C634*BU633</f>
        <v/>
      </c>
      <c r="BV634">
        <f>$C634*BV633</f>
        <v/>
      </c>
      <c r="BW634">
        <f>$C634*BW633</f>
        <v/>
      </c>
      <c r="BX634">
        <f>$C634*BX633</f>
        <v/>
      </c>
      <c r="BY634">
        <f>$C634*BY633</f>
        <v/>
      </c>
      <c r="BZ634">
        <f>$C634*BZ633</f>
        <v/>
      </c>
      <c r="CA634">
        <f>$C634*CA633</f>
        <v/>
      </c>
      <c r="CB634">
        <f>$C634*CB633</f>
        <v/>
      </c>
      <c r="CC634">
        <f>$C634*CC633</f>
        <v/>
      </c>
      <c r="CD634">
        <f>$C634*CD633</f>
        <v/>
      </c>
      <c r="CE634">
        <f>$C634*CE633</f>
        <v/>
      </c>
      <c r="CF634">
        <f>$C634*CF633</f>
        <v/>
      </c>
      <c r="CG634">
        <f>$C634*CG633</f>
        <v/>
      </c>
      <c r="CH634">
        <f>$C634*CH633</f>
        <v/>
      </c>
      <c r="CI634">
        <f>$C634*CI633</f>
        <v/>
      </c>
      <c r="CJ634">
        <f>$C634*CJ633</f>
        <v/>
      </c>
      <c r="CK634">
        <f>$C634*CK633</f>
        <v/>
      </c>
      <c r="CL634">
        <f>$C634*CL633</f>
        <v/>
      </c>
      <c r="CM634">
        <f>$C634*CM633</f>
        <v/>
      </c>
      <c r="CN634">
        <f>$C634*CN633</f>
        <v/>
      </c>
      <c r="CO634">
        <f>$C634*CO633</f>
        <v/>
      </c>
      <c r="CP634">
        <f>$C634*CP633</f>
        <v/>
      </c>
      <c r="CQ634">
        <f>$C634*CQ633</f>
        <v/>
      </c>
      <c r="CR634">
        <f>$C634*CR633</f>
        <v/>
      </c>
      <c r="CS634">
        <f>$C634*CS633</f>
        <v/>
      </c>
      <c r="CT634">
        <f>$C634*CT633</f>
        <v/>
      </c>
      <c r="CU634">
        <f>$C634*CU633</f>
        <v/>
      </c>
      <c r="CV634">
        <f>$C634*CV633</f>
        <v/>
      </c>
      <c r="CW634">
        <f>$C634*CW633</f>
        <v/>
      </c>
      <c r="CX634">
        <f>$C634*CX633</f>
        <v/>
      </c>
      <c r="CY634">
        <f>$C634*CY633</f>
        <v/>
      </c>
      <c r="CZ634">
        <f>$C634*CZ633</f>
        <v/>
      </c>
      <c r="DA634">
        <f>$C634*DA633</f>
        <v/>
      </c>
      <c r="DB634">
        <f>$C634*DB633</f>
        <v/>
      </c>
      <c r="DC634">
        <f>$C634*DC633</f>
        <v/>
      </c>
    </row>
    <row r="635">
      <c r="B635" t="inlineStr">
        <is>
          <t>F2090</t>
        </is>
      </c>
      <c r="C635" t="inlineStr">
        <is>
          <t>No. of batches</t>
        </is>
      </c>
      <c r="D635">
        <f>IFERROR(INDEX(PP_Grid[#Data],$DD635,2),0)</f>
        <v/>
      </c>
      <c r="E635">
        <f>IFERROR(INDEX(PP_Grid[#Data],$DD635,3),0)</f>
        <v/>
      </c>
      <c r="F635">
        <f>IFERROR(INDEX(PP_Grid[#Data],$DD635,4),0)</f>
        <v/>
      </c>
      <c r="G635">
        <f>IFERROR(INDEX(PP_Grid[#Data],$DD635,5),0)</f>
        <v/>
      </c>
      <c r="H635">
        <f>IFERROR(INDEX(PP_Grid[#Data],$DD635,6),0)</f>
        <v/>
      </c>
      <c r="I635">
        <f>IFERROR(INDEX(PP_Grid[#Data],$DD635,7),0)</f>
        <v/>
      </c>
      <c r="J635">
        <f>IFERROR(INDEX(PP_Grid[#Data],$DD635,8),0)</f>
        <v/>
      </c>
      <c r="K635">
        <f>IFERROR(INDEX(PP_Grid[#Data],$DD635,9),0)</f>
        <v/>
      </c>
      <c r="L635">
        <f>IFERROR(INDEX(PP_Grid[#Data],$DD635,10),0)</f>
        <v/>
      </c>
      <c r="M635">
        <f>IFERROR(INDEX(PP_Grid[#Data],$DD635,11),0)</f>
        <v/>
      </c>
      <c r="N635">
        <f>IFERROR(INDEX(PP_Grid[#Data],$DD635,12),0)</f>
        <v/>
      </c>
      <c r="O635">
        <f>IFERROR(INDEX(PP_Grid[#Data],$DD635,13),0)</f>
        <v/>
      </c>
      <c r="P635">
        <f>IFERROR(INDEX(PP_Grid[#Data],$DD635,14),0)</f>
        <v/>
      </c>
      <c r="Q635">
        <f>IFERROR(INDEX(PP_Grid[#Data],$DD635,15),0)</f>
        <v/>
      </c>
      <c r="R635">
        <f>IFERROR(INDEX(PP_Grid[#Data],$DD635,16),0)</f>
        <v/>
      </c>
      <c r="S635">
        <f>IFERROR(INDEX(PP_Grid[#Data],$DD635,17),0)</f>
        <v/>
      </c>
      <c r="T635">
        <f>IFERROR(INDEX(PP_Grid[#Data],$DD635,18),0)</f>
        <v/>
      </c>
      <c r="U635">
        <f>IFERROR(INDEX(PP_Grid[#Data],$DD635,19),0)</f>
        <v/>
      </c>
      <c r="V635">
        <f>IFERROR(INDEX(PP_Grid[#Data],$DD635,20),0)</f>
        <v/>
      </c>
      <c r="W635">
        <f>IFERROR(INDEX(PP_Grid[#Data],$DD635,21),0)</f>
        <v/>
      </c>
      <c r="X635">
        <f>IFERROR(INDEX(PP_Grid[#Data],$DD635,22),0)</f>
        <v/>
      </c>
      <c r="Y635">
        <f>IFERROR(INDEX(PP_Grid[#Data],$DD635,23),0)</f>
        <v/>
      </c>
      <c r="Z635">
        <f>IFERROR(INDEX(PP_Grid[#Data],$DD635,24),0)</f>
        <v/>
      </c>
      <c r="AA635">
        <f>IFERROR(INDEX(PP_Grid[#Data],$DD635,25),0)</f>
        <v/>
      </c>
      <c r="AB635">
        <f>IFERROR(INDEX(PP_Grid[#Data],$DD635,26),0)</f>
        <v/>
      </c>
      <c r="AC635">
        <f>IFERROR(INDEX(PP_Grid[#Data],$DD635,27),0)</f>
        <v/>
      </c>
      <c r="AD635">
        <f>IFERROR(INDEX(PP_Grid[#Data],$DD635,28),0)</f>
        <v/>
      </c>
      <c r="AE635">
        <f>IFERROR(INDEX(PP_Grid[#Data],$DD635,29),0)</f>
        <v/>
      </c>
      <c r="AF635">
        <f>IFERROR(INDEX(PP_Grid[#Data],$DD635,30),0)</f>
        <v/>
      </c>
      <c r="AG635">
        <f>IFERROR(INDEX(PP_Grid[#Data],$DD635,31),0)</f>
        <v/>
      </c>
      <c r="AH635">
        <f>IFERROR(INDEX(PP_Grid[#Data],$DD635,32),0)</f>
        <v/>
      </c>
      <c r="AI635">
        <f>IFERROR(INDEX(PP_Grid[#Data],$DD635,33),0)</f>
        <v/>
      </c>
      <c r="AJ635">
        <f>IFERROR(INDEX(PP_Grid[#Data],$DD635,34),0)</f>
        <v/>
      </c>
      <c r="AK635">
        <f>IFERROR(INDEX(PP_Grid[#Data],$DD635,35),0)</f>
        <v/>
      </c>
      <c r="AL635">
        <f>IFERROR(INDEX(PP_Grid[#Data],$DD635,36),0)</f>
        <v/>
      </c>
      <c r="AM635">
        <f>IFERROR(INDEX(PP_Grid[#Data],$DD635,37),0)</f>
        <v/>
      </c>
      <c r="AN635">
        <f>IFERROR(INDEX(PP_Grid[#Data],$DD635,38),0)</f>
        <v/>
      </c>
      <c r="AO635">
        <f>IFERROR(INDEX(PP_Grid[#Data],$DD635,39),0)</f>
        <v/>
      </c>
      <c r="AP635">
        <f>IFERROR(INDEX(PP_Grid[#Data],$DD635,40),0)</f>
        <v/>
      </c>
      <c r="AQ635">
        <f>IFERROR(INDEX(PP_Grid[#Data],$DD635,41),0)</f>
        <v/>
      </c>
      <c r="AR635">
        <f>IFERROR(INDEX(PP_Grid[#Data],$DD635,42),0)</f>
        <v/>
      </c>
      <c r="AS635">
        <f>IFERROR(INDEX(PP_Grid[#Data],$DD635,43),0)</f>
        <v/>
      </c>
      <c r="AT635">
        <f>IFERROR(INDEX(PP_Grid[#Data],$DD635,44),0)</f>
        <v/>
      </c>
      <c r="AU635">
        <f>IFERROR(INDEX(PP_Grid[#Data],$DD635,45),0)</f>
        <v/>
      </c>
      <c r="AV635">
        <f>IFERROR(INDEX(PP_Grid[#Data],$DD635,46),0)</f>
        <v/>
      </c>
      <c r="AW635">
        <f>IFERROR(INDEX(PP_Grid[#Data],$DD635,47),0)</f>
        <v/>
      </c>
      <c r="AX635">
        <f>IFERROR(INDEX(PP_Grid[#Data],$DD635,48),0)</f>
        <v/>
      </c>
      <c r="AY635">
        <f>IFERROR(INDEX(PP_Grid[#Data],$DD635,49),0)</f>
        <v/>
      </c>
      <c r="AZ635">
        <f>IFERROR(INDEX(PP_Grid[#Data],$DD635,50),0)</f>
        <v/>
      </c>
      <c r="BA635">
        <f>IFERROR(INDEX(PP_Grid[#Data],$DD635,51),0)</f>
        <v/>
      </c>
      <c r="BB635">
        <f>IFERROR(INDEX(PP_Grid[#Data],$DD635,52),0)</f>
        <v/>
      </c>
      <c r="BC635">
        <f>IFERROR(INDEX(PP_Grid[#Data],$DD635,53),0)</f>
        <v/>
      </c>
      <c r="BD635">
        <f>IFERROR(INDEX(PP_Grid[#Data],$DD635,54),0)</f>
        <v/>
      </c>
      <c r="BE635">
        <f>IFERROR(INDEX(PP_Grid[#Data],$DD635,55),0)</f>
        <v/>
      </c>
      <c r="BF635">
        <f>IFERROR(INDEX(PP_Grid[#Data],$DD635,56),0)</f>
        <v/>
      </c>
      <c r="BG635">
        <f>IFERROR(INDEX(PP_Grid[#Data],$DD635,57),0)</f>
        <v/>
      </c>
      <c r="BH635">
        <f>IFERROR(INDEX(PP_Grid[#Data],$DD635,58),0)</f>
        <v/>
      </c>
      <c r="BI635">
        <f>IFERROR(INDEX(PP_Grid[#Data],$DD635,59),0)</f>
        <v/>
      </c>
      <c r="BJ635">
        <f>IFERROR(INDEX(PP_Grid[#Data],$DD635,60),0)</f>
        <v/>
      </c>
      <c r="BK635">
        <f>IFERROR(INDEX(PP_Grid[#Data],$DD635,61),0)</f>
        <v/>
      </c>
      <c r="BL635">
        <f>IFERROR(INDEX(PP_Grid[#Data],$DD635,62),0)</f>
        <v/>
      </c>
      <c r="BM635">
        <f>IFERROR(INDEX(PP_Grid[#Data],$DD635,63),0)</f>
        <v/>
      </c>
      <c r="BN635">
        <f>IFERROR(INDEX(PP_Grid[#Data],$DD635,64),0)</f>
        <v/>
      </c>
      <c r="BO635">
        <f>IFERROR(INDEX(PP_Grid[#Data],$DD635,65),0)</f>
        <v/>
      </c>
      <c r="BP635">
        <f>IFERROR(INDEX(PP_Grid[#Data],$DD635,66),0)</f>
        <v/>
      </c>
      <c r="BQ635">
        <f>IFERROR(INDEX(PP_Grid[#Data],$DD635,67),0)</f>
        <v/>
      </c>
      <c r="BR635">
        <f>IFERROR(INDEX(PP_Grid[#Data],$DD635,68),0)</f>
        <v/>
      </c>
      <c r="BS635">
        <f>IFERROR(INDEX(PP_Grid[#Data],$DD635,69),0)</f>
        <v/>
      </c>
      <c r="BT635">
        <f>IFERROR(INDEX(PP_Grid[#Data],$DD635,70),0)</f>
        <v/>
      </c>
      <c r="BU635">
        <f>IFERROR(INDEX(PP_Grid[#Data],$DD635,71),0)</f>
        <v/>
      </c>
      <c r="BV635">
        <f>IFERROR(INDEX(PP_Grid[#Data],$DD635,72),0)</f>
        <v/>
      </c>
      <c r="BW635">
        <f>IFERROR(INDEX(PP_Grid[#Data],$DD635,73),0)</f>
        <v/>
      </c>
      <c r="BX635">
        <f>IFERROR(INDEX(PP_Grid[#Data],$DD635,74),0)</f>
        <v/>
      </c>
      <c r="BY635">
        <f>IFERROR(INDEX(PP_Grid[#Data],$DD635,75),0)</f>
        <v/>
      </c>
      <c r="BZ635">
        <f>IFERROR(INDEX(PP_Grid[#Data],$DD635,76),0)</f>
        <v/>
      </c>
      <c r="CA635">
        <f>IFERROR(INDEX(PP_Grid[#Data],$DD635,77),0)</f>
        <v/>
      </c>
      <c r="CB635">
        <f>IFERROR(INDEX(PP_Grid[#Data],$DD635,78),0)</f>
        <v/>
      </c>
      <c r="CC635">
        <f>IFERROR(INDEX(PP_Grid[#Data],$DD635,79),0)</f>
        <v/>
      </c>
      <c r="CD635">
        <f>IFERROR(INDEX(PP_Grid[#Data],$DD635,80),0)</f>
        <v/>
      </c>
      <c r="CE635">
        <f>IFERROR(INDEX(PP_Grid[#Data],$DD635,81),0)</f>
        <v/>
      </c>
      <c r="CF635">
        <f>IFERROR(INDEX(PP_Grid[#Data],$DD635,82),0)</f>
        <v/>
      </c>
      <c r="CG635">
        <f>IFERROR(INDEX(PP_Grid[#Data],$DD635,83),0)</f>
        <v/>
      </c>
      <c r="CH635">
        <f>IFERROR(INDEX(PP_Grid[#Data],$DD635,84),0)</f>
        <v/>
      </c>
      <c r="CI635">
        <f>IFERROR(INDEX(PP_Grid[#Data],$DD635,85),0)</f>
        <v/>
      </c>
      <c r="CJ635">
        <f>IFERROR(INDEX(PP_Grid[#Data],$DD635,86),0)</f>
        <v/>
      </c>
      <c r="CK635">
        <f>IFERROR(INDEX(PP_Grid[#Data],$DD635,87),0)</f>
        <v/>
      </c>
      <c r="CL635">
        <f>IFERROR(INDEX(PP_Grid[#Data],$DD635,88),0)</f>
        <v/>
      </c>
      <c r="CM635">
        <f>IFERROR(INDEX(PP_Grid[#Data],$DD635,89),0)</f>
        <v/>
      </c>
      <c r="CN635">
        <f>IFERROR(INDEX(PP_Grid[#Data],$DD635,90),0)</f>
        <v/>
      </c>
      <c r="CO635">
        <f>IFERROR(INDEX(PP_Grid[#Data],$DD635,91),0)</f>
        <v/>
      </c>
      <c r="CP635">
        <f>IFERROR(INDEX(PP_Grid[#Data],$DD635,92),0)</f>
        <v/>
      </c>
      <c r="CQ635">
        <f>IFERROR(INDEX(PP_Grid[#Data],$DD635,93),0)</f>
        <v/>
      </c>
      <c r="CR635">
        <f>IFERROR(INDEX(PP_Grid[#Data],$DD635,94),0)</f>
        <v/>
      </c>
      <c r="CS635">
        <f>IFERROR(INDEX(PP_Grid[#Data],$DD635,95),0)</f>
        <v/>
      </c>
      <c r="CT635">
        <f>IFERROR(INDEX(PP_Grid[#Data],$DD635,96),0)</f>
        <v/>
      </c>
      <c r="CU635">
        <f>IFERROR(INDEX(PP_Grid[#Data],$DD635,97),0)</f>
        <v/>
      </c>
      <c r="CV635">
        <f>IFERROR(INDEX(PP_Grid[#Data],$DD635,98),0)</f>
        <v/>
      </c>
      <c r="CW635">
        <f>IFERROR(INDEX(PP_Grid[#Data],$DD635,99),0)</f>
        <v/>
      </c>
      <c r="CX635">
        <f>IFERROR(INDEX(PP_Grid[#Data],$DD635,100),0)</f>
        <v/>
      </c>
      <c r="CY635">
        <f>IFERROR(INDEX(PP_Grid[#Data],$DD635,101),0)</f>
        <v/>
      </c>
      <c r="CZ635">
        <f>IFERROR(INDEX(PP_Grid[#Data],$DD635,102),0)</f>
        <v/>
      </c>
      <c r="DA635">
        <f>IFERROR(INDEX(PP_Grid[#Data],$DD635,103),0)</f>
        <v/>
      </c>
      <c r="DB635">
        <f>IFERROR(INDEX(PP_Grid[#Data],$DD635,104),0)</f>
        <v/>
      </c>
      <c r="DC635">
        <f>IFERROR(INDEX(PP_Grid[#Data],$DD635,105),0)</f>
        <v/>
      </c>
      <c r="DD635" s="7">
        <f>IFERROR(MATCH($B635,PP_Grid[Intermediate],0),99999)</f>
        <v/>
      </c>
    </row>
    <row r="636">
      <c r="B636" t="inlineStr">
        <is>
          <t>使用量(kg)</t>
        </is>
      </c>
      <c r="C636">
        <f>SUMIFS(M_BOM[RM_Qty_Per_Batch],M_BOM[Intermediate],$B635,M_BOM[Part Name],$A580)</f>
        <v/>
      </c>
      <c r="D636">
        <f>$C636*D635</f>
        <v/>
      </c>
      <c r="E636">
        <f>$C636*E635</f>
        <v/>
      </c>
      <c r="F636">
        <f>$C636*F635</f>
        <v/>
      </c>
      <c r="G636">
        <f>$C636*G635</f>
        <v/>
      </c>
      <c r="H636">
        <f>$C636*H635</f>
        <v/>
      </c>
      <c r="I636">
        <f>$C636*I635</f>
        <v/>
      </c>
      <c r="J636">
        <f>$C636*J635</f>
        <v/>
      </c>
      <c r="K636">
        <f>$C636*K635</f>
        <v/>
      </c>
      <c r="L636">
        <f>$C636*L635</f>
        <v/>
      </c>
      <c r="M636">
        <f>$C636*M635</f>
        <v/>
      </c>
      <c r="N636">
        <f>$C636*N635</f>
        <v/>
      </c>
      <c r="O636">
        <f>$C636*O635</f>
        <v/>
      </c>
      <c r="P636">
        <f>$C636*P635</f>
        <v/>
      </c>
      <c r="Q636">
        <f>$C636*Q635</f>
        <v/>
      </c>
      <c r="R636">
        <f>$C636*R635</f>
        <v/>
      </c>
      <c r="S636">
        <f>$C636*S635</f>
        <v/>
      </c>
      <c r="T636">
        <f>$C636*T635</f>
        <v/>
      </c>
      <c r="U636">
        <f>$C636*U635</f>
        <v/>
      </c>
      <c r="V636">
        <f>$C636*V635</f>
        <v/>
      </c>
      <c r="W636">
        <f>$C636*W635</f>
        <v/>
      </c>
      <c r="X636">
        <f>$C636*X635</f>
        <v/>
      </c>
      <c r="Y636">
        <f>$C636*Y635</f>
        <v/>
      </c>
      <c r="Z636">
        <f>$C636*Z635</f>
        <v/>
      </c>
      <c r="AA636">
        <f>$C636*AA635</f>
        <v/>
      </c>
      <c r="AB636">
        <f>$C636*AB635</f>
        <v/>
      </c>
      <c r="AC636">
        <f>$C636*AC635</f>
        <v/>
      </c>
      <c r="AD636">
        <f>$C636*AD635</f>
        <v/>
      </c>
      <c r="AE636">
        <f>$C636*AE635</f>
        <v/>
      </c>
      <c r="AF636">
        <f>$C636*AF635</f>
        <v/>
      </c>
      <c r="AG636">
        <f>$C636*AG635</f>
        <v/>
      </c>
      <c r="AH636">
        <f>$C636*AH635</f>
        <v/>
      </c>
      <c r="AI636">
        <f>$C636*AI635</f>
        <v/>
      </c>
      <c r="AJ636">
        <f>$C636*AJ635</f>
        <v/>
      </c>
      <c r="AK636">
        <f>$C636*AK635</f>
        <v/>
      </c>
      <c r="AL636">
        <f>$C636*AL635</f>
        <v/>
      </c>
      <c r="AM636">
        <f>$C636*AM635</f>
        <v/>
      </c>
      <c r="AN636">
        <f>$C636*AN635</f>
        <v/>
      </c>
      <c r="AO636">
        <f>$C636*AO635</f>
        <v/>
      </c>
      <c r="AP636">
        <f>$C636*AP635</f>
        <v/>
      </c>
      <c r="AQ636">
        <f>$C636*AQ635</f>
        <v/>
      </c>
      <c r="AR636">
        <f>$C636*AR635</f>
        <v/>
      </c>
      <c r="AS636">
        <f>$C636*AS635</f>
        <v/>
      </c>
      <c r="AT636">
        <f>$C636*AT635</f>
        <v/>
      </c>
      <c r="AU636">
        <f>$C636*AU635</f>
        <v/>
      </c>
      <c r="AV636">
        <f>$C636*AV635</f>
        <v/>
      </c>
      <c r="AW636">
        <f>$C636*AW635</f>
        <v/>
      </c>
      <c r="AX636">
        <f>$C636*AX635</f>
        <v/>
      </c>
      <c r="AY636">
        <f>$C636*AY635</f>
        <v/>
      </c>
      <c r="AZ636">
        <f>$C636*AZ635</f>
        <v/>
      </c>
      <c r="BA636">
        <f>$C636*BA635</f>
        <v/>
      </c>
      <c r="BB636">
        <f>$C636*BB635</f>
        <v/>
      </c>
      <c r="BC636">
        <f>$C636*BC635</f>
        <v/>
      </c>
      <c r="BD636">
        <f>$C636*BD635</f>
        <v/>
      </c>
      <c r="BE636">
        <f>$C636*BE635</f>
        <v/>
      </c>
      <c r="BF636">
        <f>$C636*BF635</f>
        <v/>
      </c>
      <c r="BG636">
        <f>$C636*BG635</f>
        <v/>
      </c>
      <c r="BH636">
        <f>$C636*BH635</f>
        <v/>
      </c>
      <c r="BI636">
        <f>$C636*BI635</f>
        <v/>
      </c>
      <c r="BJ636">
        <f>$C636*BJ635</f>
        <v/>
      </c>
      <c r="BK636">
        <f>$C636*BK635</f>
        <v/>
      </c>
      <c r="BL636">
        <f>$C636*BL635</f>
        <v/>
      </c>
      <c r="BM636">
        <f>$C636*BM635</f>
        <v/>
      </c>
      <c r="BN636">
        <f>$C636*BN635</f>
        <v/>
      </c>
      <c r="BO636">
        <f>$C636*BO635</f>
        <v/>
      </c>
      <c r="BP636">
        <f>$C636*BP635</f>
        <v/>
      </c>
      <c r="BQ636">
        <f>$C636*BQ635</f>
        <v/>
      </c>
      <c r="BR636">
        <f>$C636*BR635</f>
        <v/>
      </c>
      <c r="BS636">
        <f>$C636*BS635</f>
        <v/>
      </c>
      <c r="BT636">
        <f>$C636*BT635</f>
        <v/>
      </c>
      <c r="BU636">
        <f>$C636*BU635</f>
        <v/>
      </c>
      <c r="BV636">
        <f>$C636*BV635</f>
        <v/>
      </c>
      <c r="BW636">
        <f>$C636*BW635</f>
        <v/>
      </c>
      <c r="BX636">
        <f>$C636*BX635</f>
        <v/>
      </c>
      <c r="BY636">
        <f>$C636*BY635</f>
        <v/>
      </c>
      <c r="BZ636">
        <f>$C636*BZ635</f>
        <v/>
      </c>
      <c r="CA636">
        <f>$C636*CA635</f>
        <v/>
      </c>
      <c r="CB636">
        <f>$C636*CB635</f>
        <v/>
      </c>
      <c r="CC636">
        <f>$C636*CC635</f>
        <v/>
      </c>
      <c r="CD636">
        <f>$C636*CD635</f>
        <v/>
      </c>
      <c r="CE636">
        <f>$C636*CE635</f>
        <v/>
      </c>
      <c r="CF636">
        <f>$C636*CF635</f>
        <v/>
      </c>
      <c r="CG636">
        <f>$C636*CG635</f>
        <v/>
      </c>
      <c r="CH636">
        <f>$C636*CH635</f>
        <v/>
      </c>
      <c r="CI636">
        <f>$C636*CI635</f>
        <v/>
      </c>
      <c r="CJ636">
        <f>$C636*CJ635</f>
        <v/>
      </c>
      <c r="CK636">
        <f>$C636*CK635</f>
        <v/>
      </c>
      <c r="CL636">
        <f>$C636*CL635</f>
        <v/>
      </c>
      <c r="CM636">
        <f>$C636*CM635</f>
        <v/>
      </c>
      <c r="CN636">
        <f>$C636*CN635</f>
        <v/>
      </c>
      <c r="CO636">
        <f>$C636*CO635</f>
        <v/>
      </c>
      <c r="CP636">
        <f>$C636*CP635</f>
        <v/>
      </c>
      <c r="CQ636">
        <f>$C636*CQ635</f>
        <v/>
      </c>
      <c r="CR636">
        <f>$C636*CR635</f>
        <v/>
      </c>
      <c r="CS636">
        <f>$C636*CS635</f>
        <v/>
      </c>
      <c r="CT636">
        <f>$C636*CT635</f>
        <v/>
      </c>
      <c r="CU636">
        <f>$C636*CU635</f>
        <v/>
      </c>
      <c r="CV636">
        <f>$C636*CV635</f>
        <v/>
      </c>
      <c r="CW636">
        <f>$C636*CW635</f>
        <v/>
      </c>
      <c r="CX636">
        <f>$C636*CX635</f>
        <v/>
      </c>
      <c r="CY636">
        <f>$C636*CY635</f>
        <v/>
      </c>
      <c r="CZ636">
        <f>$C636*CZ635</f>
        <v/>
      </c>
      <c r="DA636">
        <f>$C636*DA635</f>
        <v/>
      </c>
      <c r="DB636">
        <f>$C636*DB635</f>
        <v/>
      </c>
      <c r="DC636">
        <f>$C636*DC635</f>
        <v/>
      </c>
    </row>
    <row r="637">
      <c r="B637" s="4" t="inlineStr">
        <is>
          <t>合計使用量(kg)/週</t>
        </is>
      </c>
      <c r="D637">
        <f>'Grid_Requirement'!B22</f>
        <v/>
      </c>
      <c r="E637">
        <f>'Grid_Requirement'!C22</f>
        <v/>
      </c>
      <c r="F637">
        <f>'Grid_Requirement'!D22</f>
        <v/>
      </c>
      <c r="G637">
        <f>'Grid_Requirement'!E22</f>
        <v/>
      </c>
      <c r="H637">
        <f>'Grid_Requirement'!F22</f>
        <v/>
      </c>
      <c r="I637">
        <f>'Grid_Requirement'!G22</f>
        <v/>
      </c>
      <c r="J637">
        <f>'Grid_Requirement'!H22</f>
        <v/>
      </c>
      <c r="K637">
        <f>'Grid_Requirement'!I22</f>
        <v/>
      </c>
      <c r="L637">
        <f>'Grid_Requirement'!J22</f>
        <v/>
      </c>
      <c r="M637">
        <f>'Grid_Requirement'!K22</f>
        <v/>
      </c>
      <c r="N637">
        <f>'Grid_Requirement'!L22</f>
        <v/>
      </c>
      <c r="O637">
        <f>'Grid_Requirement'!M22</f>
        <v/>
      </c>
      <c r="P637">
        <f>'Grid_Requirement'!N22</f>
        <v/>
      </c>
      <c r="Q637">
        <f>'Grid_Requirement'!O22</f>
        <v/>
      </c>
      <c r="R637">
        <f>'Grid_Requirement'!P22</f>
        <v/>
      </c>
      <c r="S637">
        <f>'Grid_Requirement'!Q22</f>
        <v/>
      </c>
      <c r="T637">
        <f>'Grid_Requirement'!R22</f>
        <v/>
      </c>
      <c r="U637">
        <f>'Grid_Requirement'!S22</f>
        <v/>
      </c>
      <c r="V637">
        <f>'Grid_Requirement'!T22</f>
        <v/>
      </c>
      <c r="W637">
        <f>'Grid_Requirement'!U22</f>
        <v/>
      </c>
      <c r="X637">
        <f>'Grid_Requirement'!V22</f>
        <v/>
      </c>
      <c r="Y637">
        <f>'Grid_Requirement'!W22</f>
        <v/>
      </c>
      <c r="Z637">
        <f>'Grid_Requirement'!X22</f>
        <v/>
      </c>
      <c r="AA637">
        <f>'Grid_Requirement'!Y22</f>
        <v/>
      </c>
      <c r="AB637">
        <f>'Grid_Requirement'!Z22</f>
        <v/>
      </c>
      <c r="AC637">
        <f>'Grid_Requirement'!AA22</f>
        <v/>
      </c>
      <c r="AD637">
        <f>'Grid_Requirement'!AB22</f>
        <v/>
      </c>
      <c r="AE637">
        <f>'Grid_Requirement'!AC22</f>
        <v/>
      </c>
      <c r="AF637">
        <f>'Grid_Requirement'!AD22</f>
        <v/>
      </c>
      <c r="AG637">
        <f>'Grid_Requirement'!AE22</f>
        <v/>
      </c>
      <c r="AH637">
        <f>'Grid_Requirement'!AF22</f>
        <v/>
      </c>
      <c r="AI637">
        <f>'Grid_Requirement'!AG22</f>
        <v/>
      </c>
      <c r="AJ637">
        <f>'Grid_Requirement'!AH22</f>
        <v/>
      </c>
      <c r="AK637">
        <f>'Grid_Requirement'!AI22</f>
        <v/>
      </c>
      <c r="AL637">
        <f>'Grid_Requirement'!AJ22</f>
        <v/>
      </c>
      <c r="AM637">
        <f>'Grid_Requirement'!AK22</f>
        <v/>
      </c>
      <c r="AN637">
        <f>'Grid_Requirement'!AL22</f>
        <v/>
      </c>
      <c r="AO637">
        <f>'Grid_Requirement'!AM22</f>
        <v/>
      </c>
      <c r="AP637">
        <f>'Grid_Requirement'!AN22</f>
        <v/>
      </c>
      <c r="AQ637">
        <f>'Grid_Requirement'!AO22</f>
        <v/>
      </c>
      <c r="AR637">
        <f>'Grid_Requirement'!AP22</f>
        <v/>
      </c>
      <c r="AS637">
        <f>'Grid_Requirement'!AQ22</f>
        <v/>
      </c>
      <c r="AT637">
        <f>'Grid_Requirement'!AR22</f>
        <v/>
      </c>
      <c r="AU637">
        <f>'Grid_Requirement'!AS22</f>
        <v/>
      </c>
      <c r="AV637">
        <f>'Grid_Requirement'!AT22</f>
        <v/>
      </c>
      <c r="AW637">
        <f>'Grid_Requirement'!AU22</f>
        <v/>
      </c>
      <c r="AX637">
        <f>'Grid_Requirement'!AV22</f>
        <v/>
      </c>
      <c r="AY637">
        <f>'Grid_Requirement'!AW22</f>
        <v/>
      </c>
      <c r="AZ637">
        <f>'Grid_Requirement'!AX22</f>
        <v/>
      </c>
      <c r="BA637">
        <f>'Grid_Requirement'!AY22</f>
        <v/>
      </c>
      <c r="BB637">
        <f>'Grid_Requirement'!AZ22</f>
        <v/>
      </c>
      <c r="BC637">
        <f>'Grid_Requirement'!BA22</f>
        <v/>
      </c>
      <c r="BD637">
        <f>'Grid_Requirement'!BB22</f>
        <v/>
      </c>
      <c r="BE637">
        <f>'Grid_Requirement'!BC22</f>
        <v/>
      </c>
      <c r="BF637">
        <f>'Grid_Requirement'!BD22</f>
        <v/>
      </c>
      <c r="BG637">
        <f>'Grid_Requirement'!BE22</f>
        <v/>
      </c>
      <c r="BH637">
        <f>'Grid_Requirement'!BF22</f>
        <v/>
      </c>
      <c r="BI637">
        <f>'Grid_Requirement'!BG22</f>
        <v/>
      </c>
      <c r="BJ637">
        <f>'Grid_Requirement'!BH22</f>
        <v/>
      </c>
      <c r="BK637">
        <f>'Grid_Requirement'!BI22</f>
        <v/>
      </c>
      <c r="BL637">
        <f>'Grid_Requirement'!BJ22</f>
        <v/>
      </c>
      <c r="BM637">
        <f>'Grid_Requirement'!BK22</f>
        <v/>
      </c>
      <c r="BN637">
        <f>'Grid_Requirement'!BL22</f>
        <v/>
      </c>
      <c r="BO637">
        <f>'Grid_Requirement'!BM22</f>
        <v/>
      </c>
      <c r="BP637">
        <f>'Grid_Requirement'!BN22</f>
        <v/>
      </c>
      <c r="BQ637">
        <f>'Grid_Requirement'!BO22</f>
        <v/>
      </c>
      <c r="BR637">
        <f>'Grid_Requirement'!BP22</f>
        <v/>
      </c>
      <c r="BS637">
        <f>'Grid_Requirement'!BQ22</f>
        <v/>
      </c>
      <c r="BT637">
        <f>'Grid_Requirement'!BR22</f>
        <v/>
      </c>
      <c r="BU637">
        <f>'Grid_Requirement'!BS22</f>
        <v/>
      </c>
      <c r="BV637">
        <f>'Grid_Requirement'!BT22</f>
        <v/>
      </c>
      <c r="BW637">
        <f>'Grid_Requirement'!BU22</f>
        <v/>
      </c>
      <c r="BX637">
        <f>'Grid_Requirement'!BV22</f>
        <v/>
      </c>
      <c r="BY637">
        <f>'Grid_Requirement'!BW22</f>
        <v/>
      </c>
      <c r="BZ637">
        <f>'Grid_Requirement'!BX22</f>
        <v/>
      </c>
      <c r="CA637">
        <f>'Grid_Requirement'!BY22</f>
        <v/>
      </c>
      <c r="CB637">
        <f>'Grid_Requirement'!BZ22</f>
        <v/>
      </c>
      <c r="CC637">
        <f>'Grid_Requirement'!CA22</f>
        <v/>
      </c>
      <c r="CD637">
        <f>'Grid_Requirement'!CB22</f>
        <v/>
      </c>
      <c r="CE637">
        <f>'Grid_Requirement'!CC22</f>
        <v/>
      </c>
      <c r="CF637">
        <f>'Grid_Requirement'!CD22</f>
        <v/>
      </c>
      <c r="CG637">
        <f>'Grid_Requirement'!CE22</f>
        <v/>
      </c>
      <c r="CH637">
        <f>'Grid_Requirement'!CF22</f>
        <v/>
      </c>
      <c r="CI637">
        <f>'Grid_Requirement'!CG22</f>
        <v/>
      </c>
      <c r="CJ637">
        <f>'Grid_Requirement'!CH22</f>
        <v/>
      </c>
      <c r="CK637">
        <f>'Grid_Requirement'!CI22</f>
        <v/>
      </c>
      <c r="CL637">
        <f>'Grid_Requirement'!CJ22</f>
        <v/>
      </c>
      <c r="CM637">
        <f>'Grid_Requirement'!CK22</f>
        <v/>
      </c>
      <c r="CN637">
        <f>'Grid_Requirement'!CL22</f>
        <v/>
      </c>
      <c r="CO637">
        <f>'Grid_Requirement'!CM22</f>
        <v/>
      </c>
      <c r="CP637">
        <f>'Grid_Requirement'!CN22</f>
        <v/>
      </c>
      <c r="CQ637">
        <f>'Grid_Requirement'!CO22</f>
        <v/>
      </c>
      <c r="CR637">
        <f>'Grid_Requirement'!CP22</f>
        <v/>
      </c>
      <c r="CS637">
        <f>'Grid_Requirement'!CQ22</f>
        <v/>
      </c>
      <c r="CT637">
        <f>'Grid_Requirement'!CR22</f>
        <v/>
      </c>
      <c r="CU637">
        <f>'Grid_Requirement'!CS22</f>
        <v/>
      </c>
      <c r="CV637">
        <f>'Grid_Requirement'!CT22</f>
        <v/>
      </c>
      <c r="CW637">
        <f>'Grid_Requirement'!CU22</f>
        <v/>
      </c>
      <c r="CX637">
        <f>'Grid_Requirement'!CV22</f>
        <v/>
      </c>
      <c r="CY637">
        <f>'Grid_Requirement'!CW22</f>
        <v/>
      </c>
      <c r="CZ637">
        <f>'Grid_Requirement'!CX22</f>
        <v/>
      </c>
      <c r="DA637">
        <f>'Grid_Requirement'!CY22</f>
        <v/>
      </c>
      <c r="DB637">
        <f>'Grid_Requirement'!CZ22</f>
        <v/>
      </c>
      <c r="DC637">
        <f>'Grid_Requirement'!DA22</f>
        <v/>
      </c>
    </row>
    <row r="638">
      <c r="B638" t="inlineStr">
        <is>
          <t>TTAF在庫(実績,kg)</t>
        </is>
      </c>
      <c r="D638">
        <f>'T_TTAFStock'!B26</f>
        <v/>
      </c>
      <c r="E638">
        <f>'T_TTAFStock'!C26</f>
        <v/>
      </c>
      <c r="F638">
        <f>'T_TTAFStock'!D26</f>
        <v/>
      </c>
      <c r="G638">
        <f>'T_TTAFStock'!E26</f>
        <v/>
      </c>
      <c r="H638">
        <f>'T_TTAFStock'!F26</f>
        <v/>
      </c>
      <c r="I638">
        <f>'T_TTAFStock'!G26</f>
        <v/>
      </c>
      <c r="J638">
        <f>'T_TTAFStock'!H26</f>
        <v/>
      </c>
      <c r="K638">
        <f>'T_TTAFStock'!I26</f>
        <v/>
      </c>
      <c r="L638">
        <f>'T_TTAFStock'!J26</f>
        <v/>
      </c>
      <c r="M638">
        <f>'T_TTAFStock'!K26</f>
        <v/>
      </c>
      <c r="N638">
        <f>'T_TTAFStock'!L26</f>
        <v/>
      </c>
      <c r="O638">
        <f>'T_TTAFStock'!M26</f>
        <v/>
      </c>
      <c r="P638">
        <f>'T_TTAFStock'!N26</f>
        <v/>
      </c>
      <c r="Q638">
        <f>'T_TTAFStock'!O26</f>
        <v/>
      </c>
      <c r="R638">
        <f>'T_TTAFStock'!P26</f>
        <v/>
      </c>
      <c r="S638">
        <f>'T_TTAFStock'!Q26</f>
        <v/>
      </c>
      <c r="T638">
        <f>'T_TTAFStock'!R26</f>
        <v/>
      </c>
      <c r="U638">
        <f>'T_TTAFStock'!S26</f>
        <v/>
      </c>
      <c r="V638">
        <f>'T_TTAFStock'!T26</f>
        <v/>
      </c>
      <c r="W638">
        <f>'T_TTAFStock'!U26</f>
        <v/>
      </c>
      <c r="X638">
        <f>'T_TTAFStock'!V26</f>
        <v/>
      </c>
      <c r="Y638">
        <f>'T_TTAFStock'!W26</f>
        <v/>
      </c>
      <c r="Z638">
        <f>'T_TTAFStock'!X26</f>
        <v/>
      </c>
      <c r="AA638">
        <f>'T_TTAFStock'!Y26</f>
        <v/>
      </c>
      <c r="AB638">
        <f>'T_TTAFStock'!Z26</f>
        <v/>
      </c>
      <c r="AC638">
        <f>'T_TTAFStock'!AA26</f>
        <v/>
      </c>
      <c r="AD638">
        <f>'T_TTAFStock'!AB26</f>
        <v/>
      </c>
      <c r="AE638">
        <f>'T_TTAFStock'!AC26</f>
        <v/>
      </c>
      <c r="AF638">
        <f>'T_TTAFStock'!AD26</f>
        <v/>
      </c>
      <c r="AG638">
        <f>'T_TTAFStock'!AE26</f>
        <v/>
      </c>
      <c r="AH638">
        <f>'T_TTAFStock'!AF26</f>
        <v/>
      </c>
      <c r="AI638">
        <f>'T_TTAFStock'!AG26</f>
        <v/>
      </c>
      <c r="AJ638">
        <f>'T_TTAFStock'!AH26</f>
        <v/>
      </c>
      <c r="AK638">
        <f>'T_TTAFStock'!AI26</f>
        <v/>
      </c>
      <c r="AL638">
        <f>'T_TTAFStock'!AJ26</f>
        <v/>
      </c>
      <c r="AM638">
        <f>'T_TTAFStock'!AK26</f>
        <v/>
      </c>
      <c r="AN638">
        <f>'T_TTAFStock'!AL26</f>
        <v/>
      </c>
      <c r="AO638">
        <f>'T_TTAFStock'!AM26</f>
        <v/>
      </c>
      <c r="AP638">
        <f>'T_TTAFStock'!AN26</f>
        <v/>
      </c>
      <c r="AQ638">
        <f>'T_TTAFStock'!AO26</f>
        <v/>
      </c>
      <c r="AR638">
        <f>'T_TTAFStock'!AP26</f>
        <v/>
      </c>
      <c r="AS638">
        <f>'T_TTAFStock'!AQ26</f>
        <v/>
      </c>
      <c r="AT638">
        <f>'T_TTAFStock'!AR26</f>
        <v/>
      </c>
      <c r="AU638">
        <f>'T_TTAFStock'!AS26</f>
        <v/>
      </c>
      <c r="AV638">
        <f>'T_TTAFStock'!AT26</f>
        <v/>
      </c>
      <c r="AW638">
        <f>'T_TTAFStock'!AU26</f>
        <v/>
      </c>
      <c r="AX638">
        <f>'T_TTAFStock'!AV26</f>
        <v/>
      </c>
      <c r="AY638">
        <f>'T_TTAFStock'!AW26</f>
        <v/>
      </c>
      <c r="AZ638">
        <f>'T_TTAFStock'!AX26</f>
        <v/>
      </c>
      <c r="BA638">
        <f>'T_TTAFStock'!AY26</f>
        <v/>
      </c>
      <c r="BB638">
        <f>'T_TTAFStock'!AZ26</f>
        <v/>
      </c>
      <c r="BC638">
        <f>'T_TTAFStock'!BA26</f>
        <v/>
      </c>
      <c r="BD638">
        <f>'T_TTAFStock'!BB26</f>
        <v/>
      </c>
      <c r="BE638">
        <f>'T_TTAFStock'!BC26</f>
        <v/>
      </c>
      <c r="BF638">
        <f>'T_TTAFStock'!BD26</f>
        <v/>
      </c>
      <c r="BG638">
        <f>'T_TTAFStock'!BE26</f>
        <v/>
      </c>
      <c r="BH638">
        <f>'T_TTAFStock'!BF26</f>
        <v/>
      </c>
      <c r="BI638">
        <f>'T_TTAFStock'!BG26</f>
        <v/>
      </c>
      <c r="BJ638">
        <f>'T_TTAFStock'!BH26</f>
        <v/>
      </c>
      <c r="BK638">
        <f>'T_TTAFStock'!BI26</f>
        <v/>
      </c>
      <c r="BL638">
        <f>'T_TTAFStock'!BJ26</f>
        <v/>
      </c>
      <c r="BM638">
        <f>'T_TTAFStock'!BK26</f>
        <v/>
      </c>
      <c r="BN638">
        <f>'T_TTAFStock'!BL26</f>
        <v/>
      </c>
      <c r="BO638">
        <f>'T_TTAFStock'!BM26</f>
        <v/>
      </c>
      <c r="BP638">
        <f>'T_TTAFStock'!BN26</f>
        <v/>
      </c>
      <c r="BQ638">
        <f>'T_TTAFStock'!BO26</f>
        <v/>
      </c>
      <c r="BR638">
        <f>'T_TTAFStock'!BP26</f>
        <v/>
      </c>
      <c r="BS638">
        <f>'T_TTAFStock'!BQ26</f>
        <v/>
      </c>
      <c r="BT638">
        <f>'T_TTAFStock'!BR26</f>
        <v/>
      </c>
      <c r="BU638">
        <f>'T_TTAFStock'!BS26</f>
        <v/>
      </c>
      <c r="BV638">
        <f>'T_TTAFStock'!BT26</f>
        <v/>
      </c>
      <c r="BW638">
        <f>'T_TTAFStock'!BU26</f>
        <v/>
      </c>
      <c r="BX638">
        <f>'T_TTAFStock'!BV26</f>
        <v/>
      </c>
      <c r="BY638">
        <f>'T_TTAFStock'!BW26</f>
        <v/>
      </c>
      <c r="BZ638">
        <f>'T_TTAFStock'!BX26</f>
        <v/>
      </c>
      <c r="CA638">
        <f>'T_TTAFStock'!BY26</f>
        <v/>
      </c>
      <c r="CB638">
        <f>'T_TTAFStock'!BZ26</f>
        <v/>
      </c>
      <c r="CC638">
        <f>'T_TTAFStock'!CA26</f>
        <v/>
      </c>
      <c r="CD638">
        <f>'T_TTAFStock'!CB26</f>
        <v/>
      </c>
      <c r="CE638">
        <f>'T_TTAFStock'!CC26</f>
        <v/>
      </c>
      <c r="CF638">
        <f>'T_TTAFStock'!CD26</f>
        <v/>
      </c>
      <c r="CG638">
        <f>'T_TTAFStock'!CE26</f>
        <v/>
      </c>
      <c r="CH638">
        <f>'T_TTAFStock'!CF26</f>
        <v/>
      </c>
      <c r="CI638">
        <f>'T_TTAFStock'!CG26</f>
        <v/>
      </c>
      <c r="CJ638">
        <f>'T_TTAFStock'!CH26</f>
        <v/>
      </c>
      <c r="CK638">
        <f>'T_TTAFStock'!CI26</f>
        <v/>
      </c>
      <c r="CL638">
        <f>'T_TTAFStock'!CJ26</f>
        <v/>
      </c>
      <c r="CM638">
        <f>'T_TTAFStock'!CK26</f>
        <v/>
      </c>
      <c r="CN638">
        <f>'T_TTAFStock'!CL26</f>
        <v/>
      </c>
      <c r="CO638">
        <f>'T_TTAFStock'!CM26</f>
        <v/>
      </c>
      <c r="CP638">
        <f>'T_TTAFStock'!CN26</f>
        <v/>
      </c>
      <c r="CQ638">
        <f>'T_TTAFStock'!CO26</f>
        <v/>
      </c>
      <c r="CR638">
        <f>'T_TTAFStock'!CP26</f>
        <v/>
      </c>
      <c r="CS638">
        <f>'T_TTAFStock'!CQ26</f>
        <v/>
      </c>
      <c r="CT638">
        <f>'T_TTAFStock'!CR26</f>
        <v/>
      </c>
      <c r="CU638">
        <f>'T_TTAFStock'!CS26</f>
        <v/>
      </c>
      <c r="CV638">
        <f>'T_TTAFStock'!CT26</f>
        <v/>
      </c>
      <c r="CW638">
        <f>'T_TTAFStock'!CU26</f>
        <v/>
      </c>
      <c r="CX638">
        <f>'T_TTAFStock'!CV26</f>
        <v/>
      </c>
      <c r="CY638">
        <f>'T_TTAFStock'!CW26</f>
        <v/>
      </c>
      <c r="CZ638">
        <f>'T_TTAFStock'!CX26</f>
        <v/>
      </c>
      <c r="DA638">
        <f>'T_TTAFStock'!CY26</f>
        <v/>
      </c>
      <c r="DB638">
        <f>'T_TTAFStock'!CZ26</f>
        <v/>
      </c>
      <c r="DC638">
        <f>'T_TTAFStock'!DA26</f>
        <v/>
      </c>
    </row>
    <row r="639">
      <c r="B639" t="inlineStr">
        <is>
          <t>自社在庫(実績,kg)</t>
        </is>
      </c>
      <c r="D639">
        <f>'T_SelfStock'!B26</f>
        <v/>
      </c>
      <c r="E639">
        <f>'T_SelfStock'!C26</f>
        <v/>
      </c>
      <c r="F639">
        <f>'T_SelfStock'!D26</f>
        <v/>
      </c>
      <c r="G639">
        <f>'T_SelfStock'!E26</f>
        <v/>
      </c>
      <c r="H639">
        <f>'T_SelfStock'!F26</f>
        <v/>
      </c>
      <c r="I639">
        <f>'T_SelfStock'!G26</f>
        <v/>
      </c>
      <c r="J639">
        <f>'T_SelfStock'!H26</f>
        <v/>
      </c>
      <c r="K639">
        <f>'T_SelfStock'!I26</f>
        <v/>
      </c>
      <c r="L639">
        <f>'T_SelfStock'!J26</f>
        <v/>
      </c>
      <c r="M639">
        <f>'T_SelfStock'!K26</f>
        <v/>
      </c>
      <c r="N639">
        <f>'T_SelfStock'!L26</f>
        <v/>
      </c>
      <c r="O639">
        <f>'T_SelfStock'!M26</f>
        <v/>
      </c>
      <c r="P639">
        <f>'T_SelfStock'!N26</f>
        <v/>
      </c>
      <c r="Q639">
        <f>'T_SelfStock'!O26</f>
        <v/>
      </c>
      <c r="R639">
        <f>'T_SelfStock'!P26</f>
        <v/>
      </c>
      <c r="S639">
        <f>'T_SelfStock'!Q26</f>
        <v/>
      </c>
      <c r="T639">
        <f>'T_SelfStock'!R26</f>
        <v/>
      </c>
      <c r="U639">
        <f>'T_SelfStock'!S26</f>
        <v/>
      </c>
      <c r="V639">
        <f>'T_SelfStock'!T26</f>
        <v/>
      </c>
      <c r="W639">
        <f>'T_SelfStock'!U26</f>
        <v/>
      </c>
      <c r="X639">
        <f>'T_SelfStock'!V26</f>
        <v/>
      </c>
      <c r="Y639">
        <f>'T_SelfStock'!W26</f>
        <v/>
      </c>
      <c r="Z639">
        <f>'T_SelfStock'!X26</f>
        <v/>
      </c>
      <c r="AA639">
        <f>'T_SelfStock'!Y26</f>
        <v/>
      </c>
      <c r="AB639">
        <f>'T_SelfStock'!Z26</f>
        <v/>
      </c>
      <c r="AC639">
        <f>'T_SelfStock'!AA26</f>
        <v/>
      </c>
      <c r="AD639">
        <f>'T_SelfStock'!AB26</f>
        <v/>
      </c>
      <c r="AE639">
        <f>'T_SelfStock'!AC26</f>
        <v/>
      </c>
      <c r="AF639">
        <f>'T_SelfStock'!AD26</f>
        <v/>
      </c>
      <c r="AG639">
        <f>'T_SelfStock'!AE26</f>
        <v/>
      </c>
      <c r="AH639">
        <f>'T_SelfStock'!AF26</f>
        <v/>
      </c>
      <c r="AI639">
        <f>'T_SelfStock'!AG26</f>
        <v/>
      </c>
      <c r="AJ639">
        <f>'T_SelfStock'!AH26</f>
        <v/>
      </c>
      <c r="AK639">
        <f>'T_SelfStock'!AI26</f>
        <v/>
      </c>
      <c r="AL639">
        <f>'T_SelfStock'!AJ26</f>
        <v/>
      </c>
      <c r="AM639">
        <f>'T_SelfStock'!AK26</f>
        <v/>
      </c>
      <c r="AN639">
        <f>'T_SelfStock'!AL26</f>
        <v/>
      </c>
      <c r="AO639">
        <f>'T_SelfStock'!AM26</f>
        <v/>
      </c>
      <c r="AP639">
        <f>'T_SelfStock'!AN26</f>
        <v/>
      </c>
      <c r="AQ639">
        <f>'T_SelfStock'!AO26</f>
        <v/>
      </c>
      <c r="AR639">
        <f>'T_SelfStock'!AP26</f>
        <v/>
      </c>
      <c r="AS639">
        <f>'T_SelfStock'!AQ26</f>
        <v/>
      </c>
      <c r="AT639">
        <f>'T_SelfStock'!AR26</f>
        <v/>
      </c>
      <c r="AU639">
        <f>'T_SelfStock'!AS26</f>
        <v/>
      </c>
      <c r="AV639">
        <f>'T_SelfStock'!AT26</f>
        <v/>
      </c>
      <c r="AW639">
        <f>'T_SelfStock'!AU26</f>
        <v/>
      </c>
      <c r="AX639">
        <f>'T_SelfStock'!AV26</f>
        <v/>
      </c>
      <c r="AY639">
        <f>'T_SelfStock'!AW26</f>
        <v/>
      </c>
      <c r="AZ639">
        <f>'T_SelfStock'!AX26</f>
        <v/>
      </c>
      <c r="BA639">
        <f>'T_SelfStock'!AY26</f>
        <v/>
      </c>
      <c r="BB639">
        <f>'T_SelfStock'!AZ26</f>
        <v/>
      </c>
      <c r="BC639">
        <f>'T_SelfStock'!BA26</f>
        <v/>
      </c>
      <c r="BD639">
        <f>'T_SelfStock'!BB26</f>
        <v/>
      </c>
      <c r="BE639">
        <f>'T_SelfStock'!BC26</f>
        <v/>
      </c>
      <c r="BF639">
        <f>'T_SelfStock'!BD26</f>
        <v/>
      </c>
      <c r="BG639">
        <f>'T_SelfStock'!BE26</f>
        <v/>
      </c>
      <c r="BH639">
        <f>'T_SelfStock'!BF26</f>
        <v/>
      </c>
      <c r="BI639">
        <f>'T_SelfStock'!BG26</f>
        <v/>
      </c>
      <c r="BJ639">
        <f>'T_SelfStock'!BH26</f>
        <v/>
      </c>
      <c r="BK639">
        <f>'T_SelfStock'!BI26</f>
        <v/>
      </c>
      <c r="BL639">
        <f>'T_SelfStock'!BJ26</f>
        <v/>
      </c>
      <c r="BM639">
        <f>'T_SelfStock'!BK26</f>
        <v/>
      </c>
      <c r="BN639">
        <f>'T_SelfStock'!BL26</f>
        <v/>
      </c>
      <c r="BO639">
        <f>'T_SelfStock'!BM26</f>
        <v/>
      </c>
      <c r="BP639">
        <f>'T_SelfStock'!BN26</f>
        <v/>
      </c>
      <c r="BQ639">
        <f>'T_SelfStock'!BO26</f>
        <v/>
      </c>
      <c r="BR639">
        <f>'T_SelfStock'!BP26</f>
        <v/>
      </c>
      <c r="BS639">
        <f>'T_SelfStock'!BQ26</f>
        <v/>
      </c>
      <c r="BT639">
        <f>'T_SelfStock'!BR26</f>
        <v/>
      </c>
      <c r="BU639">
        <f>'T_SelfStock'!BS26</f>
        <v/>
      </c>
      <c r="BV639">
        <f>'T_SelfStock'!BT26</f>
        <v/>
      </c>
      <c r="BW639">
        <f>'T_SelfStock'!BU26</f>
        <v/>
      </c>
      <c r="BX639">
        <f>'T_SelfStock'!BV26</f>
        <v/>
      </c>
      <c r="BY639">
        <f>'T_SelfStock'!BW26</f>
        <v/>
      </c>
      <c r="BZ639">
        <f>'T_SelfStock'!BX26</f>
        <v/>
      </c>
      <c r="CA639">
        <f>'T_SelfStock'!BY26</f>
        <v/>
      </c>
      <c r="CB639">
        <f>'T_SelfStock'!BZ26</f>
        <v/>
      </c>
      <c r="CC639">
        <f>'T_SelfStock'!CA26</f>
        <v/>
      </c>
      <c r="CD639">
        <f>'T_SelfStock'!CB26</f>
        <v/>
      </c>
      <c r="CE639">
        <f>'T_SelfStock'!CC26</f>
        <v/>
      </c>
      <c r="CF639">
        <f>'T_SelfStock'!CD26</f>
        <v/>
      </c>
      <c r="CG639">
        <f>'T_SelfStock'!CE26</f>
        <v/>
      </c>
      <c r="CH639">
        <f>'T_SelfStock'!CF26</f>
        <v/>
      </c>
      <c r="CI639">
        <f>'T_SelfStock'!CG26</f>
        <v/>
      </c>
      <c r="CJ639">
        <f>'T_SelfStock'!CH26</f>
        <v/>
      </c>
      <c r="CK639">
        <f>'T_SelfStock'!CI26</f>
        <v/>
      </c>
      <c r="CL639">
        <f>'T_SelfStock'!CJ26</f>
        <v/>
      </c>
      <c r="CM639">
        <f>'T_SelfStock'!CK26</f>
        <v/>
      </c>
      <c r="CN639">
        <f>'T_SelfStock'!CL26</f>
        <v/>
      </c>
      <c r="CO639">
        <f>'T_SelfStock'!CM26</f>
        <v/>
      </c>
      <c r="CP639">
        <f>'T_SelfStock'!CN26</f>
        <v/>
      </c>
      <c r="CQ639">
        <f>'T_SelfStock'!CO26</f>
        <v/>
      </c>
      <c r="CR639">
        <f>'T_SelfStock'!CP26</f>
        <v/>
      </c>
      <c r="CS639">
        <f>'T_SelfStock'!CQ26</f>
        <v/>
      </c>
      <c r="CT639">
        <f>'T_SelfStock'!CR26</f>
        <v/>
      </c>
      <c r="CU639">
        <f>'T_SelfStock'!CS26</f>
        <v/>
      </c>
      <c r="CV639">
        <f>'T_SelfStock'!CT26</f>
        <v/>
      </c>
      <c r="CW639">
        <f>'T_SelfStock'!CU26</f>
        <v/>
      </c>
      <c r="CX639">
        <f>'T_SelfStock'!CV26</f>
        <v/>
      </c>
      <c r="CY639">
        <f>'T_SelfStock'!CW26</f>
        <v/>
      </c>
      <c r="CZ639">
        <f>'T_SelfStock'!CX26</f>
        <v/>
      </c>
      <c r="DA639">
        <f>'T_SelfStock'!CY26</f>
        <v/>
      </c>
      <c r="DB639">
        <f>'T_SelfStock'!CZ26</f>
        <v/>
      </c>
      <c r="DC639">
        <f>'T_SelfStock'!DA26</f>
        <v/>
      </c>
    </row>
    <row r="640">
      <c r="B640" s="4" t="inlineStr">
        <is>
          <t>合計在庫(週末時点,kg)</t>
        </is>
      </c>
      <c r="D640">
        <f>'Grid_Stock'!B22</f>
        <v/>
      </c>
      <c r="E640">
        <f>'Grid_Stock'!C22</f>
        <v/>
      </c>
      <c r="F640">
        <f>'Grid_Stock'!D22</f>
        <v/>
      </c>
      <c r="G640">
        <f>'Grid_Stock'!E22</f>
        <v/>
      </c>
      <c r="H640">
        <f>'Grid_Stock'!F22</f>
        <v/>
      </c>
      <c r="I640">
        <f>'Grid_Stock'!G22</f>
        <v/>
      </c>
      <c r="J640">
        <f>'Grid_Stock'!H22</f>
        <v/>
      </c>
      <c r="K640">
        <f>'Grid_Stock'!I22</f>
        <v/>
      </c>
      <c r="L640">
        <f>'Grid_Stock'!J22</f>
        <v/>
      </c>
      <c r="M640">
        <f>'Grid_Stock'!K22</f>
        <v/>
      </c>
      <c r="N640">
        <f>'Grid_Stock'!L22</f>
        <v/>
      </c>
      <c r="O640">
        <f>'Grid_Stock'!M22</f>
        <v/>
      </c>
      <c r="P640">
        <f>'Grid_Stock'!N22</f>
        <v/>
      </c>
      <c r="Q640">
        <f>'Grid_Stock'!O22</f>
        <v/>
      </c>
      <c r="R640">
        <f>'Grid_Stock'!P22</f>
        <v/>
      </c>
      <c r="S640">
        <f>'Grid_Stock'!Q22</f>
        <v/>
      </c>
      <c r="T640">
        <f>'Grid_Stock'!R22</f>
        <v/>
      </c>
      <c r="U640">
        <f>'Grid_Stock'!S22</f>
        <v/>
      </c>
      <c r="V640">
        <f>'Grid_Stock'!T22</f>
        <v/>
      </c>
      <c r="W640">
        <f>'Grid_Stock'!U22</f>
        <v/>
      </c>
      <c r="X640">
        <f>'Grid_Stock'!V22</f>
        <v/>
      </c>
      <c r="Y640">
        <f>'Grid_Stock'!W22</f>
        <v/>
      </c>
      <c r="Z640">
        <f>'Grid_Stock'!X22</f>
        <v/>
      </c>
      <c r="AA640">
        <f>'Grid_Stock'!Y22</f>
        <v/>
      </c>
      <c r="AB640">
        <f>'Grid_Stock'!Z22</f>
        <v/>
      </c>
      <c r="AC640">
        <f>'Grid_Stock'!AA22</f>
        <v/>
      </c>
      <c r="AD640">
        <f>'Grid_Stock'!AB22</f>
        <v/>
      </c>
      <c r="AE640">
        <f>'Grid_Stock'!AC22</f>
        <v/>
      </c>
      <c r="AF640">
        <f>'Grid_Stock'!AD22</f>
        <v/>
      </c>
      <c r="AG640">
        <f>'Grid_Stock'!AE22</f>
        <v/>
      </c>
      <c r="AH640">
        <f>'Grid_Stock'!AF22</f>
        <v/>
      </c>
      <c r="AI640">
        <f>'Grid_Stock'!AG22</f>
        <v/>
      </c>
      <c r="AJ640">
        <f>'Grid_Stock'!AH22</f>
        <v/>
      </c>
      <c r="AK640">
        <f>'Grid_Stock'!AI22</f>
        <v/>
      </c>
      <c r="AL640">
        <f>'Grid_Stock'!AJ22</f>
        <v/>
      </c>
      <c r="AM640">
        <f>'Grid_Stock'!AK22</f>
        <v/>
      </c>
      <c r="AN640">
        <f>'Grid_Stock'!AL22</f>
        <v/>
      </c>
      <c r="AO640">
        <f>'Grid_Stock'!AM22</f>
        <v/>
      </c>
      <c r="AP640">
        <f>'Grid_Stock'!AN22</f>
        <v/>
      </c>
      <c r="AQ640">
        <f>'Grid_Stock'!AO22</f>
        <v/>
      </c>
      <c r="AR640">
        <f>'Grid_Stock'!AP22</f>
        <v/>
      </c>
      <c r="AS640">
        <f>'Grid_Stock'!AQ22</f>
        <v/>
      </c>
      <c r="AT640">
        <f>'Grid_Stock'!AR22</f>
        <v/>
      </c>
      <c r="AU640">
        <f>'Grid_Stock'!AS22</f>
        <v/>
      </c>
      <c r="AV640">
        <f>'Grid_Stock'!AT22</f>
        <v/>
      </c>
      <c r="AW640">
        <f>'Grid_Stock'!AU22</f>
        <v/>
      </c>
      <c r="AX640">
        <f>'Grid_Stock'!AV22</f>
        <v/>
      </c>
      <c r="AY640">
        <f>'Grid_Stock'!AW22</f>
        <v/>
      </c>
      <c r="AZ640">
        <f>'Grid_Stock'!AX22</f>
        <v/>
      </c>
      <c r="BA640">
        <f>'Grid_Stock'!AY22</f>
        <v/>
      </c>
      <c r="BB640">
        <f>'Grid_Stock'!AZ22</f>
        <v/>
      </c>
      <c r="BC640">
        <f>'Grid_Stock'!BA22</f>
        <v/>
      </c>
      <c r="BD640">
        <f>'Grid_Stock'!BB22</f>
        <v/>
      </c>
      <c r="BE640">
        <f>'Grid_Stock'!BC22</f>
        <v/>
      </c>
      <c r="BF640">
        <f>'Grid_Stock'!BD22</f>
        <v/>
      </c>
      <c r="BG640">
        <f>'Grid_Stock'!BE22</f>
        <v/>
      </c>
      <c r="BH640">
        <f>'Grid_Stock'!BF22</f>
        <v/>
      </c>
      <c r="BI640">
        <f>'Grid_Stock'!BG22</f>
        <v/>
      </c>
      <c r="BJ640">
        <f>'Grid_Stock'!BH22</f>
        <v/>
      </c>
      <c r="BK640">
        <f>'Grid_Stock'!BI22</f>
        <v/>
      </c>
      <c r="BL640">
        <f>'Grid_Stock'!BJ22</f>
        <v/>
      </c>
      <c r="BM640">
        <f>'Grid_Stock'!BK22</f>
        <v/>
      </c>
      <c r="BN640">
        <f>'Grid_Stock'!BL22</f>
        <v/>
      </c>
      <c r="BO640">
        <f>'Grid_Stock'!BM22</f>
        <v/>
      </c>
      <c r="BP640">
        <f>'Grid_Stock'!BN22</f>
        <v/>
      </c>
      <c r="BQ640">
        <f>'Grid_Stock'!BO22</f>
        <v/>
      </c>
      <c r="BR640">
        <f>'Grid_Stock'!BP22</f>
        <v/>
      </c>
      <c r="BS640">
        <f>'Grid_Stock'!BQ22</f>
        <v/>
      </c>
      <c r="BT640">
        <f>'Grid_Stock'!BR22</f>
        <v/>
      </c>
      <c r="BU640">
        <f>'Grid_Stock'!BS22</f>
        <v/>
      </c>
      <c r="BV640">
        <f>'Grid_Stock'!BT22</f>
        <v/>
      </c>
      <c r="BW640">
        <f>'Grid_Stock'!BU22</f>
        <v/>
      </c>
      <c r="BX640">
        <f>'Grid_Stock'!BV22</f>
        <v/>
      </c>
      <c r="BY640">
        <f>'Grid_Stock'!BW22</f>
        <v/>
      </c>
      <c r="BZ640">
        <f>'Grid_Stock'!BX22</f>
        <v/>
      </c>
      <c r="CA640">
        <f>'Grid_Stock'!BY22</f>
        <v/>
      </c>
      <c r="CB640">
        <f>'Grid_Stock'!BZ22</f>
        <v/>
      </c>
      <c r="CC640">
        <f>'Grid_Stock'!CA22</f>
        <v/>
      </c>
      <c r="CD640">
        <f>'Grid_Stock'!CB22</f>
        <v/>
      </c>
      <c r="CE640">
        <f>'Grid_Stock'!CC22</f>
        <v/>
      </c>
      <c r="CF640">
        <f>'Grid_Stock'!CD22</f>
        <v/>
      </c>
      <c r="CG640">
        <f>'Grid_Stock'!CE22</f>
        <v/>
      </c>
      <c r="CH640">
        <f>'Grid_Stock'!CF22</f>
        <v/>
      </c>
      <c r="CI640">
        <f>'Grid_Stock'!CG22</f>
        <v/>
      </c>
      <c r="CJ640">
        <f>'Grid_Stock'!CH22</f>
        <v/>
      </c>
      <c r="CK640">
        <f>'Grid_Stock'!CI22</f>
        <v/>
      </c>
      <c r="CL640">
        <f>'Grid_Stock'!CJ22</f>
        <v/>
      </c>
      <c r="CM640">
        <f>'Grid_Stock'!CK22</f>
        <v/>
      </c>
      <c r="CN640">
        <f>'Grid_Stock'!CL22</f>
        <v/>
      </c>
      <c r="CO640">
        <f>'Grid_Stock'!CM22</f>
        <v/>
      </c>
      <c r="CP640">
        <f>'Grid_Stock'!CN22</f>
        <v/>
      </c>
      <c r="CQ640">
        <f>'Grid_Stock'!CO22</f>
        <v/>
      </c>
      <c r="CR640">
        <f>'Grid_Stock'!CP22</f>
        <v/>
      </c>
      <c r="CS640">
        <f>'Grid_Stock'!CQ22</f>
        <v/>
      </c>
      <c r="CT640">
        <f>'Grid_Stock'!CR22</f>
        <v/>
      </c>
      <c r="CU640">
        <f>'Grid_Stock'!CS22</f>
        <v/>
      </c>
      <c r="CV640">
        <f>'Grid_Stock'!CT22</f>
        <v/>
      </c>
      <c r="CW640">
        <f>'Grid_Stock'!CU22</f>
        <v/>
      </c>
      <c r="CX640">
        <f>'Grid_Stock'!CV22</f>
        <v/>
      </c>
      <c r="CY640">
        <f>'Grid_Stock'!CW22</f>
        <v/>
      </c>
      <c r="CZ640">
        <f>'Grid_Stock'!CX22</f>
        <v/>
      </c>
      <c r="DA640">
        <f>'Grid_Stock'!CY22</f>
        <v/>
      </c>
      <c r="DB640">
        <f>'Grid_Stock'!CZ22</f>
        <v/>
      </c>
      <c r="DC640">
        <f>'Grid_Stock'!DA22</f>
        <v/>
      </c>
    </row>
    <row r="641">
      <c r="B641" s="16" t="inlineStr">
        <is>
          <t>（発注の目安はDashboardの基準在庫[下限/上限]と色分けを参照）</t>
        </is>
      </c>
    </row>
    <row r="643">
      <c r="A643" s="14" t="inlineStr">
        <is>
          <t>CHEM-1660</t>
        </is>
      </c>
      <c r="B643" s="14" t="inlineStr">
        <is>
          <t>GW-3394</t>
        </is>
      </c>
      <c r="C643" s="15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  <c r="AA643" s="14" t="n"/>
      <c r="AB643" s="14" t="n"/>
      <c r="AC643" s="14" t="n"/>
      <c r="AD643" s="14" t="n"/>
      <c r="AE643" s="14" t="n"/>
      <c r="AF643" s="14" t="n"/>
      <c r="AG643" s="14" t="n"/>
      <c r="AH643" s="14" t="n"/>
      <c r="AI643" s="14" t="n"/>
      <c r="AJ643" s="14" t="n"/>
      <c r="AK643" s="14" t="n"/>
      <c r="AL643" s="14" t="n"/>
      <c r="AM643" s="14" t="n"/>
      <c r="AN643" s="14" t="n"/>
      <c r="AO643" s="14" t="n"/>
      <c r="AP643" s="14" t="n"/>
      <c r="AQ643" s="14" t="n"/>
      <c r="AR643" s="14" t="n"/>
      <c r="AS643" s="14" t="n"/>
      <c r="AT643" s="14" t="n"/>
      <c r="AU643" s="14" t="n"/>
      <c r="AV643" s="14" t="n"/>
      <c r="AW643" s="14" t="n"/>
      <c r="AX643" s="14" t="n"/>
      <c r="AY643" s="14" t="n"/>
      <c r="AZ643" s="14" t="n"/>
      <c r="BA643" s="14" t="n"/>
      <c r="BB643" s="14" t="n"/>
      <c r="BC643" s="14" t="n"/>
      <c r="BD643" s="14" t="n"/>
      <c r="BE643" s="14" t="n"/>
      <c r="BF643" s="14" t="n"/>
      <c r="BG643" s="14" t="n"/>
      <c r="BH643" s="14" t="n"/>
      <c r="BI643" s="14" t="n"/>
      <c r="BJ643" s="14" t="n"/>
      <c r="BK643" s="14" t="n"/>
      <c r="BL643" s="14" t="n"/>
      <c r="BM643" s="14" t="n"/>
      <c r="BN643" s="14" t="n"/>
      <c r="BO643" s="14" t="n"/>
      <c r="BP643" s="14" t="n"/>
      <c r="BQ643" s="14" t="n"/>
      <c r="BR643" s="14" t="n"/>
      <c r="BS643" s="14" t="n"/>
      <c r="BT643" s="14" t="n"/>
      <c r="BU643" s="14" t="n"/>
      <c r="BV643" s="14" t="n"/>
      <c r="BW643" s="14" t="n"/>
      <c r="BX643" s="14" t="n"/>
      <c r="BY643" s="14" t="n"/>
      <c r="BZ643" s="14" t="n"/>
      <c r="CA643" s="14" t="n"/>
      <c r="CB643" s="14" t="n"/>
      <c r="CC643" s="14" t="n"/>
      <c r="CD643" s="14" t="n"/>
      <c r="CE643" s="14" t="n"/>
      <c r="CF643" s="14" t="n"/>
      <c r="CG643" s="14" t="n"/>
      <c r="CH643" s="14" t="n"/>
      <c r="CI643" s="14" t="n"/>
      <c r="CJ643" s="14" t="n"/>
      <c r="CK643" s="14" t="n"/>
      <c r="CL643" s="14" t="n"/>
      <c r="CM643" s="14" t="n"/>
      <c r="CN643" s="14" t="n"/>
      <c r="CO643" s="14" t="n"/>
      <c r="CP643" s="14" t="n"/>
      <c r="CQ643" s="14" t="n"/>
      <c r="CR643" s="14" t="n"/>
      <c r="CS643" s="14" t="n"/>
      <c r="CT643" s="14" t="n"/>
      <c r="CU643" s="14" t="n"/>
      <c r="CV643" s="14" t="n"/>
      <c r="CW643" s="14" t="n"/>
      <c r="CX643" s="14" t="n"/>
      <c r="CY643" s="14" t="n"/>
      <c r="CZ643" s="14" t="n"/>
      <c r="DA643" s="14" t="n"/>
      <c r="DB643" s="14" t="n"/>
      <c r="DC643" s="14" t="n"/>
    </row>
    <row r="644">
      <c r="B644" t="inlineStr">
        <is>
          <t>TSP-219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Name],$A643)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TSP-655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7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Name],$A643)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TSP-656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7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Name],$A643)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VSP-820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7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Name],$A643)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VSP-822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7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Name],$A643)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VSP-869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VSP-870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VSP-910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VSP-989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VSP-990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s="4" t="inlineStr">
        <is>
          <t>合計使用量(kg)/週</t>
        </is>
      </c>
      <c r="D664">
        <f>'Grid_Requirement'!B18</f>
        <v/>
      </c>
      <c r="E664">
        <f>'Grid_Requirement'!C18</f>
        <v/>
      </c>
      <c r="F664">
        <f>'Grid_Requirement'!D18</f>
        <v/>
      </c>
      <c r="G664">
        <f>'Grid_Requirement'!E18</f>
        <v/>
      </c>
      <c r="H664">
        <f>'Grid_Requirement'!F18</f>
        <v/>
      </c>
      <c r="I664">
        <f>'Grid_Requirement'!G18</f>
        <v/>
      </c>
      <c r="J664">
        <f>'Grid_Requirement'!H18</f>
        <v/>
      </c>
      <c r="K664">
        <f>'Grid_Requirement'!I18</f>
        <v/>
      </c>
      <c r="L664">
        <f>'Grid_Requirement'!J18</f>
        <v/>
      </c>
      <c r="M664">
        <f>'Grid_Requirement'!K18</f>
        <v/>
      </c>
      <c r="N664">
        <f>'Grid_Requirement'!L18</f>
        <v/>
      </c>
      <c r="O664">
        <f>'Grid_Requirement'!M18</f>
        <v/>
      </c>
      <c r="P664">
        <f>'Grid_Requirement'!N18</f>
        <v/>
      </c>
      <c r="Q664">
        <f>'Grid_Requirement'!O18</f>
        <v/>
      </c>
      <c r="R664">
        <f>'Grid_Requirement'!P18</f>
        <v/>
      </c>
      <c r="S664">
        <f>'Grid_Requirement'!Q18</f>
        <v/>
      </c>
      <c r="T664">
        <f>'Grid_Requirement'!R18</f>
        <v/>
      </c>
      <c r="U664">
        <f>'Grid_Requirement'!S18</f>
        <v/>
      </c>
      <c r="V664">
        <f>'Grid_Requirement'!T18</f>
        <v/>
      </c>
      <c r="W664">
        <f>'Grid_Requirement'!U18</f>
        <v/>
      </c>
      <c r="X664">
        <f>'Grid_Requirement'!V18</f>
        <v/>
      </c>
      <c r="Y664">
        <f>'Grid_Requirement'!W18</f>
        <v/>
      </c>
      <c r="Z664">
        <f>'Grid_Requirement'!X18</f>
        <v/>
      </c>
      <c r="AA664">
        <f>'Grid_Requirement'!Y18</f>
        <v/>
      </c>
      <c r="AB664">
        <f>'Grid_Requirement'!Z18</f>
        <v/>
      </c>
      <c r="AC664">
        <f>'Grid_Requirement'!AA18</f>
        <v/>
      </c>
      <c r="AD664">
        <f>'Grid_Requirement'!AB18</f>
        <v/>
      </c>
      <c r="AE664">
        <f>'Grid_Requirement'!AC18</f>
        <v/>
      </c>
      <c r="AF664">
        <f>'Grid_Requirement'!AD18</f>
        <v/>
      </c>
      <c r="AG664">
        <f>'Grid_Requirement'!AE18</f>
        <v/>
      </c>
      <c r="AH664">
        <f>'Grid_Requirement'!AF18</f>
        <v/>
      </c>
      <c r="AI664">
        <f>'Grid_Requirement'!AG18</f>
        <v/>
      </c>
      <c r="AJ664">
        <f>'Grid_Requirement'!AH18</f>
        <v/>
      </c>
      <c r="AK664">
        <f>'Grid_Requirement'!AI18</f>
        <v/>
      </c>
      <c r="AL664">
        <f>'Grid_Requirement'!AJ18</f>
        <v/>
      </c>
      <c r="AM664">
        <f>'Grid_Requirement'!AK18</f>
        <v/>
      </c>
      <c r="AN664">
        <f>'Grid_Requirement'!AL18</f>
        <v/>
      </c>
      <c r="AO664">
        <f>'Grid_Requirement'!AM18</f>
        <v/>
      </c>
      <c r="AP664">
        <f>'Grid_Requirement'!AN18</f>
        <v/>
      </c>
      <c r="AQ664">
        <f>'Grid_Requirement'!AO18</f>
        <v/>
      </c>
      <c r="AR664">
        <f>'Grid_Requirement'!AP18</f>
        <v/>
      </c>
      <c r="AS664">
        <f>'Grid_Requirement'!AQ18</f>
        <v/>
      </c>
      <c r="AT664">
        <f>'Grid_Requirement'!AR18</f>
        <v/>
      </c>
      <c r="AU664">
        <f>'Grid_Requirement'!AS18</f>
        <v/>
      </c>
      <c r="AV664">
        <f>'Grid_Requirement'!AT18</f>
        <v/>
      </c>
      <c r="AW664">
        <f>'Grid_Requirement'!AU18</f>
        <v/>
      </c>
      <c r="AX664">
        <f>'Grid_Requirement'!AV18</f>
        <v/>
      </c>
      <c r="AY664">
        <f>'Grid_Requirement'!AW18</f>
        <v/>
      </c>
      <c r="AZ664">
        <f>'Grid_Requirement'!AX18</f>
        <v/>
      </c>
      <c r="BA664">
        <f>'Grid_Requirement'!AY18</f>
        <v/>
      </c>
      <c r="BB664">
        <f>'Grid_Requirement'!AZ18</f>
        <v/>
      </c>
      <c r="BC664">
        <f>'Grid_Requirement'!BA18</f>
        <v/>
      </c>
      <c r="BD664">
        <f>'Grid_Requirement'!BB18</f>
        <v/>
      </c>
      <c r="BE664">
        <f>'Grid_Requirement'!BC18</f>
        <v/>
      </c>
      <c r="BF664">
        <f>'Grid_Requirement'!BD18</f>
        <v/>
      </c>
      <c r="BG664">
        <f>'Grid_Requirement'!BE18</f>
        <v/>
      </c>
      <c r="BH664">
        <f>'Grid_Requirement'!BF18</f>
        <v/>
      </c>
      <c r="BI664">
        <f>'Grid_Requirement'!BG18</f>
        <v/>
      </c>
      <c r="BJ664">
        <f>'Grid_Requirement'!BH18</f>
        <v/>
      </c>
      <c r="BK664">
        <f>'Grid_Requirement'!BI18</f>
        <v/>
      </c>
      <c r="BL664">
        <f>'Grid_Requirement'!BJ18</f>
        <v/>
      </c>
      <c r="BM664">
        <f>'Grid_Requirement'!BK18</f>
        <v/>
      </c>
      <c r="BN664">
        <f>'Grid_Requirement'!BL18</f>
        <v/>
      </c>
      <c r="BO664">
        <f>'Grid_Requirement'!BM18</f>
        <v/>
      </c>
      <c r="BP664">
        <f>'Grid_Requirement'!BN18</f>
        <v/>
      </c>
      <c r="BQ664">
        <f>'Grid_Requirement'!BO18</f>
        <v/>
      </c>
      <c r="BR664">
        <f>'Grid_Requirement'!BP18</f>
        <v/>
      </c>
      <c r="BS664">
        <f>'Grid_Requirement'!BQ18</f>
        <v/>
      </c>
      <c r="BT664">
        <f>'Grid_Requirement'!BR18</f>
        <v/>
      </c>
      <c r="BU664">
        <f>'Grid_Requirement'!BS18</f>
        <v/>
      </c>
      <c r="BV664">
        <f>'Grid_Requirement'!BT18</f>
        <v/>
      </c>
      <c r="BW664">
        <f>'Grid_Requirement'!BU18</f>
        <v/>
      </c>
      <c r="BX664">
        <f>'Grid_Requirement'!BV18</f>
        <v/>
      </c>
      <c r="BY664">
        <f>'Grid_Requirement'!BW18</f>
        <v/>
      </c>
      <c r="BZ664">
        <f>'Grid_Requirement'!BX18</f>
        <v/>
      </c>
      <c r="CA664">
        <f>'Grid_Requirement'!BY18</f>
        <v/>
      </c>
      <c r="CB664">
        <f>'Grid_Requirement'!BZ18</f>
        <v/>
      </c>
      <c r="CC664">
        <f>'Grid_Requirement'!CA18</f>
        <v/>
      </c>
      <c r="CD664">
        <f>'Grid_Requirement'!CB18</f>
        <v/>
      </c>
      <c r="CE664">
        <f>'Grid_Requirement'!CC18</f>
        <v/>
      </c>
      <c r="CF664">
        <f>'Grid_Requirement'!CD18</f>
        <v/>
      </c>
      <c r="CG664">
        <f>'Grid_Requirement'!CE18</f>
        <v/>
      </c>
      <c r="CH664">
        <f>'Grid_Requirement'!CF18</f>
        <v/>
      </c>
      <c r="CI664">
        <f>'Grid_Requirement'!CG18</f>
        <v/>
      </c>
      <c r="CJ664">
        <f>'Grid_Requirement'!CH18</f>
        <v/>
      </c>
      <c r="CK664">
        <f>'Grid_Requirement'!CI18</f>
        <v/>
      </c>
      <c r="CL664">
        <f>'Grid_Requirement'!CJ18</f>
        <v/>
      </c>
      <c r="CM664">
        <f>'Grid_Requirement'!CK18</f>
        <v/>
      </c>
      <c r="CN664">
        <f>'Grid_Requirement'!CL18</f>
        <v/>
      </c>
      <c r="CO664">
        <f>'Grid_Requirement'!CM18</f>
        <v/>
      </c>
      <c r="CP664">
        <f>'Grid_Requirement'!CN18</f>
        <v/>
      </c>
      <c r="CQ664">
        <f>'Grid_Requirement'!CO18</f>
        <v/>
      </c>
      <c r="CR664">
        <f>'Grid_Requirement'!CP18</f>
        <v/>
      </c>
      <c r="CS664">
        <f>'Grid_Requirement'!CQ18</f>
        <v/>
      </c>
      <c r="CT664">
        <f>'Grid_Requirement'!CR18</f>
        <v/>
      </c>
      <c r="CU664">
        <f>'Grid_Requirement'!CS18</f>
        <v/>
      </c>
      <c r="CV664">
        <f>'Grid_Requirement'!CT18</f>
        <v/>
      </c>
      <c r="CW664">
        <f>'Grid_Requirement'!CU18</f>
        <v/>
      </c>
      <c r="CX664">
        <f>'Grid_Requirement'!CV18</f>
        <v/>
      </c>
      <c r="CY664">
        <f>'Grid_Requirement'!CW18</f>
        <v/>
      </c>
      <c r="CZ664">
        <f>'Grid_Requirement'!CX18</f>
        <v/>
      </c>
      <c r="DA664">
        <f>'Grid_Requirement'!CY18</f>
        <v/>
      </c>
      <c r="DB664">
        <f>'Grid_Requirement'!CZ18</f>
        <v/>
      </c>
      <c r="DC664">
        <f>'Grid_Requirement'!DA18</f>
        <v/>
      </c>
    </row>
    <row r="665">
      <c r="B665" t="inlineStr">
        <is>
          <t>TTAF在庫(実績,kg)</t>
        </is>
      </c>
      <c r="D665">
        <f>'T_TTAFStock'!B22</f>
        <v/>
      </c>
      <c r="E665">
        <f>'T_TTAFStock'!C22</f>
        <v/>
      </c>
      <c r="F665">
        <f>'T_TTAFStock'!D22</f>
        <v/>
      </c>
      <c r="G665">
        <f>'T_TTAFStock'!E22</f>
        <v/>
      </c>
      <c r="H665">
        <f>'T_TTAFStock'!F22</f>
        <v/>
      </c>
      <c r="I665">
        <f>'T_TTAFStock'!G22</f>
        <v/>
      </c>
      <c r="J665">
        <f>'T_TTAFStock'!H22</f>
        <v/>
      </c>
      <c r="K665">
        <f>'T_TTAFStock'!I22</f>
        <v/>
      </c>
      <c r="L665">
        <f>'T_TTAFStock'!J22</f>
        <v/>
      </c>
      <c r="M665">
        <f>'T_TTAFStock'!K22</f>
        <v/>
      </c>
      <c r="N665">
        <f>'T_TTAFStock'!L22</f>
        <v/>
      </c>
      <c r="O665">
        <f>'T_TTAFStock'!M22</f>
        <v/>
      </c>
      <c r="P665">
        <f>'T_TTAFStock'!N22</f>
        <v/>
      </c>
      <c r="Q665">
        <f>'T_TTAFStock'!O22</f>
        <v/>
      </c>
      <c r="R665">
        <f>'T_TTAFStock'!P22</f>
        <v/>
      </c>
      <c r="S665">
        <f>'T_TTAFStock'!Q22</f>
        <v/>
      </c>
      <c r="T665">
        <f>'T_TTAFStock'!R22</f>
        <v/>
      </c>
      <c r="U665">
        <f>'T_TTAFStock'!S22</f>
        <v/>
      </c>
      <c r="V665">
        <f>'T_TTAFStock'!T22</f>
        <v/>
      </c>
      <c r="W665">
        <f>'T_TTAFStock'!U22</f>
        <v/>
      </c>
      <c r="X665">
        <f>'T_TTAFStock'!V22</f>
        <v/>
      </c>
      <c r="Y665">
        <f>'T_TTAFStock'!W22</f>
        <v/>
      </c>
      <c r="Z665">
        <f>'T_TTAFStock'!X22</f>
        <v/>
      </c>
      <c r="AA665">
        <f>'T_TTAFStock'!Y22</f>
        <v/>
      </c>
      <c r="AB665">
        <f>'T_TTAFStock'!Z22</f>
        <v/>
      </c>
      <c r="AC665">
        <f>'T_TTAFStock'!AA22</f>
        <v/>
      </c>
      <c r="AD665">
        <f>'T_TTAFStock'!AB22</f>
        <v/>
      </c>
      <c r="AE665">
        <f>'T_TTAFStock'!AC22</f>
        <v/>
      </c>
      <c r="AF665">
        <f>'T_TTAFStock'!AD22</f>
        <v/>
      </c>
      <c r="AG665">
        <f>'T_TTAFStock'!AE22</f>
        <v/>
      </c>
      <c r="AH665">
        <f>'T_TTAFStock'!AF22</f>
        <v/>
      </c>
      <c r="AI665">
        <f>'T_TTAFStock'!AG22</f>
        <v/>
      </c>
      <c r="AJ665">
        <f>'T_TTAFStock'!AH22</f>
        <v/>
      </c>
      <c r="AK665">
        <f>'T_TTAFStock'!AI22</f>
        <v/>
      </c>
      <c r="AL665">
        <f>'T_TTAFStock'!AJ22</f>
        <v/>
      </c>
      <c r="AM665">
        <f>'T_TTAFStock'!AK22</f>
        <v/>
      </c>
      <c r="AN665">
        <f>'T_TTAFStock'!AL22</f>
        <v/>
      </c>
      <c r="AO665">
        <f>'T_TTAFStock'!AM22</f>
        <v/>
      </c>
      <c r="AP665">
        <f>'T_TTAFStock'!AN22</f>
        <v/>
      </c>
      <c r="AQ665">
        <f>'T_TTAFStock'!AO22</f>
        <v/>
      </c>
      <c r="AR665">
        <f>'T_TTAFStock'!AP22</f>
        <v/>
      </c>
      <c r="AS665">
        <f>'T_TTAFStock'!AQ22</f>
        <v/>
      </c>
      <c r="AT665">
        <f>'T_TTAFStock'!AR22</f>
        <v/>
      </c>
      <c r="AU665">
        <f>'T_TTAFStock'!AS22</f>
        <v/>
      </c>
      <c r="AV665">
        <f>'T_TTAFStock'!AT22</f>
        <v/>
      </c>
      <c r="AW665">
        <f>'T_TTAFStock'!AU22</f>
        <v/>
      </c>
      <c r="AX665">
        <f>'T_TTAFStock'!AV22</f>
        <v/>
      </c>
      <c r="AY665">
        <f>'T_TTAFStock'!AW22</f>
        <v/>
      </c>
      <c r="AZ665">
        <f>'T_TTAFStock'!AX22</f>
        <v/>
      </c>
      <c r="BA665">
        <f>'T_TTAFStock'!AY22</f>
        <v/>
      </c>
      <c r="BB665">
        <f>'T_TTAFStock'!AZ22</f>
        <v/>
      </c>
      <c r="BC665">
        <f>'T_TTAFStock'!BA22</f>
        <v/>
      </c>
      <c r="BD665">
        <f>'T_TTAFStock'!BB22</f>
        <v/>
      </c>
      <c r="BE665">
        <f>'T_TTAFStock'!BC22</f>
        <v/>
      </c>
      <c r="BF665">
        <f>'T_TTAFStock'!BD22</f>
        <v/>
      </c>
      <c r="BG665">
        <f>'T_TTAFStock'!BE22</f>
        <v/>
      </c>
      <c r="BH665">
        <f>'T_TTAFStock'!BF22</f>
        <v/>
      </c>
      <c r="BI665">
        <f>'T_TTAFStock'!BG22</f>
        <v/>
      </c>
      <c r="BJ665">
        <f>'T_TTAFStock'!BH22</f>
        <v/>
      </c>
      <c r="BK665">
        <f>'T_TTAFStock'!BI22</f>
        <v/>
      </c>
      <c r="BL665">
        <f>'T_TTAFStock'!BJ22</f>
        <v/>
      </c>
      <c r="BM665">
        <f>'T_TTAFStock'!BK22</f>
        <v/>
      </c>
      <c r="BN665">
        <f>'T_TTAFStock'!BL22</f>
        <v/>
      </c>
      <c r="BO665">
        <f>'T_TTAFStock'!BM22</f>
        <v/>
      </c>
      <c r="BP665">
        <f>'T_TTAFStock'!BN22</f>
        <v/>
      </c>
      <c r="BQ665">
        <f>'T_TTAFStock'!BO22</f>
        <v/>
      </c>
      <c r="BR665">
        <f>'T_TTAFStock'!BP22</f>
        <v/>
      </c>
      <c r="BS665">
        <f>'T_TTAFStock'!BQ22</f>
        <v/>
      </c>
      <c r="BT665">
        <f>'T_TTAFStock'!BR22</f>
        <v/>
      </c>
      <c r="BU665">
        <f>'T_TTAFStock'!BS22</f>
        <v/>
      </c>
      <c r="BV665">
        <f>'T_TTAFStock'!BT22</f>
        <v/>
      </c>
      <c r="BW665">
        <f>'T_TTAFStock'!BU22</f>
        <v/>
      </c>
      <c r="BX665">
        <f>'T_TTAFStock'!BV22</f>
        <v/>
      </c>
      <c r="BY665">
        <f>'T_TTAFStock'!BW22</f>
        <v/>
      </c>
      <c r="BZ665">
        <f>'T_TTAFStock'!BX22</f>
        <v/>
      </c>
      <c r="CA665">
        <f>'T_TTAFStock'!BY22</f>
        <v/>
      </c>
      <c r="CB665">
        <f>'T_TTAFStock'!BZ22</f>
        <v/>
      </c>
      <c r="CC665">
        <f>'T_TTAFStock'!CA22</f>
        <v/>
      </c>
      <c r="CD665">
        <f>'T_TTAFStock'!CB22</f>
        <v/>
      </c>
      <c r="CE665">
        <f>'T_TTAFStock'!CC22</f>
        <v/>
      </c>
      <c r="CF665">
        <f>'T_TTAFStock'!CD22</f>
        <v/>
      </c>
      <c r="CG665">
        <f>'T_TTAFStock'!CE22</f>
        <v/>
      </c>
      <c r="CH665">
        <f>'T_TTAFStock'!CF22</f>
        <v/>
      </c>
      <c r="CI665">
        <f>'T_TTAFStock'!CG22</f>
        <v/>
      </c>
      <c r="CJ665">
        <f>'T_TTAFStock'!CH22</f>
        <v/>
      </c>
      <c r="CK665">
        <f>'T_TTAFStock'!CI22</f>
        <v/>
      </c>
      <c r="CL665">
        <f>'T_TTAFStock'!CJ22</f>
        <v/>
      </c>
      <c r="CM665">
        <f>'T_TTAFStock'!CK22</f>
        <v/>
      </c>
      <c r="CN665">
        <f>'T_TTAFStock'!CL22</f>
        <v/>
      </c>
      <c r="CO665">
        <f>'T_TTAFStock'!CM22</f>
        <v/>
      </c>
      <c r="CP665">
        <f>'T_TTAFStock'!CN22</f>
        <v/>
      </c>
      <c r="CQ665">
        <f>'T_TTAFStock'!CO22</f>
        <v/>
      </c>
      <c r="CR665">
        <f>'T_TTAFStock'!CP22</f>
        <v/>
      </c>
      <c r="CS665">
        <f>'T_TTAFStock'!CQ22</f>
        <v/>
      </c>
      <c r="CT665">
        <f>'T_TTAFStock'!CR22</f>
        <v/>
      </c>
      <c r="CU665">
        <f>'T_TTAFStock'!CS22</f>
        <v/>
      </c>
      <c r="CV665">
        <f>'T_TTAFStock'!CT22</f>
        <v/>
      </c>
      <c r="CW665">
        <f>'T_TTAFStock'!CU22</f>
        <v/>
      </c>
      <c r="CX665">
        <f>'T_TTAFStock'!CV22</f>
        <v/>
      </c>
      <c r="CY665">
        <f>'T_TTAFStock'!CW22</f>
        <v/>
      </c>
      <c r="CZ665">
        <f>'T_TTAFStock'!CX22</f>
        <v/>
      </c>
      <c r="DA665">
        <f>'T_TTAFStock'!CY22</f>
        <v/>
      </c>
      <c r="DB665">
        <f>'T_TTAFStock'!CZ22</f>
        <v/>
      </c>
      <c r="DC665">
        <f>'T_TTAFStock'!DA22</f>
        <v/>
      </c>
    </row>
    <row r="666">
      <c r="B666" t="inlineStr">
        <is>
          <t>自社在庫(実績,kg)</t>
        </is>
      </c>
      <c r="D666">
        <f>'T_SelfStock'!B22</f>
        <v/>
      </c>
      <c r="E666">
        <f>'T_SelfStock'!C22</f>
        <v/>
      </c>
      <c r="F666">
        <f>'T_SelfStock'!D22</f>
        <v/>
      </c>
      <c r="G666">
        <f>'T_SelfStock'!E22</f>
        <v/>
      </c>
      <c r="H666">
        <f>'T_SelfStock'!F22</f>
        <v/>
      </c>
      <c r="I666">
        <f>'T_SelfStock'!G22</f>
        <v/>
      </c>
      <c r="J666">
        <f>'T_SelfStock'!H22</f>
        <v/>
      </c>
      <c r="K666">
        <f>'T_SelfStock'!I22</f>
        <v/>
      </c>
      <c r="L666">
        <f>'T_SelfStock'!J22</f>
        <v/>
      </c>
      <c r="M666">
        <f>'T_SelfStock'!K22</f>
        <v/>
      </c>
      <c r="N666">
        <f>'T_SelfStock'!L22</f>
        <v/>
      </c>
      <c r="O666">
        <f>'T_SelfStock'!M22</f>
        <v/>
      </c>
      <c r="P666">
        <f>'T_SelfStock'!N22</f>
        <v/>
      </c>
      <c r="Q666">
        <f>'T_SelfStock'!O22</f>
        <v/>
      </c>
      <c r="R666">
        <f>'T_SelfStock'!P22</f>
        <v/>
      </c>
      <c r="S666">
        <f>'T_SelfStock'!Q22</f>
        <v/>
      </c>
      <c r="T666">
        <f>'T_SelfStock'!R22</f>
        <v/>
      </c>
      <c r="U666">
        <f>'T_SelfStock'!S22</f>
        <v/>
      </c>
      <c r="V666">
        <f>'T_SelfStock'!T22</f>
        <v/>
      </c>
      <c r="W666">
        <f>'T_SelfStock'!U22</f>
        <v/>
      </c>
      <c r="X666">
        <f>'T_SelfStock'!V22</f>
        <v/>
      </c>
      <c r="Y666">
        <f>'T_SelfStock'!W22</f>
        <v/>
      </c>
      <c r="Z666">
        <f>'T_SelfStock'!X22</f>
        <v/>
      </c>
      <c r="AA666">
        <f>'T_SelfStock'!Y22</f>
        <v/>
      </c>
      <c r="AB666">
        <f>'T_SelfStock'!Z22</f>
        <v/>
      </c>
      <c r="AC666">
        <f>'T_SelfStock'!AA22</f>
        <v/>
      </c>
      <c r="AD666">
        <f>'T_SelfStock'!AB22</f>
        <v/>
      </c>
      <c r="AE666">
        <f>'T_SelfStock'!AC22</f>
        <v/>
      </c>
      <c r="AF666">
        <f>'T_SelfStock'!AD22</f>
        <v/>
      </c>
      <c r="AG666">
        <f>'T_SelfStock'!AE22</f>
        <v/>
      </c>
      <c r="AH666">
        <f>'T_SelfStock'!AF22</f>
        <v/>
      </c>
      <c r="AI666">
        <f>'T_SelfStock'!AG22</f>
        <v/>
      </c>
      <c r="AJ666">
        <f>'T_SelfStock'!AH22</f>
        <v/>
      </c>
      <c r="AK666">
        <f>'T_SelfStock'!AI22</f>
        <v/>
      </c>
      <c r="AL666">
        <f>'T_SelfStock'!AJ22</f>
        <v/>
      </c>
      <c r="AM666">
        <f>'T_SelfStock'!AK22</f>
        <v/>
      </c>
      <c r="AN666">
        <f>'T_SelfStock'!AL22</f>
        <v/>
      </c>
      <c r="AO666">
        <f>'T_SelfStock'!AM22</f>
        <v/>
      </c>
      <c r="AP666">
        <f>'T_SelfStock'!AN22</f>
        <v/>
      </c>
      <c r="AQ666">
        <f>'T_SelfStock'!AO22</f>
        <v/>
      </c>
      <c r="AR666">
        <f>'T_SelfStock'!AP22</f>
        <v/>
      </c>
      <c r="AS666">
        <f>'T_SelfStock'!AQ22</f>
        <v/>
      </c>
      <c r="AT666">
        <f>'T_SelfStock'!AR22</f>
        <v/>
      </c>
      <c r="AU666">
        <f>'T_SelfStock'!AS22</f>
        <v/>
      </c>
      <c r="AV666">
        <f>'T_SelfStock'!AT22</f>
        <v/>
      </c>
      <c r="AW666">
        <f>'T_SelfStock'!AU22</f>
        <v/>
      </c>
      <c r="AX666">
        <f>'T_SelfStock'!AV22</f>
        <v/>
      </c>
      <c r="AY666">
        <f>'T_SelfStock'!AW22</f>
        <v/>
      </c>
      <c r="AZ666">
        <f>'T_SelfStock'!AX22</f>
        <v/>
      </c>
      <c r="BA666">
        <f>'T_SelfStock'!AY22</f>
        <v/>
      </c>
      <c r="BB666">
        <f>'T_SelfStock'!AZ22</f>
        <v/>
      </c>
      <c r="BC666">
        <f>'T_SelfStock'!BA22</f>
        <v/>
      </c>
      <c r="BD666">
        <f>'T_SelfStock'!BB22</f>
        <v/>
      </c>
      <c r="BE666">
        <f>'T_SelfStock'!BC22</f>
        <v/>
      </c>
      <c r="BF666">
        <f>'T_SelfStock'!BD22</f>
        <v/>
      </c>
      <c r="BG666">
        <f>'T_SelfStock'!BE22</f>
        <v/>
      </c>
      <c r="BH666">
        <f>'T_SelfStock'!BF22</f>
        <v/>
      </c>
      <c r="BI666">
        <f>'T_SelfStock'!BG22</f>
        <v/>
      </c>
      <c r="BJ666">
        <f>'T_SelfStock'!BH22</f>
        <v/>
      </c>
      <c r="BK666">
        <f>'T_SelfStock'!BI22</f>
        <v/>
      </c>
      <c r="BL666">
        <f>'T_SelfStock'!BJ22</f>
        <v/>
      </c>
      <c r="BM666">
        <f>'T_SelfStock'!BK22</f>
        <v/>
      </c>
      <c r="BN666">
        <f>'T_SelfStock'!BL22</f>
        <v/>
      </c>
      <c r="BO666">
        <f>'T_SelfStock'!BM22</f>
        <v/>
      </c>
      <c r="BP666">
        <f>'T_SelfStock'!BN22</f>
        <v/>
      </c>
      <c r="BQ666">
        <f>'T_SelfStock'!BO22</f>
        <v/>
      </c>
      <c r="BR666">
        <f>'T_SelfStock'!BP22</f>
        <v/>
      </c>
      <c r="BS666">
        <f>'T_SelfStock'!BQ22</f>
        <v/>
      </c>
      <c r="BT666">
        <f>'T_SelfStock'!BR22</f>
        <v/>
      </c>
      <c r="BU666">
        <f>'T_SelfStock'!BS22</f>
        <v/>
      </c>
      <c r="BV666">
        <f>'T_SelfStock'!BT22</f>
        <v/>
      </c>
      <c r="BW666">
        <f>'T_SelfStock'!BU22</f>
        <v/>
      </c>
      <c r="BX666">
        <f>'T_SelfStock'!BV22</f>
        <v/>
      </c>
      <c r="BY666">
        <f>'T_SelfStock'!BW22</f>
        <v/>
      </c>
      <c r="BZ666">
        <f>'T_SelfStock'!BX22</f>
        <v/>
      </c>
      <c r="CA666">
        <f>'T_SelfStock'!BY22</f>
        <v/>
      </c>
      <c r="CB666">
        <f>'T_SelfStock'!BZ22</f>
        <v/>
      </c>
      <c r="CC666">
        <f>'T_SelfStock'!CA22</f>
        <v/>
      </c>
      <c r="CD666">
        <f>'T_SelfStock'!CB22</f>
        <v/>
      </c>
      <c r="CE666">
        <f>'T_SelfStock'!CC22</f>
        <v/>
      </c>
      <c r="CF666">
        <f>'T_SelfStock'!CD22</f>
        <v/>
      </c>
      <c r="CG666">
        <f>'T_SelfStock'!CE22</f>
        <v/>
      </c>
      <c r="CH666">
        <f>'T_SelfStock'!CF22</f>
        <v/>
      </c>
      <c r="CI666">
        <f>'T_SelfStock'!CG22</f>
        <v/>
      </c>
      <c r="CJ666">
        <f>'T_SelfStock'!CH22</f>
        <v/>
      </c>
      <c r="CK666">
        <f>'T_SelfStock'!CI22</f>
        <v/>
      </c>
      <c r="CL666">
        <f>'T_SelfStock'!CJ22</f>
        <v/>
      </c>
      <c r="CM666">
        <f>'T_SelfStock'!CK22</f>
        <v/>
      </c>
      <c r="CN666">
        <f>'T_SelfStock'!CL22</f>
        <v/>
      </c>
      <c r="CO666">
        <f>'T_SelfStock'!CM22</f>
        <v/>
      </c>
      <c r="CP666">
        <f>'T_SelfStock'!CN22</f>
        <v/>
      </c>
      <c r="CQ666">
        <f>'T_SelfStock'!CO22</f>
        <v/>
      </c>
      <c r="CR666">
        <f>'T_SelfStock'!CP22</f>
        <v/>
      </c>
      <c r="CS666">
        <f>'T_SelfStock'!CQ22</f>
        <v/>
      </c>
      <c r="CT666">
        <f>'T_SelfStock'!CR22</f>
        <v/>
      </c>
      <c r="CU666">
        <f>'T_SelfStock'!CS22</f>
        <v/>
      </c>
      <c r="CV666">
        <f>'T_SelfStock'!CT22</f>
        <v/>
      </c>
      <c r="CW666">
        <f>'T_SelfStock'!CU22</f>
        <v/>
      </c>
      <c r="CX666">
        <f>'T_SelfStock'!CV22</f>
        <v/>
      </c>
      <c r="CY666">
        <f>'T_SelfStock'!CW22</f>
        <v/>
      </c>
      <c r="CZ666">
        <f>'T_SelfStock'!CX22</f>
        <v/>
      </c>
      <c r="DA666">
        <f>'T_SelfStock'!CY22</f>
        <v/>
      </c>
      <c r="DB666">
        <f>'T_SelfStock'!CZ22</f>
        <v/>
      </c>
      <c r="DC666">
        <f>'T_SelfStock'!DA22</f>
        <v/>
      </c>
    </row>
    <row r="667">
      <c r="B667" s="4" t="inlineStr">
        <is>
          <t>合計在庫(週末時点,kg)</t>
        </is>
      </c>
      <c r="D667">
        <f>'Grid_Stock'!B18</f>
        <v/>
      </c>
      <c r="E667">
        <f>'Grid_Stock'!C18</f>
        <v/>
      </c>
      <c r="F667">
        <f>'Grid_Stock'!D18</f>
        <v/>
      </c>
      <c r="G667">
        <f>'Grid_Stock'!E18</f>
        <v/>
      </c>
      <c r="H667">
        <f>'Grid_Stock'!F18</f>
        <v/>
      </c>
      <c r="I667">
        <f>'Grid_Stock'!G18</f>
        <v/>
      </c>
      <c r="J667">
        <f>'Grid_Stock'!H18</f>
        <v/>
      </c>
      <c r="K667">
        <f>'Grid_Stock'!I18</f>
        <v/>
      </c>
      <c r="L667">
        <f>'Grid_Stock'!J18</f>
        <v/>
      </c>
      <c r="M667">
        <f>'Grid_Stock'!K18</f>
        <v/>
      </c>
      <c r="N667">
        <f>'Grid_Stock'!L18</f>
        <v/>
      </c>
      <c r="O667">
        <f>'Grid_Stock'!M18</f>
        <v/>
      </c>
      <c r="P667">
        <f>'Grid_Stock'!N18</f>
        <v/>
      </c>
      <c r="Q667">
        <f>'Grid_Stock'!O18</f>
        <v/>
      </c>
      <c r="R667">
        <f>'Grid_Stock'!P18</f>
        <v/>
      </c>
      <c r="S667">
        <f>'Grid_Stock'!Q18</f>
        <v/>
      </c>
      <c r="T667">
        <f>'Grid_Stock'!R18</f>
        <v/>
      </c>
      <c r="U667">
        <f>'Grid_Stock'!S18</f>
        <v/>
      </c>
      <c r="V667">
        <f>'Grid_Stock'!T18</f>
        <v/>
      </c>
      <c r="W667">
        <f>'Grid_Stock'!U18</f>
        <v/>
      </c>
      <c r="X667">
        <f>'Grid_Stock'!V18</f>
        <v/>
      </c>
      <c r="Y667">
        <f>'Grid_Stock'!W18</f>
        <v/>
      </c>
      <c r="Z667">
        <f>'Grid_Stock'!X18</f>
        <v/>
      </c>
      <c r="AA667">
        <f>'Grid_Stock'!Y18</f>
        <v/>
      </c>
      <c r="AB667">
        <f>'Grid_Stock'!Z18</f>
        <v/>
      </c>
      <c r="AC667">
        <f>'Grid_Stock'!AA18</f>
        <v/>
      </c>
      <c r="AD667">
        <f>'Grid_Stock'!AB18</f>
        <v/>
      </c>
      <c r="AE667">
        <f>'Grid_Stock'!AC18</f>
        <v/>
      </c>
      <c r="AF667">
        <f>'Grid_Stock'!AD18</f>
        <v/>
      </c>
      <c r="AG667">
        <f>'Grid_Stock'!AE18</f>
        <v/>
      </c>
      <c r="AH667">
        <f>'Grid_Stock'!AF18</f>
        <v/>
      </c>
      <c r="AI667">
        <f>'Grid_Stock'!AG18</f>
        <v/>
      </c>
      <c r="AJ667">
        <f>'Grid_Stock'!AH18</f>
        <v/>
      </c>
      <c r="AK667">
        <f>'Grid_Stock'!AI18</f>
        <v/>
      </c>
      <c r="AL667">
        <f>'Grid_Stock'!AJ18</f>
        <v/>
      </c>
      <c r="AM667">
        <f>'Grid_Stock'!AK18</f>
        <v/>
      </c>
      <c r="AN667">
        <f>'Grid_Stock'!AL18</f>
        <v/>
      </c>
      <c r="AO667">
        <f>'Grid_Stock'!AM18</f>
        <v/>
      </c>
      <c r="AP667">
        <f>'Grid_Stock'!AN18</f>
        <v/>
      </c>
      <c r="AQ667">
        <f>'Grid_Stock'!AO18</f>
        <v/>
      </c>
      <c r="AR667">
        <f>'Grid_Stock'!AP18</f>
        <v/>
      </c>
      <c r="AS667">
        <f>'Grid_Stock'!AQ18</f>
        <v/>
      </c>
      <c r="AT667">
        <f>'Grid_Stock'!AR18</f>
        <v/>
      </c>
      <c r="AU667">
        <f>'Grid_Stock'!AS18</f>
        <v/>
      </c>
      <c r="AV667">
        <f>'Grid_Stock'!AT18</f>
        <v/>
      </c>
      <c r="AW667">
        <f>'Grid_Stock'!AU18</f>
        <v/>
      </c>
      <c r="AX667">
        <f>'Grid_Stock'!AV18</f>
        <v/>
      </c>
      <c r="AY667">
        <f>'Grid_Stock'!AW18</f>
        <v/>
      </c>
      <c r="AZ667">
        <f>'Grid_Stock'!AX18</f>
        <v/>
      </c>
      <c r="BA667">
        <f>'Grid_Stock'!AY18</f>
        <v/>
      </c>
      <c r="BB667">
        <f>'Grid_Stock'!AZ18</f>
        <v/>
      </c>
      <c r="BC667">
        <f>'Grid_Stock'!BA18</f>
        <v/>
      </c>
      <c r="BD667">
        <f>'Grid_Stock'!BB18</f>
        <v/>
      </c>
      <c r="BE667">
        <f>'Grid_Stock'!BC18</f>
        <v/>
      </c>
      <c r="BF667">
        <f>'Grid_Stock'!BD18</f>
        <v/>
      </c>
      <c r="BG667">
        <f>'Grid_Stock'!BE18</f>
        <v/>
      </c>
      <c r="BH667">
        <f>'Grid_Stock'!BF18</f>
        <v/>
      </c>
      <c r="BI667">
        <f>'Grid_Stock'!BG18</f>
        <v/>
      </c>
      <c r="BJ667">
        <f>'Grid_Stock'!BH18</f>
        <v/>
      </c>
      <c r="BK667">
        <f>'Grid_Stock'!BI18</f>
        <v/>
      </c>
      <c r="BL667">
        <f>'Grid_Stock'!BJ18</f>
        <v/>
      </c>
      <c r="BM667">
        <f>'Grid_Stock'!BK18</f>
        <v/>
      </c>
      <c r="BN667">
        <f>'Grid_Stock'!BL18</f>
        <v/>
      </c>
      <c r="BO667">
        <f>'Grid_Stock'!BM18</f>
        <v/>
      </c>
      <c r="BP667">
        <f>'Grid_Stock'!BN18</f>
        <v/>
      </c>
      <c r="BQ667">
        <f>'Grid_Stock'!BO18</f>
        <v/>
      </c>
      <c r="BR667">
        <f>'Grid_Stock'!BP18</f>
        <v/>
      </c>
      <c r="BS667">
        <f>'Grid_Stock'!BQ18</f>
        <v/>
      </c>
      <c r="BT667">
        <f>'Grid_Stock'!BR18</f>
        <v/>
      </c>
      <c r="BU667">
        <f>'Grid_Stock'!BS18</f>
        <v/>
      </c>
      <c r="BV667">
        <f>'Grid_Stock'!BT18</f>
        <v/>
      </c>
      <c r="BW667">
        <f>'Grid_Stock'!BU18</f>
        <v/>
      </c>
      <c r="BX667">
        <f>'Grid_Stock'!BV18</f>
        <v/>
      </c>
      <c r="BY667">
        <f>'Grid_Stock'!BW18</f>
        <v/>
      </c>
      <c r="BZ667">
        <f>'Grid_Stock'!BX18</f>
        <v/>
      </c>
      <c r="CA667">
        <f>'Grid_Stock'!BY18</f>
        <v/>
      </c>
      <c r="CB667">
        <f>'Grid_Stock'!BZ18</f>
        <v/>
      </c>
      <c r="CC667">
        <f>'Grid_Stock'!CA18</f>
        <v/>
      </c>
      <c r="CD667">
        <f>'Grid_Stock'!CB18</f>
        <v/>
      </c>
      <c r="CE667">
        <f>'Grid_Stock'!CC18</f>
        <v/>
      </c>
      <c r="CF667">
        <f>'Grid_Stock'!CD18</f>
        <v/>
      </c>
      <c r="CG667">
        <f>'Grid_Stock'!CE18</f>
        <v/>
      </c>
      <c r="CH667">
        <f>'Grid_Stock'!CF18</f>
        <v/>
      </c>
      <c r="CI667">
        <f>'Grid_Stock'!CG18</f>
        <v/>
      </c>
      <c r="CJ667">
        <f>'Grid_Stock'!CH18</f>
        <v/>
      </c>
      <c r="CK667">
        <f>'Grid_Stock'!CI18</f>
        <v/>
      </c>
      <c r="CL667">
        <f>'Grid_Stock'!CJ18</f>
        <v/>
      </c>
      <c r="CM667">
        <f>'Grid_Stock'!CK18</f>
        <v/>
      </c>
      <c r="CN667">
        <f>'Grid_Stock'!CL18</f>
        <v/>
      </c>
      <c r="CO667">
        <f>'Grid_Stock'!CM18</f>
        <v/>
      </c>
      <c r="CP667">
        <f>'Grid_Stock'!CN18</f>
        <v/>
      </c>
      <c r="CQ667">
        <f>'Grid_Stock'!CO18</f>
        <v/>
      </c>
      <c r="CR667">
        <f>'Grid_Stock'!CP18</f>
        <v/>
      </c>
      <c r="CS667">
        <f>'Grid_Stock'!CQ18</f>
        <v/>
      </c>
      <c r="CT667">
        <f>'Grid_Stock'!CR18</f>
        <v/>
      </c>
      <c r="CU667">
        <f>'Grid_Stock'!CS18</f>
        <v/>
      </c>
      <c r="CV667">
        <f>'Grid_Stock'!CT18</f>
        <v/>
      </c>
      <c r="CW667">
        <f>'Grid_Stock'!CU18</f>
        <v/>
      </c>
      <c r="CX667">
        <f>'Grid_Stock'!CV18</f>
        <v/>
      </c>
      <c r="CY667">
        <f>'Grid_Stock'!CW18</f>
        <v/>
      </c>
      <c r="CZ667">
        <f>'Grid_Stock'!CX18</f>
        <v/>
      </c>
      <c r="DA667">
        <f>'Grid_Stock'!CY18</f>
        <v/>
      </c>
      <c r="DB667">
        <f>'Grid_Stock'!CZ18</f>
        <v/>
      </c>
      <c r="DC667">
        <f>'Grid_Stock'!DA18</f>
        <v/>
      </c>
    </row>
    <row r="668">
      <c r="B668" s="16" t="inlineStr">
        <is>
          <t>（発注の目安はDashboardの基準在庫[下限/上限]と色分けを参照）</t>
        </is>
      </c>
    </row>
    <row r="670">
      <c r="A670" s="14" t="inlineStr">
        <is>
          <t>CHEM-1240</t>
        </is>
      </c>
      <c r="B670" s="14" t="inlineStr">
        <is>
          <t>Alumina SOL(AS200)</t>
        </is>
      </c>
      <c r="C670" s="15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  <c r="AA670" s="14" t="n"/>
      <c r="AB670" s="14" t="n"/>
      <c r="AC670" s="14" t="n"/>
      <c r="AD670" s="14" t="n"/>
      <c r="AE670" s="14" t="n"/>
      <c r="AF670" s="14" t="n"/>
      <c r="AG670" s="14" t="n"/>
      <c r="AH670" s="14" t="n"/>
      <c r="AI670" s="14" t="n"/>
      <c r="AJ670" s="14" t="n"/>
      <c r="AK670" s="14" t="n"/>
      <c r="AL670" s="14" t="n"/>
      <c r="AM670" s="14" t="n"/>
      <c r="AN670" s="14" t="n"/>
      <c r="AO670" s="14" t="n"/>
      <c r="AP670" s="14" t="n"/>
      <c r="AQ670" s="14" t="n"/>
      <c r="AR670" s="14" t="n"/>
      <c r="AS670" s="14" t="n"/>
      <c r="AT670" s="14" t="n"/>
      <c r="AU670" s="14" t="n"/>
      <c r="AV670" s="14" t="n"/>
      <c r="AW670" s="14" t="n"/>
      <c r="AX670" s="14" t="n"/>
      <c r="AY670" s="14" t="n"/>
      <c r="AZ670" s="14" t="n"/>
      <c r="BA670" s="14" t="n"/>
      <c r="BB670" s="14" t="n"/>
      <c r="BC670" s="14" t="n"/>
      <c r="BD670" s="14" t="n"/>
      <c r="BE670" s="14" t="n"/>
      <c r="BF670" s="14" t="n"/>
      <c r="BG670" s="14" t="n"/>
      <c r="BH670" s="14" t="n"/>
      <c r="BI670" s="14" t="n"/>
      <c r="BJ670" s="14" t="n"/>
      <c r="BK670" s="14" t="n"/>
      <c r="BL670" s="14" t="n"/>
      <c r="BM670" s="14" t="n"/>
      <c r="BN670" s="14" t="n"/>
      <c r="BO670" s="14" t="n"/>
      <c r="BP670" s="14" t="n"/>
      <c r="BQ670" s="14" t="n"/>
      <c r="BR670" s="14" t="n"/>
      <c r="BS670" s="14" t="n"/>
      <c r="BT670" s="14" t="n"/>
      <c r="BU670" s="14" t="n"/>
      <c r="BV670" s="14" t="n"/>
      <c r="BW670" s="14" t="n"/>
      <c r="BX670" s="14" t="n"/>
      <c r="BY670" s="14" t="n"/>
      <c r="BZ670" s="14" t="n"/>
      <c r="CA670" s="14" t="n"/>
      <c r="CB670" s="14" t="n"/>
      <c r="CC670" s="14" t="n"/>
      <c r="CD670" s="14" t="n"/>
      <c r="CE670" s="14" t="n"/>
      <c r="CF670" s="14" t="n"/>
      <c r="CG670" s="14" t="n"/>
      <c r="CH670" s="14" t="n"/>
      <c r="CI670" s="14" t="n"/>
      <c r="CJ670" s="14" t="n"/>
      <c r="CK670" s="14" t="n"/>
      <c r="CL670" s="14" t="n"/>
      <c r="CM670" s="14" t="n"/>
      <c r="CN670" s="14" t="n"/>
      <c r="CO670" s="14" t="n"/>
      <c r="CP670" s="14" t="n"/>
      <c r="CQ670" s="14" t="n"/>
      <c r="CR670" s="14" t="n"/>
      <c r="CS670" s="14" t="n"/>
      <c r="CT670" s="14" t="n"/>
      <c r="CU670" s="14" t="n"/>
      <c r="CV670" s="14" t="n"/>
      <c r="CW670" s="14" t="n"/>
      <c r="CX670" s="14" t="n"/>
      <c r="CY670" s="14" t="n"/>
      <c r="CZ670" s="14" t="n"/>
      <c r="DA670" s="14" t="n"/>
      <c r="DB670" s="14" t="n"/>
      <c r="DC670" s="14" t="n"/>
    </row>
    <row r="671">
      <c r="B671" t="inlineStr">
        <is>
          <t>TSP-224</t>
        </is>
      </c>
      <c r="C671" t="inlineStr">
        <is>
          <t>No. of batches</t>
        </is>
      </c>
      <c r="D671">
        <f>IFERROR(INDEX(PP_Grid[#Data],$DD671,2),0)</f>
        <v/>
      </c>
      <c r="E671">
        <f>IFERROR(INDEX(PP_Grid[#Data],$DD671,3),0)</f>
        <v/>
      </c>
      <c r="F671">
        <f>IFERROR(INDEX(PP_Grid[#Data],$DD671,4),0)</f>
        <v/>
      </c>
      <c r="G671">
        <f>IFERROR(INDEX(PP_Grid[#Data],$DD671,5),0)</f>
        <v/>
      </c>
      <c r="H671">
        <f>IFERROR(INDEX(PP_Grid[#Data],$DD671,6),0)</f>
        <v/>
      </c>
      <c r="I671">
        <f>IFERROR(INDEX(PP_Grid[#Data],$DD671,7),0)</f>
        <v/>
      </c>
      <c r="J671">
        <f>IFERROR(INDEX(PP_Grid[#Data],$DD671,8),0)</f>
        <v/>
      </c>
      <c r="K671">
        <f>IFERROR(INDEX(PP_Grid[#Data],$DD671,9),0)</f>
        <v/>
      </c>
      <c r="L671">
        <f>IFERROR(INDEX(PP_Grid[#Data],$DD671,10),0)</f>
        <v/>
      </c>
      <c r="M671">
        <f>IFERROR(INDEX(PP_Grid[#Data],$DD671,11),0)</f>
        <v/>
      </c>
      <c r="N671">
        <f>IFERROR(INDEX(PP_Grid[#Data],$DD671,12),0)</f>
        <v/>
      </c>
      <c r="O671">
        <f>IFERROR(INDEX(PP_Grid[#Data],$DD671,13),0)</f>
        <v/>
      </c>
      <c r="P671">
        <f>IFERROR(INDEX(PP_Grid[#Data],$DD671,14),0)</f>
        <v/>
      </c>
      <c r="Q671">
        <f>IFERROR(INDEX(PP_Grid[#Data],$DD671,15),0)</f>
        <v/>
      </c>
      <c r="R671">
        <f>IFERROR(INDEX(PP_Grid[#Data],$DD671,16),0)</f>
        <v/>
      </c>
      <c r="S671">
        <f>IFERROR(INDEX(PP_Grid[#Data],$DD671,17),0)</f>
        <v/>
      </c>
      <c r="T671">
        <f>IFERROR(INDEX(PP_Grid[#Data],$DD671,18),0)</f>
        <v/>
      </c>
      <c r="U671">
        <f>IFERROR(INDEX(PP_Grid[#Data],$DD671,19),0)</f>
        <v/>
      </c>
      <c r="V671">
        <f>IFERROR(INDEX(PP_Grid[#Data],$DD671,20),0)</f>
        <v/>
      </c>
      <c r="W671">
        <f>IFERROR(INDEX(PP_Grid[#Data],$DD671,21),0)</f>
        <v/>
      </c>
      <c r="X671">
        <f>IFERROR(INDEX(PP_Grid[#Data],$DD671,22),0)</f>
        <v/>
      </c>
      <c r="Y671">
        <f>IFERROR(INDEX(PP_Grid[#Data],$DD671,23),0)</f>
        <v/>
      </c>
      <c r="Z671">
        <f>IFERROR(INDEX(PP_Grid[#Data],$DD671,24),0)</f>
        <v/>
      </c>
      <c r="AA671">
        <f>IFERROR(INDEX(PP_Grid[#Data],$DD671,25),0)</f>
        <v/>
      </c>
      <c r="AB671">
        <f>IFERROR(INDEX(PP_Grid[#Data],$DD671,26),0)</f>
        <v/>
      </c>
      <c r="AC671">
        <f>IFERROR(INDEX(PP_Grid[#Data],$DD671,27),0)</f>
        <v/>
      </c>
      <c r="AD671">
        <f>IFERROR(INDEX(PP_Grid[#Data],$DD671,28),0)</f>
        <v/>
      </c>
      <c r="AE671">
        <f>IFERROR(INDEX(PP_Grid[#Data],$DD671,29),0)</f>
        <v/>
      </c>
      <c r="AF671">
        <f>IFERROR(INDEX(PP_Grid[#Data],$DD671,30),0)</f>
        <v/>
      </c>
      <c r="AG671">
        <f>IFERROR(INDEX(PP_Grid[#Data],$DD671,31),0)</f>
        <v/>
      </c>
      <c r="AH671">
        <f>IFERROR(INDEX(PP_Grid[#Data],$DD671,32),0)</f>
        <v/>
      </c>
      <c r="AI671">
        <f>IFERROR(INDEX(PP_Grid[#Data],$DD671,33),0)</f>
        <v/>
      </c>
      <c r="AJ671">
        <f>IFERROR(INDEX(PP_Grid[#Data],$DD671,34),0)</f>
        <v/>
      </c>
      <c r="AK671">
        <f>IFERROR(INDEX(PP_Grid[#Data],$DD671,35),0)</f>
        <v/>
      </c>
      <c r="AL671">
        <f>IFERROR(INDEX(PP_Grid[#Data],$DD671,36),0)</f>
        <v/>
      </c>
      <c r="AM671">
        <f>IFERROR(INDEX(PP_Grid[#Data],$DD671,37),0)</f>
        <v/>
      </c>
      <c r="AN671">
        <f>IFERROR(INDEX(PP_Grid[#Data],$DD671,38),0)</f>
        <v/>
      </c>
      <c r="AO671">
        <f>IFERROR(INDEX(PP_Grid[#Data],$DD671,39),0)</f>
        <v/>
      </c>
      <c r="AP671">
        <f>IFERROR(INDEX(PP_Grid[#Data],$DD671,40),0)</f>
        <v/>
      </c>
      <c r="AQ671">
        <f>IFERROR(INDEX(PP_Grid[#Data],$DD671,41),0)</f>
        <v/>
      </c>
      <c r="AR671">
        <f>IFERROR(INDEX(PP_Grid[#Data],$DD671,42),0)</f>
        <v/>
      </c>
      <c r="AS671">
        <f>IFERROR(INDEX(PP_Grid[#Data],$DD671,43),0)</f>
        <v/>
      </c>
      <c r="AT671">
        <f>IFERROR(INDEX(PP_Grid[#Data],$DD671,44),0)</f>
        <v/>
      </c>
      <c r="AU671">
        <f>IFERROR(INDEX(PP_Grid[#Data],$DD671,45),0)</f>
        <v/>
      </c>
      <c r="AV671">
        <f>IFERROR(INDEX(PP_Grid[#Data],$DD671,46),0)</f>
        <v/>
      </c>
      <c r="AW671">
        <f>IFERROR(INDEX(PP_Grid[#Data],$DD671,47),0)</f>
        <v/>
      </c>
      <c r="AX671">
        <f>IFERROR(INDEX(PP_Grid[#Data],$DD671,48),0)</f>
        <v/>
      </c>
      <c r="AY671">
        <f>IFERROR(INDEX(PP_Grid[#Data],$DD671,49),0)</f>
        <v/>
      </c>
      <c r="AZ671">
        <f>IFERROR(INDEX(PP_Grid[#Data],$DD671,50),0)</f>
        <v/>
      </c>
      <c r="BA671">
        <f>IFERROR(INDEX(PP_Grid[#Data],$DD671,51),0)</f>
        <v/>
      </c>
      <c r="BB671">
        <f>IFERROR(INDEX(PP_Grid[#Data],$DD671,52),0)</f>
        <v/>
      </c>
      <c r="BC671">
        <f>IFERROR(INDEX(PP_Grid[#Data],$DD671,53),0)</f>
        <v/>
      </c>
      <c r="BD671">
        <f>IFERROR(INDEX(PP_Grid[#Data],$DD671,54),0)</f>
        <v/>
      </c>
      <c r="BE671">
        <f>IFERROR(INDEX(PP_Grid[#Data],$DD671,55),0)</f>
        <v/>
      </c>
      <c r="BF671">
        <f>IFERROR(INDEX(PP_Grid[#Data],$DD671,56),0)</f>
        <v/>
      </c>
      <c r="BG671">
        <f>IFERROR(INDEX(PP_Grid[#Data],$DD671,57),0)</f>
        <v/>
      </c>
      <c r="BH671">
        <f>IFERROR(INDEX(PP_Grid[#Data],$DD671,58),0)</f>
        <v/>
      </c>
      <c r="BI671">
        <f>IFERROR(INDEX(PP_Grid[#Data],$DD671,59),0)</f>
        <v/>
      </c>
      <c r="BJ671">
        <f>IFERROR(INDEX(PP_Grid[#Data],$DD671,60),0)</f>
        <v/>
      </c>
      <c r="BK671">
        <f>IFERROR(INDEX(PP_Grid[#Data],$DD671,61),0)</f>
        <v/>
      </c>
      <c r="BL671">
        <f>IFERROR(INDEX(PP_Grid[#Data],$DD671,62),0)</f>
        <v/>
      </c>
      <c r="BM671">
        <f>IFERROR(INDEX(PP_Grid[#Data],$DD671,63),0)</f>
        <v/>
      </c>
      <c r="BN671">
        <f>IFERROR(INDEX(PP_Grid[#Data],$DD671,64),0)</f>
        <v/>
      </c>
      <c r="BO671">
        <f>IFERROR(INDEX(PP_Grid[#Data],$DD671,65),0)</f>
        <v/>
      </c>
      <c r="BP671">
        <f>IFERROR(INDEX(PP_Grid[#Data],$DD671,66),0)</f>
        <v/>
      </c>
      <c r="BQ671">
        <f>IFERROR(INDEX(PP_Grid[#Data],$DD671,67),0)</f>
        <v/>
      </c>
      <c r="BR671">
        <f>IFERROR(INDEX(PP_Grid[#Data],$DD671,68),0)</f>
        <v/>
      </c>
      <c r="BS671">
        <f>IFERROR(INDEX(PP_Grid[#Data],$DD671,69),0)</f>
        <v/>
      </c>
      <c r="BT671">
        <f>IFERROR(INDEX(PP_Grid[#Data],$DD671,70),0)</f>
        <v/>
      </c>
      <c r="BU671">
        <f>IFERROR(INDEX(PP_Grid[#Data],$DD671,71),0)</f>
        <v/>
      </c>
      <c r="BV671">
        <f>IFERROR(INDEX(PP_Grid[#Data],$DD671,72),0)</f>
        <v/>
      </c>
      <c r="BW671">
        <f>IFERROR(INDEX(PP_Grid[#Data],$DD671,73),0)</f>
        <v/>
      </c>
      <c r="BX671">
        <f>IFERROR(INDEX(PP_Grid[#Data],$DD671,74),0)</f>
        <v/>
      </c>
      <c r="BY671">
        <f>IFERROR(INDEX(PP_Grid[#Data],$DD671,75),0)</f>
        <v/>
      </c>
      <c r="BZ671">
        <f>IFERROR(INDEX(PP_Grid[#Data],$DD671,76),0)</f>
        <v/>
      </c>
      <c r="CA671">
        <f>IFERROR(INDEX(PP_Grid[#Data],$DD671,77),0)</f>
        <v/>
      </c>
      <c r="CB671">
        <f>IFERROR(INDEX(PP_Grid[#Data],$DD671,78),0)</f>
        <v/>
      </c>
      <c r="CC671">
        <f>IFERROR(INDEX(PP_Grid[#Data],$DD671,79),0)</f>
        <v/>
      </c>
      <c r="CD671">
        <f>IFERROR(INDEX(PP_Grid[#Data],$DD671,80),0)</f>
        <v/>
      </c>
      <c r="CE671">
        <f>IFERROR(INDEX(PP_Grid[#Data],$DD671,81),0)</f>
        <v/>
      </c>
      <c r="CF671">
        <f>IFERROR(INDEX(PP_Grid[#Data],$DD671,82),0)</f>
        <v/>
      </c>
      <c r="CG671">
        <f>IFERROR(INDEX(PP_Grid[#Data],$DD671,83),0)</f>
        <v/>
      </c>
      <c r="CH671">
        <f>IFERROR(INDEX(PP_Grid[#Data],$DD671,84),0)</f>
        <v/>
      </c>
      <c r="CI671">
        <f>IFERROR(INDEX(PP_Grid[#Data],$DD671,85),0)</f>
        <v/>
      </c>
      <c r="CJ671">
        <f>IFERROR(INDEX(PP_Grid[#Data],$DD671,86),0)</f>
        <v/>
      </c>
      <c r="CK671">
        <f>IFERROR(INDEX(PP_Grid[#Data],$DD671,87),0)</f>
        <v/>
      </c>
      <c r="CL671">
        <f>IFERROR(INDEX(PP_Grid[#Data],$DD671,88),0)</f>
        <v/>
      </c>
      <c r="CM671">
        <f>IFERROR(INDEX(PP_Grid[#Data],$DD671,89),0)</f>
        <v/>
      </c>
      <c r="CN671">
        <f>IFERROR(INDEX(PP_Grid[#Data],$DD671,90),0)</f>
        <v/>
      </c>
      <c r="CO671">
        <f>IFERROR(INDEX(PP_Grid[#Data],$DD671,91),0)</f>
        <v/>
      </c>
      <c r="CP671">
        <f>IFERROR(INDEX(PP_Grid[#Data],$DD671,92),0)</f>
        <v/>
      </c>
      <c r="CQ671">
        <f>IFERROR(INDEX(PP_Grid[#Data],$DD671,93),0)</f>
        <v/>
      </c>
      <c r="CR671">
        <f>IFERROR(INDEX(PP_Grid[#Data],$DD671,94),0)</f>
        <v/>
      </c>
      <c r="CS671">
        <f>IFERROR(INDEX(PP_Grid[#Data],$DD671,95),0)</f>
        <v/>
      </c>
      <c r="CT671">
        <f>IFERROR(INDEX(PP_Grid[#Data],$DD671,96),0)</f>
        <v/>
      </c>
      <c r="CU671">
        <f>IFERROR(INDEX(PP_Grid[#Data],$DD671,97),0)</f>
        <v/>
      </c>
      <c r="CV671">
        <f>IFERROR(INDEX(PP_Grid[#Data],$DD671,98),0)</f>
        <v/>
      </c>
      <c r="CW671">
        <f>IFERROR(INDEX(PP_Grid[#Data],$DD671,99),0)</f>
        <v/>
      </c>
      <c r="CX671">
        <f>IFERROR(INDEX(PP_Grid[#Data],$DD671,100),0)</f>
        <v/>
      </c>
      <c r="CY671">
        <f>IFERROR(INDEX(PP_Grid[#Data],$DD671,101),0)</f>
        <v/>
      </c>
      <c r="CZ671">
        <f>IFERROR(INDEX(PP_Grid[#Data],$DD671,102),0)</f>
        <v/>
      </c>
      <c r="DA671">
        <f>IFERROR(INDEX(PP_Grid[#Data],$DD671,103),0)</f>
        <v/>
      </c>
      <c r="DB671">
        <f>IFERROR(INDEX(PP_Grid[#Data],$DD671,104),0)</f>
        <v/>
      </c>
      <c r="DC671">
        <f>IFERROR(INDEX(PP_Grid[#Data],$DD671,105),0)</f>
        <v/>
      </c>
      <c r="DD671" s="7">
        <f>IFERROR(MATCH($B671,PP_Grid[Intermediate],0),99999)</f>
        <v/>
      </c>
    </row>
    <row r="672">
      <c r="B672" t="inlineStr">
        <is>
          <t>使用量(kg)</t>
        </is>
      </c>
      <c r="C672">
        <f>SUMIFS(M_BOM[RM_Qty_Per_Batch],M_BOM[Intermediate],$B671,M_BOM[Part Name],$A670)</f>
        <v/>
      </c>
      <c r="D672">
        <f>$C672*D671</f>
        <v/>
      </c>
      <c r="E672">
        <f>$C672*E671</f>
        <v/>
      </c>
      <c r="F672">
        <f>$C672*F671</f>
        <v/>
      </c>
      <c r="G672">
        <f>$C672*G671</f>
        <v/>
      </c>
      <c r="H672">
        <f>$C672*H671</f>
        <v/>
      </c>
      <c r="I672">
        <f>$C672*I671</f>
        <v/>
      </c>
      <c r="J672">
        <f>$C672*J671</f>
        <v/>
      </c>
      <c r="K672">
        <f>$C672*K671</f>
        <v/>
      </c>
      <c r="L672">
        <f>$C672*L671</f>
        <v/>
      </c>
      <c r="M672">
        <f>$C672*M671</f>
        <v/>
      </c>
      <c r="N672">
        <f>$C672*N671</f>
        <v/>
      </c>
      <c r="O672">
        <f>$C672*O671</f>
        <v/>
      </c>
      <c r="P672">
        <f>$C672*P671</f>
        <v/>
      </c>
      <c r="Q672">
        <f>$C672*Q671</f>
        <v/>
      </c>
      <c r="R672">
        <f>$C672*R671</f>
        <v/>
      </c>
      <c r="S672">
        <f>$C672*S671</f>
        <v/>
      </c>
      <c r="T672">
        <f>$C672*T671</f>
        <v/>
      </c>
      <c r="U672">
        <f>$C672*U671</f>
        <v/>
      </c>
      <c r="V672">
        <f>$C672*V671</f>
        <v/>
      </c>
      <c r="W672">
        <f>$C672*W671</f>
        <v/>
      </c>
      <c r="X672">
        <f>$C672*X671</f>
        <v/>
      </c>
      <c r="Y672">
        <f>$C672*Y671</f>
        <v/>
      </c>
      <c r="Z672">
        <f>$C672*Z671</f>
        <v/>
      </c>
      <c r="AA672">
        <f>$C672*AA671</f>
        <v/>
      </c>
      <c r="AB672">
        <f>$C672*AB671</f>
        <v/>
      </c>
      <c r="AC672">
        <f>$C672*AC671</f>
        <v/>
      </c>
      <c r="AD672">
        <f>$C672*AD671</f>
        <v/>
      </c>
      <c r="AE672">
        <f>$C672*AE671</f>
        <v/>
      </c>
      <c r="AF672">
        <f>$C672*AF671</f>
        <v/>
      </c>
      <c r="AG672">
        <f>$C672*AG671</f>
        <v/>
      </c>
      <c r="AH672">
        <f>$C672*AH671</f>
        <v/>
      </c>
      <c r="AI672">
        <f>$C672*AI671</f>
        <v/>
      </c>
      <c r="AJ672">
        <f>$C672*AJ671</f>
        <v/>
      </c>
      <c r="AK672">
        <f>$C672*AK671</f>
        <v/>
      </c>
      <c r="AL672">
        <f>$C672*AL671</f>
        <v/>
      </c>
      <c r="AM672">
        <f>$C672*AM671</f>
        <v/>
      </c>
      <c r="AN672">
        <f>$C672*AN671</f>
        <v/>
      </c>
      <c r="AO672">
        <f>$C672*AO671</f>
        <v/>
      </c>
      <c r="AP672">
        <f>$C672*AP671</f>
        <v/>
      </c>
      <c r="AQ672">
        <f>$C672*AQ671</f>
        <v/>
      </c>
      <c r="AR672">
        <f>$C672*AR671</f>
        <v/>
      </c>
      <c r="AS672">
        <f>$C672*AS671</f>
        <v/>
      </c>
      <c r="AT672">
        <f>$C672*AT671</f>
        <v/>
      </c>
      <c r="AU672">
        <f>$C672*AU671</f>
        <v/>
      </c>
      <c r="AV672">
        <f>$C672*AV671</f>
        <v/>
      </c>
      <c r="AW672">
        <f>$C672*AW671</f>
        <v/>
      </c>
      <c r="AX672">
        <f>$C672*AX671</f>
        <v/>
      </c>
      <c r="AY672">
        <f>$C672*AY671</f>
        <v/>
      </c>
      <c r="AZ672">
        <f>$C672*AZ671</f>
        <v/>
      </c>
      <c r="BA672">
        <f>$C672*BA671</f>
        <v/>
      </c>
      <c r="BB672">
        <f>$C672*BB671</f>
        <v/>
      </c>
      <c r="BC672">
        <f>$C672*BC671</f>
        <v/>
      </c>
      <c r="BD672">
        <f>$C672*BD671</f>
        <v/>
      </c>
      <c r="BE672">
        <f>$C672*BE671</f>
        <v/>
      </c>
      <c r="BF672">
        <f>$C672*BF671</f>
        <v/>
      </c>
      <c r="BG672">
        <f>$C672*BG671</f>
        <v/>
      </c>
      <c r="BH672">
        <f>$C672*BH671</f>
        <v/>
      </c>
      <c r="BI672">
        <f>$C672*BI671</f>
        <v/>
      </c>
      <c r="BJ672">
        <f>$C672*BJ671</f>
        <v/>
      </c>
      <c r="BK672">
        <f>$C672*BK671</f>
        <v/>
      </c>
      <c r="BL672">
        <f>$C672*BL671</f>
        <v/>
      </c>
      <c r="BM672">
        <f>$C672*BM671</f>
        <v/>
      </c>
      <c r="BN672">
        <f>$C672*BN671</f>
        <v/>
      </c>
      <c r="BO672">
        <f>$C672*BO671</f>
        <v/>
      </c>
      <c r="BP672">
        <f>$C672*BP671</f>
        <v/>
      </c>
      <c r="BQ672">
        <f>$C672*BQ671</f>
        <v/>
      </c>
      <c r="BR672">
        <f>$C672*BR671</f>
        <v/>
      </c>
      <c r="BS672">
        <f>$C672*BS671</f>
        <v/>
      </c>
      <c r="BT672">
        <f>$C672*BT671</f>
        <v/>
      </c>
      <c r="BU672">
        <f>$C672*BU671</f>
        <v/>
      </c>
      <c r="BV672">
        <f>$C672*BV671</f>
        <v/>
      </c>
      <c r="BW672">
        <f>$C672*BW671</f>
        <v/>
      </c>
      <c r="BX672">
        <f>$C672*BX671</f>
        <v/>
      </c>
      <c r="BY672">
        <f>$C672*BY671</f>
        <v/>
      </c>
      <c r="BZ672">
        <f>$C672*BZ671</f>
        <v/>
      </c>
      <c r="CA672">
        <f>$C672*CA671</f>
        <v/>
      </c>
      <c r="CB672">
        <f>$C672*CB671</f>
        <v/>
      </c>
      <c r="CC672">
        <f>$C672*CC671</f>
        <v/>
      </c>
      <c r="CD672">
        <f>$C672*CD671</f>
        <v/>
      </c>
      <c r="CE672">
        <f>$C672*CE671</f>
        <v/>
      </c>
      <c r="CF672">
        <f>$C672*CF671</f>
        <v/>
      </c>
      <c r="CG672">
        <f>$C672*CG671</f>
        <v/>
      </c>
      <c r="CH672">
        <f>$C672*CH671</f>
        <v/>
      </c>
      <c r="CI672">
        <f>$C672*CI671</f>
        <v/>
      </c>
      <c r="CJ672">
        <f>$C672*CJ671</f>
        <v/>
      </c>
      <c r="CK672">
        <f>$C672*CK671</f>
        <v/>
      </c>
      <c r="CL672">
        <f>$C672*CL671</f>
        <v/>
      </c>
      <c r="CM672">
        <f>$C672*CM671</f>
        <v/>
      </c>
      <c r="CN672">
        <f>$C672*CN671</f>
        <v/>
      </c>
      <c r="CO672">
        <f>$C672*CO671</f>
        <v/>
      </c>
      <c r="CP672">
        <f>$C672*CP671</f>
        <v/>
      </c>
      <c r="CQ672">
        <f>$C672*CQ671</f>
        <v/>
      </c>
      <c r="CR672">
        <f>$C672*CR671</f>
        <v/>
      </c>
      <c r="CS672">
        <f>$C672*CS671</f>
        <v/>
      </c>
      <c r="CT672">
        <f>$C672*CT671</f>
        <v/>
      </c>
      <c r="CU672">
        <f>$C672*CU671</f>
        <v/>
      </c>
      <c r="CV672">
        <f>$C672*CV671</f>
        <v/>
      </c>
      <c r="CW672">
        <f>$C672*CW671</f>
        <v/>
      </c>
      <c r="CX672">
        <f>$C672*CX671</f>
        <v/>
      </c>
      <c r="CY672">
        <f>$C672*CY671</f>
        <v/>
      </c>
      <c r="CZ672">
        <f>$C672*CZ671</f>
        <v/>
      </c>
      <c r="DA672">
        <f>$C672*DA671</f>
        <v/>
      </c>
      <c r="DB672">
        <f>$C672*DB671</f>
        <v/>
      </c>
      <c r="DC672">
        <f>$C672*DC671</f>
        <v/>
      </c>
    </row>
    <row r="673">
      <c r="B673" t="inlineStr">
        <is>
          <t>TSP-390</t>
        </is>
      </c>
      <c r="C673" t="inlineStr">
        <is>
          <t>No. of batches</t>
        </is>
      </c>
      <c r="D673">
        <f>IFERROR(INDEX(PP_Grid[#Data],$DD673,2),0)</f>
        <v/>
      </c>
      <c r="E673">
        <f>IFERROR(INDEX(PP_Grid[#Data],$DD673,3),0)</f>
        <v/>
      </c>
      <c r="F673">
        <f>IFERROR(INDEX(PP_Grid[#Data],$DD673,4),0)</f>
        <v/>
      </c>
      <c r="G673">
        <f>IFERROR(INDEX(PP_Grid[#Data],$DD673,5),0)</f>
        <v/>
      </c>
      <c r="H673">
        <f>IFERROR(INDEX(PP_Grid[#Data],$DD673,6),0)</f>
        <v/>
      </c>
      <c r="I673">
        <f>IFERROR(INDEX(PP_Grid[#Data],$DD673,7),0)</f>
        <v/>
      </c>
      <c r="J673">
        <f>IFERROR(INDEX(PP_Grid[#Data],$DD673,8),0)</f>
        <v/>
      </c>
      <c r="K673">
        <f>IFERROR(INDEX(PP_Grid[#Data],$DD673,9),0)</f>
        <v/>
      </c>
      <c r="L673">
        <f>IFERROR(INDEX(PP_Grid[#Data],$DD673,10),0)</f>
        <v/>
      </c>
      <c r="M673">
        <f>IFERROR(INDEX(PP_Grid[#Data],$DD673,11),0)</f>
        <v/>
      </c>
      <c r="N673">
        <f>IFERROR(INDEX(PP_Grid[#Data],$DD673,12),0)</f>
        <v/>
      </c>
      <c r="O673">
        <f>IFERROR(INDEX(PP_Grid[#Data],$DD673,13),0)</f>
        <v/>
      </c>
      <c r="P673">
        <f>IFERROR(INDEX(PP_Grid[#Data],$DD673,14),0)</f>
        <v/>
      </c>
      <c r="Q673">
        <f>IFERROR(INDEX(PP_Grid[#Data],$DD673,15),0)</f>
        <v/>
      </c>
      <c r="R673">
        <f>IFERROR(INDEX(PP_Grid[#Data],$DD673,16),0)</f>
        <v/>
      </c>
      <c r="S673">
        <f>IFERROR(INDEX(PP_Grid[#Data],$DD673,17),0)</f>
        <v/>
      </c>
      <c r="T673">
        <f>IFERROR(INDEX(PP_Grid[#Data],$DD673,18),0)</f>
        <v/>
      </c>
      <c r="U673">
        <f>IFERROR(INDEX(PP_Grid[#Data],$DD673,19),0)</f>
        <v/>
      </c>
      <c r="V673">
        <f>IFERROR(INDEX(PP_Grid[#Data],$DD673,20),0)</f>
        <v/>
      </c>
      <c r="W673">
        <f>IFERROR(INDEX(PP_Grid[#Data],$DD673,21),0)</f>
        <v/>
      </c>
      <c r="X673">
        <f>IFERROR(INDEX(PP_Grid[#Data],$DD673,22),0)</f>
        <v/>
      </c>
      <c r="Y673">
        <f>IFERROR(INDEX(PP_Grid[#Data],$DD673,23),0)</f>
        <v/>
      </c>
      <c r="Z673">
        <f>IFERROR(INDEX(PP_Grid[#Data],$DD673,24),0)</f>
        <v/>
      </c>
      <c r="AA673">
        <f>IFERROR(INDEX(PP_Grid[#Data],$DD673,25),0)</f>
        <v/>
      </c>
      <c r="AB673">
        <f>IFERROR(INDEX(PP_Grid[#Data],$DD673,26),0)</f>
        <v/>
      </c>
      <c r="AC673">
        <f>IFERROR(INDEX(PP_Grid[#Data],$DD673,27),0)</f>
        <v/>
      </c>
      <c r="AD673">
        <f>IFERROR(INDEX(PP_Grid[#Data],$DD673,28),0)</f>
        <v/>
      </c>
      <c r="AE673">
        <f>IFERROR(INDEX(PP_Grid[#Data],$DD673,29),0)</f>
        <v/>
      </c>
      <c r="AF673">
        <f>IFERROR(INDEX(PP_Grid[#Data],$DD673,30),0)</f>
        <v/>
      </c>
      <c r="AG673">
        <f>IFERROR(INDEX(PP_Grid[#Data],$DD673,31),0)</f>
        <v/>
      </c>
      <c r="AH673">
        <f>IFERROR(INDEX(PP_Grid[#Data],$DD673,32),0)</f>
        <v/>
      </c>
      <c r="AI673">
        <f>IFERROR(INDEX(PP_Grid[#Data],$DD673,33),0)</f>
        <v/>
      </c>
      <c r="AJ673">
        <f>IFERROR(INDEX(PP_Grid[#Data],$DD673,34),0)</f>
        <v/>
      </c>
      <c r="AK673">
        <f>IFERROR(INDEX(PP_Grid[#Data],$DD673,35),0)</f>
        <v/>
      </c>
      <c r="AL673">
        <f>IFERROR(INDEX(PP_Grid[#Data],$DD673,36),0)</f>
        <v/>
      </c>
      <c r="AM673">
        <f>IFERROR(INDEX(PP_Grid[#Data],$DD673,37),0)</f>
        <v/>
      </c>
      <c r="AN673">
        <f>IFERROR(INDEX(PP_Grid[#Data],$DD673,38),0)</f>
        <v/>
      </c>
      <c r="AO673">
        <f>IFERROR(INDEX(PP_Grid[#Data],$DD673,39),0)</f>
        <v/>
      </c>
      <c r="AP673">
        <f>IFERROR(INDEX(PP_Grid[#Data],$DD673,40),0)</f>
        <v/>
      </c>
      <c r="AQ673">
        <f>IFERROR(INDEX(PP_Grid[#Data],$DD673,41),0)</f>
        <v/>
      </c>
      <c r="AR673">
        <f>IFERROR(INDEX(PP_Grid[#Data],$DD673,42),0)</f>
        <v/>
      </c>
      <c r="AS673">
        <f>IFERROR(INDEX(PP_Grid[#Data],$DD673,43),0)</f>
        <v/>
      </c>
      <c r="AT673">
        <f>IFERROR(INDEX(PP_Grid[#Data],$DD673,44),0)</f>
        <v/>
      </c>
      <c r="AU673">
        <f>IFERROR(INDEX(PP_Grid[#Data],$DD673,45),0)</f>
        <v/>
      </c>
      <c r="AV673">
        <f>IFERROR(INDEX(PP_Grid[#Data],$DD673,46),0)</f>
        <v/>
      </c>
      <c r="AW673">
        <f>IFERROR(INDEX(PP_Grid[#Data],$DD673,47),0)</f>
        <v/>
      </c>
      <c r="AX673">
        <f>IFERROR(INDEX(PP_Grid[#Data],$DD673,48),0)</f>
        <v/>
      </c>
      <c r="AY673">
        <f>IFERROR(INDEX(PP_Grid[#Data],$DD673,49),0)</f>
        <v/>
      </c>
      <c r="AZ673">
        <f>IFERROR(INDEX(PP_Grid[#Data],$DD673,50),0)</f>
        <v/>
      </c>
      <c r="BA673">
        <f>IFERROR(INDEX(PP_Grid[#Data],$DD673,51),0)</f>
        <v/>
      </c>
      <c r="BB673">
        <f>IFERROR(INDEX(PP_Grid[#Data],$DD673,52),0)</f>
        <v/>
      </c>
      <c r="BC673">
        <f>IFERROR(INDEX(PP_Grid[#Data],$DD673,53),0)</f>
        <v/>
      </c>
      <c r="BD673">
        <f>IFERROR(INDEX(PP_Grid[#Data],$DD673,54),0)</f>
        <v/>
      </c>
      <c r="BE673">
        <f>IFERROR(INDEX(PP_Grid[#Data],$DD673,55),0)</f>
        <v/>
      </c>
      <c r="BF673">
        <f>IFERROR(INDEX(PP_Grid[#Data],$DD673,56),0)</f>
        <v/>
      </c>
      <c r="BG673">
        <f>IFERROR(INDEX(PP_Grid[#Data],$DD673,57),0)</f>
        <v/>
      </c>
      <c r="BH673">
        <f>IFERROR(INDEX(PP_Grid[#Data],$DD673,58),0)</f>
        <v/>
      </c>
      <c r="BI673">
        <f>IFERROR(INDEX(PP_Grid[#Data],$DD673,59),0)</f>
        <v/>
      </c>
      <c r="BJ673">
        <f>IFERROR(INDEX(PP_Grid[#Data],$DD673,60),0)</f>
        <v/>
      </c>
      <c r="BK673">
        <f>IFERROR(INDEX(PP_Grid[#Data],$DD673,61),0)</f>
        <v/>
      </c>
      <c r="BL673">
        <f>IFERROR(INDEX(PP_Grid[#Data],$DD673,62),0)</f>
        <v/>
      </c>
      <c r="BM673">
        <f>IFERROR(INDEX(PP_Grid[#Data],$DD673,63),0)</f>
        <v/>
      </c>
      <c r="BN673">
        <f>IFERROR(INDEX(PP_Grid[#Data],$DD673,64),0)</f>
        <v/>
      </c>
      <c r="BO673">
        <f>IFERROR(INDEX(PP_Grid[#Data],$DD673,65),0)</f>
        <v/>
      </c>
      <c r="BP673">
        <f>IFERROR(INDEX(PP_Grid[#Data],$DD673,66),0)</f>
        <v/>
      </c>
      <c r="BQ673">
        <f>IFERROR(INDEX(PP_Grid[#Data],$DD673,67),0)</f>
        <v/>
      </c>
      <c r="BR673">
        <f>IFERROR(INDEX(PP_Grid[#Data],$DD673,68),0)</f>
        <v/>
      </c>
      <c r="BS673">
        <f>IFERROR(INDEX(PP_Grid[#Data],$DD673,69),0)</f>
        <v/>
      </c>
      <c r="BT673">
        <f>IFERROR(INDEX(PP_Grid[#Data],$DD673,70),0)</f>
        <v/>
      </c>
      <c r="BU673">
        <f>IFERROR(INDEX(PP_Grid[#Data],$DD673,71),0)</f>
        <v/>
      </c>
      <c r="BV673">
        <f>IFERROR(INDEX(PP_Grid[#Data],$DD673,72),0)</f>
        <v/>
      </c>
      <c r="BW673">
        <f>IFERROR(INDEX(PP_Grid[#Data],$DD673,73),0)</f>
        <v/>
      </c>
      <c r="BX673">
        <f>IFERROR(INDEX(PP_Grid[#Data],$DD673,74),0)</f>
        <v/>
      </c>
      <c r="BY673">
        <f>IFERROR(INDEX(PP_Grid[#Data],$DD673,75),0)</f>
        <v/>
      </c>
      <c r="BZ673">
        <f>IFERROR(INDEX(PP_Grid[#Data],$DD673,76),0)</f>
        <v/>
      </c>
      <c r="CA673">
        <f>IFERROR(INDEX(PP_Grid[#Data],$DD673,77),0)</f>
        <v/>
      </c>
      <c r="CB673">
        <f>IFERROR(INDEX(PP_Grid[#Data],$DD673,78),0)</f>
        <v/>
      </c>
      <c r="CC673">
        <f>IFERROR(INDEX(PP_Grid[#Data],$DD673,79),0)</f>
        <v/>
      </c>
      <c r="CD673">
        <f>IFERROR(INDEX(PP_Grid[#Data],$DD673,80),0)</f>
        <v/>
      </c>
      <c r="CE673">
        <f>IFERROR(INDEX(PP_Grid[#Data],$DD673,81),0)</f>
        <v/>
      </c>
      <c r="CF673">
        <f>IFERROR(INDEX(PP_Grid[#Data],$DD673,82),0)</f>
        <v/>
      </c>
      <c r="CG673">
        <f>IFERROR(INDEX(PP_Grid[#Data],$DD673,83),0)</f>
        <v/>
      </c>
      <c r="CH673">
        <f>IFERROR(INDEX(PP_Grid[#Data],$DD673,84),0)</f>
        <v/>
      </c>
      <c r="CI673">
        <f>IFERROR(INDEX(PP_Grid[#Data],$DD673,85),0)</f>
        <v/>
      </c>
      <c r="CJ673">
        <f>IFERROR(INDEX(PP_Grid[#Data],$DD673,86),0)</f>
        <v/>
      </c>
      <c r="CK673">
        <f>IFERROR(INDEX(PP_Grid[#Data],$DD673,87),0)</f>
        <v/>
      </c>
      <c r="CL673">
        <f>IFERROR(INDEX(PP_Grid[#Data],$DD673,88),0)</f>
        <v/>
      </c>
      <c r="CM673">
        <f>IFERROR(INDEX(PP_Grid[#Data],$DD673,89),0)</f>
        <v/>
      </c>
      <c r="CN673">
        <f>IFERROR(INDEX(PP_Grid[#Data],$DD673,90),0)</f>
        <v/>
      </c>
      <c r="CO673">
        <f>IFERROR(INDEX(PP_Grid[#Data],$DD673,91),0)</f>
        <v/>
      </c>
      <c r="CP673">
        <f>IFERROR(INDEX(PP_Grid[#Data],$DD673,92),0)</f>
        <v/>
      </c>
      <c r="CQ673">
        <f>IFERROR(INDEX(PP_Grid[#Data],$DD673,93),0)</f>
        <v/>
      </c>
      <c r="CR673">
        <f>IFERROR(INDEX(PP_Grid[#Data],$DD673,94),0)</f>
        <v/>
      </c>
      <c r="CS673">
        <f>IFERROR(INDEX(PP_Grid[#Data],$DD673,95),0)</f>
        <v/>
      </c>
      <c r="CT673">
        <f>IFERROR(INDEX(PP_Grid[#Data],$DD673,96),0)</f>
        <v/>
      </c>
      <c r="CU673">
        <f>IFERROR(INDEX(PP_Grid[#Data],$DD673,97),0)</f>
        <v/>
      </c>
      <c r="CV673">
        <f>IFERROR(INDEX(PP_Grid[#Data],$DD673,98),0)</f>
        <v/>
      </c>
      <c r="CW673">
        <f>IFERROR(INDEX(PP_Grid[#Data],$DD673,99),0)</f>
        <v/>
      </c>
      <c r="CX673">
        <f>IFERROR(INDEX(PP_Grid[#Data],$DD673,100),0)</f>
        <v/>
      </c>
      <c r="CY673">
        <f>IFERROR(INDEX(PP_Grid[#Data],$DD673,101),0)</f>
        <v/>
      </c>
      <c r="CZ673">
        <f>IFERROR(INDEX(PP_Grid[#Data],$DD673,102),0)</f>
        <v/>
      </c>
      <c r="DA673">
        <f>IFERROR(INDEX(PP_Grid[#Data],$DD673,103),0)</f>
        <v/>
      </c>
      <c r="DB673">
        <f>IFERROR(INDEX(PP_Grid[#Data],$DD673,104),0)</f>
        <v/>
      </c>
      <c r="DC673">
        <f>IFERROR(INDEX(PP_Grid[#Data],$DD673,105),0)</f>
        <v/>
      </c>
      <c r="DD673" s="7">
        <f>IFERROR(MATCH($B673,PP_Grid[Intermediate],0),99999)</f>
        <v/>
      </c>
    </row>
    <row r="674">
      <c r="B674" t="inlineStr">
        <is>
          <t>使用量(kg)</t>
        </is>
      </c>
      <c r="C674">
        <f>SUMIFS(M_BOM[RM_Qty_Per_Batch],M_BOM[Intermediate],$B673,M_BOM[Part Name],$A670)</f>
        <v/>
      </c>
      <c r="D674">
        <f>$C674*D673</f>
        <v/>
      </c>
      <c r="E674">
        <f>$C674*E673</f>
        <v/>
      </c>
      <c r="F674">
        <f>$C674*F673</f>
        <v/>
      </c>
      <c r="G674">
        <f>$C674*G673</f>
        <v/>
      </c>
      <c r="H674">
        <f>$C674*H673</f>
        <v/>
      </c>
      <c r="I674">
        <f>$C674*I673</f>
        <v/>
      </c>
      <c r="J674">
        <f>$C674*J673</f>
        <v/>
      </c>
      <c r="K674">
        <f>$C674*K673</f>
        <v/>
      </c>
      <c r="L674">
        <f>$C674*L673</f>
        <v/>
      </c>
      <c r="M674">
        <f>$C674*M673</f>
        <v/>
      </c>
      <c r="N674">
        <f>$C674*N673</f>
        <v/>
      </c>
      <c r="O674">
        <f>$C674*O673</f>
        <v/>
      </c>
      <c r="P674">
        <f>$C674*P673</f>
        <v/>
      </c>
      <c r="Q674">
        <f>$C674*Q673</f>
        <v/>
      </c>
      <c r="R674">
        <f>$C674*R673</f>
        <v/>
      </c>
      <c r="S674">
        <f>$C674*S673</f>
        <v/>
      </c>
      <c r="T674">
        <f>$C674*T673</f>
        <v/>
      </c>
      <c r="U674">
        <f>$C674*U673</f>
        <v/>
      </c>
      <c r="V674">
        <f>$C674*V673</f>
        <v/>
      </c>
      <c r="W674">
        <f>$C674*W673</f>
        <v/>
      </c>
      <c r="X674">
        <f>$C674*X673</f>
        <v/>
      </c>
      <c r="Y674">
        <f>$C674*Y673</f>
        <v/>
      </c>
      <c r="Z674">
        <f>$C674*Z673</f>
        <v/>
      </c>
      <c r="AA674">
        <f>$C674*AA673</f>
        <v/>
      </c>
      <c r="AB674">
        <f>$C674*AB673</f>
        <v/>
      </c>
      <c r="AC674">
        <f>$C674*AC673</f>
        <v/>
      </c>
      <c r="AD674">
        <f>$C674*AD673</f>
        <v/>
      </c>
      <c r="AE674">
        <f>$C674*AE673</f>
        <v/>
      </c>
      <c r="AF674">
        <f>$C674*AF673</f>
        <v/>
      </c>
      <c r="AG674">
        <f>$C674*AG673</f>
        <v/>
      </c>
      <c r="AH674">
        <f>$C674*AH673</f>
        <v/>
      </c>
      <c r="AI674">
        <f>$C674*AI673</f>
        <v/>
      </c>
      <c r="AJ674">
        <f>$C674*AJ673</f>
        <v/>
      </c>
      <c r="AK674">
        <f>$C674*AK673</f>
        <v/>
      </c>
      <c r="AL674">
        <f>$C674*AL673</f>
        <v/>
      </c>
      <c r="AM674">
        <f>$C674*AM673</f>
        <v/>
      </c>
      <c r="AN674">
        <f>$C674*AN673</f>
        <v/>
      </c>
      <c r="AO674">
        <f>$C674*AO673</f>
        <v/>
      </c>
      <c r="AP674">
        <f>$C674*AP673</f>
        <v/>
      </c>
      <c r="AQ674">
        <f>$C674*AQ673</f>
        <v/>
      </c>
      <c r="AR674">
        <f>$C674*AR673</f>
        <v/>
      </c>
      <c r="AS674">
        <f>$C674*AS673</f>
        <v/>
      </c>
      <c r="AT674">
        <f>$C674*AT673</f>
        <v/>
      </c>
      <c r="AU674">
        <f>$C674*AU673</f>
        <v/>
      </c>
      <c r="AV674">
        <f>$C674*AV673</f>
        <v/>
      </c>
      <c r="AW674">
        <f>$C674*AW673</f>
        <v/>
      </c>
      <c r="AX674">
        <f>$C674*AX673</f>
        <v/>
      </c>
      <c r="AY674">
        <f>$C674*AY673</f>
        <v/>
      </c>
      <c r="AZ674">
        <f>$C674*AZ673</f>
        <v/>
      </c>
      <c r="BA674">
        <f>$C674*BA673</f>
        <v/>
      </c>
      <c r="BB674">
        <f>$C674*BB673</f>
        <v/>
      </c>
      <c r="BC674">
        <f>$C674*BC673</f>
        <v/>
      </c>
      <c r="BD674">
        <f>$C674*BD673</f>
        <v/>
      </c>
      <c r="BE674">
        <f>$C674*BE673</f>
        <v/>
      </c>
      <c r="BF674">
        <f>$C674*BF673</f>
        <v/>
      </c>
      <c r="BG674">
        <f>$C674*BG673</f>
        <v/>
      </c>
      <c r="BH674">
        <f>$C674*BH673</f>
        <v/>
      </c>
      <c r="BI674">
        <f>$C674*BI673</f>
        <v/>
      </c>
      <c r="BJ674">
        <f>$C674*BJ673</f>
        <v/>
      </c>
      <c r="BK674">
        <f>$C674*BK673</f>
        <v/>
      </c>
      <c r="BL674">
        <f>$C674*BL673</f>
        <v/>
      </c>
      <c r="BM674">
        <f>$C674*BM673</f>
        <v/>
      </c>
      <c r="BN674">
        <f>$C674*BN673</f>
        <v/>
      </c>
      <c r="BO674">
        <f>$C674*BO673</f>
        <v/>
      </c>
      <c r="BP674">
        <f>$C674*BP673</f>
        <v/>
      </c>
      <c r="BQ674">
        <f>$C674*BQ673</f>
        <v/>
      </c>
      <c r="BR674">
        <f>$C674*BR673</f>
        <v/>
      </c>
      <c r="BS674">
        <f>$C674*BS673</f>
        <v/>
      </c>
      <c r="BT674">
        <f>$C674*BT673</f>
        <v/>
      </c>
      <c r="BU674">
        <f>$C674*BU673</f>
        <v/>
      </c>
      <c r="BV674">
        <f>$C674*BV673</f>
        <v/>
      </c>
      <c r="BW674">
        <f>$C674*BW673</f>
        <v/>
      </c>
      <c r="BX674">
        <f>$C674*BX673</f>
        <v/>
      </c>
      <c r="BY674">
        <f>$C674*BY673</f>
        <v/>
      </c>
      <c r="BZ674">
        <f>$C674*BZ673</f>
        <v/>
      </c>
      <c r="CA674">
        <f>$C674*CA673</f>
        <v/>
      </c>
      <c r="CB674">
        <f>$C674*CB673</f>
        <v/>
      </c>
      <c r="CC674">
        <f>$C674*CC673</f>
        <v/>
      </c>
      <c r="CD674">
        <f>$C674*CD673</f>
        <v/>
      </c>
      <c r="CE674">
        <f>$C674*CE673</f>
        <v/>
      </c>
      <c r="CF674">
        <f>$C674*CF673</f>
        <v/>
      </c>
      <c r="CG674">
        <f>$C674*CG673</f>
        <v/>
      </c>
      <c r="CH674">
        <f>$C674*CH673</f>
        <v/>
      </c>
      <c r="CI674">
        <f>$C674*CI673</f>
        <v/>
      </c>
      <c r="CJ674">
        <f>$C674*CJ673</f>
        <v/>
      </c>
      <c r="CK674">
        <f>$C674*CK673</f>
        <v/>
      </c>
      <c r="CL674">
        <f>$C674*CL673</f>
        <v/>
      </c>
      <c r="CM674">
        <f>$C674*CM673</f>
        <v/>
      </c>
      <c r="CN674">
        <f>$C674*CN673</f>
        <v/>
      </c>
      <c r="CO674">
        <f>$C674*CO673</f>
        <v/>
      </c>
      <c r="CP674">
        <f>$C674*CP673</f>
        <v/>
      </c>
      <c r="CQ674">
        <f>$C674*CQ673</f>
        <v/>
      </c>
      <c r="CR674">
        <f>$C674*CR673</f>
        <v/>
      </c>
      <c r="CS674">
        <f>$C674*CS673</f>
        <v/>
      </c>
      <c r="CT674">
        <f>$C674*CT673</f>
        <v/>
      </c>
      <c r="CU674">
        <f>$C674*CU673</f>
        <v/>
      </c>
      <c r="CV674">
        <f>$C674*CV673</f>
        <v/>
      </c>
      <c r="CW674">
        <f>$C674*CW673</f>
        <v/>
      </c>
      <c r="CX674">
        <f>$C674*CX673</f>
        <v/>
      </c>
      <c r="CY674">
        <f>$C674*CY673</f>
        <v/>
      </c>
      <c r="CZ674">
        <f>$C674*CZ673</f>
        <v/>
      </c>
      <c r="DA674">
        <f>$C674*DA673</f>
        <v/>
      </c>
      <c r="DB674">
        <f>$C674*DB673</f>
        <v/>
      </c>
      <c r="DC674">
        <f>$C674*DC673</f>
        <v/>
      </c>
    </row>
    <row r="675">
      <c r="B675" t="inlineStr">
        <is>
          <t>TSP-399</t>
        </is>
      </c>
      <c r="C675" t="inlineStr">
        <is>
          <t>No. of batches</t>
        </is>
      </c>
      <c r="D675">
        <f>IFERROR(INDEX(PP_Grid[#Data],$DD675,2),0)</f>
        <v/>
      </c>
      <c r="E675">
        <f>IFERROR(INDEX(PP_Grid[#Data],$DD675,3),0)</f>
        <v/>
      </c>
      <c r="F675">
        <f>IFERROR(INDEX(PP_Grid[#Data],$DD675,4),0)</f>
        <v/>
      </c>
      <c r="G675">
        <f>IFERROR(INDEX(PP_Grid[#Data],$DD675,5),0)</f>
        <v/>
      </c>
      <c r="H675">
        <f>IFERROR(INDEX(PP_Grid[#Data],$DD675,6),0)</f>
        <v/>
      </c>
      <c r="I675">
        <f>IFERROR(INDEX(PP_Grid[#Data],$DD675,7),0)</f>
        <v/>
      </c>
      <c r="J675">
        <f>IFERROR(INDEX(PP_Grid[#Data],$DD675,8),0)</f>
        <v/>
      </c>
      <c r="K675">
        <f>IFERROR(INDEX(PP_Grid[#Data],$DD675,9),0)</f>
        <v/>
      </c>
      <c r="L675">
        <f>IFERROR(INDEX(PP_Grid[#Data],$DD675,10),0)</f>
        <v/>
      </c>
      <c r="M675">
        <f>IFERROR(INDEX(PP_Grid[#Data],$DD675,11),0)</f>
        <v/>
      </c>
      <c r="N675">
        <f>IFERROR(INDEX(PP_Grid[#Data],$DD675,12),0)</f>
        <v/>
      </c>
      <c r="O675">
        <f>IFERROR(INDEX(PP_Grid[#Data],$DD675,13),0)</f>
        <v/>
      </c>
      <c r="P675">
        <f>IFERROR(INDEX(PP_Grid[#Data],$DD675,14),0)</f>
        <v/>
      </c>
      <c r="Q675">
        <f>IFERROR(INDEX(PP_Grid[#Data],$DD675,15),0)</f>
        <v/>
      </c>
      <c r="R675">
        <f>IFERROR(INDEX(PP_Grid[#Data],$DD675,16),0)</f>
        <v/>
      </c>
      <c r="S675">
        <f>IFERROR(INDEX(PP_Grid[#Data],$DD675,17),0)</f>
        <v/>
      </c>
      <c r="T675">
        <f>IFERROR(INDEX(PP_Grid[#Data],$DD675,18),0)</f>
        <v/>
      </c>
      <c r="U675">
        <f>IFERROR(INDEX(PP_Grid[#Data],$DD675,19),0)</f>
        <v/>
      </c>
      <c r="V675">
        <f>IFERROR(INDEX(PP_Grid[#Data],$DD675,20),0)</f>
        <v/>
      </c>
      <c r="W675">
        <f>IFERROR(INDEX(PP_Grid[#Data],$DD675,21),0)</f>
        <v/>
      </c>
      <c r="X675">
        <f>IFERROR(INDEX(PP_Grid[#Data],$DD675,22),0)</f>
        <v/>
      </c>
      <c r="Y675">
        <f>IFERROR(INDEX(PP_Grid[#Data],$DD675,23),0)</f>
        <v/>
      </c>
      <c r="Z675">
        <f>IFERROR(INDEX(PP_Grid[#Data],$DD675,24),0)</f>
        <v/>
      </c>
      <c r="AA675">
        <f>IFERROR(INDEX(PP_Grid[#Data],$DD675,25),0)</f>
        <v/>
      </c>
      <c r="AB675">
        <f>IFERROR(INDEX(PP_Grid[#Data],$DD675,26),0)</f>
        <v/>
      </c>
      <c r="AC675">
        <f>IFERROR(INDEX(PP_Grid[#Data],$DD675,27),0)</f>
        <v/>
      </c>
      <c r="AD675">
        <f>IFERROR(INDEX(PP_Grid[#Data],$DD675,28),0)</f>
        <v/>
      </c>
      <c r="AE675">
        <f>IFERROR(INDEX(PP_Grid[#Data],$DD675,29),0)</f>
        <v/>
      </c>
      <c r="AF675">
        <f>IFERROR(INDEX(PP_Grid[#Data],$DD675,30),0)</f>
        <v/>
      </c>
      <c r="AG675">
        <f>IFERROR(INDEX(PP_Grid[#Data],$DD675,31),0)</f>
        <v/>
      </c>
      <c r="AH675">
        <f>IFERROR(INDEX(PP_Grid[#Data],$DD675,32),0)</f>
        <v/>
      </c>
      <c r="AI675">
        <f>IFERROR(INDEX(PP_Grid[#Data],$DD675,33),0)</f>
        <v/>
      </c>
      <c r="AJ675">
        <f>IFERROR(INDEX(PP_Grid[#Data],$DD675,34),0)</f>
        <v/>
      </c>
      <c r="AK675">
        <f>IFERROR(INDEX(PP_Grid[#Data],$DD675,35),0)</f>
        <v/>
      </c>
      <c r="AL675">
        <f>IFERROR(INDEX(PP_Grid[#Data],$DD675,36),0)</f>
        <v/>
      </c>
      <c r="AM675">
        <f>IFERROR(INDEX(PP_Grid[#Data],$DD675,37),0)</f>
        <v/>
      </c>
      <c r="AN675">
        <f>IFERROR(INDEX(PP_Grid[#Data],$DD675,38),0)</f>
        <v/>
      </c>
      <c r="AO675">
        <f>IFERROR(INDEX(PP_Grid[#Data],$DD675,39),0)</f>
        <v/>
      </c>
      <c r="AP675">
        <f>IFERROR(INDEX(PP_Grid[#Data],$DD675,40),0)</f>
        <v/>
      </c>
      <c r="AQ675">
        <f>IFERROR(INDEX(PP_Grid[#Data],$DD675,41),0)</f>
        <v/>
      </c>
      <c r="AR675">
        <f>IFERROR(INDEX(PP_Grid[#Data],$DD675,42),0)</f>
        <v/>
      </c>
      <c r="AS675">
        <f>IFERROR(INDEX(PP_Grid[#Data],$DD675,43),0)</f>
        <v/>
      </c>
      <c r="AT675">
        <f>IFERROR(INDEX(PP_Grid[#Data],$DD675,44),0)</f>
        <v/>
      </c>
      <c r="AU675">
        <f>IFERROR(INDEX(PP_Grid[#Data],$DD675,45),0)</f>
        <v/>
      </c>
      <c r="AV675">
        <f>IFERROR(INDEX(PP_Grid[#Data],$DD675,46),0)</f>
        <v/>
      </c>
      <c r="AW675">
        <f>IFERROR(INDEX(PP_Grid[#Data],$DD675,47),0)</f>
        <v/>
      </c>
      <c r="AX675">
        <f>IFERROR(INDEX(PP_Grid[#Data],$DD675,48),0)</f>
        <v/>
      </c>
      <c r="AY675">
        <f>IFERROR(INDEX(PP_Grid[#Data],$DD675,49),0)</f>
        <v/>
      </c>
      <c r="AZ675">
        <f>IFERROR(INDEX(PP_Grid[#Data],$DD675,50),0)</f>
        <v/>
      </c>
      <c r="BA675">
        <f>IFERROR(INDEX(PP_Grid[#Data],$DD675,51),0)</f>
        <v/>
      </c>
      <c r="BB675">
        <f>IFERROR(INDEX(PP_Grid[#Data],$DD675,52),0)</f>
        <v/>
      </c>
      <c r="BC675">
        <f>IFERROR(INDEX(PP_Grid[#Data],$DD675,53),0)</f>
        <v/>
      </c>
      <c r="BD675">
        <f>IFERROR(INDEX(PP_Grid[#Data],$DD675,54),0)</f>
        <v/>
      </c>
      <c r="BE675">
        <f>IFERROR(INDEX(PP_Grid[#Data],$DD675,55),0)</f>
        <v/>
      </c>
      <c r="BF675">
        <f>IFERROR(INDEX(PP_Grid[#Data],$DD675,56),0)</f>
        <v/>
      </c>
      <c r="BG675">
        <f>IFERROR(INDEX(PP_Grid[#Data],$DD675,57),0)</f>
        <v/>
      </c>
      <c r="BH675">
        <f>IFERROR(INDEX(PP_Grid[#Data],$DD675,58),0)</f>
        <v/>
      </c>
      <c r="BI675">
        <f>IFERROR(INDEX(PP_Grid[#Data],$DD675,59),0)</f>
        <v/>
      </c>
      <c r="BJ675">
        <f>IFERROR(INDEX(PP_Grid[#Data],$DD675,60),0)</f>
        <v/>
      </c>
      <c r="BK675">
        <f>IFERROR(INDEX(PP_Grid[#Data],$DD675,61),0)</f>
        <v/>
      </c>
      <c r="BL675">
        <f>IFERROR(INDEX(PP_Grid[#Data],$DD675,62),0)</f>
        <v/>
      </c>
      <c r="BM675">
        <f>IFERROR(INDEX(PP_Grid[#Data],$DD675,63),0)</f>
        <v/>
      </c>
      <c r="BN675">
        <f>IFERROR(INDEX(PP_Grid[#Data],$DD675,64),0)</f>
        <v/>
      </c>
      <c r="BO675">
        <f>IFERROR(INDEX(PP_Grid[#Data],$DD675,65),0)</f>
        <v/>
      </c>
      <c r="BP675">
        <f>IFERROR(INDEX(PP_Grid[#Data],$DD675,66),0)</f>
        <v/>
      </c>
      <c r="BQ675">
        <f>IFERROR(INDEX(PP_Grid[#Data],$DD675,67),0)</f>
        <v/>
      </c>
      <c r="BR675">
        <f>IFERROR(INDEX(PP_Grid[#Data],$DD675,68),0)</f>
        <v/>
      </c>
      <c r="BS675">
        <f>IFERROR(INDEX(PP_Grid[#Data],$DD675,69),0)</f>
        <v/>
      </c>
      <c r="BT675">
        <f>IFERROR(INDEX(PP_Grid[#Data],$DD675,70),0)</f>
        <v/>
      </c>
      <c r="BU675">
        <f>IFERROR(INDEX(PP_Grid[#Data],$DD675,71),0)</f>
        <v/>
      </c>
      <c r="BV675">
        <f>IFERROR(INDEX(PP_Grid[#Data],$DD675,72),0)</f>
        <v/>
      </c>
      <c r="BW675">
        <f>IFERROR(INDEX(PP_Grid[#Data],$DD675,73),0)</f>
        <v/>
      </c>
      <c r="BX675">
        <f>IFERROR(INDEX(PP_Grid[#Data],$DD675,74),0)</f>
        <v/>
      </c>
      <c r="BY675">
        <f>IFERROR(INDEX(PP_Grid[#Data],$DD675,75),0)</f>
        <v/>
      </c>
      <c r="BZ675">
        <f>IFERROR(INDEX(PP_Grid[#Data],$DD675,76),0)</f>
        <v/>
      </c>
      <c r="CA675">
        <f>IFERROR(INDEX(PP_Grid[#Data],$DD675,77),0)</f>
        <v/>
      </c>
      <c r="CB675">
        <f>IFERROR(INDEX(PP_Grid[#Data],$DD675,78),0)</f>
        <v/>
      </c>
      <c r="CC675">
        <f>IFERROR(INDEX(PP_Grid[#Data],$DD675,79),0)</f>
        <v/>
      </c>
      <c r="CD675">
        <f>IFERROR(INDEX(PP_Grid[#Data],$DD675,80),0)</f>
        <v/>
      </c>
      <c r="CE675">
        <f>IFERROR(INDEX(PP_Grid[#Data],$DD675,81),0)</f>
        <v/>
      </c>
      <c r="CF675">
        <f>IFERROR(INDEX(PP_Grid[#Data],$DD675,82),0)</f>
        <v/>
      </c>
      <c r="CG675">
        <f>IFERROR(INDEX(PP_Grid[#Data],$DD675,83),0)</f>
        <v/>
      </c>
      <c r="CH675">
        <f>IFERROR(INDEX(PP_Grid[#Data],$DD675,84),0)</f>
        <v/>
      </c>
      <c r="CI675">
        <f>IFERROR(INDEX(PP_Grid[#Data],$DD675,85),0)</f>
        <v/>
      </c>
      <c r="CJ675">
        <f>IFERROR(INDEX(PP_Grid[#Data],$DD675,86),0)</f>
        <v/>
      </c>
      <c r="CK675">
        <f>IFERROR(INDEX(PP_Grid[#Data],$DD675,87),0)</f>
        <v/>
      </c>
      <c r="CL675">
        <f>IFERROR(INDEX(PP_Grid[#Data],$DD675,88),0)</f>
        <v/>
      </c>
      <c r="CM675">
        <f>IFERROR(INDEX(PP_Grid[#Data],$DD675,89),0)</f>
        <v/>
      </c>
      <c r="CN675">
        <f>IFERROR(INDEX(PP_Grid[#Data],$DD675,90),0)</f>
        <v/>
      </c>
      <c r="CO675">
        <f>IFERROR(INDEX(PP_Grid[#Data],$DD675,91),0)</f>
        <v/>
      </c>
      <c r="CP675">
        <f>IFERROR(INDEX(PP_Grid[#Data],$DD675,92),0)</f>
        <v/>
      </c>
      <c r="CQ675">
        <f>IFERROR(INDEX(PP_Grid[#Data],$DD675,93),0)</f>
        <v/>
      </c>
      <c r="CR675">
        <f>IFERROR(INDEX(PP_Grid[#Data],$DD675,94),0)</f>
        <v/>
      </c>
      <c r="CS675">
        <f>IFERROR(INDEX(PP_Grid[#Data],$DD675,95),0)</f>
        <v/>
      </c>
      <c r="CT675">
        <f>IFERROR(INDEX(PP_Grid[#Data],$DD675,96),0)</f>
        <v/>
      </c>
      <c r="CU675">
        <f>IFERROR(INDEX(PP_Grid[#Data],$DD675,97),0)</f>
        <v/>
      </c>
      <c r="CV675">
        <f>IFERROR(INDEX(PP_Grid[#Data],$DD675,98),0)</f>
        <v/>
      </c>
      <c r="CW675">
        <f>IFERROR(INDEX(PP_Grid[#Data],$DD675,99),0)</f>
        <v/>
      </c>
      <c r="CX675">
        <f>IFERROR(INDEX(PP_Grid[#Data],$DD675,100),0)</f>
        <v/>
      </c>
      <c r="CY675">
        <f>IFERROR(INDEX(PP_Grid[#Data],$DD675,101),0)</f>
        <v/>
      </c>
      <c r="CZ675">
        <f>IFERROR(INDEX(PP_Grid[#Data],$DD675,102),0)</f>
        <v/>
      </c>
      <c r="DA675">
        <f>IFERROR(INDEX(PP_Grid[#Data],$DD675,103),0)</f>
        <v/>
      </c>
      <c r="DB675">
        <f>IFERROR(INDEX(PP_Grid[#Data],$DD675,104),0)</f>
        <v/>
      </c>
      <c r="DC675">
        <f>IFERROR(INDEX(PP_Grid[#Data],$DD675,105),0)</f>
        <v/>
      </c>
      <c r="DD675" s="7">
        <f>IFERROR(MATCH($B675,PP_Grid[Intermediate],0),99999)</f>
        <v/>
      </c>
    </row>
    <row r="676">
      <c r="B676" t="inlineStr">
        <is>
          <t>使用量(kg)</t>
        </is>
      </c>
      <c r="C676">
        <f>SUMIFS(M_BOM[RM_Qty_Per_Batch],M_BOM[Intermediate],$B675,M_BOM[Part Name],$A670)</f>
        <v/>
      </c>
      <c r="D676">
        <f>$C676*D675</f>
        <v/>
      </c>
      <c r="E676">
        <f>$C676*E675</f>
        <v/>
      </c>
      <c r="F676">
        <f>$C676*F675</f>
        <v/>
      </c>
      <c r="G676">
        <f>$C676*G675</f>
        <v/>
      </c>
      <c r="H676">
        <f>$C676*H675</f>
        <v/>
      </c>
      <c r="I676">
        <f>$C676*I675</f>
        <v/>
      </c>
      <c r="J676">
        <f>$C676*J675</f>
        <v/>
      </c>
      <c r="K676">
        <f>$C676*K675</f>
        <v/>
      </c>
      <c r="L676">
        <f>$C676*L675</f>
        <v/>
      </c>
      <c r="M676">
        <f>$C676*M675</f>
        <v/>
      </c>
      <c r="N676">
        <f>$C676*N675</f>
        <v/>
      </c>
      <c r="O676">
        <f>$C676*O675</f>
        <v/>
      </c>
      <c r="P676">
        <f>$C676*P675</f>
        <v/>
      </c>
      <c r="Q676">
        <f>$C676*Q675</f>
        <v/>
      </c>
      <c r="R676">
        <f>$C676*R675</f>
        <v/>
      </c>
      <c r="S676">
        <f>$C676*S675</f>
        <v/>
      </c>
      <c r="T676">
        <f>$C676*T675</f>
        <v/>
      </c>
      <c r="U676">
        <f>$C676*U675</f>
        <v/>
      </c>
      <c r="V676">
        <f>$C676*V675</f>
        <v/>
      </c>
      <c r="W676">
        <f>$C676*W675</f>
        <v/>
      </c>
      <c r="X676">
        <f>$C676*X675</f>
        <v/>
      </c>
      <c r="Y676">
        <f>$C676*Y675</f>
        <v/>
      </c>
      <c r="Z676">
        <f>$C676*Z675</f>
        <v/>
      </c>
      <c r="AA676">
        <f>$C676*AA675</f>
        <v/>
      </c>
      <c r="AB676">
        <f>$C676*AB675</f>
        <v/>
      </c>
      <c r="AC676">
        <f>$C676*AC675</f>
        <v/>
      </c>
      <c r="AD676">
        <f>$C676*AD675</f>
        <v/>
      </c>
      <c r="AE676">
        <f>$C676*AE675</f>
        <v/>
      </c>
      <c r="AF676">
        <f>$C676*AF675</f>
        <v/>
      </c>
      <c r="AG676">
        <f>$C676*AG675</f>
        <v/>
      </c>
      <c r="AH676">
        <f>$C676*AH675</f>
        <v/>
      </c>
      <c r="AI676">
        <f>$C676*AI675</f>
        <v/>
      </c>
      <c r="AJ676">
        <f>$C676*AJ675</f>
        <v/>
      </c>
      <c r="AK676">
        <f>$C676*AK675</f>
        <v/>
      </c>
      <c r="AL676">
        <f>$C676*AL675</f>
        <v/>
      </c>
      <c r="AM676">
        <f>$C676*AM675</f>
        <v/>
      </c>
      <c r="AN676">
        <f>$C676*AN675</f>
        <v/>
      </c>
      <c r="AO676">
        <f>$C676*AO675</f>
        <v/>
      </c>
      <c r="AP676">
        <f>$C676*AP675</f>
        <v/>
      </c>
      <c r="AQ676">
        <f>$C676*AQ675</f>
        <v/>
      </c>
      <c r="AR676">
        <f>$C676*AR675</f>
        <v/>
      </c>
      <c r="AS676">
        <f>$C676*AS675</f>
        <v/>
      </c>
      <c r="AT676">
        <f>$C676*AT675</f>
        <v/>
      </c>
      <c r="AU676">
        <f>$C676*AU675</f>
        <v/>
      </c>
      <c r="AV676">
        <f>$C676*AV675</f>
        <v/>
      </c>
      <c r="AW676">
        <f>$C676*AW675</f>
        <v/>
      </c>
      <c r="AX676">
        <f>$C676*AX675</f>
        <v/>
      </c>
      <c r="AY676">
        <f>$C676*AY675</f>
        <v/>
      </c>
      <c r="AZ676">
        <f>$C676*AZ675</f>
        <v/>
      </c>
      <c r="BA676">
        <f>$C676*BA675</f>
        <v/>
      </c>
      <c r="BB676">
        <f>$C676*BB675</f>
        <v/>
      </c>
      <c r="BC676">
        <f>$C676*BC675</f>
        <v/>
      </c>
      <c r="BD676">
        <f>$C676*BD675</f>
        <v/>
      </c>
      <c r="BE676">
        <f>$C676*BE675</f>
        <v/>
      </c>
      <c r="BF676">
        <f>$C676*BF675</f>
        <v/>
      </c>
      <c r="BG676">
        <f>$C676*BG675</f>
        <v/>
      </c>
      <c r="BH676">
        <f>$C676*BH675</f>
        <v/>
      </c>
      <c r="BI676">
        <f>$C676*BI675</f>
        <v/>
      </c>
      <c r="BJ676">
        <f>$C676*BJ675</f>
        <v/>
      </c>
      <c r="BK676">
        <f>$C676*BK675</f>
        <v/>
      </c>
      <c r="BL676">
        <f>$C676*BL675</f>
        <v/>
      </c>
      <c r="BM676">
        <f>$C676*BM675</f>
        <v/>
      </c>
      <c r="BN676">
        <f>$C676*BN675</f>
        <v/>
      </c>
      <c r="BO676">
        <f>$C676*BO675</f>
        <v/>
      </c>
      <c r="BP676">
        <f>$C676*BP675</f>
        <v/>
      </c>
      <c r="BQ676">
        <f>$C676*BQ675</f>
        <v/>
      </c>
      <c r="BR676">
        <f>$C676*BR675</f>
        <v/>
      </c>
      <c r="BS676">
        <f>$C676*BS675</f>
        <v/>
      </c>
      <c r="BT676">
        <f>$C676*BT675</f>
        <v/>
      </c>
      <c r="BU676">
        <f>$C676*BU675</f>
        <v/>
      </c>
      <c r="BV676">
        <f>$C676*BV675</f>
        <v/>
      </c>
      <c r="BW676">
        <f>$C676*BW675</f>
        <v/>
      </c>
      <c r="BX676">
        <f>$C676*BX675</f>
        <v/>
      </c>
      <c r="BY676">
        <f>$C676*BY675</f>
        <v/>
      </c>
      <c r="BZ676">
        <f>$C676*BZ675</f>
        <v/>
      </c>
      <c r="CA676">
        <f>$C676*CA675</f>
        <v/>
      </c>
      <c r="CB676">
        <f>$C676*CB675</f>
        <v/>
      </c>
      <c r="CC676">
        <f>$C676*CC675</f>
        <v/>
      </c>
      <c r="CD676">
        <f>$C676*CD675</f>
        <v/>
      </c>
      <c r="CE676">
        <f>$C676*CE675</f>
        <v/>
      </c>
      <c r="CF676">
        <f>$C676*CF675</f>
        <v/>
      </c>
      <c r="CG676">
        <f>$C676*CG675</f>
        <v/>
      </c>
      <c r="CH676">
        <f>$C676*CH675</f>
        <v/>
      </c>
      <c r="CI676">
        <f>$C676*CI675</f>
        <v/>
      </c>
      <c r="CJ676">
        <f>$C676*CJ675</f>
        <v/>
      </c>
      <c r="CK676">
        <f>$C676*CK675</f>
        <v/>
      </c>
      <c r="CL676">
        <f>$C676*CL675</f>
        <v/>
      </c>
      <c r="CM676">
        <f>$C676*CM675</f>
        <v/>
      </c>
      <c r="CN676">
        <f>$C676*CN675</f>
        <v/>
      </c>
      <c r="CO676">
        <f>$C676*CO675</f>
        <v/>
      </c>
      <c r="CP676">
        <f>$C676*CP675</f>
        <v/>
      </c>
      <c r="CQ676">
        <f>$C676*CQ675</f>
        <v/>
      </c>
      <c r="CR676">
        <f>$C676*CR675</f>
        <v/>
      </c>
      <c r="CS676">
        <f>$C676*CS675</f>
        <v/>
      </c>
      <c r="CT676">
        <f>$C676*CT675</f>
        <v/>
      </c>
      <c r="CU676">
        <f>$C676*CU675</f>
        <v/>
      </c>
      <c r="CV676">
        <f>$C676*CV675</f>
        <v/>
      </c>
      <c r="CW676">
        <f>$C676*CW675</f>
        <v/>
      </c>
      <c r="CX676">
        <f>$C676*CX675</f>
        <v/>
      </c>
      <c r="CY676">
        <f>$C676*CY675</f>
        <v/>
      </c>
      <c r="CZ676">
        <f>$C676*CZ675</f>
        <v/>
      </c>
      <c r="DA676">
        <f>$C676*DA675</f>
        <v/>
      </c>
      <c r="DB676">
        <f>$C676*DB675</f>
        <v/>
      </c>
      <c r="DC676">
        <f>$C676*DC675</f>
        <v/>
      </c>
    </row>
    <row r="677">
      <c r="B677" t="inlineStr">
        <is>
          <t>TSP-668</t>
        </is>
      </c>
      <c r="C677" t="inlineStr">
        <is>
          <t>No. of batches</t>
        </is>
      </c>
      <c r="D677">
        <f>IFERROR(INDEX(PP_Grid[#Data],$DD677,2),0)</f>
        <v/>
      </c>
      <c r="E677">
        <f>IFERROR(INDEX(PP_Grid[#Data],$DD677,3),0)</f>
        <v/>
      </c>
      <c r="F677">
        <f>IFERROR(INDEX(PP_Grid[#Data],$DD677,4),0)</f>
        <v/>
      </c>
      <c r="G677">
        <f>IFERROR(INDEX(PP_Grid[#Data],$DD677,5),0)</f>
        <v/>
      </c>
      <c r="H677">
        <f>IFERROR(INDEX(PP_Grid[#Data],$DD677,6),0)</f>
        <v/>
      </c>
      <c r="I677">
        <f>IFERROR(INDEX(PP_Grid[#Data],$DD677,7),0)</f>
        <v/>
      </c>
      <c r="J677">
        <f>IFERROR(INDEX(PP_Grid[#Data],$DD677,8),0)</f>
        <v/>
      </c>
      <c r="K677">
        <f>IFERROR(INDEX(PP_Grid[#Data],$DD677,9),0)</f>
        <v/>
      </c>
      <c r="L677">
        <f>IFERROR(INDEX(PP_Grid[#Data],$DD677,10),0)</f>
        <v/>
      </c>
      <c r="M677">
        <f>IFERROR(INDEX(PP_Grid[#Data],$DD677,11),0)</f>
        <v/>
      </c>
      <c r="N677">
        <f>IFERROR(INDEX(PP_Grid[#Data],$DD677,12),0)</f>
        <v/>
      </c>
      <c r="O677">
        <f>IFERROR(INDEX(PP_Grid[#Data],$DD677,13),0)</f>
        <v/>
      </c>
      <c r="P677">
        <f>IFERROR(INDEX(PP_Grid[#Data],$DD677,14),0)</f>
        <v/>
      </c>
      <c r="Q677">
        <f>IFERROR(INDEX(PP_Grid[#Data],$DD677,15),0)</f>
        <v/>
      </c>
      <c r="R677">
        <f>IFERROR(INDEX(PP_Grid[#Data],$DD677,16),0)</f>
        <v/>
      </c>
      <c r="S677">
        <f>IFERROR(INDEX(PP_Grid[#Data],$DD677,17),0)</f>
        <v/>
      </c>
      <c r="T677">
        <f>IFERROR(INDEX(PP_Grid[#Data],$DD677,18),0)</f>
        <v/>
      </c>
      <c r="U677">
        <f>IFERROR(INDEX(PP_Grid[#Data],$DD677,19),0)</f>
        <v/>
      </c>
      <c r="V677">
        <f>IFERROR(INDEX(PP_Grid[#Data],$DD677,20),0)</f>
        <v/>
      </c>
      <c r="W677">
        <f>IFERROR(INDEX(PP_Grid[#Data],$DD677,21),0)</f>
        <v/>
      </c>
      <c r="X677">
        <f>IFERROR(INDEX(PP_Grid[#Data],$DD677,22),0)</f>
        <v/>
      </c>
      <c r="Y677">
        <f>IFERROR(INDEX(PP_Grid[#Data],$DD677,23),0)</f>
        <v/>
      </c>
      <c r="Z677">
        <f>IFERROR(INDEX(PP_Grid[#Data],$DD677,24),0)</f>
        <v/>
      </c>
      <c r="AA677">
        <f>IFERROR(INDEX(PP_Grid[#Data],$DD677,25),0)</f>
        <v/>
      </c>
      <c r="AB677">
        <f>IFERROR(INDEX(PP_Grid[#Data],$DD677,26),0)</f>
        <v/>
      </c>
      <c r="AC677">
        <f>IFERROR(INDEX(PP_Grid[#Data],$DD677,27),0)</f>
        <v/>
      </c>
      <c r="AD677">
        <f>IFERROR(INDEX(PP_Grid[#Data],$DD677,28),0)</f>
        <v/>
      </c>
      <c r="AE677">
        <f>IFERROR(INDEX(PP_Grid[#Data],$DD677,29),0)</f>
        <v/>
      </c>
      <c r="AF677">
        <f>IFERROR(INDEX(PP_Grid[#Data],$DD677,30),0)</f>
        <v/>
      </c>
      <c r="AG677">
        <f>IFERROR(INDEX(PP_Grid[#Data],$DD677,31),0)</f>
        <v/>
      </c>
      <c r="AH677">
        <f>IFERROR(INDEX(PP_Grid[#Data],$DD677,32),0)</f>
        <v/>
      </c>
      <c r="AI677">
        <f>IFERROR(INDEX(PP_Grid[#Data],$DD677,33),0)</f>
        <v/>
      </c>
      <c r="AJ677">
        <f>IFERROR(INDEX(PP_Grid[#Data],$DD677,34),0)</f>
        <v/>
      </c>
      <c r="AK677">
        <f>IFERROR(INDEX(PP_Grid[#Data],$DD677,35),0)</f>
        <v/>
      </c>
      <c r="AL677">
        <f>IFERROR(INDEX(PP_Grid[#Data],$DD677,36),0)</f>
        <v/>
      </c>
      <c r="AM677">
        <f>IFERROR(INDEX(PP_Grid[#Data],$DD677,37),0)</f>
        <v/>
      </c>
      <c r="AN677">
        <f>IFERROR(INDEX(PP_Grid[#Data],$DD677,38),0)</f>
        <v/>
      </c>
      <c r="AO677">
        <f>IFERROR(INDEX(PP_Grid[#Data],$DD677,39),0)</f>
        <v/>
      </c>
      <c r="AP677">
        <f>IFERROR(INDEX(PP_Grid[#Data],$DD677,40),0)</f>
        <v/>
      </c>
      <c r="AQ677">
        <f>IFERROR(INDEX(PP_Grid[#Data],$DD677,41),0)</f>
        <v/>
      </c>
      <c r="AR677">
        <f>IFERROR(INDEX(PP_Grid[#Data],$DD677,42),0)</f>
        <v/>
      </c>
      <c r="AS677">
        <f>IFERROR(INDEX(PP_Grid[#Data],$DD677,43),0)</f>
        <v/>
      </c>
      <c r="AT677">
        <f>IFERROR(INDEX(PP_Grid[#Data],$DD677,44),0)</f>
        <v/>
      </c>
      <c r="AU677">
        <f>IFERROR(INDEX(PP_Grid[#Data],$DD677,45),0)</f>
        <v/>
      </c>
      <c r="AV677">
        <f>IFERROR(INDEX(PP_Grid[#Data],$DD677,46),0)</f>
        <v/>
      </c>
      <c r="AW677">
        <f>IFERROR(INDEX(PP_Grid[#Data],$DD677,47),0)</f>
        <v/>
      </c>
      <c r="AX677">
        <f>IFERROR(INDEX(PP_Grid[#Data],$DD677,48),0)</f>
        <v/>
      </c>
      <c r="AY677">
        <f>IFERROR(INDEX(PP_Grid[#Data],$DD677,49),0)</f>
        <v/>
      </c>
      <c r="AZ677">
        <f>IFERROR(INDEX(PP_Grid[#Data],$DD677,50),0)</f>
        <v/>
      </c>
      <c r="BA677">
        <f>IFERROR(INDEX(PP_Grid[#Data],$DD677,51),0)</f>
        <v/>
      </c>
      <c r="BB677">
        <f>IFERROR(INDEX(PP_Grid[#Data],$DD677,52),0)</f>
        <v/>
      </c>
      <c r="BC677">
        <f>IFERROR(INDEX(PP_Grid[#Data],$DD677,53),0)</f>
        <v/>
      </c>
      <c r="BD677">
        <f>IFERROR(INDEX(PP_Grid[#Data],$DD677,54),0)</f>
        <v/>
      </c>
      <c r="BE677">
        <f>IFERROR(INDEX(PP_Grid[#Data],$DD677,55),0)</f>
        <v/>
      </c>
      <c r="BF677">
        <f>IFERROR(INDEX(PP_Grid[#Data],$DD677,56),0)</f>
        <v/>
      </c>
      <c r="BG677">
        <f>IFERROR(INDEX(PP_Grid[#Data],$DD677,57),0)</f>
        <v/>
      </c>
      <c r="BH677">
        <f>IFERROR(INDEX(PP_Grid[#Data],$DD677,58),0)</f>
        <v/>
      </c>
      <c r="BI677">
        <f>IFERROR(INDEX(PP_Grid[#Data],$DD677,59),0)</f>
        <v/>
      </c>
      <c r="BJ677">
        <f>IFERROR(INDEX(PP_Grid[#Data],$DD677,60),0)</f>
        <v/>
      </c>
      <c r="BK677">
        <f>IFERROR(INDEX(PP_Grid[#Data],$DD677,61),0)</f>
        <v/>
      </c>
      <c r="BL677">
        <f>IFERROR(INDEX(PP_Grid[#Data],$DD677,62),0)</f>
        <v/>
      </c>
      <c r="BM677">
        <f>IFERROR(INDEX(PP_Grid[#Data],$DD677,63),0)</f>
        <v/>
      </c>
      <c r="BN677">
        <f>IFERROR(INDEX(PP_Grid[#Data],$DD677,64),0)</f>
        <v/>
      </c>
      <c r="BO677">
        <f>IFERROR(INDEX(PP_Grid[#Data],$DD677,65),0)</f>
        <v/>
      </c>
      <c r="BP677">
        <f>IFERROR(INDEX(PP_Grid[#Data],$DD677,66),0)</f>
        <v/>
      </c>
      <c r="BQ677">
        <f>IFERROR(INDEX(PP_Grid[#Data],$DD677,67),0)</f>
        <v/>
      </c>
      <c r="BR677">
        <f>IFERROR(INDEX(PP_Grid[#Data],$DD677,68),0)</f>
        <v/>
      </c>
      <c r="BS677">
        <f>IFERROR(INDEX(PP_Grid[#Data],$DD677,69),0)</f>
        <v/>
      </c>
      <c r="BT677">
        <f>IFERROR(INDEX(PP_Grid[#Data],$DD677,70),0)</f>
        <v/>
      </c>
      <c r="BU677">
        <f>IFERROR(INDEX(PP_Grid[#Data],$DD677,71),0)</f>
        <v/>
      </c>
      <c r="BV677">
        <f>IFERROR(INDEX(PP_Grid[#Data],$DD677,72),0)</f>
        <v/>
      </c>
      <c r="BW677">
        <f>IFERROR(INDEX(PP_Grid[#Data],$DD677,73),0)</f>
        <v/>
      </c>
      <c r="BX677">
        <f>IFERROR(INDEX(PP_Grid[#Data],$DD677,74),0)</f>
        <v/>
      </c>
      <c r="BY677">
        <f>IFERROR(INDEX(PP_Grid[#Data],$DD677,75),0)</f>
        <v/>
      </c>
      <c r="BZ677">
        <f>IFERROR(INDEX(PP_Grid[#Data],$DD677,76),0)</f>
        <v/>
      </c>
      <c r="CA677">
        <f>IFERROR(INDEX(PP_Grid[#Data],$DD677,77),0)</f>
        <v/>
      </c>
      <c r="CB677">
        <f>IFERROR(INDEX(PP_Grid[#Data],$DD677,78),0)</f>
        <v/>
      </c>
      <c r="CC677">
        <f>IFERROR(INDEX(PP_Grid[#Data],$DD677,79),0)</f>
        <v/>
      </c>
      <c r="CD677">
        <f>IFERROR(INDEX(PP_Grid[#Data],$DD677,80),0)</f>
        <v/>
      </c>
      <c r="CE677">
        <f>IFERROR(INDEX(PP_Grid[#Data],$DD677,81),0)</f>
        <v/>
      </c>
      <c r="CF677">
        <f>IFERROR(INDEX(PP_Grid[#Data],$DD677,82),0)</f>
        <v/>
      </c>
      <c r="CG677">
        <f>IFERROR(INDEX(PP_Grid[#Data],$DD677,83),0)</f>
        <v/>
      </c>
      <c r="CH677">
        <f>IFERROR(INDEX(PP_Grid[#Data],$DD677,84),0)</f>
        <v/>
      </c>
      <c r="CI677">
        <f>IFERROR(INDEX(PP_Grid[#Data],$DD677,85),0)</f>
        <v/>
      </c>
      <c r="CJ677">
        <f>IFERROR(INDEX(PP_Grid[#Data],$DD677,86),0)</f>
        <v/>
      </c>
      <c r="CK677">
        <f>IFERROR(INDEX(PP_Grid[#Data],$DD677,87),0)</f>
        <v/>
      </c>
      <c r="CL677">
        <f>IFERROR(INDEX(PP_Grid[#Data],$DD677,88),0)</f>
        <v/>
      </c>
      <c r="CM677">
        <f>IFERROR(INDEX(PP_Grid[#Data],$DD677,89),0)</f>
        <v/>
      </c>
      <c r="CN677">
        <f>IFERROR(INDEX(PP_Grid[#Data],$DD677,90),0)</f>
        <v/>
      </c>
      <c r="CO677">
        <f>IFERROR(INDEX(PP_Grid[#Data],$DD677,91),0)</f>
        <v/>
      </c>
      <c r="CP677">
        <f>IFERROR(INDEX(PP_Grid[#Data],$DD677,92),0)</f>
        <v/>
      </c>
      <c r="CQ677">
        <f>IFERROR(INDEX(PP_Grid[#Data],$DD677,93),0)</f>
        <v/>
      </c>
      <c r="CR677">
        <f>IFERROR(INDEX(PP_Grid[#Data],$DD677,94),0)</f>
        <v/>
      </c>
      <c r="CS677">
        <f>IFERROR(INDEX(PP_Grid[#Data],$DD677,95),0)</f>
        <v/>
      </c>
      <c r="CT677">
        <f>IFERROR(INDEX(PP_Grid[#Data],$DD677,96),0)</f>
        <v/>
      </c>
      <c r="CU677">
        <f>IFERROR(INDEX(PP_Grid[#Data],$DD677,97),0)</f>
        <v/>
      </c>
      <c r="CV677">
        <f>IFERROR(INDEX(PP_Grid[#Data],$DD677,98),0)</f>
        <v/>
      </c>
      <c r="CW677">
        <f>IFERROR(INDEX(PP_Grid[#Data],$DD677,99),0)</f>
        <v/>
      </c>
      <c r="CX677">
        <f>IFERROR(INDEX(PP_Grid[#Data],$DD677,100),0)</f>
        <v/>
      </c>
      <c r="CY677">
        <f>IFERROR(INDEX(PP_Grid[#Data],$DD677,101),0)</f>
        <v/>
      </c>
      <c r="CZ677">
        <f>IFERROR(INDEX(PP_Grid[#Data],$DD677,102),0)</f>
        <v/>
      </c>
      <c r="DA677">
        <f>IFERROR(INDEX(PP_Grid[#Data],$DD677,103),0)</f>
        <v/>
      </c>
      <c r="DB677">
        <f>IFERROR(INDEX(PP_Grid[#Data],$DD677,104),0)</f>
        <v/>
      </c>
      <c r="DC677">
        <f>IFERROR(INDEX(PP_Grid[#Data],$DD677,105),0)</f>
        <v/>
      </c>
      <c r="DD677" s="7">
        <f>IFERROR(MATCH($B677,PP_Grid[Intermediate],0),99999)</f>
        <v/>
      </c>
    </row>
    <row r="678">
      <c r="B678" t="inlineStr">
        <is>
          <t>使用量(kg)</t>
        </is>
      </c>
      <c r="C678">
        <f>SUMIFS(M_BOM[RM_Qty_Per_Batch],M_BOM[Intermediate],$B677,M_BOM[Part Name],$A670)</f>
        <v/>
      </c>
      <c r="D678">
        <f>$C678*D677</f>
        <v/>
      </c>
      <c r="E678">
        <f>$C678*E677</f>
        <v/>
      </c>
      <c r="F678">
        <f>$C678*F677</f>
        <v/>
      </c>
      <c r="G678">
        <f>$C678*G677</f>
        <v/>
      </c>
      <c r="H678">
        <f>$C678*H677</f>
        <v/>
      </c>
      <c r="I678">
        <f>$C678*I677</f>
        <v/>
      </c>
      <c r="J678">
        <f>$C678*J677</f>
        <v/>
      </c>
      <c r="K678">
        <f>$C678*K677</f>
        <v/>
      </c>
      <c r="L678">
        <f>$C678*L677</f>
        <v/>
      </c>
      <c r="M678">
        <f>$C678*M677</f>
        <v/>
      </c>
      <c r="N678">
        <f>$C678*N677</f>
        <v/>
      </c>
      <c r="O678">
        <f>$C678*O677</f>
        <v/>
      </c>
      <c r="P678">
        <f>$C678*P677</f>
        <v/>
      </c>
      <c r="Q678">
        <f>$C678*Q677</f>
        <v/>
      </c>
      <c r="R678">
        <f>$C678*R677</f>
        <v/>
      </c>
      <c r="S678">
        <f>$C678*S677</f>
        <v/>
      </c>
      <c r="T678">
        <f>$C678*T677</f>
        <v/>
      </c>
      <c r="U678">
        <f>$C678*U677</f>
        <v/>
      </c>
      <c r="V678">
        <f>$C678*V677</f>
        <v/>
      </c>
      <c r="W678">
        <f>$C678*W677</f>
        <v/>
      </c>
      <c r="X678">
        <f>$C678*X677</f>
        <v/>
      </c>
      <c r="Y678">
        <f>$C678*Y677</f>
        <v/>
      </c>
      <c r="Z678">
        <f>$C678*Z677</f>
        <v/>
      </c>
      <c r="AA678">
        <f>$C678*AA677</f>
        <v/>
      </c>
      <c r="AB678">
        <f>$C678*AB677</f>
        <v/>
      </c>
      <c r="AC678">
        <f>$C678*AC677</f>
        <v/>
      </c>
      <c r="AD678">
        <f>$C678*AD677</f>
        <v/>
      </c>
      <c r="AE678">
        <f>$C678*AE677</f>
        <v/>
      </c>
      <c r="AF678">
        <f>$C678*AF677</f>
        <v/>
      </c>
      <c r="AG678">
        <f>$C678*AG677</f>
        <v/>
      </c>
      <c r="AH678">
        <f>$C678*AH677</f>
        <v/>
      </c>
      <c r="AI678">
        <f>$C678*AI677</f>
        <v/>
      </c>
      <c r="AJ678">
        <f>$C678*AJ677</f>
        <v/>
      </c>
      <c r="AK678">
        <f>$C678*AK677</f>
        <v/>
      </c>
      <c r="AL678">
        <f>$C678*AL677</f>
        <v/>
      </c>
      <c r="AM678">
        <f>$C678*AM677</f>
        <v/>
      </c>
      <c r="AN678">
        <f>$C678*AN677</f>
        <v/>
      </c>
      <c r="AO678">
        <f>$C678*AO677</f>
        <v/>
      </c>
      <c r="AP678">
        <f>$C678*AP677</f>
        <v/>
      </c>
      <c r="AQ678">
        <f>$C678*AQ677</f>
        <v/>
      </c>
      <c r="AR678">
        <f>$C678*AR677</f>
        <v/>
      </c>
      <c r="AS678">
        <f>$C678*AS677</f>
        <v/>
      </c>
      <c r="AT678">
        <f>$C678*AT677</f>
        <v/>
      </c>
      <c r="AU678">
        <f>$C678*AU677</f>
        <v/>
      </c>
      <c r="AV678">
        <f>$C678*AV677</f>
        <v/>
      </c>
      <c r="AW678">
        <f>$C678*AW677</f>
        <v/>
      </c>
      <c r="AX678">
        <f>$C678*AX677</f>
        <v/>
      </c>
      <c r="AY678">
        <f>$C678*AY677</f>
        <v/>
      </c>
      <c r="AZ678">
        <f>$C678*AZ677</f>
        <v/>
      </c>
      <c r="BA678">
        <f>$C678*BA677</f>
        <v/>
      </c>
      <c r="BB678">
        <f>$C678*BB677</f>
        <v/>
      </c>
      <c r="BC678">
        <f>$C678*BC677</f>
        <v/>
      </c>
      <c r="BD678">
        <f>$C678*BD677</f>
        <v/>
      </c>
      <c r="BE678">
        <f>$C678*BE677</f>
        <v/>
      </c>
      <c r="BF678">
        <f>$C678*BF677</f>
        <v/>
      </c>
      <c r="BG678">
        <f>$C678*BG677</f>
        <v/>
      </c>
      <c r="BH678">
        <f>$C678*BH677</f>
        <v/>
      </c>
      <c r="BI678">
        <f>$C678*BI677</f>
        <v/>
      </c>
      <c r="BJ678">
        <f>$C678*BJ677</f>
        <v/>
      </c>
      <c r="BK678">
        <f>$C678*BK677</f>
        <v/>
      </c>
      <c r="BL678">
        <f>$C678*BL677</f>
        <v/>
      </c>
      <c r="BM678">
        <f>$C678*BM677</f>
        <v/>
      </c>
      <c r="BN678">
        <f>$C678*BN677</f>
        <v/>
      </c>
      <c r="BO678">
        <f>$C678*BO677</f>
        <v/>
      </c>
      <c r="BP678">
        <f>$C678*BP677</f>
        <v/>
      </c>
      <c r="BQ678">
        <f>$C678*BQ677</f>
        <v/>
      </c>
      <c r="BR678">
        <f>$C678*BR677</f>
        <v/>
      </c>
      <c r="BS678">
        <f>$C678*BS677</f>
        <v/>
      </c>
      <c r="BT678">
        <f>$C678*BT677</f>
        <v/>
      </c>
      <c r="BU678">
        <f>$C678*BU677</f>
        <v/>
      </c>
      <c r="BV678">
        <f>$C678*BV677</f>
        <v/>
      </c>
      <c r="BW678">
        <f>$C678*BW677</f>
        <v/>
      </c>
      <c r="BX678">
        <f>$C678*BX677</f>
        <v/>
      </c>
      <c r="BY678">
        <f>$C678*BY677</f>
        <v/>
      </c>
      <c r="BZ678">
        <f>$C678*BZ677</f>
        <v/>
      </c>
      <c r="CA678">
        <f>$C678*CA677</f>
        <v/>
      </c>
      <c r="CB678">
        <f>$C678*CB677</f>
        <v/>
      </c>
      <c r="CC678">
        <f>$C678*CC677</f>
        <v/>
      </c>
      <c r="CD678">
        <f>$C678*CD677</f>
        <v/>
      </c>
      <c r="CE678">
        <f>$C678*CE677</f>
        <v/>
      </c>
      <c r="CF678">
        <f>$C678*CF677</f>
        <v/>
      </c>
      <c r="CG678">
        <f>$C678*CG677</f>
        <v/>
      </c>
      <c r="CH678">
        <f>$C678*CH677</f>
        <v/>
      </c>
      <c r="CI678">
        <f>$C678*CI677</f>
        <v/>
      </c>
      <c r="CJ678">
        <f>$C678*CJ677</f>
        <v/>
      </c>
      <c r="CK678">
        <f>$C678*CK677</f>
        <v/>
      </c>
      <c r="CL678">
        <f>$C678*CL677</f>
        <v/>
      </c>
      <c r="CM678">
        <f>$C678*CM677</f>
        <v/>
      </c>
      <c r="CN678">
        <f>$C678*CN677</f>
        <v/>
      </c>
      <c r="CO678">
        <f>$C678*CO677</f>
        <v/>
      </c>
      <c r="CP678">
        <f>$C678*CP677</f>
        <v/>
      </c>
      <c r="CQ678">
        <f>$C678*CQ677</f>
        <v/>
      </c>
      <c r="CR678">
        <f>$C678*CR677</f>
        <v/>
      </c>
      <c r="CS678">
        <f>$C678*CS677</f>
        <v/>
      </c>
      <c r="CT678">
        <f>$C678*CT677</f>
        <v/>
      </c>
      <c r="CU678">
        <f>$C678*CU677</f>
        <v/>
      </c>
      <c r="CV678">
        <f>$C678*CV677</f>
        <v/>
      </c>
      <c r="CW678">
        <f>$C678*CW677</f>
        <v/>
      </c>
      <c r="CX678">
        <f>$C678*CX677</f>
        <v/>
      </c>
      <c r="CY678">
        <f>$C678*CY677</f>
        <v/>
      </c>
      <c r="CZ678">
        <f>$C678*CZ677</f>
        <v/>
      </c>
      <c r="DA678">
        <f>$C678*DA677</f>
        <v/>
      </c>
      <c r="DB678">
        <f>$C678*DB677</f>
        <v/>
      </c>
      <c r="DC678">
        <f>$C678*DC677</f>
        <v/>
      </c>
    </row>
    <row r="679">
      <c r="B679" t="inlineStr">
        <is>
          <t>TSP-669</t>
        </is>
      </c>
      <c r="C679" t="inlineStr">
        <is>
          <t>No. of batches</t>
        </is>
      </c>
      <c r="D679">
        <f>IFERROR(INDEX(PP_Grid[#Data],$DD679,2),0)</f>
        <v/>
      </c>
      <c r="E679">
        <f>IFERROR(INDEX(PP_Grid[#Data],$DD679,3),0)</f>
        <v/>
      </c>
      <c r="F679">
        <f>IFERROR(INDEX(PP_Grid[#Data],$DD679,4),0)</f>
        <v/>
      </c>
      <c r="G679">
        <f>IFERROR(INDEX(PP_Grid[#Data],$DD679,5),0)</f>
        <v/>
      </c>
      <c r="H679">
        <f>IFERROR(INDEX(PP_Grid[#Data],$DD679,6),0)</f>
        <v/>
      </c>
      <c r="I679">
        <f>IFERROR(INDEX(PP_Grid[#Data],$DD679,7),0)</f>
        <v/>
      </c>
      <c r="J679">
        <f>IFERROR(INDEX(PP_Grid[#Data],$DD679,8),0)</f>
        <v/>
      </c>
      <c r="K679">
        <f>IFERROR(INDEX(PP_Grid[#Data],$DD679,9),0)</f>
        <v/>
      </c>
      <c r="L679">
        <f>IFERROR(INDEX(PP_Grid[#Data],$DD679,10),0)</f>
        <v/>
      </c>
      <c r="M679">
        <f>IFERROR(INDEX(PP_Grid[#Data],$DD679,11),0)</f>
        <v/>
      </c>
      <c r="N679">
        <f>IFERROR(INDEX(PP_Grid[#Data],$DD679,12),0)</f>
        <v/>
      </c>
      <c r="O679">
        <f>IFERROR(INDEX(PP_Grid[#Data],$DD679,13),0)</f>
        <v/>
      </c>
      <c r="P679">
        <f>IFERROR(INDEX(PP_Grid[#Data],$DD679,14),0)</f>
        <v/>
      </c>
      <c r="Q679">
        <f>IFERROR(INDEX(PP_Grid[#Data],$DD679,15),0)</f>
        <v/>
      </c>
      <c r="R679">
        <f>IFERROR(INDEX(PP_Grid[#Data],$DD679,16),0)</f>
        <v/>
      </c>
      <c r="S679">
        <f>IFERROR(INDEX(PP_Grid[#Data],$DD679,17),0)</f>
        <v/>
      </c>
      <c r="T679">
        <f>IFERROR(INDEX(PP_Grid[#Data],$DD679,18),0)</f>
        <v/>
      </c>
      <c r="U679">
        <f>IFERROR(INDEX(PP_Grid[#Data],$DD679,19),0)</f>
        <v/>
      </c>
      <c r="V679">
        <f>IFERROR(INDEX(PP_Grid[#Data],$DD679,20),0)</f>
        <v/>
      </c>
      <c r="W679">
        <f>IFERROR(INDEX(PP_Grid[#Data],$DD679,21),0)</f>
        <v/>
      </c>
      <c r="X679">
        <f>IFERROR(INDEX(PP_Grid[#Data],$DD679,22),0)</f>
        <v/>
      </c>
      <c r="Y679">
        <f>IFERROR(INDEX(PP_Grid[#Data],$DD679,23),0)</f>
        <v/>
      </c>
      <c r="Z679">
        <f>IFERROR(INDEX(PP_Grid[#Data],$DD679,24),0)</f>
        <v/>
      </c>
      <c r="AA679">
        <f>IFERROR(INDEX(PP_Grid[#Data],$DD679,25),0)</f>
        <v/>
      </c>
      <c r="AB679">
        <f>IFERROR(INDEX(PP_Grid[#Data],$DD679,26),0)</f>
        <v/>
      </c>
      <c r="AC679">
        <f>IFERROR(INDEX(PP_Grid[#Data],$DD679,27),0)</f>
        <v/>
      </c>
      <c r="AD679">
        <f>IFERROR(INDEX(PP_Grid[#Data],$DD679,28),0)</f>
        <v/>
      </c>
      <c r="AE679">
        <f>IFERROR(INDEX(PP_Grid[#Data],$DD679,29),0)</f>
        <v/>
      </c>
      <c r="AF679">
        <f>IFERROR(INDEX(PP_Grid[#Data],$DD679,30),0)</f>
        <v/>
      </c>
      <c r="AG679">
        <f>IFERROR(INDEX(PP_Grid[#Data],$DD679,31),0)</f>
        <v/>
      </c>
      <c r="AH679">
        <f>IFERROR(INDEX(PP_Grid[#Data],$DD679,32),0)</f>
        <v/>
      </c>
      <c r="AI679">
        <f>IFERROR(INDEX(PP_Grid[#Data],$DD679,33),0)</f>
        <v/>
      </c>
      <c r="AJ679">
        <f>IFERROR(INDEX(PP_Grid[#Data],$DD679,34),0)</f>
        <v/>
      </c>
      <c r="AK679">
        <f>IFERROR(INDEX(PP_Grid[#Data],$DD679,35),0)</f>
        <v/>
      </c>
      <c r="AL679">
        <f>IFERROR(INDEX(PP_Grid[#Data],$DD679,36),0)</f>
        <v/>
      </c>
      <c r="AM679">
        <f>IFERROR(INDEX(PP_Grid[#Data],$DD679,37),0)</f>
        <v/>
      </c>
      <c r="AN679">
        <f>IFERROR(INDEX(PP_Grid[#Data],$DD679,38),0)</f>
        <v/>
      </c>
      <c r="AO679">
        <f>IFERROR(INDEX(PP_Grid[#Data],$DD679,39),0)</f>
        <v/>
      </c>
      <c r="AP679">
        <f>IFERROR(INDEX(PP_Grid[#Data],$DD679,40),0)</f>
        <v/>
      </c>
      <c r="AQ679">
        <f>IFERROR(INDEX(PP_Grid[#Data],$DD679,41),0)</f>
        <v/>
      </c>
      <c r="AR679">
        <f>IFERROR(INDEX(PP_Grid[#Data],$DD679,42),0)</f>
        <v/>
      </c>
      <c r="AS679">
        <f>IFERROR(INDEX(PP_Grid[#Data],$DD679,43),0)</f>
        <v/>
      </c>
      <c r="AT679">
        <f>IFERROR(INDEX(PP_Grid[#Data],$DD679,44),0)</f>
        <v/>
      </c>
      <c r="AU679">
        <f>IFERROR(INDEX(PP_Grid[#Data],$DD679,45),0)</f>
        <v/>
      </c>
      <c r="AV679">
        <f>IFERROR(INDEX(PP_Grid[#Data],$DD679,46),0)</f>
        <v/>
      </c>
      <c r="AW679">
        <f>IFERROR(INDEX(PP_Grid[#Data],$DD679,47),0)</f>
        <v/>
      </c>
      <c r="AX679">
        <f>IFERROR(INDEX(PP_Grid[#Data],$DD679,48),0)</f>
        <v/>
      </c>
      <c r="AY679">
        <f>IFERROR(INDEX(PP_Grid[#Data],$DD679,49),0)</f>
        <v/>
      </c>
      <c r="AZ679">
        <f>IFERROR(INDEX(PP_Grid[#Data],$DD679,50),0)</f>
        <v/>
      </c>
      <c r="BA679">
        <f>IFERROR(INDEX(PP_Grid[#Data],$DD679,51),0)</f>
        <v/>
      </c>
      <c r="BB679">
        <f>IFERROR(INDEX(PP_Grid[#Data],$DD679,52),0)</f>
        <v/>
      </c>
      <c r="BC679">
        <f>IFERROR(INDEX(PP_Grid[#Data],$DD679,53),0)</f>
        <v/>
      </c>
      <c r="BD679">
        <f>IFERROR(INDEX(PP_Grid[#Data],$DD679,54),0)</f>
        <v/>
      </c>
      <c r="BE679">
        <f>IFERROR(INDEX(PP_Grid[#Data],$DD679,55),0)</f>
        <v/>
      </c>
      <c r="BF679">
        <f>IFERROR(INDEX(PP_Grid[#Data],$DD679,56),0)</f>
        <v/>
      </c>
      <c r="BG679">
        <f>IFERROR(INDEX(PP_Grid[#Data],$DD679,57),0)</f>
        <v/>
      </c>
      <c r="BH679">
        <f>IFERROR(INDEX(PP_Grid[#Data],$DD679,58),0)</f>
        <v/>
      </c>
      <c r="BI679">
        <f>IFERROR(INDEX(PP_Grid[#Data],$DD679,59),0)</f>
        <v/>
      </c>
      <c r="BJ679">
        <f>IFERROR(INDEX(PP_Grid[#Data],$DD679,60),0)</f>
        <v/>
      </c>
      <c r="BK679">
        <f>IFERROR(INDEX(PP_Grid[#Data],$DD679,61),0)</f>
        <v/>
      </c>
      <c r="BL679">
        <f>IFERROR(INDEX(PP_Grid[#Data],$DD679,62),0)</f>
        <v/>
      </c>
      <c r="BM679">
        <f>IFERROR(INDEX(PP_Grid[#Data],$DD679,63),0)</f>
        <v/>
      </c>
      <c r="BN679">
        <f>IFERROR(INDEX(PP_Grid[#Data],$DD679,64),0)</f>
        <v/>
      </c>
      <c r="BO679">
        <f>IFERROR(INDEX(PP_Grid[#Data],$DD679,65),0)</f>
        <v/>
      </c>
      <c r="BP679">
        <f>IFERROR(INDEX(PP_Grid[#Data],$DD679,66),0)</f>
        <v/>
      </c>
      <c r="BQ679">
        <f>IFERROR(INDEX(PP_Grid[#Data],$DD679,67),0)</f>
        <v/>
      </c>
      <c r="BR679">
        <f>IFERROR(INDEX(PP_Grid[#Data],$DD679,68),0)</f>
        <v/>
      </c>
      <c r="BS679">
        <f>IFERROR(INDEX(PP_Grid[#Data],$DD679,69),0)</f>
        <v/>
      </c>
      <c r="BT679">
        <f>IFERROR(INDEX(PP_Grid[#Data],$DD679,70),0)</f>
        <v/>
      </c>
      <c r="BU679">
        <f>IFERROR(INDEX(PP_Grid[#Data],$DD679,71),0)</f>
        <v/>
      </c>
      <c r="BV679">
        <f>IFERROR(INDEX(PP_Grid[#Data],$DD679,72),0)</f>
        <v/>
      </c>
      <c r="BW679">
        <f>IFERROR(INDEX(PP_Grid[#Data],$DD679,73),0)</f>
        <v/>
      </c>
      <c r="BX679">
        <f>IFERROR(INDEX(PP_Grid[#Data],$DD679,74),0)</f>
        <v/>
      </c>
      <c r="BY679">
        <f>IFERROR(INDEX(PP_Grid[#Data],$DD679,75),0)</f>
        <v/>
      </c>
      <c r="BZ679">
        <f>IFERROR(INDEX(PP_Grid[#Data],$DD679,76),0)</f>
        <v/>
      </c>
      <c r="CA679">
        <f>IFERROR(INDEX(PP_Grid[#Data],$DD679,77),0)</f>
        <v/>
      </c>
      <c r="CB679">
        <f>IFERROR(INDEX(PP_Grid[#Data],$DD679,78),0)</f>
        <v/>
      </c>
      <c r="CC679">
        <f>IFERROR(INDEX(PP_Grid[#Data],$DD679,79),0)</f>
        <v/>
      </c>
      <c r="CD679">
        <f>IFERROR(INDEX(PP_Grid[#Data],$DD679,80),0)</f>
        <v/>
      </c>
      <c r="CE679">
        <f>IFERROR(INDEX(PP_Grid[#Data],$DD679,81),0)</f>
        <v/>
      </c>
      <c r="CF679">
        <f>IFERROR(INDEX(PP_Grid[#Data],$DD679,82),0)</f>
        <v/>
      </c>
      <c r="CG679">
        <f>IFERROR(INDEX(PP_Grid[#Data],$DD679,83),0)</f>
        <v/>
      </c>
      <c r="CH679">
        <f>IFERROR(INDEX(PP_Grid[#Data],$DD679,84),0)</f>
        <v/>
      </c>
      <c r="CI679">
        <f>IFERROR(INDEX(PP_Grid[#Data],$DD679,85),0)</f>
        <v/>
      </c>
      <c r="CJ679">
        <f>IFERROR(INDEX(PP_Grid[#Data],$DD679,86),0)</f>
        <v/>
      </c>
      <c r="CK679">
        <f>IFERROR(INDEX(PP_Grid[#Data],$DD679,87),0)</f>
        <v/>
      </c>
      <c r="CL679">
        <f>IFERROR(INDEX(PP_Grid[#Data],$DD679,88),0)</f>
        <v/>
      </c>
      <c r="CM679">
        <f>IFERROR(INDEX(PP_Grid[#Data],$DD679,89),0)</f>
        <v/>
      </c>
      <c r="CN679">
        <f>IFERROR(INDEX(PP_Grid[#Data],$DD679,90),0)</f>
        <v/>
      </c>
      <c r="CO679">
        <f>IFERROR(INDEX(PP_Grid[#Data],$DD679,91),0)</f>
        <v/>
      </c>
      <c r="CP679">
        <f>IFERROR(INDEX(PP_Grid[#Data],$DD679,92),0)</f>
        <v/>
      </c>
      <c r="CQ679">
        <f>IFERROR(INDEX(PP_Grid[#Data],$DD679,93),0)</f>
        <v/>
      </c>
      <c r="CR679">
        <f>IFERROR(INDEX(PP_Grid[#Data],$DD679,94),0)</f>
        <v/>
      </c>
      <c r="CS679">
        <f>IFERROR(INDEX(PP_Grid[#Data],$DD679,95),0)</f>
        <v/>
      </c>
      <c r="CT679">
        <f>IFERROR(INDEX(PP_Grid[#Data],$DD679,96),0)</f>
        <v/>
      </c>
      <c r="CU679">
        <f>IFERROR(INDEX(PP_Grid[#Data],$DD679,97),0)</f>
        <v/>
      </c>
      <c r="CV679">
        <f>IFERROR(INDEX(PP_Grid[#Data],$DD679,98),0)</f>
        <v/>
      </c>
      <c r="CW679">
        <f>IFERROR(INDEX(PP_Grid[#Data],$DD679,99),0)</f>
        <v/>
      </c>
      <c r="CX679">
        <f>IFERROR(INDEX(PP_Grid[#Data],$DD679,100),0)</f>
        <v/>
      </c>
      <c r="CY679">
        <f>IFERROR(INDEX(PP_Grid[#Data],$DD679,101),0)</f>
        <v/>
      </c>
      <c r="CZ679">
        <f>IFERROR(INDEX(PP_Grid[#Data],$DD679,102),0)</f>
        <v/>
      </c>
      <c r="DA679">
        <f>IFERROR(INDEX(PP_Grid[#Data],$DD679,103),0)</f>
        <v/>
      </c>
      <c r="DB679">
        <f>IFERROR(INDEX(PP_Grid[#Data],$DD679,104),0)</f>
        <v/>
      </c>
      <c r="DC679">
        <f>IFERROR(INDEX(PP_Grid[#Data],$DD679,105),0)</f>
        <v/>
      </c>
      <c r="DD679" s="7">
        <f>IFERROR(MATCH($B679,PP_Grid[Intermediate],0),99999)</f>
        <v/>
      </c>
    </row>
    <row r="680">
      <c r="B680" t="inlineStr">
        <is>
          <t>使用量(kg)</t>
        </is>
      </c>
      <c r="C680">
        <f>SUMIFS(M_BOM[RM_Qty_Per_Batch],M_BOM[Intermediate],$B679,M_BOM[Part Name],$A670)</f>
        <v/>
      </c>
      <c r="D680">
        <f>$C680*D679</f>
        <v/>
      </c>
      <c r="E680">
        <f>$C680*E679</f>
        <v/>
      </c>
      <c r="F680">
        <f>$C680*F679</f>
        <v/>
      </c>
      <c r="G680">
        <f>$C680*G679</f>
        <v/>
      </c>
      <c r="H680">
        <f>$C680*H679</f>
        <v/>
      </c>
      <c r="I680">
        <f>$C680*I679</f>
        <v/>
      </c>
      <c r="J680">
        <f>$C680*J679</f>
        <v/>
      </c>
      <c r="K680">
        <f>$C680*K679</f>
        <v/>
      </c>
      <c r="L680">
        <f>$C680*L679</f>
        <v/>
      </c>
      <c r="M680">
        <f>$C680*M679</f>
        <v/>
      </c>
      <c r="N680">
        <f>$C680*N679</f>
        <v/>
      </c>
      <c r="O680">
        <f>$C680*O679</f>
        <v/>
      </c>
      <c r="P680">
        <f>$C680*P679</f>
        <v/>
      </c>
      <c r="Q680">
        <f>$C680*Q679</f>
        <v/>
      </c>
      <c r="R680">
        <f>$C680*R679</f>
        <v/>
      </c>
      <c r="S680">
        <f>$C680*S679</f>
        <v/>
      </c>
      <c r="T680">
        <f>$C680*T679</f>
        <v/>
      </c>
      <c r="U680">
        <f>$C680*U679</f>
        <v/>
      </c>
      <c r="V680">
        <f>$C680*V679</f>
        <v/>
      </c>
      <c r="W680">
        <f>$C680*W679</f>
        <v/>
      </c>
      <c r="X680">
        <f>$C680*X679</f>
        <v/>
      </c>
      <c r="Y680">
        <f>$C680*Y679</f>
        <v/>
      </c>
      <c r="Z680">
        <f>$C680*Z679</f>
        <v/>
      </c>
      <c r="AA680">
        <f>$C680*AA679</f>
        <v/>
      </c>
      <c r="AB680">
        <f>$C680*AB679</f>
        <v/>
      </c>
      <c r="AC680">
        <f>$C680*AC679</f>
        <v/>
      </c>
      <c r="AD680">
        <f>$C680*AD679</f>
        <v/>
      </c>
      <c r="AE680">
        <f>$C680*AE679</f>
        <v/>
      </c>
      <c r="AF680">
        <f>$C680*AF679</f>
        <v/>
      </c>
      <c r="AG680">
        <f>$C680*AG679</f>
        <v/>
      </c>
      <c r="AH680">
        <f>$C680*AH679</f>
        <v/>
      </c>
      <c r="AI680">
        <f>$C680*AI679</f>
        <v/>
      </c>
      <c r="AJ680">
        <f>$C680*AJ679</f>
        <v/>
      </c>
      <c r="AK680">
        <f>$C680*AK679</f>
        <v/>
      </c>
      <c r="AL680">
        <f>$C680*AL679</f>
        <v/>
      </c>
      <c r="AM680">
        <f>$C680*AM679</f>
        <v/>
      </c>
      <c r="AN680">
        <f>$C680*AN679</f>
        <v/>
      </c>
      <c r="AO680">
        <f>$C680*AO679</f>
        <v/>
      </c>
      <c r="AP680">
        <f>$C680*AP679</f>
        <v/>
      </c>
      <c r="AQ680">
        <f>$C680*AQ679</f>
        <v/>
      </c>
      <c r="AR680">
        <f>$C680*AR679</f>
        <v/>
      </c>
      <c r="AS680">
        <f>$C680*AS679</f>
        <v/>
      </c>
      <c r="AT680">
        <f>$C680*AT679</f>
        <v/>
      </c>
      <c r="AU680">
        <f>$C680*AU679</f>
        <v/>
      </c>
      <c r="AV680">
        <f>$C680*AV679</f>
        <v/>
      </c>
      <c r="AW680">
        <f>$C680*AW679</f>
        <v/>
      </c>
      <c r="AX680">
        <f>$C680*AX679</f>
        <v/>
      </c>
      <c r="AY680">
        <f>$C680*AY679</f>
        <v/>
      </c>
      <c r="AZ680">
        <f>$C680*AZ679</f>
        <v/>
      </c>
      <c r="BA680">
        <f>$C680*BA679</f>
        <v/>
      </c>
      <c r="BB680">
        <f>$C680*BB679</f>
        <v/>
      </c>
      <c r="BC680">
        <f>$C680*BC679</f>
        <v/>
      </c>
      <c r="BD680">
        <f>$C680*BD679</f>
        <v/>
      </c>
      <c r="BE680">
        <f>$C680*BE679</f>
        <v/>
      </c>
      <c r="BF680">
        <f>$C680*BF679</f>
        <v/>
      </c>
      <c r="BG680">
        <f>$C680*BG679</f>
        <v/>
      </c>
      <c r="BH680">
        <f>$C680*BH679</f>
        <v/>
      </c>
      <c r="BI680">
        <f>$C680*BI679</f>
        <v/>
      </c>
      <c r="BJ680">
        <f>$C680*BJ679</f>
        <v/>
      </c>
      <c r="BK680">
        <f>$C680*BK679</f>
        <v/>
      </c>
      <c r="BL680">
        <f>$C680*BL679</f>
        <v/>
      </c>
      <c r="BM680">
        <f>$C680*BM679</f>
        <v/>
      </c>
      <c r="BN680">
        <f>$C680*BN679</f>
        <v/>
      </c>
      <c r="BO680">
        <f>$C680*BO679</f>
        <v/>
      </c>
      <c r="BP680">
        <f>$C680*BP679</f>
        <v/>
      </c>
      <c r="BQ680">
        <f>$C680*BQ679</f>
        <v/>
      </c>
      <c r="BR680">
        <f>$C680*BR679</f>
        <v/>
      </c>
      <c r="BS680">
        <f>$C680*BS679</f>
        <v/>
      </c>
      <c r="BT680">
        <f>$C680*BT679</f>
        <v/>
      </c>
      <c r="BU680">
        <f>$C680*BU679</f>
        <v/>
      </c>
      <c r="BV680">
        <f>$C680*BV679</f>
        <v/>
      </c>
      <c r="BW680">
        <f>$C680*BW679</f>
        <v/>
      </c>
      <c r="BX680">
        <f>$C680*BX679</f>
        <v/>
      </c>
      <c r="BY680">
        <f>$C680*BY679</f>
        <v/>
      </c>
      <c r="BZ680">
        <f>$C680*BZ679</f>
        <v/>
      </c>
      <c r="CA680">
        <f>$C680*CA679</f>
        <v/>
      </c>
      <c r="CB680">
        <f>$C680*CB679</f>
        <v/>
      </c>
      <c r="CC680">
        <f>$C680*CC679</f>
        <v/>
      </c>
      <c r="CD680">
        <f>$C680*CD679</f>
        <v/>
      </c>
      <c r="CE680">
        <f>$C680*CE679</f>
        <v/>
      </c>
      <c r="CF680">
        <f>$C680*CF679</f>
        <v/>
      </c>
      <c r="CG680">
        <f>$C680*CG679</f>
        <v/>
      </c>
      <c r="CH680">
        <f>$C680*CH679</f>
        <v/>
      </c>
      <c r="CI680">
        <f>$C680*CI679</f>
        <v/>
      </c>
      <c r="CJ680">
        <f>$C680*CJ679</f>
        <v/>
      </c>
      <c r="CK680">
        <f>$C680*CK679</f>
        <v/>
      </c>
      <c r="CL680">
        <f>$C680*CL679</f>
        <v/>
      </c>
      <c r="CM680">
        <f>$C680*CM679</f>
        <v/>
      </c>
      <c r="CN680">
        <f>$C680*CN679</f>
        <v/>
      </c>
      <c r="CO680">
        <f>$C680*CO679</f>
        <v/>
      </c>
      <c r="CP680">
        <f>$C680*CP679</f>
        <v/>
      </c>
      <c r="CQ680">
        <f>$C680*CQ679</f>
        <v/>
      </c>
      <c r="CR680">
        <f>$C680*CR679</f>
        <v/>
      </c>
      <c r="CS680">
        <f>$C680*CS679</f>
        <v/>
      </c>
      <c r="CT680">
        <f>$C680*CT679</f>
        <v/>
      </c>
      <c r="CU680">
        <f>$C680*CU679</f>
        <v/>
      </c>
      <c r="CV680">
        <f>$C680*CV679</f>
        <v/>
      </c>
      <c r="CW680">
        <f>$C680*CW679</f>
        <v/>
      </c>
      <c r="CX680">
        <f>$C680*CX679</f>
        <v/>
      </c>
      <c r="CY680">
        <f>$C680*CY679</f>
        <v/>
      </c>
      <c r="CZ680">
        <f>$C680*CZ679</f>
        <v/>
      </c>
      <c r="DA680">
        <f>$C680*DA679</f>
        <v/>
      </c>
      <c r="DB680">
        <f>$C680*DB679</f>
        <v/>
      </c>
      <c r="DC680">
        <f>$C680*DC679</f>
        <v/>
      </c>
    </row>
    <row r="681">
      <c r="B681" t="inlineStr">
        <is>
          <t>TSP-670</t>
        </is>
      </c>
      <c r="C681" t="inlineStr">
        <is>
          <t>No. of batches</t>
        </is>
      </c>
      <c r="D681">
        <f>IFERROR(INDEX(PP_Grid[#Data],$DD681,2),0)</f>
        <v/>
      </c>
      <c r="E681">
        <f>IFERROR(INDEX(PP_Grid[#Data],$DD681,3),0)</f>
        <v/>
      </c>
      <c r="F681">
        <f>IFERROR(INDEX(PP_Grid[#Data],$DD681,4),0)</f>
        <v/>
      </c>
      <c r="G681">
        <f>IFERROR(INDEX(PP_Grid[#Data],$DD681,5),0)</f>
        <v/>
      </c>
      <c r="H681">
        <f>IFERROR(INDEX(PP_Grid[#Data],$DD681,6),0)</f>
        <v/>
      </c>
      <c r="I681">
        <f>IFERROR(INDEX(PP_Grid[#Data],$DD681,7),0)</f>
        <v/>
      </c>
      <c r="J681">
        <f>IFERROR(INDEX(PP_Grid[#Data],$DD681,8),0)</f>
        <v/>
      </c>
      <c r="K681">
        <f>IFERROR(INDEX(PP_Grid[#Data],$DD681,9),0)</f>
        <v/>
      </c>
      <c r="L681">
        <f>IFERROR(INDEX(PP_Grid[#Data],$DD681,10),0)</f>
        <v/>
      </c>
      <c r="M681">
        <f>IFERROR(INDEX(PP_Grid[#Data],$DD681,11),0)</f>
        <v/>
      </c>
      <c r="N681">
        <f>IFERROR(INDEX(PP_Grid[#Data],$DD681,12),0)</f>
        <v/>
      </c>
      <c r="O681">
        <f>IFERROR(INDEX(PP_Grid[#Data],$DD681,13),0)</f>
        <v/>
      </c>
      <c r="P681">
        <f>IFERROR(INDEX(PP_Grid[#Data],$DD681,14),0)</f>
        <v/>
      </c>
      <c r="Q681">
        <f>IFERROR(INDEX(PP_Grid[#Data],$DD681,15),0)</f>
        <v/>
      </c>
      <c r="R681">
        <f>IFERROR(INDEX(PP_Grid[#Data],$DD681,16),0)</f>
        <v/>
      </c>
      <c r="S681">
        <f>IFERROR(INDEX(PP_Grid[#Data],$DD681,17),0)</f>
        <v/>
      </c>
      <c r="T681">
        <f>IFERROR(INDEX(PP_Grid[#Data],$DD681,18),0)</f>
        <v/>
      </c>
      <c r="U681">
        <f>IFERROR(INDEX(PP_Grid[#Data],$DD681,19),0)</f>
        <v/>
      </c>
      <c r="V681">
        <f>IFERROR(INDEX(PP_Grid[#Data],$DD681,20),0)</f>
        <v/>
      </c>
      <c r="W681">
        <f>IFERROR(INDEX(PP_Grid[#Data],$DD681,21),0)</f>
        <v/>
      </c>
      <c r="X681">
        <f>IFERROR(INDEX(PP_Grid[#Data],$DD681,22),0)</f>
        <v/>
      </c>
      <c r="Y681">
        <f>IFERROR(INDEX(PP_Grid[#Data],$DD681,23),0)</f>
        <v/>
      </c>
      <c r="Z681">
        <f>IFERROR(INDEX(PP_Grid[#Data],$DD681,24),0)</f>
        <v/>
      </c>
      <c r="AA681">
        <f>IFERROR(INDEX(PP_Grid[#Data],$DD681,25),0)</f>
        <v/>
      </c>
      <c r="AB681">
        <f>IFERROR(INDEX(PP_Grid[#Data],$DD681,26),0)</f>
        <v/>
      </c>
      <c r="AC681">
        <f>IFERROR(INDEX(PP_Grid[#Data],$DD681,27),0)</f>
        <v/>
      </c>
      <c r="AD681">
        <f>IFERROR(INDEX(PP_Grid[#Data],$DD681,28),0)</f>
        <v/>
      </c>
      <c r="AE681">
        <f>IFERROR(INDEX(PP_Grid[#Data],$DD681,29),0)</f>
        <v/>
      </c>
      <c r="AF681">
        <f>IFERROR(INDEX(PP_Grid[#Data],$DD681,30),0)</f>
        <v/>
      </c>
      <c r="AG681">
        <f>IFERROR(INDEX(PP_Grid[#Data],$DD681,31),0)</f>
        <v/>
      </c>
      <c r="AH681">
        <f>IFERROR(INDEX(PP_Grid[#Data],$DD681,32),0)</f>
        <v/>
      </c>
      <c r="AI681">
        <f>IFERROR(INDEX(PP_Grid[#Data],$DD681,33),0)</f>
        <v/>
      </c>
      <c r="AJ681">
        <f>IFERROR(INDEX(PP_Grid[#Data],$DD681,34),0)</f>
        <v/>
      </c>
      <c r="AK681">
        <f>IFERROR(INDEX(PP_Grid[#Data],$DD681,35),0)</f>
        <v/>
      </c>
      <c r="AL681">
        <f>IFERROR(INDEX(PP_Grid[#Data],$DD681,36),0)</f>
        <v/>
      </c>
      <c r="AM681">
        <f>IFERROR(INDEX(PP_Grid[#Data],$DD681,37),0)</f>
        <v/>
      </c>
      <c r="AN681">
        <f>IFERROR(INDEX(PP_Grid[#Data],$DD681,38),0)</f>
        <v/>
      </c>
      <c r="AO681">
        <f>IFERROR(INDEX(PP_Grid[#Data],$DD681,39),0)</f>
        <v/>
      </c>
      <c r="AP681">
        <f>IFERROR(INDEX(PP_Grid[#Data],$DD681,40),0)</f>
        <v/>
      </c>
      <c r="AQ681">
        <f>IFERROR(INDEX(PP_Grid[#Data],$DD681,41),0)</f>
        <v/>
      </c>
      <c r="AR681">
        <f>IFERROR(INDEX(PP_Grid[#Data],$DD681,42),0)</f>
        <v/>
      </c>
      <c r="AS681">
        <f>IFERROR(INDEX(PP_Grid[#Data],$DD681,43),0)</f>
        <v/>
      </c>
      <c r="AT681">
        <f>IFERROR(INDEX(PP_Grid[#Data],$DD681,44),0)</f>
        <v/>
      </c>
      <c r="AU681">
        <f>IFERROR(INDEX(PP_Grid[#Data],$DD681,45),0)</f>
        <v/>
      </c>
      <c r="AV681">
        <f>IFERROR(INDEX(PP_Grid[#Data],$DD681,46),0)</f>
        <v/>
      </c>
      <c r="AW681">
        <f>IFERROR(INDEX(PP_Grid[#Data],$DD681,47),0)</f>
        <v/>
      </c>
      <c r="AX681">
        <f>IFERROR(INDEX(PP_Grid[#Data],$DD681,48),0)</f>
        <v/>
      </c>
      <c r="AY681">
        <f>IFERROR(INDEX(PP_Grid[#Data],$DD681,49),0)</f>
        <v/>
      </c>
      <c r="AZ681">
        <f>IFERROR(INDEX(PP_Grid[#Data],$DD681,50),0)</f>
        <v/>
      </c>
      <c r="BA681">
        <f>IFERROR(INDEX(PP_Grid[#Data],$DD681,51),0)</f>
        <v/>
      </c>
      <c r="BB681">
        <f>IFERROR(INDEX(PP_Grid[#Data],$DD681,52),0)</f>
        <v/>
      </c>
      <c r="BC681">
        <f>IFERROR(INDEX(PP_Grid[#Data],$DD681,53),0)</f>
        <v/>
      </c>
      <c r="BD681">
        <f>IFERROR(INDEX(PP_Grid[#Data],$DD681,54),0)</f>
        <v/>
      </c>
      <c r="BE681">
        <f>IFERROR(INDEX(PP_Grid[#Data],$DD681,55),0)</f>
        <v/>
      </c>
      <c r="BF681">
        <f>IFERROR(INDEX(PP_Grid[#Data],$DD681,56),0)</f>
        <v/>
      </c>
      <c r="BG681">
        <f>IFERROR(INDEX(PP_Grid[#Data],$DD681,57),0)</f>
        <v/>
      </c>
      <c r="BH681">
        <f>IFERROR(INDEX(PP_Grid[#Data],$DD681,58),0)</f>
        <v/>
      </c>
      <c r="BI681">
        <f>IFERROR(INDEX(PP_Grid[#Data],$DD681,59),0)</f>
        <v/>
      </c>
      <c r="BJ681">
        <f>IFERROR(INDEX(PP_Grid[#Data],$DD681,60),0)</f>
        <v/>
      </c>
      <c r="BK681">
        <f>IFERROR(INDEX(PP_Grid[#Data],$DD681,61),0)</f>
        <v/>
      </c>
      <c r="BL681">
        <f>IFERROR(INDEX(PP_Grid[#Data],$DD681,62),0)</f>
        <v/>
      </c>
      <c r="BM681">
        <f>IFERROR(INDEX(PP_Grid[#Data],$DD681,63),0)</f>
        <v/>
      </c>
      <c r="BN681">
        <f>IFERROR(INDEX(PP_Grid[#Data],$DD681,64),0)</f>
        <v/>
      </c>
      <c r="BO681">
        <f>IFERROR(INDEX(PP_Grid[#Data],$DD681,65),0)</f>
        <v/>
      </c>
      <c r="BP681">
        <f>IFERROR(INDEX(PP_Grid[#Data],$DD681,66),0)</f>
        <v/>
      </c>
      <c r="BQ681">
        <f>IFERROR(INDEX(PP_Grid[#Data],$DD681,67),0)</f>
        <v/>
      </c>
      <c r="BR681">
        <f>IFERROR(INDEX(PP_Grid[#Data],$DD681,68),0)</f>
        <v/>
      </c>
      <c r="BS681">
        <f>IFERROR(INDEX(PP_Grid[#Data],$DD681,69),0)</f>
        <v/>
      </c>
      <c r="BT681">
        <f>IFERROR(INDEX(PP_Grid[#Data],$DD681,70),0)</f>
        <v/>
      </c>
      <c r="BU681">
        <f>IFERROR(INDEX(PP_Grid[#Data],$DD681,71),0)</f>
        <v/>
      </c>
      <c r="BV681">
        <f>IFERROR(INDEX(PP_Grid[#Data],$DD681,72),0)</f>
        <v/>
      </c>
      <c r="BW681">
        <f>IFERROR(INDEX(PP_Grid[#Data],$DD681,73),0)</f>
        <v/>
      </c>
      <c r="BX681">
        <f>IFERROR(INDEX(PP_Grid[#Data],$DD681,74),0)</f>
        <v/>
      </c>
      <c r="BY681">
        <f>IFERROR(INDEX(PP_Grid[#Data],$DD681,75),0)</f>
        <v/>
      </c>
      <c r="BZ681">
        <f>IFERROR(INDEX(PP_Grid[#Data],$DD681,76),0)</f>
        <v/>
      </c>
      <c r="CA681">
        <f>IFERROR(INDEX(PP_Grid[#Data],$DD681,77),0)</f>
        <v/>
      </c>
      <c r="CB681">
        <f>IFERROR(INDEX(PP_Grid[#Data],$DD681,78),0)</f>
        <v/>
      </c>
      <c r="CC681">
        <f>IFERROR(INDEX(PP_Grid[#Data],$DD681,79),0)</f>
        <v/>
      </c>
      <c r="CD681">
        <f>IFERROR(INDEX(PP_Grid[#Data],$DD681,80),0)</f>
        <v/>
      </c>
      <c r="CE681">
        <f>IFERROR(INDEX(PP_Grid[#Data],$DD681,81),0)</f>
        <v/>
      </c>
      <c r="CF681">
        <f>IFERROR(INDEX(PP_Grid[#Data],$DD681,82),0)</f>
        <v/>
      </c>
      <c r="CG681">
        <f>IFERROR(INDEX(PP_Grid[#Data],$DD681,83),0)</f>
        <v/>
      </c>
      <c r="CH681">
        <f>IFERROR(INDEX(PP_Grid[#Data],$DD681,84),0)</f>
        <v/>
      </c>
      <c r="CI681">
        <f>IFERROR(INDEX(PP_Grid[#Data],$DD681,85),0)</f>
        <v/>
      </c>
      <c r="CJ681">
        <f>IFERROR(INDEX(PP_Grid[#Data],$DD681,86),0)</f>
        <v/>
      </c>
      <c r="CK681">
        <f>IFERROR(INDEX(PP_Grid[#Data],$DD681,87),0)</f>
        <v/>
      </c>
      <c r="CL681">
        <f>IFERROR(INDEX(PP_Grid[#Data],$DD681,88),0)</f>
        <v/>
      </c>
      <c r="CM681">
        <f>IFERROR(INDEX(PP_Grid[#Data],$DD681,89),0)</f>
        <v/>
      </c>
      <c r="CN681">
        <f>IFERROR(INDEX(PP_Grid[#Data],$DD681,90),0)</f>
        <v/>
      </c>
      <c r="CO681">
        <f>IFERROR(INDEX(PP_Grid[#Data],$DD681,91),0)</f>
        <v/>
      </c>
      <c r="CP681">
        <f>IFERROR(INDEX(PP_Grid[#Data],$DD681,92),0)</f>
        <v/>
      </c>
      <c r="CQ681">
        <f>IFERROR(INDEX(PP_Grid[#Data],$DD681,93),0)</f>
        <v/>
      </c>
      <c r="CR681">
        <f>IFERROR(INDEX(PP_Grid[#Data],$DD681,94),0)</f>
        <v/>
      </c>
      <c r="CS681">
        <f>IFERROR(INDEX(PP_Grid[#Data],$DD681,95),0)</f>
        <v/>
      </c>
      <c r="CT681">
        <f>IFERROR(INDEX(PP_Grid[#Data],$DD681,96),0)</f>
        <v/>
      </c>
      <c r="CU681">
        <f>IFERROR(INDEX(PP_Grid[#Data],$DD681,97),0)</f>
        <v/>
      </c>
      <c r="CV681">
        <f>IFERROR(INDEX(PP_Grid[#Data],$DD681,98),0)</f>
        <v/>
      </c>
      <c r="CW681">
        <f>IFERROR(INDEX(PP_Grid[#Data],$DD681,99),0)</f>
        <v/>
      </c>
      <c r="CX681">
        <f>IFERROR(INDEX(PP_Grid[#Data],$DD681,100),0)</f>
        <v/>
      </c>
      <c r="CY681">
        <f>IFERROR(INDEX(PP_Grid[#Data],$DD681,101),0)</f>
        <v/>
      </c>
      <c r="CZ681">
        <f>IFERROR(INDEX(PP_Grid[#Data],$DD681,102),0)</f>
        <v/>
      </c>
      <c r="DA681">
        <f>IFERROR(INDEX(PP_Grid[#Data],$DD681,103),0)</f>
        <v/>
      </c>
      <c r="DB681">
        <f>IFERROR(INDEX(PP_Grid[#Data],$DD681,104),0)</f>
        <v/>
      </c>
      <c r="DC681">
        <f>IFERROR(INDEX(PP_Grid[#Data],$DD681,105),0)</f>
        <v/>
      </c>
      <c r="DD681" s="7">
        <f>IFERROR(MATCH($B681,PP_Grid[Intermediate],0),99999)</f>
        <v/>
      </c>
    </row>
    <row r="682">
      <c r="B682" t="inlineStr">
        <is>
          <t>使用量(kg)</t>
        </is>
      </c>
      <c r="C682">
        <f>SUMIFS(M_BOM[RM_Qty_Per_Batch],M_BOM[Intermediate],$B681,M_BOM[Part Name],$A670)</f>
        <v/>
      </c>
      <c r="D682">
        <f>$C682*D681</f>
        <v/>
      </c>
      <c r="E682">
        <f>$C682*E681</f>
        <v/>
      </c>
      <c r="F682">
        <f>$C682*F681</f>
        <v/>
      </c>
      <c r="G682">
        <f>$C682*G681</f>
        <v/>
      </c>
      <c r="H682">
        <f>$C682*H681</f>
        <v/>
      </c>
      <c r="I682">
        <f>$C682*I681</f>
        <v/>
      </c>
      <c r="J682">
        <f>$C682*J681</f>
        <v/>
      </c>
      <c r="K682">
        <f>$C682*K681</f>
        <v/>
      </c>
      <c r="L682">
        <f>$C682*L681</f>
        <v/>
      </c>
      <c r="M682">
        <f>$C682*M681</f>
        <v/>
      </c>
      <c r="N682">
        <f>$C682*N681</f>
        <v/>
      </c>
      <c r="O682">
        <f>$C682*O681</f>
        <v/>
      </c>
      <c r="P682">
        <f>$C682*P681</f>
        <v/>
      </c>
      <c r="Q682">
        <f>$C682*Q681</f>
        <v/>
      </c>
      <c r="R682">
        <f>$C682*R681</f>
        <v/>
      </c>
      <c r="S682">
        <f>$C682*S681</f>
        <v/>
      </c>
      <c r="T682">
        <f>$C682*T681</f>
        <v/>
      </c>
      <c r="U682">
        <f>$C682*U681</f>
        <v/>
      </c>
      <c r="V682">
        <f>$C682*V681</f>
        <v/>
      </c>
      <c r="W682">
        <f>$C682*W681</f>
        <v/>
      </c>
      <c r="X682">
        <f>$C682*X681</f>
        <v/>
      </c>
      <c r="Y682">
        <f>$C682*Y681</f>
        <v/>
      </c>
      <c r="Z682">
        <f>$C682*Z681</f>
        <v/>
      </c>
      <c r="AA682">
        <f>$C682*AA681</f>
        <v/>
      </c>
      <c r="AB682">
        <f>$C682*AB681</f>
        <v/>
      </c>
      <c r="AC682">
        <f>$C682*AC681</f>
        <v/>
      </c>
      <c r="AD682">
        <f>$C682*AD681</f>
        <v/>
      </c>
      <c r="AE682">
        <f>$C682*AE681</f>
        <v/>
      </c>
      <c r="AF682">
        <f>$C682*AF681</f>
        <v/>
      </c>
      <c r="AG682">
        <f>$C682*AG681</f>
        <v/>
      </c>
      <c r="AH682">
        <f>$C682*AH681</f>
        <v/>
      </c>
      <c r="AI682">
        <f>$C682*AI681</f>
        <v/>
      </c>
      <c r="AJ682">
        <f>$C682*AJ681</f>
        <v/>
      </c>
      <c r="AK682">
        <f>$C682*AK681</f>
        <v/>
      </c>
      <c r="AL682">
        <f>$C682*AL681</f>
        <v/>
      </c>
      <c r="AM682">
        <f>$C682*AM681</f>
        <v/>
      </c>
      <c r="AN682">
        <f>$C682*AN681</f>
        <v/>
      </c>
      <c r="AO682">
        <f>$C682*AO681</f>
        <v/>
      </c>
      <c r="AP682">
        <f>$C682*AP681</f>
        <v/>
      </c>
      <c r="AQ682">
        <f>$C682*AQ681</f>
        <v/>
      </c>
      <c r="AR682">
        <f>$C682*AR681</f>
        <v/>
      </c>
      <c r="AS682">
        <f>$C682*AS681</f>
        <v/>
      </c>
      <c r="AT682">
        <f>$C682*AT681</f>
        <v/>
      </c>
      <c r="AU682">
        <f>$C682*AU681</f>
        <v/>
      </c>
      <c r="AV682">
        <f>$C682*AV681</f>
        <v/>
      </c>
      <c r="AW682">
        <f>$C682*AW681</f>
        <v/>
      </c>
      <c r="AX682">
        <f>$C682*AX681</f>
        <v/>
      </c>
      <c r="AY682">
        <f>$C682*AY681</f>
        <v/>
      </c>
      <c r="AZ682">
        <f>$C682*AZ681</f>
        <v/>
      </c>
      <c r="BA682">
        <f>$C682*BA681</f>
        <v/>
      </c>
      <c r="BB682">
        <f>$C682*BB681</f>
        <v/>
      </c>
      <c r="BC682">
        <f>$C682*BC681</f>
        <v/>
      </c>
      <c r="BD682">
        <f>$C682*BD681</f>
        <v/>
      </c>
      <c r="BE682">
        <f>$C682*BE681</f>
        <v/>
      </c>
      <c r="BF682">
        <f>$C682*BF681</f>
        <v/>
      </c>
      <c r="BG682">
        <f>$C682*BG681</f>
        <v/>
      </c>
      <c r="BH682">
        <f>$C682*BH681</f>
        <v/>
      </c>
      <c r="BI682">
        <f>$C682*BI681</f>
        <v/>
      </c>
      <c r="BJ682">
        <f>$C682*BJ681</f>
        <v/>
      </c>
      <c r="BK682">
        <f>$C682*BK681</f>
        <v/>
      </c>
      <c r="BL682">
        <f>$C682*BL681</f>
        <v/>
      </c>
      <c r="BM682">
        <f>$C682*BM681</f>
        <v/>
      </c>
      <c r="BN682">
        <f>$C682*BN681</f>
        <v/>
      </c>
      <c r="BO682">
        <f>$C682*BO681</f>
        <v/>
      </c>
      <c r="BP682">
        <f>$C682*BP681</f>
        <v/>
      </c>
      <c r="BQ682">
        <f>$C682*BQ681</f>
        <v/>
      </c>
      <c r="BR682">
        <f>$C682*BR681</f>
        <v/>
      </c>
      <c r="BS682">
        <f>$C682*BS681</f>
        <v/>
      </c>
      <c r="BT682">
        <f>$C682*BT681</f>
        <v/>
      </c>
      <c r="BU682">
        <f>$C682*BU681</f>
        <v/>
      </c>
      <c r="BV682">
        <f>$C682*BV681</f>
        <v/>
      </c>
      <c r="BW682">
        <f>$C682*BW681</f>
        <v/>
      </c>
      <c r="BX682">
        <f>$C682*BX681</f>
        <v/>
      </c>
      <c r="BY682">
        <f>$C682*BY681</f>
        <v/>
      </c>
      <c r="BZ682">
        <f>$C682*BZ681</f>
        <v/>
      </c>
      <c r="CA682">
        <f>$C682*CA681</f>
        <v/>
      </c>
      <c r="CB682">
        <f>$C682*CB681</f>
        <v/>
      </c>
      <c r="CC682">
        <f>$C682*CC681</f>
        <v/>
      </c>
      <c r="CD682">
        <f>$C682*CD681</f>
        <v/>
      </c>
      <c r="CE682">
        <f>$C682*CE681</f>
        <v/>
      </c>
      <c r="CF682">
        <f>$C682*CF681</f>
        <v/>
      </c>
      <c r="CG682">
        <f>$C682*CG681</f>
        <v/>
      </c>
      <c r="CH682">
        <f>$C682*CH681</f>
        <v/>
      </c>
      <c r="CI682">
        <f>$C682*CI681</f>
        <v/>
      </c>
      <c r="CJ682">
        <f>$C682*CJ681</f>
        <v/>
      </c>
      <c r="CK682">
        <f>$C682*CK681</f>
        <v/>
      </c>
      <c r="CL682">
        <f>$C682*CL681</f>
        <v/>
      </c>
      <c r="CM682">
        <f>$C682*CM681</f>
        <v/>
      </c>
      <c r="CN682">
        <f>$C682*CN681</f>
        <v/>
      </c>
      <c r="CO682">
        <f>$C682*CO681</f>
        <v/>
      </c>
      <c r="CP682">
        <f>$C682*CP681</f>
        <v/>
      </c>
      <c r="CQ682">
        <f>$C682*CQ681</f>
        <v/>
      </c>
      <c r="CR682">
        <f>$C682*CR681</f>
        <v/>
      </c>
      <c r="CS682">
        <f>$C682*CS681</f>
        <v/>
      </c>
      <c r="CT682">
        <f>$C682*CT681</f>
        <v/>
      </c>
      <c r="CU682">
        <f>$C682*CU681</f>
        <v/>
      </c>
      <c r="CV682">
        <f>$C682*CV681</f>
        <v/>
      </c>
      <c r="CW682">
        <f>$C682*CW681</f>
        <v/>
      </c>
      <c r="CX682">
        <f>$C682*CX681</f>
        <v/>
      </c>
      <c r="CY682">
        <f>$C682*CY681</f>
        <v/>
      </c>
      <c r="CZ682">
        <f>$C682*CZ681</f>
        <v/>
      </c>
      <c r="DA682">
        <f>$C682*DA681</f>
        <v/>
      </c>
      <c r="DB682">
        <f>$C682*DB681</f>
        <v/>
      </c>
      <c r="DC682">
        <f>$C682*DC681</f>
        <v/>
      </c>
    </row>
    <row r="683">
      <c r="B683" t="inlineStr">
        <is>
          <t>TSP-699</t>
        </is>
      </c>
      <c r="C683" t="inlineStr">
        <is>
          <t>No. of batches</t>
        </is>
      </c>
      <c r="D683">
        <f>IFERROR(INDEX(PP_Grid[#Data],$DD683,2),0)</f>
        <v/>
      </c>
      <c r="E683">
        <f>IFERROR(INDEX(PP_Grid[#Data],$DD683,3),0)</f>
        <v/>
      </c>
      <c r="F683">
        <f>IFERROR(INDEX(PP_Grid[#Data],$DD683,4),0)</f>
        <v/>
      </c>
      <c r="G683">
        <f>IFERROR(INDEX(PP_Grid[#Data],$DD683,5),0)</f>
        <v/>
      </c>
      <c r="H683">
        <f>IFERROR(INDEX(PP_Grid[#Data],$DD683,6),0)</f>
        <v/>
      </c>
      <c r="I683">
        <f>IFERROR(INDEX(PP_Grid[#Data],$DD683,7),0)</f>
        <v/>
      </c>
      <c r="J683">
        <f>IFERROR(INDEX(PP_Grid[#Data],$DD683,8),0)</f>
        <v/>
      </c>
      <c r="K683">
        <f>IFERROR(INDEX(PP_Grid[#Data],$DD683,9),0)</f>
        <v/>
      </c>
      <c r="L683">
        <f>IFERROR(INDEX(PP_Grid[#Data],$DD683,10),0)</f>
        <v/>
      </c>
      <c r="M683">
        <f>IFERROR(INDEX(PP_Grid[#Data],$DD683,11),0)</f>
        <v/>
      </c>
      <c r="N683">
        <f>IFERROR(INDEX(PP_Grid[#Data],$DD683,12),0)</f>
        <v/>
      </c>
      <c r="O683">
        <f>IFERROR(INDEX(PP_Grid[#Data],$DD683,13),0)</f>
        <v/>
      </c>
      <c r="P683">
        <f>IFERROR(INDEX(PP_Grid[#Data],$DD683,14),0)</f>
        <v/>
      </c>
      <c r="Q683">
        <f>IFERROR(INDEX(PP_Grid[#Data],$DD683,15),0)</f>
        <v/>
      </c>
      <c r="R683">
        <f>IFERROR(INDEX(PP_Grid[#Data],$DD683,16),0)</f>
        <v/>
      </c>
      <c r="S683">
        <f>IFERROR(INDEX(PP_Grid[#Data],$DD683,17),0)</f>
        <v/>
      </c>
      <c r="T683">
        <f>IFERROR(INDEX(PP_Grid[#Data],$DD683,18),0)</f>
        <v/>
      </c>
      <c r="U683">
        <f>IFERROR(INDEX(PP_Grid[#Data],$DD683,19),0)</f>
        <v/>
      </c>
      <c r="V683">
        <f>IFERROR(INDEX(PP_Grid[#Data],$DD683,20),0)</f>
        <v/>
      </c>
      <c r="W683">
        <f>IFERROR(INDEX(PP_Grid[#Data],$DD683,21),0)</f>
        <v/>
      </c>
      <c r="X683">
        <f>IFERROR(INDEX(PP_Grid[#Data],$DD683,22),0)</f>
        <v/>
      </c>
      <c r="Y683">
        <f>IFERROR(INDEX(PP_Grid[#Data],$DD683,23),0)</f>
        <v/>
      </c>
      <c r="Z683">
        <f>IFERROR(INDEX(PP_Grid[#Data],$DD683,24),0)</f>
        <v/>
      </c>
      <c r="AA683">
        <f>IFERROR(INDEX(PP_Grid[#Data],$DD683,25),0)</f>
        <v/>
      </c>
      <c r="AB683">
        <f>IFERROR(INDEX(PP_Grid[#Data],$DD683,26),0)</f>
        <v/>
      </c>
      <c r="AC683">
        <f>IFERROR(INDEX(PP_Grid[#Data],$DD683,27),0)</f>
        <v/>
      </c>
      <c r="AD683">
        <f>IFERROR(INDEX(PP_Grid[#Data],$DD683,28),0)</f>
        <v/>
      </c>
      <c r="AE683">
        <f>IFERROR(INDEX(PP_Grid[#Data],$DD683,29),0)</f>
        <v/>
      </c>
      <c r="AF683">
        <f>IFERROR(INDEX(PP_Grid[#Data],$DD683,30),0)</f>
        <v/>
      </c>
      <c r="AG683">
        <f>IFERROR(INDEX(PP_Grid[#Data],$DD683,31),0)</f>
        <v/>
      </c>
      <c r="AH683">
        <f>IFERROR(INDEX(PP_Grid[#Data],$DD683,32),0)</f>
        <v/>
      </c>
      <c r="AI683">
        <f>IFERROR(INDEX(PP_Grid[#Data],$DD683,33),0)</f>
        <v/>
      </c>
      <c r="AJ683">
        <f>IFERROR(INDEX(PP_Grid[#Data],$DD683,34),0)</f>
        <v/>
      </c>
      <c r="AK683">
        <f>IFERROR(INDEX(PP_Grid[#Data],$DD683,35),0)</f>
        <v/>
      </c>
      <c r="AL683">
        <f>IFERROR(INDEX(PP_Grid[#Data],$DD683,36),0)</f>
        <v/>
      </c>
      <c r="AM683">
        <f>IFERROR(INDEX(PP_Grid[#Data],$DD683,37),0)</f>
        <v/>
      </c>
      <c r="AN683">
        <f>IFERROR(INDEX(PP_Grid[#Data],$DD683,38),0)</f>
        <v/>
      </c>
      <c r="AO683">
        <f>IFERROR(INDEX(PP_Grid[#Data],$DD683,39),0)</f>
        <v/>
      </c>
      <c r="AP683">
        <f>IFERROR(INDEX(PP_Grid[#Data],$DD683,40),0)</f>
        <v/>
      </c>
      <c r="AQ683">
        <f>IFERROR(INDEX(PP_Grid[#Data],$DD683,41),0)</f>
        <v/>
      </c>
      <c r="AR683">
        <f>IFERROR(INDEX(PP_Grid[#Data],$DD683,42),0)</f>
        <v/>
      </c>
      <c r="AS683">
        <f>IFERROR(INDEX(PP_Grid[#Data],$DD683,43),0)</f>
        <v/>
      </c>
      <c r="AT683">
        <f>IFERROR(INDEX(PP_Grid[#Data],$DD683,44),0)</f>
        <v/>
      </c>
      <c r="AU683">
        <f>IFERROR(INDEX(PP_Grid[#Data],$DD683,45),0)</f>
        <v/>
      </c>
      <c r="AV683">
        <f>IFERROR(INDEX(PP_Grid[#Data],$DD683,46),0)</f>
        <v/>
      </c>
      <c r="AW683">
        <f>IFERROR(INDEX(PP_Grid[#Data],$DD683,47),0)</f>
        <v/>
      </c>
      <c r="AX683">
        <f>IFERROR(INDEX(PP_Grid[#Data],$DD683,48),0)</f>
        <v/>
      </c>
      <c r="AY683">
        <f>IFERROR(INDEX(PP_Grid[#Data],$DD683,49),0)</f>
        <v/>
      </c>
      <c r="AZ683">
        <f>IFERROR(INDEX(PP_Grid[#Data],$DD683,50),0)</f>
        <v/>
      </c>
      <c r="BA683">
        <f>IFERROR(INDEX(PP_Grid[#Data],$DD683,51),0)</f>
        <v/>
      </c>
      <c r="BB683">
        <f>IFERROR(INDEX(PP_Grid[#Data],$DD683,52),0)</f>
        <v/>
      </c>
      <c r="BC683">
        <f>IFERROR(INDEX(PP_Grid[#Data],$DD683,53),0)</f>
        <v/>
      </c>
      <c r="BD683">
        <f>IFERROR(INDEX(PP_Grid[#Data],$DD683,54),0)</f>
        <v/>
      </c>
      <c r="BE683">
        <f>IFERROR(INDEX(PP_Grid[#Data],$DD683,55),0)</f>
        <v/>
      </c>
      <c r="BF683">
        <f>IFERROR(INDEX(PP_Grid[#Data],$DD683,56),0)</f>
        <v/>
      </c>
      <c r="BG683">
        <f>IFERROR(INDEX(PP_Grid[#Data],$DD683,57),0)</f>
        <v/>
      </c>
      <c r="BH683">
        <f>IFERROR(INDEX(PP_Grid[#Data],$DD683,58),0)</f>
        <v/>
      </c>
      <c r="BI683">
        <f>IFERROR(INDEX(PP_Grid[#Data],$DD683,59),0)</f>
        <v/>
      </c>
      <c r="BJ683">
        <f>IFERROR(INDEX(PP_Grid[#Data],$DD683,60),0)</f>
        <v/>
      </c>
      <c r="BK683">
        <f>IFERROR(INDEX(PP_Grid[#Data],$DD683,61),0)</f>
        <v/>
      </c>
      <c r="BL683">
        <f>IFERROR(INDEX(PP_Grid[#Data],$DD683,62),0)</f>
        <v/>
      </c>
      <c r="BM683">
        <f>IFERROR(INDEX(PP_Grid[#Data],$DD683,63),0)</f>
        <v/>
      </c>
      <c r="BN683">
        <f>IFERROR(INDEX(PP_Grid[#Data],$DD683,64),0)</f>
        <v/>
      </c>
      <c r="BO683">
        <f>IFERROR(INDEX(PP_Grid[#Data],$DD683,65),0)</f>
        <v/>
      </c>
      <c r="BP683">
        <f>IFERROR(INDEX(PP_Grid[#Data],$DD683,66),0)</f>
        <v/>
      </c>
      <c r="BQ683">
        <f>IFERROR(INDEX(PP_Grid[#Data],$DD683,67),0)</f>
        <v/>
      </c>
      <c r="BR683">
        <f>IFERROR(INDEX(PP_Grid[#Data],$DD683,68),0)</f>
        <v/>
      </c>
      <c r="BS683">
        <f>IFERROR(INDEX(PP_Grid[#Data],$DD683,69),0)</f>
        <v/>
      </c>
      <c r="BT683">
        <f>IFERROR(INDEX(PP_Grid[#Data],$DD683,70),0)</f>
        <v/>
      </c>
      <c r="BU683">
        <f>IFERROR(INDEX(PP_Grid[#Data],$DD683,71),0)</f>
        <v/>
      </c>
      <c r="BV683">
        <f>IFERROR(INDEX(PP_Grid[#Data],$DD683,72),0)</f>
        <v/>
      </c>
      <c r="BW683">
        <f>IFERROR(INDEX(PP_Grid[#Data],$DD683,73),0)</f>
        <v/>
      </c>
      <c r="BX683">
        <f>IFERROR(INDEX(PP_Grid[#Data],$DD683,74),0)</f>
        <v/>
      </c>
      <c r="BY683">
        <f>IFERROR(INDEX(PP_Grid[#Data],$DD683,75),0)</f>
        <v/>
      </c>
      <c r="BZ683">
        <f>IFERROR(INDEX(PP_Grid[#Data],$DD683,76),0)</f>
        <v/>
      </c>
      <c r="CA683">
        <f>IFERROR(INDEX(PP_Grid[#Data],$DD683,77),0)</f>
        <v/>
      </c>
      <c r="CB683">
        <f>IFERROR(INDEX(PP_Grid[#Data],$DD683,78),0)</f>
        <v/>
      </c>
      <c r="CC683">
        <f>IFERROR(INDEX(PP_Grid[#Data],$DD683,79),0)</f>
        <v/>
      </c>
      <c r="CD683">
        <f>IFERROR(INDEX(PP_Grid[#Data],$DD683,80),0)</f>
        <v/>
      </c>
      <c r="CE683">
        <f>IFERROR(INDEX(PP_Grid[#Data],$DD683,81),0)</f>
        <v/>
      </c>
      <c r="CF683">
        <f>IFERROR(INDEX(PP_Grid[#Data],$DD683,82),0)</f>
        <v/>
      </c>
      <c r="CG683">
        <f>IFERROR(INDEX(PP_Grid[#Data],$DD683,83),0)</f>
        <v/>
      </c>
      <c r="CH683">
        <f>IFERROR(INDEX(PP_Grid[#Data],$DD683,84),0)</f>
        <v/>
      </c>
      <c r="CI683">
        <f>IFERROR(INDEX(PP_Grid[#Data],$DD683,85),0)</f>
        <v/>
      </c>
      <c r="CJ683">
        <f>IFERROR(INDEX(PP_Grid[#Data],$DD683,86),0)</f>
        <v/>
      </c>
      <c r="CK683">
        <f>IFERROR(INDEX(PP_Grid[#Data],$DD683,87),0)</f>
        <v/>
      </c>
      <c r="CL683">
        <f>IFERROR(INDEX(PP_Grid[#Data],$DD683,88),0)</f>
        <v/>
      </c>
      <c r="CM683">
        <f>IFERROR(INDEX(PP_Grid[#Data],$DD683,89),0)</f>
        <v/>
      </c>
      <c r="CN683">
        <f>IFERROR(INDEX(PP_Grid[#Data],$DD683,90),0)</f>
        <v/>
      </c>
      <c r="CO683">
        <f>IFERROR(INDEX(PP_Grid[#Data],$DD683,91),0)</f>
        <v/>
      </c>
      <c r="CP683">
        <f>IFERROR(INDEX(PP_Grid[#Data],$DD683,92),0)</f>
        <v/>
      </c>
      <c r="CQ683">
        <f>IFERROR(INDEX(PP_Grid[#Data],$DD683,93),0)</f>
        <v/>
      </c>
      <c r="CR683">
        <f>IFERROR(INDEX(PP_Grid[#Data],$DD683,94),0)</f>
        <v/>
      </c>
      <c r="CS683">
        <f>IFERROR(INDEX(PP_Grid[#Data],$DD683,95),0)</f>
        <v/>
      </c>
      <c r="CT683">
        <f>IFERROR(INDEX(PP_Grid[#Data],$DD683,96),0)</f>
        <v/>
      </c>
      <c r="CU683">
        <f>IFERROR(INDEX(PP_Grid[#Data],$DD683,97),0)</f>
        <v/>
      </c>
      <c r="CV683">
        <f>IFERROR(INDEX(PP_Grid[#Data],$DD683,98),0)</f>
        <v/>
      </c>
      <c r="CW683">
        <f>IFERROR(INDEX(PP_Grid[#Data],$DD683,99),0)</f>
        <v/>
      </c>
      <c r="CX683">
        <f>IFERROR(INDEX(PP_Grid[#Data],$DD683,100),0)</f>
        <v/>
      </c>
      <c r="CY683">
        <f>IFERROR(INDEX(PP_Grid[#Data],$DD683,101),0)</f>
        <v/>
      </c>
      <c r="CZ683">
        <f>IFERROR(INDEX(PP_Grid[#Data],$DD683,102),0)</f>
        <v/>
      </c>
      <c r="DA683">
        <f>IFERROR(INDEX(PP_Grid[#Data],$DD683,103),0)</f>
        <v/>
      </c>
      <c r="DB683">
        <f>IFERROR(INDEX(PP_Grid[#Data],$DD683,104),0)</f>
        <v/>
      </c>
      <c r="DC683">
        <f>IFERROR(INDEX(PP_Grid[#Data],$DD683,105),0)</f>
        <v/>
      </c>
      <c r="DD683" s="7">
        <f>IFERROR(MATCH($B683,PP_Grid[Intermediate],0),99999)</f>
        <v/>
      </c>
    </row>
    <row r="684">
      <c r="B684" t="inlineStr">
        <is>
          <t>使用量(kg)</t>
        </is>
      </c>
      <c r="C684">
        <f>SUMIFS(M_BOM[RM_Qty_Per_Batch],M_BOM[Intermediate],$B683,M_BOM[Part Name],$A670)</f>
        <v/>
      </c>
      <c r="D684">
        <f>$C684*D683</f>
        <v/>
      </c>
      <c r="E684">
        <f>$C684*E683</f>
        <v/>
      </c>
      <c r="F684">
        <f>$C684*F683</f>
        <v/>
      </c>
      <c r="G684">
        <f>$C684*G683</f>
        <v/>
      </c>
      <c r="H684">
        <f>$C684*H683</f>
        <v/>
      </c>
      <c r="I684">
        <f>$C684*I683</f>
        <v/>
      </c>
      <c r="J684">
        <f>$C684*J683</f>
        <v/>
      </c>
      <c r="K684">
        <f>$C684*K683</f>
        <v/>
      </c>
      <c r="L684">
        <f>$C684*L683</f>
        <v/>
      </c>
      <c r="M684">
        <f>$C684*M683</f>
        <v/>
      </c>
      <c r="N684">
        <f>$C684*N683</f>
        <v/>
      </c>
      <c r="O684">
        <f>$C684*O683</f>
        <v/>
      </c>
      <c r="P684">
        <f>$C684*P683</f>
        <v/>
      </c>
      <c r="Q684">
        <f>$C684*Q683</f>
        <v/>
      </c>
      <c r="R684">
        <f>$C684*R683</f>
        <v/>
      </c>
      <c r="S684">
        <f>$C684*S683</f>
        <v/>
      </c>
      <c r="T684">
        <f>$C684*T683</f>
        <v/>
      </c>
      <c r="U684">
        <f>$C684*U683</f>
        <v/>
      </c>
      <c r="V684">
        <f>$C684*V683</f>
        <v/>
      </c>
      <c r="W684">
        <f>$C684*W683</f>
        <v/>
      </c>
      <c r="X684">
        <f>$C684*X683</f>
        <v/>
      </c>
      <c r="Y684">
        <f>$C684*Y683</f>
        <v/>
      </c>
      <c r="Z684">
        <f>$C684*Z683</f>
        <v/>
      </c>
      <c r="AA684">
        <f>$C684*AA683</f>
        <v/>
      </c>
      <c r="AB684">
        <f>$C684*AB683</f>
        <v/>
      </c>
      <c r="AC684">
        <f>$C684*AC683</f>
        <v/>
      </c>
      <c r="AD684">
        <f>$C684*AD683</f>
        <v/>
      </c>
      <c r="AE684">
        <f>$C684*AE683</f>
        <v/>
      </c>
      <c r="AF684">
        <f>$C684*AF683</f>
        <v/>
      </c>
      <c r="AG684">
        <f>$C684*AG683</f>
        <v/>
      </c>
      <c r="AH684">
        <f>$C684*AH683</f>
        <v/>
      </c>
      <c r="AI684">
        <f>$C684*AI683</f>
        <v/>
      </c>
      <c r="AJ684">
        <f>$C684*AJ683</f>
        <v/>
      </c>
      <c r="AK684">
        <f>$C684*AK683</f>
        <v/>
      </c>
      <c r="AL684">
        <f>$C684*AL683</f>
        <v/>
      </c>
      <c r="AM684">
        <f>$C684*AM683</f>
        <v/>
      </c>
      <c r="AN684">
        <f>$C684*AN683</f>
        <v/>
      </c>
      <c r="AO684">
        <f>$C684*AO683</f>
        <v/>
      </c>
      <c r="AP684">
        <f>$C684*AP683</f>
        <v/>
      </c>
      <c r="AQ684">
        <f>$C684*AQ683</f>
        <v/>
      </c>
      <c r="AR684">
        <f>$C684*AR683</f>
        <v/>
      </c>
      <c r="AS684">
        <f>$C684*AS683</f>
        <v/>
      </c>
      <c r="AT684">
        <f>$C684*AT683</f>
        <v/>
      </c>
      <c r="AU684">
        <f>$C684*AU683</f>
        <v/>
      </c>
      <c r="AV684">
        <f>$C684*AV683</f>
        <v/>
      </c>
      <c r="AW684">
        <f>$C684*AW683</f>
        <v/>
      </c>
      <c r="AX684">
        <f>$C684*AX683</f>
        <v/>
      </c>
      <c r="AY684">
        <f>$C684*AY683</f>
        <v/>
      </c>
      <c r="AZ684">
        <f>$C684*AZ683</f>
        <v/>
      </c>
      <c r="BA684">
        <f>$C684*BA683</f>
        <v/>
      </c>
      <c r="BB684">
        <f>$C684*BB683</f>
        <v/>
      </c>
      <c r="BC684">
        <f>$C684*BC683</f>
        <v/>
      </c>
      <c r="BD684">
        <f>$C684*BD683</f>
        <v/>
      </c>
      <c r="BE684">
        <f>$C684*BE683</f>
        <v/>
      </c>
      <c r="BF684">
        <f>$C684*BF683</f>
        <v/>
      </c>
      <c r="BG684">
        <f>$C684*BG683</f>
        <v/>
      </c>
      <c r="BH684">
        <f>$C684*BH683</f>
        <v/>
      </c>
      <c r="BI684">
        <f>$C684*BI683</f>
        <v/>
      </c>
      <c r="BJ684">
        <f>$C684*BJ683</f>
        <v/>
      </c>
      <c r="BK684">
        <f>$C684*BK683</f>
        <v/>
      </c>
      <c r="BL684">
        <f>$C684*BL683</f>
        <v/>
      </c>
      <c r="BM684">
        <f>$C684*BM683</f>
        <v/>
      </c>
      <c r="BN684">
        <f>$C684*BN683</f>
        <v/>
      </c>
      <c r="BO684">
        <f>$C684*BO683</f>
        <v/>
      </c>
      <c r="BP684">
        <f>$C684*BP683</f>
        <v/>
      </c>
      <c r="BQ684">
        <f>$C684*BQ683</f>
        <v/>
      </c>
      <c r="BR684">
        <f>$C684*BR683</f>
        <v/>
      </c>
      <c r="BS684">
        <f>$C684*BS683</f>
        <v/>
      </c>
      <c r="BT684">
        <f>$C684*BT683</f>
        <v/>
      </c>
      <c r="BU684">
        <f>$C684*BU683</f>
        <v/>
      </c>
      <c r="BV684">
        <f>$C684*BV683</f>
        <v/>
      </c>
      <c r="BW684">
        <f>$C684*BW683</f>
        <v/>
      </c>
      <c r="BX684">
        <f>$C684*BX683</f>
        <v/>
      </c>
      <c r="BY684">
        <f>$C684*BY683</f>
        <v/>
      </c>
      <c r="BZ684">
        <f>$C684*BZ683</f>
        <v/>
      </c>
      <c r="CA684">
        <f>$C684*CA683</f>
        <v/>
      </c>
      <c r="CB684">
        <f>$C684*CB683</f>
        <v/>
      </c>
      <c r="CC684">
        <f>$C684*CC683</f>
        <v/>
      </c>
      <c r="CD684">
        <f>$C684*CD683</f>
        <v/>
      </c>
      <c r="CE684">
        <f>$C684*CE683</f>
        <v/>
      </c>
      <c r="CF684">
        <f>$C684*CF683</f>
        <v/>
      </c>
      <c r="CG684">
        <f>$C684*CG683</f>
        <v/>
      </c>
      <c r="CH684">
        <f>$C684*CH683</f>
        <v/>
      </c>
      <c r="CI684">
        <f>$C684*CI683</f>
        <v/>
      </c>
      <c r="CJ684">
        <f>$C684*CJ683</f>
        <v/>
      </c>
      <c r="CK684">
        <f>$C684*CK683</f>
        <v/>
      </c>
      <c r="CL684">
        <f>$C684*CL683</f>
        <v/>
      </c>
      <c r="CM684">
        <f>$C684*CM683</f>
        <v/>
      </c>
      <c r="CN684">
        <f>$C684*CN683</f>
        <v/>
      </c>
      <c r="CO684">
        <f>$C684*CO683</f>
        <v/>
      </c>
      <c r="CP684">
        <f>$C684*CP683</f>
        <v/>
      </c>
      <c r="CQ684">
        <f>$C684*CQ683</f>
        <v/>
      </c>
      <c r="CR684">
        <f>$C684*CR683</f>
        <v/>
      </c>
      <c r="CS684">
        <f>$C684*CS683</f>
        <v/>
      </c>
      <c r="CT684">
        <f>$C684*CT683</f>
        <v/>
      </c>
      <c r="CU684">
        <f>$C684*CU683</f>
        <v/>
      </c>
      <c r="CV684">
        <f>$C684*CV683</f>
        <v/>
      </c>
      <c r="CW684">
        <f>$C684*CW683</f>
        <v/>
      </c>
      <c r="CX684">
        <f>$C684*CX683</f>
        <v/>
      </c>
      <c r="CY684">
        <f>$C684*CY683</f>
        <v/>
      </c>
      <c r="CZ684">
        <f>$C684*CZ683</f>
        <v/>
      </c>
      <c r="DA684">
        <f>$C684*DA683</f>
        <v/>
      </c>
      <c r="DB684">
        <f>$C684*DB683</f>
        <v/>
      </c>
      <c r="DC684">
        <f>$C684*DC683</f>
        <v/>
      </c>
    </row>
    <row r="685">
      <c r="B685" t="inlineStr">
        <is>
          <t>TSP-1448</t>
        </is>
      </c>
      <c r="C685" t="inlineStr">
        <is>
          <t>No. of batches</t>
        </is>
      </c>
      <c r="D685">
        <f>IFERROR(INDEX(PP_Grid[#Data],$DD685,2),0)</f>
        <v/>
      </c>
      <c r="E685">
        <f>IFERROR(INDEX(PP_Grid[#Data],$DD685,3),0)</f>
        <v/>
      </c>
      <c r="F685">
        <f>IFERROR(INDEX(PP_Grid[#Data],$DD685,4),0)</f>
        <v/>
      </c>
      <c r="G685">
        <f>IFERROR(INDEX(PP_Grid[#Data],$DD685,5),0)</f>
        <v/>
      </c>
      <c r="H685">
        <f>IFERROR(INDEX(PP_Grid[#Data],$DD685,6),0)</f>
        <v/>
      </c>
      <c r="I685">
        <f>IFERROR(INDEX(PP_Grid[#Data],$DD685,7),0)</f>
        <v/>
      </c>
      <c r="J685">
        <f>IFERROR(INDEX(PP_Grid[#Data],$DD685,8),0)</f>
        <v/>
      </c>
      <c r="K685">
        <f>IFERROR(INDEX(PP_Grid[#Data],$DD685,9),0)</f>
        <v/>
      </c>
      <c r="L685">
        <f>IFERROR(INDEX(PP_Grid[#Data],$DD685,10),0)</f>
        <v/>
      </c>
      <c r="M685">
        <f>IFERROR(INDEX(PP_Grid[#Data],$DD685,11),0)</f>
        <v/>
      </c>
      <c r="N685">
        <f>IFERROR(INDEX(PP_Grid[#Data],$DD685,12),0)</f>
        <v/>
      </c>
      <c r="O685">
        <f>IFERROR(INDEX(PP_Grid[#Data],$DD685,13),0)</f>
        <v/>
      </c>
      <c r="P685">
        <f>IFERROR(INDEX(PP_Grid[#Data],$DD685,14),0)</f>
        <v/>
      </c>
      <c r="Q685">
        <f>IFERROR(INDEX(PP_Grid[#Data],$DD685,15),0)</f>
        <v/>
      </c>
      <c r="R685">
        <f>IFERROR(INDEX(PP_Grid[#Data],$DD685,16),0)</f>
        <v/>
      </c>
      <c r="S685">
        <f>IFERROR(INDEX(PP_Grid[#Data],$DD685,17),0)</f>
        <v/>
      </c>
      <c r="T685">
        <f>IFERROR(INDEX(PP_Grid[#Data],$DD685,18),0)</f>
        <v/>
      </c>
      <c r="U685">
        <f>IFERROR(INDEX(PP_Grid[#Data],$DD685,19),0)</f>
        <v/>
      </c>
      <c r="V685">
        <f>IFERROR(INDEX(PP_Grid[#Data],$DD685,20),0)</f>
        <v/>
      </c>
      <c r="W685">
        <f>IFERROR(INDEX(PP_Grid[#Data],$DD685,21),0)</f>
        <v/>
      </c>
      <c r="X685">
        <f>IFERROR(INDEX(PP_Grid[#Data],$DD685,22),0)</f>
        <v/>
      </c>
      <c r="Y685">
        <f>IFERROR(INDEX(PP_Grid[#Data],$DD685,23),0)</f>
        <v/>
      </c>
      <c r="Z685">
        <f>IFERROR(INDEX(PP_Grid[#Data],$DD685,24),0)</f>
        <v/>
      </c>
      <c r="AA685">
        <f>IFERROR(INDEX(PP_Grid[#Data],$DD685,25),0)</f>
        <v/>
      </c>
      <c r="AB685">
        <f>IFERROR(INDEX(PP_Grid[#Data],$DD685,26),0)</f>
        <v/>
      </c>
      <c r="AC685">
        <f>IFERROR(INDEX(PP_Grid[#Data],$DD685,27),0)</f>
        <v/>
      </c>
      <c r="AD685">
        <f>IFERROR(INDEX(PP_Grid[#Data],$DD685,28),0)</f>
        <v/>
      </c>
      <c r="AE685">
        <f>IFERROR(INDEX(PP_Grid[#Data],$DD685,29),0)</f>
        <v/>
      </c>
      <c r="AF685">
        <f>IFERROR(INDEX(PP_Grid[#Data],$DD685,30),0)</f>
        <v/>
      </c>
      <c r="AG685">
        <f>IFERROR(INDEX(PP_Grid[#Data],$DD685,31),0)</f>
        <v/>
      </c>
      <c r="AH685">
        <f>IFERROR(INDEX(PP_Grid[#Data],$DD685,32),0)</f>
        <v/>
      </c>
      <c r="AI685">
        <f>IFERROR(INDEX(PP_Grid[#Data],$DD685,33),0)</f>
        <v/>
      </c>
      <c r="AJ685">
        <f>IFERROR(INDEX(PP_Grid[#Data],$DD685,34),0)</f>
        <v/>
      </c>
      <c r="AK685">
        <f>IFERROR(INDEX(PP_Grid[#Data],$DD685,35),0)</f>
        <v/>
      </c>
      <c r="AL685">
        <f>IFERROR(INDEX(PP_Grid[#Data],$DD685,36),0)</f>
        <v/>
      </c>
      <c r="AM685">
        <f>IFERROR(INDEX(PP_Grid[#Data],$DD685,37),0)</f>
        <v/>
      </c>
      <c r="AN685">
        <f>IFERROR(INDEX(PP_Grid[#Data],$DD685,38),0)</f>
        <v/>
      </c>
      <c r="AO685">
        <f>IFERROR(INDEX(PP_Grid[#Data],$DD685,39),0)</f>
        <v/>
      </c>
      <c r="AP685">
        <f>IFERROR(INDEX(PP_Grid[#Data],$DD685,40),0)</f>
        <v/>
      </c>
      <c r="AQ685">
        <f>IFERROR(INDEX(PP_Grid[#Data],$DD685,41),0)</f>
        <v/>
      </c>
      <c r="AR685">
        <f>IFERROR(INDEX(PP_Grid[#Data],$DD685,42),0)</f>
        <v/>
      </c>
      <c r="AS685">
        <f>IFERROR(INDEX(PP_Grid[#Data],$DD685,43),0)</f>
        <v/>
      </c>
      <c r="AT685">
        <f>IFERROR(INDEX(PP_Grid[#Data],$DD685,44),0)</f>
        <v/>
      </c>
      <c r="AU685">
        <f>IFERROR(INDEX(PP_Grid[#Data],$DD685,45),0)</f>
        <v/>
      </c>
      <c r="AV685">
        <f>IFERROR(INDEX(PP_Grid[#Data],$DD685,46),0)</f>
        <v/>
      </c>
      <c r="AW685">
        <f>IFERROR(INDEX(PP_Grid[#Data],$DD685,47),0)</f>
        <v/>
      </c>
      <c r="AX685">
        <f>IFERROR(INDEX(PP_Grid[#Data],$DD685,48),0)</f>
        <v/>
      </c>
      <c r="AY685">
        <f>IFERROR(INDEX(PP_Grid[#Data],$DD685,49),0)</f>
        <v/>
      </c>
      <c r="AZ685">
        <f>IFERROR(INDEX(PP_Grid[#Data],$DD685,50),0)</f>
        <v/>
      </c>
      <c r="BA685">
        <f>IFERROR(INDEX(PP_Grid[#Data],$DD685,51),0)</f>
        <v/>
      </c>
      <c r="BB685">
        <f>IFERROR(INDEX(PP_Grid[#Data],$DD685,52),0)</f>
        <v/>
      </c>
      <c r="BC685">
        <f>IFERROR(INDEX(PP_Grid[#Data],$DD685,53),0)</f>
        <v/>
      </c>
      <c r="BD685">
        <f>IFERROR(INDEX(PP_Grid[#Data],$DD685,54),0)</f>
        <v/>
      </c>
      <c r="BE685">
        <f>IFERROR(INDEX(PP_Grid[#Data],$DD685,55),0)</f>
        <v/>
      </c>
      <c r="BF685">
        <f>IFERROR(INDEX(PP_Grid[#Data],$DD685,56),0)</f>
        <v/>
      </c>
      <c r="BG685">
        <f>IFERROR(INDEX(PP_Grid[#Data],$DD685,57),0)</f>
        <v/>
      </c>
      <c r="BH685">
        <f>IFERROR(INDEX(PP_Grid[#Data],$DD685,58),0)</f>
        <v/>
      </c>
      <c r="BI685">
        <f>IFERROR(INDEX(PP_Grid[#Data],$DD685,59),0)</f>
        <v/>
      </c>
      <c r="BJ685">
        <f>IFERROR(INDEX(PP_Grid[#Data],$DD685,60),0)</f>
        <v/>
      </c>
      <c r="BK685">
        <f>IFERROR(INDEX(PP_Grid[#Data],$DD685,61),0)</f>
        <v/>
      </c>
      <c r="BL685">
        <f>IFERROR(INDEX(PP_Grid[#Data],$DD685,62),0)</f>
        <v/>
      </c>
      <c r="BM685">
        <f>IFERROR(INDEX(PP_Grid[#Data],$DD685,63),0)</f>
        <v/>
      </c>
      <c r="BN685">
        <f>IFERROR(INDEX(PP_Grid[#Data],$DD685,64),0)</f>
        <v/>
      </c>
      <c r="BO685">
        <f>IFERROR(INDEX(PP_Grid[#Data],$DD685,65),0)</f>
        <v/>
      </c>
      <c r="BP685">
        <f>IFERROR(INDEX(PP_Grid[#Data],$DD685,66),0)</f>
        <v/>
      </c>
      <c r="BQ685">
        <f>IFERROR(INDEX(PP_Grid[#Data],$DD685,67),0)</f>
        <v/>
      </c>
      <c r="BR685">
        <f>IFERROR(INDEX(PP_Grid[#Data],$DD685,68),0)</f>
        <v/>
      </c>
      <c r="BS685">
        <f>IFERROR(INDEX(PP_Grid[#Data],$DD685,69),0)</f>
        <v/>
      </c>
      <c r="BT685">
        <f>IFERROR(INDEX(PP_Grid[#Data],$DD685,70),0)</f>
        <v/>
      </c>
      <c r="BU685">
        <f>IFERROR(INDEX(PP_Grid[#Data],$DD685,71),0)</f>
        <v/>
      </c>
      <c r="BV685">
        <f>IFERROR(INDEX(PP_Grid[#Data],$DD685,72),0)</f>
        <v/>
      </c>
      <c r="BW685">
        <f>IFERROR(INDEX(PP_Grid[#Data],$DD685,73),0)</f>
        <v/>
      </c>
      <c r="BX685">
        <f>IFERROR(INDEX(PP_Grid[#Data],$DD685,74),0)</f>
        <v/>
      </c>
      <c r="BY685">
        <f>IFERROR(INDEX(PP_Grid[#Data],$DD685,75),0)</f>
        <v/>
      </c>
      <c r="BZ685">
        <f>IFERROR(INDEX(PP_Grid[#Data],$DD685,76),0)</f>
        <v/>
      </c>
      <c r="CA685">
        <f>IFERROR(INDEX(PP_Grid[#Data],$DD685,77),0)</f>
        <v/>
      </c>
      <c r="CB685">
        <f>IFERROR(INDEX(PP_Grid[#Data],$DD685,78),0)</f>
        <v/>
      </c>
      <c r="CC685">
        <f>IFERROR(INDEX(PP_Grid[#Data],$DD685,79),0)</f>
        <v/>
      </c>
      <c r="CD685">
        <f>IFERROR(INDEX(PP_Grid[#Data],$DD685,80),0)</f>
        <v/>
      </c>
      <c r="CE685">
        <f>IFERROR(INDEX(PP_Grid[#Data],$DD685,81),0)</f>
        <v/>
      </c>
      <c r="CF685">
        <f>IFERROR(INDEX(PP_Grid[#Data],$DD685,82),0)</f>
        <v/>
      </c>
      <c r="CG685">
        <f>IFERROR(INDEX(PP_Grid[#Data],$DD685,83),0)</f>
        <v/>
      </c>
      <c r="CH685">
        <f>IFERROR(INDEX(PP_Grid[#Data],$DD685,84),0)</f>
        <v/>
      </c>
      <c r="CI685">
        <f>IFERROR(INDEX(PP_Grid[#Data],$DD685,85),0)</f>
        <v/>
      </c>
      <c r="CJ685">
        <f>IFERROR(INDEX(PP_Grid[#Data],$DD685,86),0)</f>
        <v/>
      </c>
      <c r="CK685">
        <f>IFERROR(INDEX(PP_Grid[#Data],$DD685,87),0)</f>
        <v/>
      </c>
      <c r="CL685">
        <f>IFERROR(INDEX(PP_Grid[#Data],$DD685,88),0)</f>
        <v/>
      </c>
      <c r="CM685">
        <f>IFERROR(INDEX(PP_Grid[#Data],$DD685,89),0)</f>
        <v/>
      </c>
      <c r="CN685">
        <f>IFERROR(INDEX(PP_Grid[#Data],$DD685,90),0)</f>
        <v/>
      </c>
      <c r="CO685">
        <f>IFERROR(INDEX(PP_Grid[#Data],$DD685,91),0)</f>
        <v/>
      </c>
      <c r="CP685">
        <f>IFERROR(INDEX(PP_Grid[#Data],$DD685,92),0)</f>
        <v/>
      </c>
      <c r="CQ685">
        <f>IFERROR(INDEX(PP_Grid[#Data],$DD685,93),0)</f>
        <v/>
      </c>
      <c r="CR685">
        <f>IFERROR(INDEX(PP_Grid[#Data],$DD685,94),0)</f>
        <v/>
      </c>
      <c r="CS685">
        <f>IFERROR(INDEX(PP_Grid[#Data],$DD685,95),0)</f>
        <v/>
      </c>
      <c r="CT685">
        <f>IFERROR(INDEX(PP_Grid[#Data],$DD685,96),0)</f>
        <v/>
      </c>
      <c r="CU685">
        <f>IFERROR(INDEX(PP_Grid[#Data],$DD685,97),0)</f>
        <v/>
      </c>
      <c r="CV685">
        <f>IFERROR(INDEX(PP_Grid[#Data],$DD685,98),0)</f>
        <v/>
      </c>
      <c r="CW685">
        <f>IFERROR(INDEX(PP_Grid[#Data],$DD685,99),0)</f>
        <v/>
      </c>
      <c r="CX685">
        <f>IFERROR(INDEX(PP_Grid[#Data],$DD685,100),0)</f>
        <v/>
      </c>
      <c r="CY685">
        <f>IFERROR(INDEX(PP_Grid[#Data],$DD685,101),0)</f>
        <v/>
      </c>
      <c r="CZ685">
        <f>IFERROR(INDEX(PP_Grid[#Data],$DD685,102),0)</f>
        <v/>
      </c>
      <c r="DA685">
        <f>IFERROR(INDEX(PP_Grid[#Data],$DD685,103),0)</f>
        <v/>
      </c>
      <c r="DB685">
        <f>IFERROR(INDEX(PP_Grid[#Data],$DD685,104),0)</f>
        <v/>
      </c>
      <c r="DC685">
        <f>IFERROR(INDEX(PP_Grid[#Data],$DD685,105),0)</f>
        <v/>
      </c>
      <c r="DD685" s="7">
        <f>IFERROR(MATCH($B685,PP_Grid[Intermediate],0),99999)</f>
        <v/>
      </c>
    </row>
    <row r="686">
      <c r="B686" t="inlineStr">
        <is>
          <t>使用量(kg)</t>
        </is>
      </c>
      <c r="C686">
        <f>SUMIFS(M_BOM[RM_Qty_Per_Batch],M_BOM[Intermediate],$B685,M_BOM[Part Name],$A670)</f>
        <v/>
      </c>
      <c r="D686">
        <f>$C686*D685</f>
        <v/>
      </c>
      <c r="E686">
        <f>$C686*E685</f>
        <v/>
      </c>
      <c r="F686">
        <f>$C686*F685</f>
        <v/>
      </c>
      <c r="G686">
        <f>$C686*G685</f>
        <v/>
      </c>
      <c r="H686">
        <f>$C686*H685</f>
        <v/>
      </c>
      <c r="I686">
        <f>$C686*I685</f>
        <v/>
      </c>
      <c r="J686">
        <f>$C686*J685</f>
        <v/>
      </c>
      <c r="K686">
        <f>$C686*K685</f>
        <v/>
      </c>
      <c r="L686">
        <f>$C686*L685</f>
        <v/>
      </c>
      <c r="M686">
        <f>$C686*M685</f>
        <v/>
      </c>
      <c r="N686">
        <f>$C686*N685</f>
        <v/>
      </c>
      <c r="O686">
        <f>$C686*O685</f>
        <v/>
      </c>
      <c r="P686">
        <f>$C686*P685</f>
        <v/>
      </c>
      <c r="Q686">
        <f>$C686*Q685</f>
        <v/>
      </c>
      <c r="R686">
        <f>$C686*R685</f>
        <v/>
      </c>
      <c r="S686">
        <f>$C686*S685</f>
        <v/>
      </c>
      <c r="T686">
        <f>$C686*T685</f>
        <v/>
      </c>
      <c r="U686">
        <f>$C686*U685</f>
        <v/>
      </c>
      <c r="V686">
        <f>$C686*V685</f>
        <v/>
      </c>
      <c r="W686">
        <f>$C686*W685</f>
        <v/>
      </c>
      <c r="X686">
        <f>$C686*X685</f>
        <v/>
      </c>
      <c r="Y686">
        <f>$C686*Y685</f>
        <v/>
      </c>
      <c r="Z686">
        <f>$C686*Z685</f>
        <v/>
      </c>
      <c r="AA686">
        <f>$C686*AA685</f>
        <v/>
      </c>
      <c r="AB686">
        <f>$C686*AB685</f>
        <v/>
      </c>
      <c r="AC686">
        <f>$C686*AC685</f>
        <v/>
      </c>
      <c r="AD686">
        <f>$C686*AD685</f>
        <v/>
      </c>
      <c r="AE686">
        <f>$C686*AE685</f>
        <v/>
      </c>
      <c r="AF686">
        <f>$C686*AF685</f>
        <v/>
      </c>
      <c r="AG686">
        <f>$C686*AG685</f>
        <v/>
      </c>
      <c r="AH686">
        <f>$C686*AH685</f>
        <v/>
      </c>
      <c r="AI686">
        <f>$C686*AI685</f>
        <v/>
      </c>
      <c r="AJ686">
        <f>$C686*AJ685</f>
        <v/>
      </c>
      <c r="AK686">
        <f>$C686*AK685</f>
        <v/>
      </c>
      <c r="AL686">
        <f>$C686*AL685</f>
        <v/>
      </c>
      <c r="AM686">
        <f>$C686*AM685</f>
        <v/>
      </c>
      <c r="AN686">
        <f>$C686*AN685</f>
        <v/>
      </c>
      <c r="AO686">
        <f>$C686*AO685</f>
        <v/>
      </c>
      <c r="AP686">
        <f>$C686*AP685</f>
        <v/>
      </c>
      <c r="AQ686">
        <f>$C686*AQ685</f>
        <v/>
      </c>
      <c r="AR686">
        <f>$C686*AR685</f>
        <v/>
      </c>
      <c r="AS686">
        <f>$C686*AS685</f>
        <v/>
      </c>
      <c r="AT686">
        <f>$C686*AT685</f>
        <v/>
      </c>
      <c r="AU686">
        <f>$C686*AU685</f>
        <v/>
      </c>
      <c r="AV686">
        <f>$C686*AV685</f>
        <v/>
      </c>
      <c r="AW686">
        <f>$C686*AW685</f>
        <v/>
      </c>
      <c r="AX686">
        <f>$C686*AX685</f>
        <v/>
      </c>
      <c r="AY686">
        <f>$C686*AY685</f>
        <v/>
      </c>
      <c r="AZ686">
        <f>$C686*AZ685</f>
        <v/>
      </c>
      <c r="BA686">
        <f>$C686*BA685</f>
        <v/>
      </c>
      <c r="BB686">
        <f>$C686*BB685</f>
        <v/>
      </c>
      <c r="BC686">
        <f>$C686*BC685</f>
        <v/>
      </c>
      <c r="BD686">
        <f>$C686*BD685</f>
        <v/>
      </c>
      <c r="BE686">
        <f>$C686*BE685</f>
        <v/>
      </c>
      <c r="BF686">
        <f>$C686*BF685</f>
        <v/>
      </c>
      <c r="BG686">
        <f>$C686*BG685</f>
        <v/>
      </c>
      <c r="BH686">
        <f>$C686*BH685</f>
        <v/>
      </c>
      <c r="BI686">
        <f>$C686*BI685</f>
        <v/>
      </c>
      <c r="BJ686">
        <f>$C686*BJ685</f>
        <v/>
      </c>
      <c r="BK686">
        <f>$C686*BK685</f>
        <v/>
      </c>
      <c r="BL686">
        <f>$C686*BL685</f>
        <v/>
      </c>
      <c r="BM686">
        <f>$C686*BM685</f>
        <v/>
      </c>
      <c r="BN686">
        <f>$C686*BN685</f>
        <v/>
      </c>
      <c r="BO686">
        <f>$C686*BO685</f>
        <v/>
      </c>
      <c r="BP686">
        <f>$C686*BP685</f>
        <v/>
      </c>
      <c r="BQ686">
        <f>$C686*BQ685</f>
        <v/>
      </c>
      <c r="BR686">
        <f>$C686*BR685</f>
        <v/>
      </c>
      <c r="BS686">
        <f>$C686*BS685</f>
        <v/>
      </c>
      <c r="BT686">
        <f>$C686*BT685</f>
        <v/>
      </c>
      <c r="BU686">
        <f>$C686*BU685</f>
        <v/>
      </c>
      <c r="BV686">
        <f>$C686*BV685</f>
        <v/>
      </c>
      <c r="BW686">
        <f>$C686*BW685</f>
        <v/>
      </c>
      <c r="BX686">
        <f>$C686*BX685</f>
        <v/>
      </c>
      <c r="BY686">
        <f>$C686*BY685</f>
        <v/>
      </c>
      <c r="BZ686">
        <f>$C686*BZ685</f>
        <v/>
      </c>
      <c r="CA686">
        <f>$C686*CA685</f>
        <v/>
      </c>
      <c r="CB686">
        <f>$C686*CB685</f>
        <v/>
      </c>
      <c r="CC686">
        <f>$C686*CC685</f>
        <v/>
      </c>
      <c r="CD686">
        <f>$C686*CD685</f>
        <v/>
      </c>
      <c r="CE686">
        <f>$C686*CE685</f>
        <v/>
      </c>
      <c r="CF686">
        <f>$C686*CF685</f>
        <v/>
      </c>
      <c r="CG686">
        <f>$C686*CG685</f>
        <v/>
      </c>
      <c r="CH686">
        <f>$C686*CH685</f>
        <v/>
      </c>
      <c r="CI686">
        <f>$C686*CI685</f>
        <v/>
      </c>
      <c r="CJ686">
        <f>$C686*CJ685</f>
        <v/>
      </c>
      <c r="CK686">
        <f>$C686*CK685</f>
        <v/>
      </c>
      <c r="CL686">
        <f>$C686*CL685</f>
        <v/>
      </c>
      <c r="CM686">
        <f>$C686*CM685</f>
        <v/>
      </c>
      <c r="CN686">
        <f>$C686*CN685</f>
        <v/>
      </c>
      <c r="CO686">
        <f>$C686*CO685</f>
        <v/>
      </c>
      <c r="CP686">
        <f>$C686*CP685</f>
        <v/>
      </c>
      <c r="CQ686">
        <f>$C686*CQ685</f>
        <v/>
      </c>
      <c r="CR686">
        <f>$C686*CR685</f>
        <v/>
      </c>
      <c r="CS686">
        <f>$C686*CS685</f>
        <v/>
      </c>
      <c r="CT686">
        <f>$C686*CT685</f>
        <v/>
      </c>
      <c r="CU686">
        <f>$C686*CU685</f>
        <v/>
      </c>
      <c r="CV686">
        <f>$C686*CV685</f>
        <v/>
      </c>
      <c r="CW686">
        <f>$C686*CW685</f>
        <v/>
      </c>
      <c r="CX686">
        <f>$C686*CX685</f>
        <v/>
      </c>
      <c r="CY686">
        <f>$C686*CY685</f>
        <v/>
      </c>
      <c r="CZ686">
        <f>$C686*CZ685</f>
        <v/>
      </c>
      <c r="DA686">
        <f>$C686*DA685</f>
        <v/>
      </c>
      <c r="DB686">
        <f>$C686*DB685</f>
        <v/>
      </c>
      <c r="DC686">
        <f>$C686*DC685</f>
        <v/>
      </c>
    </row>
    <row r="687">
      <c r="B687" t="inlineStr">
        <is>
          <t>TSP-1449</t>
        </is>
      </c>
      <c r="C687" t="inlineStr">
        <is>
          <t>No. of batches</t>
        </is>
      </c>
      <c r="D687">
        <f>IFERROR(INDEX(PP_Grid[#Data],$DD687,2),0)</f>
        <v/>
      </c>
      <c r="E687">
        <f>IFERROR(INDEX(PP_Grid[#Data],$DD687,3),0)</f>
        <v/>
      </c>
      <c r="F687">
        <f>IFERROR(INDEX(PP_Grid[#Data],$DD687,4),0)</f>
        <v/>
      </c>
      <c r="G687">
        <f>IFERROR(INDEX(PP_Grid[#Data],$DD687,5),0)</f>
        <v/>
      </c>
      <c r="H687">
        <f>IFERROR(INDEX(PP_Grid[#Data],$DD687,6),0)</f>
        <v/>
      </c>
      <c r="I687">
        <f>IFERROR(INDEX(PP_Grid[#Data],$DD687,7),0)</f>
        <v/>
      </c>
      <c r="J687">
        <f>IFERROR(INDEX(PP_Grid[#Data],$DD687,8),0)</f>
        <v/>
      </c>
      <c r="K687">
        <f>IFERROR(INDEX(PP_Grid[#Data],$DD687,9),0)</f>
        <v/>
      </c>
      <c r="L687">
        <f>IFERROR(INDEX(PP_Grid[#Data],$DD687,10),0)</f>
        <v/>
      </c>
      <c r="M687">
        <f>IFERROR(INDEX(PP_Grid[#Data],$DD687,11),0)</f>
        <v/>
      </c>
      <c r="N687">
        <f>IFERROR(INDEX(PP_Grid[#Data],$DD687,12),0)</f>
        <v/>
      </c>
      <c r="O687">
        <f>IFERROR(INDEX(PP_Grid[#Data],$DD687,13),0)</f>
        <v/>
      </c>
      <c r="P687">
        <f>IFERROR(INDEX(PP_Grid[#Data],$DD687,14),0)</f>
        <v/>
      </c>
      <c r="Q687">
        <f>IFERROR(INDEX(PP_Grid[#Data],$DD687,15),0)</f>
        <v/>
      </c>
      <c r="R687">
        <f>IFERROR(INDEX(PP_Grid[#Data],$DD687,16),0)</f>
        <v/>
      </c>
      <c r="S687">
        <f>IFERROR(INDEX(PP_Grid[#Data],$DD687,17),0)</f>
        <v/>
      </c>
      <c r="T687">
        <f>IFERROR(INDEX(PP_Grid[#Data],$DD687,18),0)</f>
        <v/>
      </c>
      <c r="U687">
        <f>IFERROR(INDEX(PP_Grid[#Data],$DD687,19),0)</f>
        <v/>
      </c>
      <c r="V687">
        <f>IFERROR(INDEX(PP_Grid[#Data],$DD687,20),0)</f>
        <v/>
      </c>
      <c r="W687">
        <f>IFERROR(INDEX(PP_Grid[#Data],$DD687,21),0)</f>
        <v/>
      </c>
      <c r="X687">
        <f>IFERROR(INDEX(PP_Grid[#Data],$DD687,22),0)</f>
        <v/>
      </c>
      <c r="Y687">
        <f>IFERROR(INDEX(PP_Grid[#Data],$DD687,23),0)</f>
        <v/>
      </c>
      <c r="Z687">
        <f>IFERROR(INDEX(PP_Grid[#Data],$DD687,24),0)</f>
        <v/>
      </c>
      <c r="AA687">
        <f>IFERROR(INDEX(PP_Grid[#Data],$DD687,25),0)</f>
        <v/>
      </c>
      <c r="AB687">
        <f>IFERROR(INDEX(PP_Grid[#Data],$DD687,26),0)</f>
        <v/>
      </c>
      <c r="AC687">
        <f>IFERROR(INDEX(PP_Grid[#Data],$DD687,27),0)</f>
        <v/>
      </c>
      <c r="AD687">
        <f>IFERROR(INDEX(PP_Grid[#Data],$DD687,28),0)</f>
        <v/>
      </c>
      <c r="AE687">
        <f>IFERROR(INDEX(PP_Grid[#Data],$DD687,29),0)</f>
        <v/>
      </c>
      <c r="AF687">
        <f>IFERROR(INDEX(PP_Grid[#Data],$DD687,30),0)</f>
        <v/>
      </c>
      <c r="AG687">
        <f>IFERROR(INDEX(PP_Grid[#Data],$DD687,31),0)</f>
        <v/>
      </c>
      <c r="AH687">
        <f>IFERROR(INDEX(PP_Grid[#Data],$DD687,32),0)</f>
        <v/>
      </c>
      <c r="AI687">
        <f>IFERROR(INDEX(PP_Grid[#Data],$DD687,33),0)</f>
        <v/>
      </c>
      <c r="AJ687">
        <f>IFERROR(INDEX(PP_Grid[#Data],$DD687,34),0)</f>
        <v/>
      </c>
      <c r="AK687">
        <f>IFERROR(INDEX(PP_Grid[#Data],$DD687,35),0)</f>
        <v/>
      </c>
      <c r="AL687">
        <f>IFERROR(INDEX(PP_Grid[#Data],$DD687,36),0)</f>
        <v/>
      </c>
      <c r="AM687">
        <f>IFERROR(INDEX(PP_Grid[#Data],$DD687,37),0)</f>
        <v/>
      </c>
      <c r="AN687">
        <f>IFERROR(INDEX(PP_Grid[#Data],$DD687,38),0)</f>
        <v/>
      </c>
      <c r="AO687">
        <f>IFERROR(INDEX(PP_Grid[#Data],$DD687,39),0)</f>
        <v/>
      </c>
      <c r="AP687">
        <f>IFERROR(INDEX(PP_Grid[#Data],$DD687,40),0)</f>
        <v/>
      </c>
      <c r="AQ687">
        <f>IFERROR(INDEX(PP_Grid[#Data],$DD687,41),0)</f>
        <v/>
      </c>
      <c r="AR687">
        <f>IFERROR(INDEX(PP_Grid[#Data],$DD687,42),0)</f>
        <v/>
      </c>
      <c r="AS687">
        <f>IFERROR(INDEX(PP_Grid[#Data],$DD687,43),0)</f>
        <v/>
      </c>
      <c r="AT687">
        <f>IFERROR(INDEX(PP_Grid[#Data],$DD687,44),0)</f>
        <v/>
      </c>
      <c r="AU687">
        <f>IFERROR(INDEX(PP_Grid[#Data],$DD687,45),0)</f>
        <v/>
      </c>
      <c r="AV687">
        <f>IFERROR(INDEX(PP_Grid[#Data],$DD687,46),0)</f>
        <v/>
      </c>
      <c r="AW687">
        <f>IFERROR(INDEX(PP_Grid[#Data],$DD687,47),0)</f>
        <v/>
      </c>
      <c r="AX687">
        <f>IFERROR(INDEX(PP_Grid[#Data],$DD687,48),0)</f>
        <v/>
      </c>
      <c r="AY687">
        <f>IFERROR(INDEX(PP_Grid[#Data],$DD687,49),0)</f>
        <v/>
      </c>
      <c r="AZ687">
        <f>IFERROR(INDEX(PP_Grid[#Data],$DD687,50),0)</f>
        <v/>
      </c>
      <c r="BA687">
        <f>IFERROR(INDEX(PP_Grid[#Data],$DD687,51),0)</f>
        <v/>
      </c>
      <c r="BB687">
        <f>IFERROR(INDEX(PP_Grid[#Data],$DD687,52),0)</f>
        <v/>
      </c>
      <c r="BC687">
        <f>IFERROR(INDEX(PP_Grid[#Data],$DD687,53),0)</f>
        <v/>
      </c>
      <c r="BD687">
        <f>IFERROR(INDEX(PP_Grid[#Data],$DD687,54),0)</f>
        <v/>
      </c>
      <c r="BE687">
        <f>IFERROR(INDEX(PP_Grid[#Data],$DD687,55),0)</f>
        <v/>
      </c>
      <c r="BF687">
        <f>IFERROR(INDEX(PP_Grid[#Data],$DD687,56),0)</f>
        <v/>
      </c>
      <c r="BG687">
        <f>IFERROR(INDEX(PP_Grid[#Data],$DD687,57),0)</f>
        <v/>
      </c>
      <c r="BH687">
        <f>IFERROR(INDEX(PP_Grid[#Data],$DD687,58),0)</f>
        <v/>
      </c>
      <c r="BI687">
        <f>IFERROR(INDEX(PP_Grid[#Data],$DD687,59),0)</f>
        <v/>
      </c>
      <c r="BJ687">
        <f>IFERROR(INDEX(PP_Grid[#Data],$DD687,60),0)</f>
        <v/>
      </c>
      <c r="BK687">
        <f>IFERROR(INDEX(PP_Grid[#Data],$DD687,61),0)</f>
        <v/>
      </c>
      <c r="BL687">
        <f>IFERROR(INDEX(PP_Grid[#Data],$DD687,62),0)</f>
        <v/>
      </c>
      <c r="BM687">
        <f>IFERROR(INDEX(PP_Grid[#Data],$DD687,63),0)</f>
        <v/>
      </c>
      <c r="BN687">
        <f>IFERROR(INDEX(PP_Grid[#Data],$DD687,64),0)</f>
        <v/>
      </c>
      <c r="BO687">
        <f>IFERROR(INDEX(PP_Grid[#Data],$DD687,65),0)</f>
        <v/>
      </c>
      <c r="BP687">
        <f>IFERROR(INDEX(PP_Grid[#Data],$DD687,66),0)</f>
        <v/>
      </c>
      <c r="BQ687">
        <f>IFERROR(INDEX(PP_Grid[#Data],$DD687,67),0)</f>
        <v/>
      </c>
      <c r="BR687">
        <f>IFERROR(INDEX(PP_Grid[#Data],$DD687,68),0)</f>
        <v/>
      </c>
      <c r="BS687">
        <f>IFERROR(INDEX(PP_Grid[#Data],$DD687,69),0)</f>
        <v/>
      </c>
      <c r="BT687">
        <f>IFERROR(INDEX(PP_Grid[#Data],$DD687,70),0)</f>
        <v/>
      </c>
      <c r="BU687">
        <f>IFERROR(INDEX(PP_Grid[#Data],$DD687,71),0)</f>
        <v/>
      </c>
      <c r="BV687">
        <f>IFERROR(INDEX(PP_Grid[#Data],$DD687,72),0)</f>
        <v/>
      </c>
      <c r="BW687">
        <f>IFERROR(INDEX(PP_Grid[#Data],$DD687,73),0)</f>
        <v/>
      </c>
      <c r="BX687">
        <f>IFERROR(INDEX(PP_Grid[#Data],$DD687,74),0)</f>
        <v/>
      </c>
      <c r="BY687">
        <f>IFERROR(INDEX(PP_Grid[#Data],$DD687,75),0)</f>
        <v/>
      </c>
      <c r="BZ687">
        <f>IFERROR(INDEX(PP_Grid[#Data],$DD687,76),0)</f>
        <v/>
      </c>
      <c r="CA687">
        <f>IFERROR(INDEX(PP_Grid[#Data],$DD687,77),0)</f>
        <v/>
      </c>
      <c r="CB687">
        <f>IFERROR(INDEX(PP_Grid[#Data],$DD687,78),0)</f>
        <v/>
      </c>
      <c r="CC687">
        <f>IFERROR(INDEX(PP_Grid[#Data],$DD687,79),0)</f>
        <v/>
      </c>
      <c r="CD687">
        <f>IFERROR(INDEX(PP_Grid[#Data],$DD687,80),0)</f>
        <v/>
      </c>
      <c r="CE687">
        <f>IFERROR(INDEX(PP_Grid[#Data],$DD687,81),0)</f>
        <v/>
      </c>
      <c r="CF687">
        <f>IFERROR(INDEX(PP_Grid[#Data],$DD687,82),0)</f>
        <v/>
      </c>
      <c r="CG687">
        <f>IFERROR(INDEX(PP_Grid[#Data],$DD687,83),0)</f>
        <v/>
      </c>
      <c r="CH687">
        <f>IFERROR(INDEX(PP_Grid[#Data],$DD687,84),0)</f>
        <v/>
      </c>
      <c r="CI687">
        <f>IFERROR(INDEX(PP_Grid[#Data],$DD687,85),0)</f>
        <v/>
      </c>
      <c r="CJ687">
        <f>IFERROR(INDEX(PP_Grid[#Data],$DD687,86),0)</f>
        <v/>
      </c>
      <c r="CK687">
        <f>IFERROR(INDEX(PP_Grid[#Data],$DD687,87),0)</f>
        <v/>
      </c>
      <c r="CL687">
        <f>IFERROR(INDEX(PP_Grid[#Data],$DD687,88),0)</f>
        <v/>
      </c>
      <c r="CM687">
        <f>IFERROR(INDEX(PP_Grid[#Data],$DD687,89),0)</f>
        <v/>
      </c>
      <c r="CN687">
        <f>IFERROR(INDEX(PP_Grid[#Data],$DD687,90),0)</f>
        <v/>
      </c>
      <c r="CO687">
        <f>IFERROR(INDEX(PP_Grid[#Data],$DD687,91),0)</f>
        <v/>
      </c>
      <c r="CP687">
        <f>IFERROR(INDEX(PP_Grid[#Data],$DD687,92),0)</f>
        <v/>
      </c>
      <c r="CQ687">
        <f>IFERROR(INDEX(PP_Grid[#Data],$DD687,93),0)</f>
        <v/>
      </c>
      <c r="CR687">
        <f>IFERROR(INDEX(PP_Grid[#Data],$DD687,94),0)</f>
        <v/>
      </c>
      <c r="CS687">
        <f>IFERROR(INDEX(PP_Grid[#Data],$DD687,95),0)</f>
        <v/>
      </c>
      <c r="CT687">
        <f>IFERROR(INDEX(PP_Grid[#Data],$DD687,96),0)</f>
        <v/>
      </c>
      <c r="CU687">
        <f>IFERROR(INDEX(PP_Grid[#Data],$DD687,97),0)</f>
        <v/>
      </c>
      <c r="CV687">
        <f>IFERROR(INDEX(PP_Grid[#Data],$DD687,98),0)</f>
        <v/>
      </c>
      <c r="CW687">
        <f>IFERROR(INDEX(PP_Grid[#Data],$DD687,99),0)</f>
        <v/>
      </c>
      <c r="CX687">
        <f>IFERROR(INDEX(PP_Grid[#Data],$DD687,100),0)</f>
        <v/>
      </c>
      <c r="CY687">
        <f>IFERROR(INDEX(PP_Grid[#Data],$DD687,101),0)</f>
        <v/>
      </c>
      <c r="CZ687">
        <f>IFERROR(INDEX(PP_Grid[#Data],$DD687,102),0)</f>
        <v/>
      </c>
      <c r="DA687">
        <f>IFERROR(INDEX(PP_Grid[#Data],$DD687,103),0)</f>
        <v/>
      </c>
      <c r="DB687">
        <f>IFERROR(INDEX(PP_Grid[#Data],$DD687,104),0)</f>
        <v/>
      </c>
      <c r="DC687">
        <f>IFERROR(INDEX(PP_Grid[#Data],$DD687,105),0)</f>
        <v/>
      </c>
      <c r="DD687" s="7">
        <f>IFERROR(MATCH($B687,PP_Grid[Intermediate],0),99999)</f>
        <v/>
      </c>
    </row>
    <row r="688">
      <c r="B688" t="inlineStr">
        <is>
          <t>使用量(kg)</t>
        </is>
      </c>
      <c r="C688">
        <f>SUMIFS(M_BOM[RM_Qty_Per_Batch],M_BOM[Intermediate],$B687,M_BOM[Part Name],$A670)</f>
        <v/>
      </c>
      <c r="D688">
        <f>$C688*D687</f>
        <v/>
      </c>
      <c r="E688">
        <f>$C688*E687</f>
        <v/>
      </c>
      <c r="F688">
        <f>$C688*F687</f>
        <v/>
      </c>
      <c r="G688">
        <f>$C688*G687</f>
        <v/>
      </c>
      <c r="H688">
        <f>$C688*H687</f>
        <v/>
      </c>
      <c r="I688">
        <f>$C688*I687</f>
        <v/>
      </c>
      <c r="J688">
        <f>$C688*J687</f>
        <v/>
      </c>
      <c r="K688">
        <f>$C688*K687</f>
        <v/>
      </c>
      <c r="L688">
        <f>$C688*L687</f>
        <v/>
      </c>
      <c r="M688">
        <f>$C688*M687</f>
        <v/>
      </c>
      <c r="N688">
        <f>$C688*N687</f>
        <v/>
      </c>
      <c r="O688">
        <f>$C688*O687</f>
        <v/>
      </c>
      <c r="P688">
        <f>$C688*P687</f>
        <v/>
      </c>
      <c r="Q688">
        <f>$C688*Q687</f>
        <v/>
      </c>
      <c r="R688">
        <f>$C688*R687</f>
        <v/>
      </c>
      <c r="S688">
        <f>$C688*S687</f>
        <v/>
      </c>
      <c r="T688">
        <f>$C688*T687</f>
        <v/>
      </c>
      <c r="U688">
        <f>$C688*U687</f>
        <v/>
      </c>
      <c r="V688">
        <f>$C688*V687</f>
        <v/>
      </c>
      <c r="W688">
        <f>$C688*W687</f>
        <v/>
      </c>
      <c r="X688">
        <f>$C688*X687</f>
        <v/>
      </c>
      <c r="Y688">
        <f>$C688*Y687</f>
        <v/>
      </c>
      <c r="Z688">
        <f>$C688*Z687</f>
        <v/>
      </c>
      <c r="AA688">
        <f>$C688*AA687</f>
        <v/>
      </c>
      <c r="AB688">
        <f>$C688*AB687</f>
        <v/>
      </c>
      <c r="AC688">
        <f>$C688*AC687</f>
        <v/>
      </c>
      <c r="AD688">
        <f>$C688*AD687</f>
        <v/>
      </c>
      <c r="AE688">
        <f>$C688*AE687</f>
        <v/>
      </c>
      <c r="AF688">
        <f>$C688*AF687</f>
        <v/>
      </c>
      <c r="AG688">
        <f>$C688*AG687</f>
        <v/>
      </c>
      <c r="AH688">
        <f>$C688*AH687</f>
        <v/>
      </c>
      <c r="AI688">
        <f>$C688*AI687</f>
        <v/>
      </c>
      <c r="AJ688">
        <f>$C688*AJ687</f>
        <v/>
      </c>
      <c r="AK688">
        <f>$C688*AK687</f>
        <v/>
      </c>
      <c r="AL688">
        <f>$C688*AL687</f>
        <v/>
      </c>
      <c r="AM688">
        <f>$C688*AM687</f>
        <v/>
      </c>
      <c r="AN688">
        <f>$C688*AN687</f>
        <v/>
      </c>
      <c r="AO688">
        <f>$C688*AO687</f>
        <v/>
      </c>
      <c r="AP688">
        <f>$C688*AP687</f>
        <v/>
      </c>
      <c r="AQ688">
        <f>$C688*AQ687</f>
        <v/>
      </c>
      <c r="AR688">
        <f>$C688*AR687</f>
        <v/>
      </c>
      <c r="AS688">
        <f>$C688*AS687</f>
        <v/>
      </c>
      <c r="AT688">
        <f>$C688*AT687</f>
        <v/>
      </c>
      <c r="AU688">
        <f>$C688*AU687</f>
        <v/>
      </c>
      <c r="AV688">
        <f>$C688*AV687</f>
        <v/>
      </c>
      <c r="AW688">
        <f>$C688*AW687</f>
        <v/>
      </c>
      <c r="AX688">
        <f>$C688*AX687</f>
        <v/>
      </c>
      <c r="AY688">
        <f>$C688*AY687</f>
        <v/>
      </c>
      <c r="AZ688">
        <f>$C688*AZ687</f>
        <v/>
      </c>
      <c r="BA688">
        <f>$C688*BA687</f>
        <v/>
      </c>
      <c r="BB688">
        <f>$C688*BB687</f>
        <v/>
      </c>
      <c r="BC688">
        <f>$C688*BC687</f>
        <v/>
      </c>
      <c r="BD688">
        <f>$C688*BD687</f>
        <v/>
      </c>
      <c r="BE688">
        <f>$C688*BE687</f>
        <v/>
      </c>
      <c r="BF688">
        <f>$C688*BF687</f>
        <v/>
      </c>
      <c r="BG688">
        <f>$C688*BG687</f>
        <v/>
      </c>
      <c r="BH688">
        <f>$C688*BH687</f>
        <v/>
      </c>
      <c r="BI688">
        <f>$C688*BI687</f>
        <v/>
      </c>
      <c r="BJ688">
        <f>$C688*BJ687</f>
        <v/>
      </c>
      <c r="BK688">
        <f>$C688*BK687</f>
        <v/>
      </c>
      <c r="BL688">
        <f>$C688*BL687</f>
        <v/>
      </c>
      <c r="BM688">
        <f>$C688*BM687</f>
        <v/>
      </c>
      <c r="BN688">
        <f>$C688*BN687</f>
        <v/>
      </c>
      <c r="BO688">
        <f>$C688*BO687</f>
        <v/>
      </c>
      <c r="BP688">
        <f>$C688*BP687</f>
        <v/>
      </c>
      <c r="BQ688">
        <f>$C688*BQ687</f>
        <v/>
      </c>
      <c r="BR688">
        <f>$C688*BR687</f>
        <v/>
      </c>
      <c r="BS688">
        <f>$C688*BS687</f>
        <v/>
      </c>
      <c r="BT688">
        <f>$C688*BT687</f>
        <v/>
      </c>
      <c r="BU688">
        <f>$C688*BU687</f>
        <v/>
      </c>
      <c r="BV688">
        <f>$C688*BV687</f>
        <v/>
      </c>
      <c r="BW688">
        <f>$C688*BW687</f>
        <v/>
      </c>
      <c r="BX688">
        <f>$C688*BX687</f>
        <v/>
      </c>
      <c r="BY688">
        <f>$C688*BY687</f>
        <v/>
      </c>
      <c r="BZ688">
        <f>$C688*BZ687</f>
        <v/>
      </c>
      <c r="CA688">
        <f>$C688*CA687</f>
        <v/>
      </c>
      <c r="CB688">
        <f>$C688*CB687</f>
        <v/>
      </c>
      <c r="CC688">
        <f>$C688*CC687</f>
        <v/>
      </c>
      <c r="CD688">
        <f>$C688*CD687</f>
        <v/>
      </c>
      <c r="CE688">
        <f>$C688*CE687</f>
        <v/>
      </c>
      <c r="CF688">
        <f>$C688*CF687</f>
        <v/>
      </c>
      <c r="CG688">
        <f>$C688*CG687</f>
        <v/>
      </c>
      <c r="CH688">
        <f>$C688*CH687</f>
        <v/>
      </c>
      <c r="CI688">
        <f>$C688*CI687</f>
        <v/>
      </c>
      <c r="CJ688">
        <f>$C688*CJ687</f>
        <v/>
      </c>
      <c r="CK688">
        <f>$C688*CK687</f>
        <v/>
      </c>
      <c r="CL688">
        <f>$C688*CL687</f>
        <v/>
      </c>
      <c r="CM688">
        <f>$C688*CM687</f>
        <v/>
      </c>
      <c r="CN688">
        <f>$C688*CN687</f>
        <v/>
      </c>
      <c r="CO688">
        <f>$C688*CO687</f>
        <v/>
      </c>
      <c r="CP688">
        <f>$C688*CP687</f>
        <v/>
      </c>
      <c r="CQ688">
        <f>$C688*CQ687</f>
        <v/>
      </c>
      <c r="CR688">
        <f>$C688*CR687</f>
        <v/>
      </c>
      <c r="CS688">
        <f>$C688*CS687</f>
        <v/>
      </c>
      <c r="CT688">
        <f>$C688*CT687</f>
        <v/>
      </c>
      <c r="CU688">
        <f>$C688*CU687</f>
        <v/>
      </c>
      <c r="CV688">
        <f>$C688*CV687</f>
        <v/>
      </c>
      <c r="CW688">
        <f>$C688*CW687</f>
        <v/>
      </c>
      <c r="CX688">
        <f>$C688*CX687</f>
        <v/>
      </c>
      <c r="CY688">
        <f>$C688*CY687</f>
        <v/>
      </c>
      <c r="CZ688">
        <f>$C688*CZ687</f>
        <v/>
      </c>
      <c r="DA688">
        <f>$C688*DA687</f>
        <v/>
      </c>
      <c r="DB688">
        <f>$C688*DB687</f>
        <v/>
      </c>
      <c r="DC688">
        <f>$C688*DC687</f>
        <v/>
      </c>
    </row>
    <row r="689">
      <c r="B689" t="inlineStr">
        <is>
          <t>TSP-1558</t>
        </is>
      </c>
      <c r="C689" t="inlineStr">
        <is>
          <t>No. of batches</t>
        </is>
      </c>
      <c r="D689">
        <f>IFERROR(INDEX(PP_Grid[#Data],$DD689,2),0)</f>
        <v/>
      </c>
      <c r="E689">
        <f>IFERROR(INDEX(PP_Grid[#Data],$DD689,3),0)</f>
        <v/>
      </c>
      <c r="F689">
        <f>IFERROR(INDEX(PP_Grid[#Data],$DD689,4),0)</f>
        <v/>
      </c>
      <c r="G689">
        <f>IFERROR(INDEX(PP_Grid[#Data],$DD689,5),0)</f>
        <v/>
      </c>
      <c r="H689">
        <f>IFERROR(INDEX(PP_Grid[#Data],$DD689,6),0)</f>
        <v/>
      </c>
      <c r="I689">
        <f>IFERROR(INDEX(PP_Grid[#Data],$DD689,7),0)</f>
        <v/>
      </c>
      <c r="J689">
        <f>IFERROR(INDEX(PP_Grid[#Data],$DD689,8),0)</f>
        <v/>
      </c>
      <c r="K689">
        <f>IFERROR(INDEX(PP_Grid[#Data],$DD689,9),0)</f>
        <v/>
      </c>
      <c r="L689">
        <f>IFERROR(INDEX(PP_Grid[#Data],$DD689,10),0)</f>
        <v/>
      </c>
      <c r="M689">
        <f>IFERROR(INDEX(PP_Grid[#Data],$DD689,11),0)</f>
        <v/>
      </c>
      <c r="N689">
        <f>IFERROR(INDEX(PP_Grid[#Data],$DD689,12),0)</f>
        <v/>
      </c>
      <c r="O689">
        <f>IFERROR(INDEX(PP_Grid[#Data],$DD689,13),0)</f>
        <v/>
      </c>
      <c r="P689">
        <f>IFERROR(INDEX(PP_Grid[#Data],$DD689,14),0)</f>
        <v/>
      </c>
      <c r="Q689">
        <f>IFERROR(INDEX(PP_Grid[#Data],$DD689,15),0)</f>
        <v/>
      </c>
      <c r="R689">
        <f>IFERROR(INDEX(PP_Grid[#Data],$DD689,16),0)</f>
        <v/>
      </c>
      <c r="S689">
        <f>IFERROR(INDEX(PP_Grid[#Data],$DD689,17),0)</f>
        <v/>
      </c>
      <c r="T689">
        <f>IFERROR(INDEX(PP_Grid[#Data],$DD689,18),0)</f>
        <v/>
      </c>
      <c r="U689">
        <f>IFERROR(INDEX(PP_Grid[#Data],$DD689,19),0)</f>
        <v/>
      </c>
      <c r="V689">
        <f>IFERROR(INDEX(PP_Grid[#Data],$DD689,20),0)</f>
        <v/>
      </c>
      <c r="W689">
        <f>IFERROR(INDEX(PP_Grid[#Data],$DD689,21),0)</f>
        <v/>
      </c>
      <c r="X689">
        <f>IFERROR(INDEX(PP_Grid[#Data],$DD689,22),0)</f>
        <v/>
      </c>
      <c r="Y689">
        <f>IFERROR(INDEX(PP_Grid[#Data],$DD689,23),0)</f>
        <v/>
      </c>
      <c r="Z689">
        <f>IFERROR(INDEX(PP_Grid[#Data],$DD689,24),0)</f>
        <v/>
      </c>
      <c r="AA689">
        <f>IFERROR(INDEX(PP_Grid[#Data],$DD689,25),0)</f>
        <v/>
      </c>
      <c r="AB689">
        <f>IFERROR(INDEX(PP_Grid[#Data],$DD689,26),0)</f>
        <v/>
      </c>
      <c r="AC689">
        <f>IFERROR(INDEX(PP_Grid[#Data],$DD689,27),0)</f>
        <v/>
      </c>
      <c r="AD689">
        <f>IFERROR(INDEX(PP_Grid[#Data],$DD689,28),0)</f>
        <v/>
      </c>
      <c r="AE689">
        <f>IFERROR(INDEX(PP_Grid[#Data],$DD689,29),0)</f>
        <v/>
      </c>
      <c r="AF689">
        <f>IFERROR(INDEX(PP_Grid[#Data],$DD689,30),0)</f>
        <v/>
      </c>
      <c r="AG689">
        <f>IFERROR(INDEX(PP_Grid[#Data],$DD689,31),0)</f>
        <v/>
      </c>
      <c r="AH689">
        <f>IFERROR(INDEX(PP_Grid[#Data],$DD689,32),0)</f>
        <v/>
      </c>
      <c r="AI689">
        <f>IFERROR(INDEX(PP_Grid[#Data],$DD689,33),0)</f>
        <v/>
      </c>
      <c r="AJ689">
        <f>IFERROR(INDEX(PP_Grid[#Data],$DD689,34),0)</f>
        <v/>
      </c>
      <c r="AK689">
        <f>IFERROR(INDEX(PP_Grid[#Data],$DD689,35),0)</f>
        <v/>
      </c>
      <c r="AL689">
        <f>IFERROR(INDEX(PP_Grid[#Data],$DD689,36),0)</f>
        <v/>
      </c>
      <c r="AM689">
        <f>IFERROR(INDEX(PP_Grid[#Data],$DD689,37),0)</f>
        <v/>
      </c>
      <c r="AN689">
        <f>IFERROR(INDEX(PP_Grid[#Data],$DD689,38),0)</f>
        <v/>
      </c>
      <c r="AO689">
        <f>IFERROR(INDEX(PP_Grid[#Data],$DD689,39),0)</f>
        <v/>
      </c>
      <c r="AP689">
        <f>IFERROR(INDEX(PP_Grid[#Data],$DD689,40),0)</f>
        <v/>
      </c>
      <c r="AQ689">
        <f>IFERROR(INDEX(PP_Grid[#Data],$DD689,41),0)</f>
        <v/>
      </c>
      <c r="AR689">
        <f>IFERROR(INDEX(PP_Grid[#Data],$DD689,42),0)</f>
        <v/>
      </c>
      <c r="AS689">
        <f>IFERROR(INDEX(PP_Grid[#Data],$DD689,43),0)</f>
        <v/>
      </c>
      <c r="AT689">
        <f>IFERROR(INDEX(PP_Grid[#Data],$DD689,44),0)</f>
        <v/>
      </c>
      <c r="AU689">
        <f>IFERROR(INDEX(PP_Grid[#Data],$DD689,45),0)</f>
        <v/>
      </c>
      <c r="AV689">
        <f>IFERROR(INDEX(PP_Grid[#Data],$DD689,46),0)</f>
        <v/>
      </c>
      <c r="AW689">
        <f>IFERROR(INDEX(PP_Grid[#Data],$DD689,47),0)</f>
        <v/>
      </c>
      <c r="AX689">
        <f>IFERROR(INDEX(PP_Grid[#Data],$DD689,48),0)</f>
        <v/>
      </c>
      <c r="AY689">
        <f>IFERROR(INDEX(PP_Grid[#Data],$DD689,49),0)</f>
        <v/>
      </c>
      <c r="AZ689">
        <f>IFERROR(INDEX(PP_Grid[#Data],$DD689,50),0)</f>
        <v/>
      </c>
      <c r="BA689">
        <f>IFERROR(INDEX(PP_Grid[#Data],$DD689,51),0)</f>
        <v/>
      </c>
      <c r="BB689">
        <f>IFERROR(INDEX(PP_Grid[#Data],$DD689,52),0)</f>
        <v/>
      </c>
      <c r="BC689">
        <f>IFERROR(INDEX(PP_Grid[#Data],$DD689,53),0)</f>
        <v/>
      </c>
      <c r="BD689">
        <f>IFERROR(INDEX(PP_Grid[#Data],$DD689,54),0)</f>
        <v/>
      </c>
      <c r="BE689">
        <f>IFERROR(INDEX(PP_Grid[#Data],$DD689,55),0)</f>
        <v/>
      </c>
      <c r="BF689">
        <f>IFERROR(INDEX(PP_Grid[#Data],$DD689,56),0)</f>
        <v/>
      </c>
      <c r="BG689">
        <f>IFERROR(INDEX(PP_Grid[#Data],$DD689,57),0)</f>
        <v/>
      </c>
      <c r="BH689">
        <f>IFERROR(INDEX(PP_Grid[#Data],$DD689,58),0)</f>
        <v/>
      </c>
      <c r="BI689">
        <f>IFERROR(INDEX(PP_Grid[#Data],$DD689,59),0)</f>
        <v/>
      </c>
      <c r="BJ689">
        <f>IFERROR(INDEX(PP_Grid[#Data],$DD689,60),0)</f>
        <v/>
      </c>
      <c r="BK689">
        <f>IFERROR(INDEX(PP_Grid[#Data],$DD689,61),0)</f>
        <v/>
      </c>
      <c r="BL689">
        <f>IFERROR(INDEX(PP_Grid[#Data],$DD689,62),0)</f>
        <v/>
      </c>
      <c r="BM689">
        <f>IFERROR(INDEX(PP_Grid[#Data],$DD689,63),0)</f>
        <v/>
      </c>
      <c r="BN689">
        <f>IFERROR(INDEX(PP_Grid[#Data],$DD689,64),0)</f>
        <v/>
      </c>
      <c r="BO689">
        <f>IFERROR(INDEX(PP_Grid[#Data],$DD689,65),0)</f>
        <v/>
      </c>
      <c r="BP689">
        <f>IFERROR(INDEX(PP_Grid[#Data],$DD689,66),0)</f>
        <v/>
      </c>
      <c r="BQ689">
        <f>IFERROR(INDEX(PP_Grid[#Data],$DD689,67),0)</f>
        <v/>
      </c>
      <c r="BR689">
        <f>IFERROR(INDEX(PP_Grid[#Data],$DD689,68),0)</f>
        <v/>
      </c>
      <c r="BS689">
        <f>IFERROR(INDEX(PP_Grid[#Data],$DD689,69),0)</f>
        <v/>
      </c>
      <c r="BT689">
        <f>IFERROR(INDEX(PP_Grid[#Data],$DD689,70),0)</f>
        <v/>
      </c>
      <c r="BU689">
        <f>IFERROR(INDEX(PP_Grid[#Data],$DD689,71),0)</f>
        <v/>
      </c>
      <c r="BV689">
        <f>IFERROR(INDEX(PP_Grid[#Data],$DD689,72),0)</f>
        <v/>
      </c>
      <c r="BW689">
        <f>IFERROR(INDEX(PP_Grid[#Data],$DD689,73),0)</f>
        <v/>
      </c>
      <c r="BX689">
        <f>IFERROR(INDEX(PP_Grid[#Data],$DD689,74),0)</f>
        <v/>
      </c>
      <c r="BY689">
        <f>IFERROR(INDEX(PP_Grid[#Data],$DD689,75),0)</f>
        <v/>
      </c>
      <c r="BZ689">
        <f>IFERROR(INDEX(PP_Grid[#Data],$DD689,76),0)</f>
        <v/>
      </c>
      <c r="CA689">
        <f>IFERROR(INDEX(PP_Grid[#Data],$DD689,77),0)</f>
        <v/>
      </c>
      <c r="CB689">
        <f>IFERROR(INDEX(PP_Grid[#Data],$DD689,78),0)</f>
        <v/>
      </c>
      <c r="CC689">
        <f>IFERROR(INDEX(PP_Grid[#Data],$DD689,79),0)</f>
        <v/>
      </c>
      <c r="CD689">
        <f>IFERROR(INDEX(PP_Grid[#Data],$DD689,80),0)</f>
        <v/>
      </c>
      <c r="CE689">
        <f>IFERROR(INDEX(PP_Grid[#Data],$DD689,81),0)</f>
        <v/>
      </c>
      <c r="CF689">
        <f>IFERROR(INDEX(PP_Grid[#Data],$DD689,82),0)</f>
        <v/>
      </c>
      <c r="CG689">
        <f>IFERROR(INDEX(PP_Grid[#Data],$DD689,83),0)</f>
        <v/>
      </c>
      <c r="CH689">
        <f>IFERROR(INDEX(PP_Grid[#Data],$DD689,84),0)</f>
        <v/>
      </c>
      <c r="CI689">
        <f>IFERROR(INDEX(PP_Grid[#Data],$DD689,85),0)</f>
        <v/>
      </c>
      <c r="CJ689">
        <f>IFERROR(INDEX(PP_Grid[#Data],$DD689,86),0)</f>
        <v/>
      </c>
      <c r="CK689">
        <f>IFERROR(INDEX(PP_Grid[#Data],$DD689,87),0)</f>
        <v/>
      </c>
      <c r="CL689">
        <f>IFERROR(INDEX(PP_Grid[#Data],$DD689,88),0)</f>
        <v/>
      </c>
      <c r="CM689">
        <f>IFERROR(INDEX(PP_Grid[#Data],$DD689,89),0)</f>
        <v/>
      </c>
      <c r="CN689">
        <f>IFERROR(INDEX(PP_Grid[#Data],$DD689,90),0)</f>
        <v/>
      </c>
      <c r="CO689">
        <f>IFERROR(INDEX(PP_Grid[#Data],$DD689,91),0)</f>
        <v/>
      </c>
      <c r="CP689">
        <f>IFERROR(INDEX(PP_Grid[#Data],$DD689,92),0)</f>
        <v/>
      </c>
      <c r="CQ689">
        <f>IFERROR(INDEX(PP_Grid[#Data],$DD689,93),0)</f>
        <v/>
      </c>
      <c r="CR689">
        <f>IFERROR(INDEX(PP_Grid[#Data],$DD689,94),0)</f>
        <v/>
      </c>
      <c r="CS689">
        <f>IFERROR(INDEX(PP_Grid[#Data],$DD689,95),0)</f>
        <v/>
      </c>
      <c r="CT689">
        <f>IFERROR(INDEX(PP_Grid[#Data],$DD689,96),0)</f>
        <v/>
      </c>
      <c r="CU689">
        <f>IFERROR(INDEX(PP_Grid[#Data],$DD689,97),0)</f>
        <v/>
      </c>
      <c r="CV689">
        <f>IFERROR(INDEX(PP_Grid[#Data],$DD689,98),0)</f>
        <v/>
      </c>
      <c r="CW689">
        <f>IFERROR(INDEX(PP_Grid[#Data],$DD689,99),0)</f>
        <v/>
      </c>
      <c r="CX689">
        <f>IFERROR(INDEX(PP_Grid[#Data],$DD689,100),0)</f>
        <v/>
      </c>
      <c r="CY689">
        <f>IFERROR(INDEX(PP_Grid[#Data],$DD689,101),0)</f>
        <v/>
      </c>
      <c r="CZ689">
        <f>IFERROR(INDEX(PP_Grid[#Data],$DD689,102),0)</f>
        <v/>
      </c>
      <c r="DA689">
        <f>IFERROR(INDEX(PP_Grid[#Data],$DD689,103),0)</f>
        <v/>
      </c>
      <c r="DB689">
        <f>IFERROR(INDEX(PP_Grid[#Data],$DD689,104),0)</f>
        <v/>
      </c>
      <c r="DC689">
        <f>IFERROR(INDEX(PP_Grid[#Data],$DD689,105),0)</f>
        <v/>
      </c>
      <c r="DD689" s="7">
        <f>IFERROR(MATCH($B689,PP_Grid[Intermediate],0),99999)</f>
        <v/>
      </c>
    </row>
    <row r="690">
      <c r="B690" t="inlineStr">
        <is>
          <t>使用量(kg)</t>
        </is>
      </c>
      <c r="C690">
        <f>SUMIFS(M_BOM[RM_Qty_Per_Batch],M_BOM[Intermediate],$B689,M_BOM[Part Name],$A670)</f>
        <v/>
      </c>
      <c r="D690">
        <f>$C690*D689</f>
        <v/>
      </c>
      <c r="E690">
        <f>$C690*E689</f>
        <v/>
      </c>
      <c r="F690">
        <f>$C690*F689</f>
        <v/>
      </c>
      <c r="G690">
        <f>$C690*G689</f>
        <v/>
      </c>
      <c r="H690">
        <f>$C690*H689</f>
        <v/>
      </c>
      <c r="I690">
        <f>$C690*I689</f>
        <v/>
      </c>
      <c r="J690">
        <f>$C690*J689</f>
        <v/>
      </c>
      <c r="K690">
        <f>$C690*K689</f>
        <v/>
      </c>
      <c r="L690">
        <f>$C690*L689</f>
        <v/>
      </c>
      <c r="M690">
        <f>$C690*M689</f>
        <v/>
      </c>
      <c r="N690">
        <f>$C690*N689</f>
        <v/>
      </c>
      <c r="O690">
        <f>$C690*O689</f>
        <v/>
      </c>
      <c r="P690">
        <f>$C690*P689</f>
        <v/>
      </c>
      <c r="Q690">
        <f>$C690*Q689</f>
        <v/>
      </c>
      <c r="R690">
        <f>$C690*R689</f>
        <v/>
      </c>
      <c r="S690">
        <f>$C690*S689</f>
        <v/>
      </c>
      <c r="T690">
        <f>$C690*T689</f>
        <v/>
      </c>
      <c r="U690">
        <f>$C690*U689</f>
        <v/>
      </c>
      <c r="V690">
        <f>$C690*V689</f>
        <v/>
      </c>
      <c r="W690">
        <f>$C690*W689</f>
        <v/>
      </c>
      <c r="X690">
        <f>$C690*X689</f>
        <v/>
      </c>
      <c r="Y690">
        <f>$C690*Y689</f>
        <v/>
      </c>
      <c r="Z690">
        <f>$C690*Z689</f>
        <v/>
      </c>
      <c r="AA690">
        <f>$C690*AA689</f>
        <v/>
      </c>
      <c r="AB690">
        <f>$C690*AB689</f>
        <v/>
      </c>
      <c r="AC690">
        <f>$C690*AC689</f>
        <v/>
      </c>
      <c r="AD690">
        <f>$C690*AD689</f>
        <v/>
      </c>
      <c r="AE690">
        <f>$C690*AE689</f>
        <v/>
      </c>
      <c r="AF690">
        <f>$C690*AF689</f>
        <v/>
      </c>
      <c r="AG690">
        <f>$C690*AG689</f>
        <v/>
      </c>
      <c r="AH690">
        <f>$C690*AH689</f>
        <v/>
      </c>
      <c r="AI690">
        <f>$C690*AI689</f>
        <v/>
      </c>
      <c r="AJ690">
        <f>$C690*AJ689</f>
        <v/>
      </c>
      <c r="AK690">
        <f>$C690*AK689</f>
        <v/>
      </c>
      <c r="AL690">
        <f>$C690*AL689</f>
        <v/>
      </c>
      <c r="AM690">
        <f>$C690*AM689</f>
        <v/>
      </c>
      <c r="AN690">
        <f>$C690*AN689</f>
        <v/>
      </c>
      <c r="AO690">
        <f>$C690*AO689</f>
        <v/>
      </c>
      <c r="AP690">
        <f>$C690*AP689</f>
        <v/>
      </c>
      <c r="AQ690">
        <f>$C690*AQ689</f>
        <v/>
      </c>
      <c r="AR690">
        <f>$C690*AR689</f>
        <v/>
      </c>
      <c r="AS690">
        <f>$C690*AS689</f>
        <v/>
      </c>
      <c r="AT690">
        <f>$C690*AT689</f>
        <v/>
      </c>
      <c r="AU690">
        <f>$C690*AU689</f>
        <v/>
      </c>
      <c r="AV690">
        <f>$C690*AV689</f>
        <v/>
      </c>
      <c r="AW690">
        <f>$C690*AW689</f>
        <v/>
      </c>
      <c r="AX690">
        <f>$C690*AX689</f>
        <v/>
      </c>
      <c r="AY690">
        <f>$C690*AY689</f>
        <v/>
      </c>
      <c r="AZ690">
        <f>$C690*AZ689</f>
        <v/>
      </c>
      <c r="BA690">
        <f>$C690*BA689</f>
        <v/>
      </c>
      <c r="BB690">
        <f>$C690*BB689</f>
        <v/>
      </c>
      <c r="BC690">
        <f>$C690*BC689</f>
        <v/>
      </c>
      <c r="BD690">
        <f>$C690*BD689</f>
        <v/>
      </c>
      <c r="BE690">
        <f>$C690*BE689</f>
        <v/>
      </c>
      <c r="BF690">
        <f>$C690*BF689</f>
        <v/>
      </c>
      <c r="BG690">
        <f>$C690*BG689</f>
        <v/>
      </c>
      <c r="BH690">
        <f>$C690*BH689</f>
        <v/>
      </c>
      <c r="BI690">
        <f>$C690*BI689</f>
        <v/>
      </c>
      <c r="BJ690">
        <f>$C690*BJ689</f>
        <v/>
      </c>
      <c r="BK690">
        <f>$C690*BK689</f>
        <v/>
      </c>
      <c r="BL690">
        <f>$C690*BL689</f>
        <v/>
      </c>
      <c r="BM690">
        <f>$C690*BM689</f>
        <v/>
      </c>
      <c r="BN690">
        <f>$C690*BN689</f>
        <v/>
      </c>
      <c r="BO690">
        <f>$C690*BO689</f>
        <v/>
      </c>
      <c r="BP690">
        <f>$C690*BP689</f>
        <v/>
      </c>
      <c r="BQ690">
        <f>$C690*BQ689</f>
        <v/>
      </c>
      <c r="BR690">
        <f>$C690*BR689</f>
        <v/>
      </c>
      <c r="BS690">
        <f>$C690*BS689</f>
        <v/>
      </c>
      <c r="BT690">
        <f>$C690*BT689</f>
        <v/>
      </c>
      <c r="BU690">
        <f>$C690*BU689</f>
        <v/>
      </c>
      <c r="BV690">
        <f>$C690*BV689</f>
        <v/>
      </c>
      <c r="BW690">
        <f>$C690*BW689</f>
        <v/>
      </c>
      <c r="BX690">
        <f>$C690*BX689</f>
        <v/>
      </c>
      <c r="BY690">
        <f>$C690*BY689</f>
        <v/>
      </c>
      <c r="BZ690">
        <f>$C690*BZ689</f>
        <v/>
      </c>
      <c r="CA690">
        <f>$C690*CA689</f>
        <v/>
      </c>
      <c r="CB690">
        <f>$C690*CB689</f>
        <v/>
      </c>
      <c r="CC690">
        <f>$C690*CC689</f>
        <v/>
      </c>
      <c r="CD690">
        <f>$C690*CD689</f>
        <v/>
      </c>
      <c r="CE690">
        <f>$C690*CE689</f>
        <v/>
      </c>
      <c r="CF690">
        <f>$C690*CF689</f>
        <v/>
      </c>
      <c r="CG690">
        <f>$C690*CG689</f>
        <v/>
      </c>
      <c r="CH690">
        <f>$C690*CH689</f>
        <v/>
      </c>
      <c r="CI690">
        <f>$C690*CI689</f>
        <v/>
      </c>
      <c r="CJ690">
        <f>$C690*CJ689</f>
        <v/>
      </c>
      <c r="CK690">
        <f>$C690*CK689</f>
        <v/>
      </c>
      <c r="CL690">
        <f>$C690*CL689</f>
        <v/>
      </c>
      <c r="CM690">
        <f>$C690*CM689</f>
        <v/>
      </c>
      <c r="CN690">
        <f>$C690*CN689</f>
        <v/>
      </c>
      <c r="CO690">
        <f>$C690*CO689</f>
        <v/>
      </c>
      <c r="CP690">
        <f>$C690*CP689</f>
        <v/>
      </c>
      <c r="CQ690">
        <f>$C690*CQ689</f>
        <v/>
      </c>
      <c r="CR690">
        <f>$C690*CR689</f>
        <v/>
      </c>
      <c r="CS690">
        <f>$C690*CS689</f>
        <v/>
      </c>
      <c r="CT690">
        <f>$C690*CT689</f>
        <v/>
      </c>
      <c r="CU690">
        <f>$C690*CU689</f>
        <v/>
      </c>
      <c r="CV690">
        <f>$C690*CV689</f>
        <v/>
      </c>
      <c r="CW690">
        <f>$C690*CW689</f>
        <v/>
      </c>
      <c r="CX690">
        <f>$C690*CX689</f>
        <v/>
      </c>
      <c r="CY690">
        <f>$C690*CY689</f>
        <v/>
      </c>
      <c r="CZ690">
        <f>$C690*CZ689</f>
        <v/>
      </c>
      <c r="DA690">
        <f>$C690*DA689</f>
        <v/>
      </c>
      <c r="DB690">
        <f>$C690*DB689</f>
        <v/>
      </c>
      <c r="DC690">
        <f>$C690*DC689</f>
        <v/>
      </c>
    </row>
    <row r="691">
      <c r="B691" s="4" t="inlineStr">
        <is>
          <t>合計使用量(kg)/週</t>
        </is>
      </c>
      <c r="D691">
        <f>'Grid_Requirement'!B21</f>
        <v/>
      </c>
      <c r="E691">
        <f>'Grid_Requirement'!C21</f>
        <v/>
      </c>
      <c r="F691">
        <f>'Grid_Requirement'!D21</f>
        <v/>
      </c>
      <c r="G691">
        <f>'Grid_Requirement'!E21</f>
        <v/>
      </c>
      <c r="H691">
        <f>'Grid_Requirement'!F21</f>
        <v/>
      </c>
      <c r="I691">
        <f>'Grid_Requirement'!G21</f>
        <v/>
      </c>
      <c r="J691">
        <f>'Grid_Requirement'!H21</f>
        <v/>
      </c>
      <c r="K691">
        <f>'Grid_Requirement'!I21</f>
        <v/>
      </c>
      <c r="L691">
        <f>'Grid_Requirement'!J21</f>
        <v/>
      </c>
      <c r="M691">
        <f>'Grid_Requirement'!K21</f>
        <v/>
      </c>
      <c r="N691">
        <f>'Grid_Requirement'!L21</f>
        <v/>
      </c>
      <c r="O691">
        <f>'Grid_Requirement'!M21</f>
        <v/>
      </c>
      <c r="P691">
        <f>'Grid_Requirement'!N21</f>
        <v/>
      </c>
      <c r="Q691">
        <f>'Grid_Requirement'!O21</f>
        <v/>
      </c>
      <c r="R691">
        <f>'Grid_Requirement'!P21</f>
        <v/>
      </c>
      <c r="S691">
        <f>'Grid_Requirement'!Q21</f>
        <v/>
      </c>
      <c r="T691">
        <f>'Grid_Requirement'!R21</f>
        <v/>
      </c>
      <c r="U691">
        <f>'Grid_Requirement'!S21</f>
        <v/>
      </c>
      <c r="V691">
        <f>'Grid_Requirement'!T21</f>
        <v/>
      </c>
      <c r="W691">
        <f>'Grid_Requirement'!U21</f>
        <v/>
      </c>
      <c r="X691">
        <f>'Grid_Requirement'!V21</f>
        <v/>
      </c>
      <c r="Y691">
        <f>'Grid_Requirement'!W21</f>
        <v/>
      </c>
      <c r="Z691">
        <f>'Grid_Requirement'!X21</f>
        <v/>
      </c>
      <c r="AA691">
        <f>'Grid_Requirement'!Y21</f>
        <v/>
      </c>
      <c r="AB691">
        <f>'Grid_Requirement'!Z21</f>
        <v/>
      </c>
      <c r="AC691">
        <f>'Grid_Requirement'!AA21</f>
        <v/>
      </c>
      <c r="AD691">
        <f>'Grid_Requirement'!AB21</f>
        <v/>
      </c>
      <c r="AE691">
        <f>'Grid_Requirement'!AC21</f>
        <v/>
      </c>
      <c r="AF691">
        <f>'Grid_Requirement'!AD21</f>
        <v/>
      </c>
      <c r="AG691">
        <f>'Grid_Requirement'!AE21</f>
        <v/>
      </c>
      <c r="AH691">
        <f>'Grid_Requirement'!AF21</f>
        <v/>
      </c>
      <c r="AI691">
        <f>'Grid_Requirement'!AG21</f>
        <v/>
      </c>
      <c r="AJ691">
        <f>'Grid_Requirement'!AH21</f>
        <v/>
      </c>
      <c r="AK691">
        <f>'Grid_Requirement'!AI21</f>
        <v/>
      </c>
      <c r="AL691">
        <f>'Grid_Requirement'!AJ21</f>
        <v/>
      </c>
      <c r="AM691">
        <f>'Grid_Requirement'!AK21</f>
        <v/>
      </c>
      <c r="AN691">
        <f>'Grid_Requirement'!AL21</f>
        <v/>
      </c>
      <c r="AO691">
        <f>'Grid_Requirement'!AM21</f>
        <v/>
      </c>
      <c r="AP691">
        <f>'Grid_Requirement'!AN21</f>
        <v/>
      </c>
      <c r="AQ691">
        <f>'Grid_Requirement'!AO21</f>
        <v/>
      </c>
      <c r="AR691">
        <f>'Grid_Requirement'!AP21</f>
        <v/>
      </c>
      <c r="AS691">
        <f>'Grid_Requirement'!AQ21</f>
        <v/>
      </c>
      <c r="AT691">
        <f>'Grid_Requirement'!AR21</f>
        <v/>
      </c>
      <c r="AU691">
        <f>'Grid_Requirement'!AS21</f>
        <v/>
      </c>
      <c r="AV691">
        <f>'Grid_Requirement'!AT21</f>
        <v/>
      </c>
      <c r="AW691">
        <f>'Grid_Requirement'!AU21</f>
        <v/>
      </c>
      <c r="AX691">
        <f>'Grid_Requirement'!AV21</f>
        <v/>
      </c>
      <c r="AY691">
        <f>'Grid_Requirement'!AW21</f>
        <v/>
      </c>
      <c r="AZ691">
        <f>'Grid_Requirement'!AX21</f>
        <v/>
      </c>
      <c r="BA691">
        <f>'Grid_Requirement'!AY21</f>
        <v/>
      </c>
      <c r="BB691">
        <f>'Grid_Requirement'!AZ21</f>
        <v/>
      </c>
      <c r="BC691">
        <f>'Grid_Requirement'!BA21</f>
        <v/>
      </c>
      <c r="BD691">
        <f>'Grid_Requirement'!BB21</f>
        <v/>
      </c>
      <c r="BE691">
        <f>'Grid_Requirement'!BC21</f>
        <v/>
      </c>
      <c r="BF691">
        <f>'Grid_Requirement'!BD21</f>
        <v/>
      </c>
      <c r="BG691">
        <f>'Grid_Requirement'!BE21</f>
        <v/>
      </c>
      <c r="BH691">
        <f>'Grid_Requirement'!BF21</f>
        <v/>
      </c>
      <c r="BI691">
        <f>'Grid_Requirement'!BG21</f>
        <v/>
      </c>
      <c r="BJ691">
        <f>'Grid_Requirement'!BH21</f>
        <v/>
      </c>
      <c r="BK691">
        <f>'Grid_Requirement'!BI21</f>
        <v/>
      </c>
      <c r="BL691">
        <f>'Grid_Requirement'!BJ21</f>
        <v/>
      </c>
      <c r="BM691">
        <f>'Grid_Requirement'!BK21</f>
        <v/>
      </c>
      <c r="BN691">
        <f>'Grid_Requirement'!BL21</f>
        <v/>
      </c>
      <c r="BO691">
        <f>'Grid_Requirement'!BM21</f>
        <v/>
      </c>
      <c r="BP691">
        <f>'Grid_Requirement'!BN21</f>
        <v/>
      </c>
      <c r="BQ691">
        <f>'Grid_Requirement'!BO21</f>
        <v/>
      </c>
      <c r="BR691">
        <f>'Grid_Requirement'!BP21</f>
        <v/>
      </c>
      <c r="BS691">
        <f>'Grid_Requirement'!BQ21</f>
        <v/>
      </c>
      <c r="BT691">
        <f>'Grid_Requirement'!BR21</f>
        <v/>
      </c>
      <c r="BU691">
        <f>'Grid_Requirement'!BS21</f>
        <v/>
      </c>
      <c r="BV691">
        <f>'Grid_Requirement'!BT21</f>
        <v/>
      </c>
      <c r="BW691">
        <f>'Grid_Requirement'!BU21</f>
        <v/>
      </c>
      <c r="BX691">
        <f>'Grid_Requirement'!BV21</f>
        <v/>
      </c>
      <c r="BY691">
        <f>'Grid_Requirement'!BW21</f>
        <v/>
      </c>
      <c r="BZ691">
        <f>'Grid_Requirement'!BX21</f>
        <v/>
      </c>
      <c r="CA691">
        <f>'Grid_Requirement'!BY21</f>
        <v/>
      </c>
      <c r="CB691">
        <f>'Grid_Requirement'!BZ21</f>
        <v/>
      </c>
      <c r="CC691">
        <f>'Grid_Requirement'!CA21</f>
        <v/>
      </c>
      <c r="CD691">
        <f>'Grid_Requirement'!CB21</f>
        <v/>
      </c>
      <c r="CE691">
        <f>'Grid_Requirement'!CC21</f>
        <v/>
      </c>
      <c r="CF691">
        <f>'Grid_Requirement'!CD21</f>
        <v/>
      </c>
      <c r="CG691">
        <f>'Grid_Requirement'!CE21</f>
        <v/>
      </c>
      <c r="CH691">
        <f>'Grid_Requirement'!CF21</f>
        <v/>
      </c>
      <c r="CI691">
        <f>'Grid_Requirement'!CG21</f>
        <v/>
      </c>
      <c r="CJ691">
        <f>'Grid_Requirement'!CH21</f>
        <v/>
      </c>
      <c r="CK691">
        <f>'Grid_Requirement'!CI21</f>
        <v/>
      </c>
      <c r="CL691">
        <f>'Grid_Requirement'!CJ21</f>
        <v/>
      </c>
      <c r="CM691">
        <f>'Grid_Requirement'!CK21</f>
        <v/>
      </c>
      <c r="CN691">
        <f>'Grid_Requirement'!CL21</f>
        <v/>
      </c>
      <c r="CO691">
        <f>'Grid_Requirement'!CM21</f>
        <v/>
      </c>
      <c r="CP691">
        <f>'Grid_Requirement'!CN21</f>
        <v/>
      </c>
      <c r="CQ691">
        <f>'Grid_Requirement'!CO21</f>
        <v/>
      </c>
      <c r="CR691">
        <f>'Grid_Requirement'!CP21</f>
        <v/>
      </c>
      <c r="CS691">
        <f>'Grid_Requirement'!CQ21</f>
        <v/>
      </c>
      <c r="CT691">
        <f>'Grid_Requirement'!CR21</f>
        <v/>
      </c>
      <c r="CU691">
        <f>'Grid_Requirement'!CS21</f>
        <v/>
      </c>
      <c r="CV691">
        <f>'Grid_Requirement'!CT21</f>
        <v/>
      </c>
      <c r="CW691">
        <f>'Grid_Requirement'!CU21</f>
        <v/>
      </c>
      <c r="CX691">
        <f>'Grid_Requirement'!CV21</f>
        <v/>
      </c>
      <c r="CY691">
        <f>'Grid_Requirement'!CW21</f>
        <v/>
      </c>
      <c r="CZ691">
        <f>'Grid_Requirement'!CX21</f>
        <v/>
      </c>
      <c r="DA691">
        <f>'Grid_Requirement'!CY21</f>
        <v/>
      </c>
      <c r="DB691">
        <f>'Grid_Requirement'!CZ21</f>
        <v/>
      </c>
      <c r="DC691">
        <f>'Grid_Requirement'!DA21</f>
        <v/>
      </c>
    </row>
    <row r="692">
      <c r="B692" t="inlineStr">
        <is>
          <t>TTAF在庫(実績,kg)</t>
        </is>
      </c>
      <c r="D692">
        <f>'T_TTAFStock'!B25</f>
        <v/>
      </c>
      <c r="E692">
        <f>'T_TTAFStock'!C25</f>
        <v/>
      </c>
      <c r="F692">
        <f>'T_TTAFStock'!D25</f>
        <v/>
      </c>
      <c r="G692">
        <f>'T_TTAFStock'!E25</f>
        <v/>
      </c>
      <c r="H692">
        <f>'T_TTAFStock'!F25</f>
        <v/>
      </c>
      <c r="I692">
        <f>'T_TTAFStock'!G25</f>
        <v/>
      </c>
      <c r="J692">
        <f>'T_TTAFStock'!H25</f>
        <v/>
      </c>
      <c r="K692">
        <f>'T_TTAFStock'!I25</f>
        <v/>
      </c>
      <c r="L692">
        <f>'T_TTAFStock'!J25</f>
        <v/>
      </c>
      <c r="M692">
        <f>'T_TTAFStock'!K25</f>
        <v/>
      </c>
      <c r="N692">
        <f>'T_TTAFStock'!L25</f>
        <v/>
      </c>
      <c r="O692">
        <f>'T_TTAFStock'!M25</f>
        <v/>
      </c>
      <c r="P692">
        <f>'T_TTAFStock'!N25</f>
        <v/>
      </c>
      <c r="Q692">
        <f>'T_TTAFStock'!O25</f>
        <v/>
      </c>
      <c r="R692">
        <f>'T_TTAFStock'!P25</f>
        <v/>
      </c>
      <c r="S692">
        <f>'T_TTAFStock'!Q25</f>
        <v/>
      </c>
      <c r="T692">
        <f>'T_TTAFStock'!R25</f>
        <v/>
      </c>
      <c r="U692">
        <f>'T_TTAFStock'!S25</f>
        <v/>
      </c>
      <c r="V692">
        <f>'T_TTAFStock'!T25</f>
        <v/>
      </c>
      <c r="W692">
        <f>'T_TTAFStock'!U25</f>
        <v/>
      </c>
      <c r="X692">
        <f>'T_TTAFStock'!V25</f>
        <v/>
      </c>
      <c r="Y692">
        <f>'T_TTAFStock'!W25</f>
        <v/>
      </c>
      <c r="Z692">
        <f>'T_TTAFStock'!X25</f>
        <v/>
      </c>
      <c r="AA692">
        <f>'T_TTAFStock'!Y25</f>
        <v/>
      </c>
      <c r="AB692">
        <f>'T_TTAFStock'!Z25</f>
        <v/>
      </c>
      <c r="AC692">
        <f>'T_TTAFStock'!AA25</f>
        <v/>
      </c>
      <c r="AD692">
        <f>'T_TTAFStock'!AB25</f>
        <v/>
      </c>
      <c r="AE692">
        <f>'T_TTAFStock'!AC25</f>
        <v/>
      </c>
      <c r="AF692">
        <f>'T_TTAFStock'!AD25</f>
        <v/>
      </c>
      <c r="AG692">
        <f>'T_TTAFStock'!AE25</f>
        <v/>
      </c>
      <c r="AH692">
        <f>'T_TTAFStock'!AF25</f>
        <v/>
      </c>
      <c r="AI692">
        <f>'T_TTAFStock'!AG25</f>
        <v/>
      </c>
      <c r="AJ692">
        <f>'T_TTAFStock'!AH25</f>
        <v/>
      </c>
      <c r="AK692">
        <f>'T_TTAFStock'!AI25</f>
        <v/>
      </c>
      <c r="AL692">
        <f>'T_TTAFStock'!AJ25</f>
        <v/>
      </c>
      <c r="AM692">
        <f>'T_TTAFStock'!AK25</f>
        <v/>
      </c>
      <c r="AN692">
        <f>'T_TTAFStock'!AL25</f>
        <v/>
      </c>
      <c r="AO692">
        <f>'T_TTAFStock'!AM25</f>
        <v/>
      </c>
      <c r="AP692">
        <f>'T_TTAFStock'!AN25</f>
        <v/>
      </c>
      <c r="AQ692">
        <f>'T_TTAFStock'!AO25</f>
        <v/>
      </c>
      <c r="AR692">
        <f>'T_TTAFStock'!AP25</f>
        <v/>
      </c>
      <c r="AS692">
        <f>'T_TTAFStock'!AQ25</f>
        <v/>
      </c>
      <c r="AT692">
        <f>'T_TTAFStock'!AR25</f>
        <v/>
      </c>
      <c r="AU692">
        <f>'T_TTAFStock'!AS25</f>
        <v/>
      </c>
      <c r="AV692">
        <f>'T_TTAFStock'!AT25</f>
        <v/>
      </c>
      <c r="AW692">
        <f>'T_TTAFStock'!AU25</f>
        <v/>
      </c>
      <c r="AX692">
        <f>'T_TTAFStock'!AV25</f>
        <v/>
      </c>
      <c r="AY692">
        <f>'T_TTAFStock'!AW25</f>
        <v/>
      </c>
      <c r="AZ692">
        <f>'T_TTAFStock'!AX25</f>
        <v/>
      </c>
      <c r="BA692">
        <f>'T_TTAFStock'!AY25</f>
        <v/>
      </c>
      <c r="BB692">
        <f>'T_TTAFStock'!AZ25</f>
        <v/>
      </c>
      <c r="BC692">
        <f>'T_TTAFStock'!BA25</f>
        <v/>
      </c>
      <c r="BD692">
        <f>'T_TTAFStock'!BB25</f>
        <v/>
      </c>
      <c r="BE692">
        <f>'T_TTAFStock'!BC25</f>
        <v/>
      </c>
      <c r="BF692">
        <f>'T_TTAFStock'!BD25</f>
        <v/>
      </c>
      <c r="BG692">
        <f>'T_TTAFStock'!BE25</f>
        <v/>
      </c>
      <c r="BH692">
        <f>'T_TTAFStock'!BF25</f>
        <v/>
      </c>
      <c r="BI692">
        <f>'T_TTAFStock'!BG25</f>
        <v/>
      </c>
      <c r="BJ692">
        <f>'T_TTAFStock'!BH25</f>
        <v/>
      </c>
      <c r="BK692">
        <f>'T_TTAFStock'!BI25</f>
        <v/>
      </c>
      <c r="BL692">
        <f>'T_TTAFStock'!BJ25</f>
        <v/>
      </c>
      <c r="BM692">
        <f>'T_TTAFStock'!BK25</f>
        <v/>
      </c>
      <c r="BN692">
        <f>'T_TTAFStock'!BL25</f>
        <v/>
      </c>
      <c r="BO692">
        <f>'T_TTAFStock'!BM25</f>
        <v/>
      </c>
      <c r="BP692">
        <f>'T_TTAFStock'!BN25</f>
        <v/>
      </c>
      <c r="BQ692">
        <f>'T_TTAFStock'!BO25</f>
        <v/>
      </c>
      <c r="BR692">
        <f>'T_TTAFStock'!BP25</f>
        <v/>
      </c>
      <c r="BS692">
        <f>'T_TTAFStock'!BQ25</f>
        <v/>
      </c>
      <c r="BT692">
        <f>'T_TTAFStock'!BR25</f>
        <v/>
      </c>
      <c r="BU692">
        <f>'T_TTAFStock'!BS25</f>
        <v/>
      </c>
      <c r="BV692">
        <f>'T_TTAFStock'!BT25</f>
        <v/>
      </c>
      <c r="BW692">
        <f>'T_TTAFStock'!BU25</f>
        <v/>
      </c>
      <c r="BX692">
        <f>'T_TTAFStock'!BV25</f>
        <v/>
      </c>
      <c r="BY692">
        <f>'T_TTAFStock'!BW25</f>
        <v/>
      </c>
      <c r="BZ692">
        <f>'T_TTAFStock'!BX25</f>
        <v/>
      </c>
      <c r="CA692">
        <f>'T_TTAFStock'!BY25</f>
        <v/>
      </c>
      <c r="CB692">
        <f>'T_TTAFStock'!BZ25</f>
        <v/>
      </c>
      <c r="CC692">
        <f>'T_TTAFStock'!CA25</f>
        <v/>
      </c>
      <c r="CD692">
        <f>'T_TTAFStock'!CB25</f>
        <v/>
      </c>
      <c r="CE692">
        <f>'T_TTAFStock'!CC25</f>
        <v/>
      </c>
      <c r="CF692">
        <f>'T_TTAFStock'!CD25</f>
        <v/>
      </c>
      <c r="CG692">
        <f>'T_TTAFStock'!CE25</f>
        <v/>
      </c>
      <c r="CH692">
        <f>'T_TTAFStock'!CF25</f>
        <v/>
      </c>
      <c r="CI692">
        <f>'T_TTAFStock'!CG25</f>
        <v/>
      </c>
      <c r="CJ692">
        <f>'T_TTAFStock'!CH25</f>
        <v/>
      </c>
      <c r="CK692">
        <f>'T_TTAFStock'!CI25</f>
        <v/>
      </c>
      <c r="CL692">
        <f>'T_TTAFStock'!CJ25</f>
        <v/>
      </c>
      <c r="CM692">
        <f>'T_TTAFStock'!CK25</f>
        <v/>
      </c>
      <c r="CN692">
        <f>'T_TTAFStock'!CL25</f>
        <v/>
      </c>
      <c r="CO692">
        <f>'T_TTAFStock'!CM25</f>
        <v/>
      </c>
      <c r="CP692">
        <f>'T_TTAFStock'!CN25</f>
        <v/>
      </c>
      <c r="CQ692">
        <f>'T_TTAFStock'!CO25</f>
        <v/>
      </c>
      <c r="CR692">
        <f>'T_TTAFStock'!CP25</f>
        <v/>
      </c>
      <c r="CS692">
        <f>'T_TTAFStock'!CQ25</f>
        <v/>
      </c>
      <c r="CT692">
        <f>'T_TTAFStock'!CR25</f>
        <v/>
      </c>
      <c r="CU692">
        <f>'T_TTAFStock'!CS25</f>
        <v/>
      </c>
      <c r="CV692">
        <f>'T_TTAFStock'!CT25</f>
        <v/>
      </c>
      <c r="CW692">
        <f>'T_TTAFStock'!CU25</f>
        <v/>
      </c>
      <c r="CX692">
        <f>'T_TTAFStock'!CV25</f>
        <v/>
      </c>
      <c r="CY692">
        <f>'T_TTAFStock'!CW25</f>
        <v/>
      </c>
      <c r="CZ692">
        <f>'T_TTAFStock'!CX25</f>
        <v/>
      </c>
      <c r="DA692">
        <f>'T_TTAFStock'!CY25</f>
        <v/>
      </c>
      <c r="DB692">
        <f>'T_TTAFStock'!CZ25</f>
        <v/>
      </c>
      <c r="DC692">
        <f>'T_TTAFStock'!DA25</f>
        <v/>
      </c>
    </row>
    <row r="693">
      <c r="B693" t="inlineStr">
        <is>
          <t>自社在庫(実績,kg)</t>
        </is>
      </c>
      <c r="D693">
        <f>'T_SelfStock'!B25</f>
        <v/>
      </c>
      <c r="E693">
        <f>'T_SelfStock'!C25</f>
        <v/>
      </c>
      <c r="F693">
        <f>'T_SelfStock'!D25</f>
        <v/>
      </c>
      <c r="G693">
        <f>'T_SelfStock'!E25</f>
        <v/>
      </c>
      <c r="H693">
        <f>'T_SelfStock'!F25</f>
        <v/>
      </c>
      <c r="I693">
        <f>'T_SelfStock'!G25</f>
        <v/>
      </c>
      <c r="J693">
        <f>'T_SelfStock'!H25</f>
        <v/>
      </c>
      <c r="K693">
        <f>'T_SelfStock'!I25</f>
        <v/>
      </c>
      <c r="L693">
        <f>'T_SelfStock'!J25</f>
        <v/>
      </c>
      <c r="M693">
        <f>'T_SelfStock'!K25</f>
        <v/>
      </c>
      <c r="N693">
        <f>'T_SelfStock'!L25</f>
        <v/>
      </c>
      <c r="O693">
        <f>'T_SelfStock'!M25</f>
        <v/>
      </c>
      <c r="P693">
        <f>'T_SelfStock'!N25</f>
        <v/>
      </c>
      <c r="Q693">
        <f>'T_SelfStock'!O25</f>
        <v/>
      </c>
      <c r="R693">
        <f>'T_SelfStock'!P25</f>
        <v/>
      </c>
      <c r="S693">
        <f>'T_SelfStock'!Q25</f>
        <v/>
      </c>
      <c r="T693">
        <f>'T_SelfStock'!R25</f>
        <v/>
      </c>
      <c r="U693">
        <f>'T_SelfStock'!S25</f>
        <v/>
      </c>
      <c r="V693">
        <f>'T_SelfStock'!T25</f>
        <v/>
      </c>
      <c r="W693">
        <f>'T_SelfStock'!U25</f>
        <v/>
      </c>
      <c r="X693">
        <f>'T_SelfStock'!V25</f>
        <v/>
      </c>
      <c r="Y693">
        <f>'T_SelfStock'!W25</f>
        <v/>
      </c>
      <c r="Z693">
        <f>'T_SelfStock'!X25</f>
        <v/>
      </c>
      <c r="AA693">
        <f>'T_SelfStock'!Y25</f>
        <v/>
      </c>
      <c r="AB693">
        <f>'T_SelfStock'!Z25</f>
        <v/>
      </c>
      <c r="AC693">
        <f>'T_SelfStock'!AA25</f>
        <v/>
      </c>
      <c r="AD693">
        <f>'T_SelfStock'!AB25</f>
        <v/>
      </c>
      <c r="AE693">
        <f>'T_SelfStock'!AC25</f>
        <v/>
      </c>
      <c r="AF693">
        <f>'T_SelfStock'!AD25</f>
        <v/>
      </c>
      <c r="AG693">
        <f>'T_SelfStock'!AE25</f>
        <v/>
      </c>
      <c r="AH693">
        <f>'T_SelfStock'!AF25</f>
        <v/>
      </c>
      <c r="AI693">
        <f>'T_SelfStock'!AG25</f>
        <v/>
      </c>
      <c r="AJ693">
        <f>'T_SelfStock'!AH25</f>
        <v/>
      </c>
      <c r="AK693">
        <f>'T_SelfStock'!AI25</f>
        <v/>
      </c>
      <c r="AL693">
        <f>'T_SelfStock'!AJ25</f>
        <v/>
      </c>
      <c r="AM693">
        <f>'T_SelfStock'!AK25</f>
        <v/>
      </c>
      <c r="AN693">
        <f>'T_SelfStock'!AL25</f>
        <v/>
      </c>
      <c r="AO693">
        <f>'T_SelfStock'!AM25</f>
        <v/>
      </c>
      <c r="AP693">
        <f>'T_SelfStock'!AN25</f>
        <v/>
      </c>
      <c r="AQ693">
        <f>'T_SelfStock'!AO25</f>
        <v/>
      </c>
      <c r="AR693">
        <f>'T_SelfStock'!AP25</f>
        <v/>
      </c>
      <c r="AS693">
        <f>'T_SelfStock'!AQ25</f>
        <v/>
      </c>
      <c r="AT693">
        <f>'T_SelfStock'!AR25</f>
        <v/>
      </c>
      <c r="AU693">
        <f>'T_SelfStock'!AS25</f>
        <v/>
      </c>
      <c r="AV693">
        <f>'T_SelfStock'!AT25</f>
        <v/>
      </c>
      <c r="AW693">
        <f>'T_SelfStock'!AU25</f>
        <v/>
      </c>
      <c r="AX693">
        <f>'T_SelfStock'!AV25</f>
        <v/>
      </c>
      <c r="AY693">
        <f>'T_SelfStock'!AW25</f>
        <v/>
      </c>
      <c r="AZ693">
        <f>'T_SelfStock'!AX25</f>
        <v/>
      </c>
      <c r="BA693">
        <f>'T_SelfStock'!AY25</f>
        <v/>
      </c>
      <c r="BB693">
        <f>'T_SelfStock'!AZ25</f>
        <v/>
      </c>
      <c r="BC693">
        <f>'T_SelfStock'!BA25</f>
        <v/>
      </c>
      <c r="BD693">
        <f>'T_SelfStock'!BB25</f>
        <v/>
      </c>
      <c r="BE693">
        <f>'T_SelfStock'!BC25</f>
        <v/>
      </c>
      <c r="BF693">
        <f>'T_SelfStock'!BD25</f>
        <v/>
      </c>
      <c r="BG693">
        <f>'T_SelfStock'!BE25</f>
        <v/>
      </c>
      <c r="BH693">
        <f>'T_SelfStock'!BF25</f>
        <v/>
      </c>
      <c r="BI693">
        <f>'T_SelfStock'!BG25</f>
        <v/>
      </c>
      <c r="BJ693">
        <f>'T_SelfStock'!BH25</f>
        <v/>
      </c>
      <c r="BK693">
        <f>'T_SelfStock'!BI25</f>
        <v/>
      </c>
      <c r="BL693">
        <f>'T_SelfStock'!BJ25</f>
        <v/>
      </c>
      <c r="BM693">
        <f>'T_SelfStock'!BK25</f>
        <v/>
      </c>
      <c r="BN693">
        <f>'T_SelfStock'!BL25</f>
        <v/>
      </c>
      <c r="BO693">
        <f>'T_SelfStock'!BM25</f>
        <v/>
      </c>
      <c r="BP693">
        <f>'T_SelfStock'!BN25</f>
        <v/>
      </c>
      <c r="BQ693">
        <f>'T_SelfStock'!BO25</f>
        <v/>
      </c>
      <c r="BR693">
        <f>'T_SelfStock'!BP25</f>
        <v/>
      </c>
      <c r="BS693">
        <f>'T_SelfStock'!BQ25</f>
        <v/>
      </c>
      <c r="BT693">
        <f>'T_SelfStock'!BR25</f>
        <v/>
      </c>
      <c r="BU693">
        <f>'T_SelfStock'!BS25</f>
        <v/>
      </c>
      <c r="BV693">
        <f>'T_SelfStock'!BT25</f>
        <v/>
      </c>
      <c r="BW693">
        <f>'T_SelfStock'!BU25</f>
        <v/>
      </c>
      <c r="BX693">
        <f>'T_SelfStock'!BV25</f>
        <v/>
      </c>
      <c r="BY693">
        <f>'T_SelfStock'!BW25</f>
        <v/>
      </c>
      <c r="BZ693">
        <f>'T_SelfStock'!BX25</f>
        <v/>
      </c>
      <c r="CA693">
        <f>'T_SelfStock'!BY25</f>
        <v/>
      </c>
      <c r="CB693">
        <f>'T_SelfStock'!BZ25</f>
        <v/>
      </c>
      <c r="CC693">
        <f>'T_SelfStock'!CA25</f>
        <v/>
      </c>
      <c r="CD693">
        <f>'T_SelfStock'!CB25</f>
        <v/>
      </c>
      <c r="CE693">
        <f>'T_SelfStock'!CC25</f>
        <v/>
      </c>
      <c r="CF693">
        <f>'T_SelfStock'!CD25</f>
        <v/>
      </c>
      <c r="CG693">
        <f>'T_SelfStock'!CE25</f>
        <v/>
      </c>
      <c r="CH693">
        <f>'T_SelfStock'!CF25</f>
        <v/>
      </c>
      <c r="CI693">
        <f>'T_SelfStock'!CG25</f>
        <v/>
      </c>
      <c r="CJ693">
        <f>'T_SelfStock'!CH25</f>
        <v/>
      </c>
      <c r="CK693">
        <f>'T_SelfStock'!CI25</f>
        <v/>
      </c>
      <c r="CL693">
        <f>'T_SelfStock'!CJ25</f>
        <v/>
      </c>
      <c r="CM693">
        <f>'T_SelfStock'!CK25</f>
        <v/>
      </c>
      <c r="CN693">
        <f>'T_SelfStock'!CL25</f>
        <v/>
      </c>
      <c r="CO693">
        <f>'T_SelfStock'!CM25</f>
        <v/>
      </c>
      <c r="CP693">
        <f>'T_SelfStock'!CN25</f>
        <v/>
      </c>
      <c r="CQ693">
        <f>'T_SelfStock'!CO25</f>
        <v/>
      </c>
      <c r="CR693">
        <f>'T_SelfStock'!CP25</f>
        <v/>
      </c>
      <c r="CS693">
        <f>'T_SelfStock'!CQ25</f>
        <v/>
      </c>
      <c r="CT693">
        <f>'T_SelfStock'!CR25</f>
        <v/>
      </c>
      <c r="CU693">
        <f>'T_SelfStock'!CS25</f>
        <v/>
      </c>
      <c r="CV693">
        <f>'T_SelfStock'!CT25</f>
        <v/>
      </c>
      <c r="CW693">
        <f>'T_SelfStock'!CU25</f>
        <v/>
      </c>
      <c r="CX693">
        <f>'T_SelfStock'!CV25</f>
        <v/>
      </c>
      <c r="CY693">
        <f>'T_SelfStock'!CW25</f>
        <v/>
      </c>
      <c r="CZ693">
        <f>'T_SelfStock'!CX25</f>
        <v/>
      </c>
      <c r="DA693">
        <f>'T_SelfStock'!CY25</f>
        <v/>
      </c>
      <c r="DB693">
        <f>'T_SelfStock'!CZ25</f>
        <v/>
      </c>
      <c r="DC693">
        <f>'T_SelfStock'!DA25</f>
        <v/>
      </c>
    </row>
    <row r="694">
      <c r="B694" s="4" t="inlineStr">
        <is>
          <t>合計在庫(週末時点,kg)</t>
        </is>
      </c>
      <c r="D694">
        <f>'Grid_Stock'!B21</f>
        <v/>
      </c>
      <c r="E694">
        <f>'Grid_Stock'!C21</f>
        <v/>
      </c>
      <c r="F694">
        <f>'Grid_Stock'!D21</f>
        <v/>
      </c>
      <c r="G694">
        <f>'Grid_Stock'!E21</f>
        <v/>
      </c>
      <c r="H694">
        <f>'Grid_Stock'!F21</f>
        <v/>
      </c>
      <c r="I694">
        <f>'Grid_Stock'!G21</f>
        <v/>
      </c>
      <c r="J694">
        <f>'Grid_Stock'!H21</f>
        <v/>
      </c>
      <c r="K694">
        <f>'Grid_Stock'!I21</f>
        <v/>
      </c>
      <c r="L694">
        <f>'Grid_Stock'!J21</f>
        <v/>
      </c>
      <c r="M694">
        <f>'Grid_Stock'!K21</f>
        <v/>
      </c>
      <c r="N694">
        <f>'Grid_Stock'!L21</f>
        <v/>
      </c>
      <c r="O694">
        <f>'Grid_Stock'!M21</f>
        <v/>
      </c>
      <c r="P694">
        <f>'Grid_Stock'!N21</f>
        <v/>
      </c>
      <c r="Q694">
        <f>'Grid_Stock'!O21</f>
        <v/>
      </c>
      <c r="R694">
        <f>'Grid_Stock'!P21</f>
        <v/>
      </c>
      <c r="S694">
        <f>'Grid_Stock'!Q21</f>
        <v/>
      </c>
      <c r="T694">
        <f>'Grid_Stock'!R21</f>
        <v/>
      </c>
      <c r="U694">
        <f>'Grid_Stock'!S21</f>
        <v/>
      </c>
      <c r="V694">
        <f>'Grid_Stock'!T21</f>
        <v/>
      </c>
      <c r="W694">
        <f>'Grid_Stock'!U21</f>
        <v/>
      </c>
      <c r="X694">
        <f>'Grid_Stock'!V21</f>
        <v/>
      </c>
      <c r="Y694">
        <f>'Grid_Stock'!W21</f>
        <v/>
      </c>
      <c r="Z694">
        <f>'Grid_Stock'!X21</f>
        <v/>
      </c>
      <c r="AA694">
        <f>'Grid_Stock'!Y21</f>
        <v/>
      </c>
      <c r="AB694">
        <f>'Grid_Stock'!Z21</f>
        <v/>
      </c>
      <c r="AC694">
        <f>'Grid_Stock'!AA21</f>
        <v/>
      </c>
      <c r="AD694">
        <f>'Grid_Stock'!AB21</f>
        <v/>
      </c>
      <c r="AE694">
        <f>'Grid_Stock'!AC21</f>
        <v/>
      </c>
      <c r="AF694">
        <f>'Grid_Stock'!AD21</f>
        <v/>
      </c>
      <c r="AG694">
        <f>'Grid_Stock'!AE21</f>
        <v/>
      </c>
      <c r="AH694">
        <f>'Grid_Stock'!AF21</f>
        <v/>
      </c>
      <c r="AI694">
        <f>'Grid_Stock'!AG21</f>
        <v/>
      </c>
      <c r="AJ694">
        <f>'Grid_Stock'!AH21</f>
        <v/>
      </c>
      <c r="AK694">
        <f>'Grid_Stock'!AI21</f>
        <v/>
      </c>
      <c r="AL694">
        <f>'Grid_Stock'!AJ21</f>
        <v/>
      </c>
      <c r="AM694">
        <f>'Grid_Stock'!AK21</f>
        <v/>
      </c>
      <c r="AN694">
        <f>'Grid_Stock'!AL21</f>
        <v/>
      </c>
      <c r="AO694">
        <f>'Grid_Stock'!AM21</f>
        <v/>
      </c>
      <c r="AP694">
        <f>'Grid_Stock'!AN21</f>
        <v/>
      </c>
      <c r="AQ694">
        <f>'Grid_Stock'!AO21</f>
        <v/>
      </c>
      <c r="AR694">
        <f>'Grid_Stock'!AP21</f>
        <v/>
      </c>
      <c r="AS694">
        <f>'Grid_Stock'!AQ21</f>
        <v/>
      </c>
      <c r="AT694">
        <f>'Grid_Stock'!AR21</f>
        <v/>
      </c>
      <c r="AU694">
        <f>'Grid_Stock'!AS21</f>
        <v/>
      </c>
      <c r="AV694">
        <f>'Grid_Stock'!AT21</f>
        <v/>
      </c>
      <c r="AW694">
        <f>'Grid_Stock'!AU21</f>
        <v/>
      </c>
      <c r="AX694">
        <f>'Grid_Stock'!AV21</f>
        <v/>
      </c>
      <c r="AY694">
        <f>'Grid_Stock'!AW21</f>
        <v/>
      </c>
      <c r="AZ694">
        <f>'Grid_Stock'!AX21</f>
        <v/>
      </c>
      <c r="BA694">
        <f>'Grid_Stock'!AY21</f>
        <v/>
      </c>
      <c r="BB694">
        <f>'Grid_Stock'!AZ21</f>
        <v/>
      </c>
      <c r="BC694">
        <f>'Grid_Stock'!BA21</f>
        <v/>
      </c>
      <c r="BD694">
        <f>'Grid_Stock'!BB21</f>
        <v/>
      </c>
      <c r="BE694">
        <f>'Grid_Stock'!BC21</f>
        <v/>
      </c>
      <c r="BF694">
        <f>'Grid_Stock'!BD21</f>
        <v/>
      </c>
      <c r="BG694">
        <f>'Grid_Stock'!BE21</f>
        <v/>
      </c>
      <c r="BH694">
        <f>'Grid_Stock'!BF21</f>
        <v/>
      </c>
      <c r="BI694">
        <f>'Grid_Stock'!BG21</f>
        <v/>
      </c>
      <c r="BJ694">
        <f>'Grid_Stock'!BH21</f>
        <v/>
      </c>
      <c r="BK694">
        <f>'Grid_Stock'!BI21</f>
        <v/>
      </c>
      <c r="BL694">
        <f>'Grid_Stock'!BJ21</f>
        <v/>
      </c>
      <c r="BM694">
        <f>'Grid_Stock'!BK21</f>
        <v/>
      </c>
      <c r="BN694">
        <f>'Grid_Stock'!BL21</f>
        <v/>
      </c>
      <c r="BO694">
        <f>'Grid_Stock'!BM21</f>
        <v/>
      </c>
      <c r="BP694">
        <f>'Grid_Stock'!BN21</f>
        <v/>
      </c>
      <c r="BQ694">
        <f>'Grid_Stock'!BO21</f>
        <v/>
      </c>
      <c r="BR694">
        <f>'Grid_Stock'!BP21</f>
        <v/>
      </c>
      <c r="BS694">
        <f>'Grid_Stock'!BQ21</f>
        <v/>
      </c>
      <c r="BT694">
        <f>'Grid_Stock'!BR21</f>
        <v/>
      </c>
      <c r="BU694">
        <f>'Grid_Stock'!BS21</f>
        <v/>
      </c>
      <c r="BV694">
        <f>'Grid_Stock'!BT21</f>
        <v/>
      </c>
      <c r="BW694">
        <f>'Grid_Stock'!BU21</f>
        <v/>
      </c>
      <c r="BX694">
        <f>'Grid_Stock'!BV21</f>
        <v/>
      </c>
      <c r="BY694">
        <f>'Grid_Stock'!BW21</f>
        <v/>
      </c>
      <c r="BZ694">
        <f>'Grid_Stock'!BX21</f>
        <v/>
      </c>
      <c r="CA694">
        <f>'Grid_Stock'!BY21</f>
        <v/>
      </c>
      <c r="CB694">
        <f>'Grid_Stock'!BZ21</f>
        <v/>
      </c>
      <c r="CC694">
        <f>'Grid_Stock'!CA21</f>
        <v/>
      </c>
      <c r="CD694">
        <f>'Grid_Stock'!CB21</f>
        <v/>
      </c>
      <c r="CE694">
        <f>'Grid_Stock'!CC21</f>
        <v/>
      </c>
      <c r="CF694">
        <f>'Grid_Stock'!CD21</f>
        <v/>
      </c>
      <c r="CG694">
        <f>'Grid_Stock'!CE21</f>
        <v/>
      </c>
      <c r="CH694">
        <f>'Grid_Stock'!CF21</f>
        <v/>
      </c>
      <c r="CI694">
        <f>'Grid_Stock'!CG21</f>
        <v/>
      </c>
      <c r="CJ694">
        <f>'Grid_Stock'!CH21</f>
        <v/>
      </c>
      <c r="CK694">
        <f>'Grid_Stock'!CI21</f>
        <v/>
      </c>
      <c r="CL694">
        <f>'Grid_Stock'!CJ21</f>
        <v/>
      </c>
      <c r="CM694">
        <f>'Grid_Stock'!CK21</f>
        <v/>
      </c>
      <c r="CN694">
        <f>'Grid_Stock'!CL21</f>
        <v/>
      </c>
      <c r="CO694">
        <f>'Grid_Stock'!CM21</f>
        <v/>
      </c>
      <c r="CP694">
        <f>'Grid_Stock'!CN21</f>
        <v/>
      </c>
      <c r="CQ694">
        <f>'Grid_Stock'!CO21</f>
        <v/>
      </c>
      <c r="CR694">
        <f>'Grid_Stock'!CP21</f>
        <v/>
      </c>
      <c r="CS694">
        <f>'Grid_Stock'!CQ21</f>
        <v/>
      </c>
      <c r="CT694">
        <f>'Grid_Stock'!CR21</f>
        <v/>
      </c>
      <c r="CU694">
        <f>'Grid_Stock'!CS21</f>
        <v/>
      </c>
      <c r="CV694">
        <f>'Grid_Stock'!CT21</f>
        <v/>
      </c>
      <c r="CW694">
        <f>'Grid_Stock'!CU21</f>
        <v/>
      </c>
      <c r="CX694">
        <f>'Grid_Stock'!CV21</f>
        <v/>
      </c>
      <c r="CY694">
        <f>'Grid_Stock'!CW21</f>
        <v/>
      </c>
      <c r="CZ694">
        <f>'Grid_Stock'!CX21</f>
        <v/>
      </c>
      <c r="DA694">
        <f>'Grid_Stock'!CY21</f>
        <v/>
      </c>
      <c r="DB694">
        <f>'Grid_Stock'!CZ21</f>
        <v/>
      </c>
      <c r="DC694">
        <f>'Grid_Stock'!DA21</f>
        <v/>
      </c>
    </row>
    <row r="695">
      <c r="B695" s="16" t="inlineStr">
        <is>
          <t>（発注の目安はDashboardの基準在庫[下限/上限]と色分けを参照）</t>
        </is>
      </c>
    </row>
    <row r="697">
      <c r="A697" s="14" t="inlineStr">
        <is>
          <t>CHEM-1560</t>
        </is>
      </c>
      <c r="B697" s="14" t="inlineStr">
        <is>
          <t>TPZ-511</t>
        </is>
      </c>
      <c r="C697" s="15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  <c r="AA697" s="14" t="n"/>
      <c r="AB697" s="14" t="n"/>
      <c r="AC697" s="14" t="n"/>
      <c r="AD697" s="14" t="n"/>
      <c r="AE697" s="14" t="n"/>
      <c r="AF697" s="14" t="n"/>
      <c r="AG697" s="14" t="n"/>
      <c r="AH697" s="14" t="n"/>
      <c r="AI697" s="14" t="n"/>
      <c r="AJ697" s="14" t="n"/>
      <c r="AK697" s="14" t="n"/>
      <c r="AL697" s="14" t="n"/>
      <c r="AM697" s="14" t="n"/>
      <c r="AN697" s="14" t="n"/>
      <c r="AO697" s="14" t="n"/>
      <c r="AP697" s="14" t="n"/>
      <c r="AQ697" s="14" t="n"/>
      <c r="AR697" s="14" t="n"/>
      <c r="AS697" s="14" t="n"/>
      <c r="AT697" s="14" t="n"/>
      <c r="AU697" s="14" t="n"/>
      <c r="AV697" s="14" t="n"/>
      <c r="AW697" s="14" t="n"/>
      <c r="AX697" s="14" t="n"/>
      <c r="AY697" s="14" t="n"/>
      <c r="AZ697" s="14" t="n"/>
      <c r="BA697" s="14" t="n"/>
      <c r="BB697" s="14" t="n"/>
      <c r="BC697" s="14" t="n"/>
      <c r="BD697" s="14" t="n"/>
      <c r="BE697" s="14" t="n"/>
      <c r="BF697" s="14" t="n"/>
      <c r="BG697" s="14" t="n"/>
      <c r="BH697" s="14" t="n"/>
      <c r="BI697" s="14" t="n"/>
      <c r="BJ697" s="14" t="n"/>
      <c r="BK697" s="14" t="n"/>
      <c r="BL697" s="14" t="n"/>
      <c r="BM697" s="14" t="n"/>
      <c r="BN697" s="14" t="n"/>
      <c r="BO697" s="14" t="n"/>
      <c r="BP697" s="14" t="n"/>
      <c r="BQ697" s="14" t="n"/>
      <c r="BR697" s="14" t="n"/>
      <c r="BS697" s="14" t="n"/>
      <c r="BT697" s="14" t="n"/>
      <c r="BU697" s="14" t="n"/>
      <c r="BV697" s="14" t="n"/>
      <c r="BW697" s="14" t="n"/>
      <c r="BX697" s="14" t="n"/>
      <c r="BY697" s="14" t="n"/>
      <c r="BZ697" s="14" t="n"/>
      <c r="CA697" s="14" t="n"/>
      <c r="CB697" s="14" t="n"/>
      <c r="CC697" s="14" t="n"/>
      <c r="CD697" s="14" t="n"/>
      <c r="CE697" s="14" t="n"/>
      <c r="CF697" s="14" t="n"/>
      <c r="CG697" s="14" t="n"/>
      <c r="CH697" s="14" t="n"/>
      <c r="CI697" s="14" t="n"/>
      <c r="CJ697" s="14" t="n"/>
      <c r="CK697" s="14" t="n"/>
      <c r="CL697" s="14" t="n"/>
      <c r="CM697" s="14" t="n"/>
      <c r="CN697" s="14" t="n"/>
      <c r="CO697" s="14" t="n"/>
      <c r="CP697" s="14" t="n"/>
      <c r="CQ697" s="14" t="n"/>
      <c r="CR697" s="14" t="n"/>
      <c r="CS697" s="14" t="n"/>
      <c r="CT697" s="14" t="n"/>
      <c r="CU697" s="14" t="n"/>
      <c r="CV697" s="14" t="n"/>
      <c r="CW697" s="14" t="n"/>
      <c r="CX697" s="14" t="n"/>
      <c r="CY697" s="14" t="n"/>
      <c r="CZ697" s="14" t="n"/>
      <c r="DA697" s="14" t="n"/>
      <c r="DB697" s="14" t="n"/>
      <c r="DC697" s="14" t="n"/>
    </row>
    <row r="698">
      <c r="B698" t="inlineStr">
        <is>
          <t>TSP-360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Name],$A697)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TSP-544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Name],$A697)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TSP-710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7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Name],$A697)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s="4" t="inlineStr">
        <is>
          <t>合計使用量(kg)/週</t>
        </is>
      </c>
      <c r="D704">
        <f>'Grid_Requirement'!B34</f>
        <v/>
      </c>
      <c r="E704">
        <f>'Grid_Requirement'!C34</f>
        <v/>
      </c>
      <c r="F704">
        <f>'Grid_Requirement'!D34</f>
        <v/>
      </c>
      <c r="G704">
        <f>'Grid_Requirement'!E34</f>
        <v/>
      </c>
      <c r="H704">
        <f>'Grid_Requirement'!F34</f>
        <v/>
      </c>
      <c r="I704">
        <f>'Grid_Requirement'!G34</f>
        <v/>
      </c>
      <c r="J704">
        <f>'Grid_Requirement'!H34</f>
        <v/>
      </c>
      <c r="K704">
        <f>'Grid_Requirement'!I34</f>
        <v/>
      </c>
      <c r="L704">
        <f>'Grid_Requirement'!J34</f>
        <v/>
      </c>
      <c r="M704">
        <f>'Grid_Requirement'!K34</f>
        <v/>
      </c>
      <c r="N704">
        <f>'Grid_Requirement'!L34</f>
        <v/>
      </c>
      <c r="O704">
        <f>'Grid_Requirement'!M34</f>
        <v/>
      </c>
      <c r="P704">
        <f>'Grid_Requirement'!N34</f>
        <v/>
      </c>
      <c r="Q704">
        <f>'Grid_Requirement'!O34</f>
        <v/>
      </c>
      <c r="R704">
        <f>'Grid_Requirement'!P34</f>
        <v/>
      </c>
      <c r="S704">
        <f>'Grid_Requirement'!Q34</f>
        <v/>
      </c>
      <c r="T704">
        <f>'Grid_Requirement'!R34</f>
        <v/>
      </c>
      <c r="U704">
        <f>'Grid_Requirement'!S34</f>
        <v/>
      </c>
      <c r="V704">
        <f>'Grid_Requirement'!T34</f>
        <v/>
      </c>
      <c r="W704">
        <f>'Grid_Requirement'!U34</f>
        <v/>
      </c>
      <c r="X704">
        <f>'Grid_Requirement'!V34</f>
        <v/>
      </c>
      <c r="Y704">
        <f>'Grid_Requirement'!W34</f>
        <v/>
      </c>
      <c r="Z704">
        <f>'Grid_Requirement'!X34</f>
        <v/>
      </c>
      <c r="AA704">
        <f>'Grid_Requirement'!Y34</f>
        <v/>
      </c>
      <c r="AB704">
        <f>'Grid_Requirement'!Z34</f>
        <v/>
      </c>
      <c r="AC704">
        <f>'Grid_Requirement'!AA34</f>
        <v/>
      </c>
      <c r="AD704">
        <f>'Grid_Requirement'!AB34</f>
        <v/>
      </c>
      <c r="AE704">
        <f>'Grid_Requirement'!AC34</f>
        <v/>
      </c>
      <c r="AF704">
        <f>'Grid_Requirement'!AD34</f>
        <v/>
      </c>
      <c r="AG704">
        <f>'Grid_Requirement'!AE34</f>
        <v/>
      </c>
      <c r="AH704">
        <f>'Grid_Requirement'!AF34</f>
        <v/>
      </c>
      <c r="AI704">
        <f>'Grid_Requirement'!AG34</f>
        <v/>
      </c>
      <c r="AJ704">
        <f>'Grid_Requirement'!AH34</f>
        <v/>
      </c>
      <c r="AK704">
        <f>'Grid_Requirement'!AI34</f>
        <v/>
      </c>
      <c r="AL704">
        <f>'Grid_Requirement'!AJ34</f>
        <v/>
      </c>
      <c r="AM704">
        <f>'Grid_Requirement'!AK34</f>
        <v/>
      </c>
      <c r="AN704">
        <f>'Grid_Requirement'!AL34</f>
        <v/>
      </c>
      <c r="AO704">
        <f>'Grid_Requirement'!AM34</f>
        <v/>
      </c>
      <c r="AP704">
        <f>'Grid_Requirement'!AN34</f>
        <v/>
      </c>
      <c r="AQ704">
        <f>'Grid_Requirement'!AO34</f>
        <v/>
      </c>
      <c r="AR704">
        <f>'Grid_Requirement'!AP34</f>
        <v/>
      </c>
      <c r="AS704">
        <f>'Grid_Requirement'!AQ34</f>
        <v/>
      </c>
      <c r="AT704">
        <f>'Grid_Requirement'!AR34</f>
        <v/>
      </c>
      <c r="AU704">
        <f>'Grid_Requirement'!AS34</f>
        <v/>
      </c>
      <c r="AV704">
        <f>'Grid_Requirement'!AT34</f>
        <v/>
      </c>
      <c r="AW704">
        <f>'Grid_Requirement'!AU34</f>
        <v/>
      </c>
      <c r="AX704">
        <f>'Grid_Requirement'!AV34</f>
        <v/>
      </c>
      <c r="AY704">
        <f>'Grid_Requirement'!AW34</f>
        <v/>
      </c>
      <c r="AZ704">
        <f>'Grid_Requirement'!AX34</f>
        <v/>
      </c>
      <c r="BA704">
        <f>'Grid_Requirement'!AY34</f>
        <v/>
      </c>
      <c r="BB704">
        <f>'Grid_Requirement'!AZ34</f>
        <v/>
      </c>
      <c r="BC704">
        <f>'Grid_Requirement'!BA34</f>
        <v/>
      </c>
      <c r="BD704">
        <f>'Grid_Requirement'!BB34</f>
        <v/>
      </c>
      <c r="BE704">
        <f>'Grid_Requirement'!BC34</f>
        <v/>
      </c>
      <c r="BF704">
        <f>'Grid_Requirement'!BD34</f>
        <v/>
      </c>
      <c r="BG704">
        <f>'Grid_Requirement'!BE34</f>
        <v/>
      </c>
      <c r="BH704">
        <f>'Grid_Requirement'!BF34</f>
        <v/>
      </c>
      <c r="BI704">
        <f>'Grid_Requirement'!BG34</f>
        <v/>
      </c>
      <c r="BJ704">
        <f>'Grid_Requirement'!BH34</f>
        <v/>
      </c>
      <c r="BK704">
        <f>'Grid_Requirement'!BI34</f>
        <v/>
      </c>
      <c r="BL704">
        <f>'Grid_Requirement'!BJ34</f>
        <v/>
      </c>
      <c r="BM704">
        <f>'Grid_Requirement'!BK34</f>
        <v/>
      </c>
      <c r="BN704">
        <f>'Grid_Requirement'!BL34</f>
        <v/>
      </c>
      <c r="BO704">
        <f>'Grid_Requirement'!BM34</f>
        <v/>
      </c>
      <c r="BP704">
        <f>'Grid_Requirement'!BN34</f>
        <v/>
      </c>
      <c r="BQ704">
        <f>'Grid_Requirement'!BO34</f>
        <v/>
      </c>
      <c r="BR704">
        <f>'Grid_Requirement'!BP34</f>
        <v/>
      </c>
      <c r="BS704">
        <f>'Grid_Requirement'!BQ34</f>
        <v/>
      </c>
      <c r="BT704">
        <f>'Grid_Requirement'!BR34</f>
        <v/>
      </c>
      <c r="BU704">
        <f>'Grid_Requirement'!BS34</f>
        <v/>
      </c>
      <c r="BV704">
        <f>'Grid_Requirement'!BT34</f>
        <v/>
      </c>
      <c r="BW704">
        <f>'Grid_Requirement'!BU34</f>
        <v/>
      </c>
      <c r="BX704">
        <f>'Grid_Requirement'!BV34</f>
        <v/>
      </c>
      <c r="BY704">
        <f>'Grid_Requirement'!BW34</f>
        <v/>
      </c>
      <c r="BZ704">
        <f>'Grid_Requirement'!BX34</f>
        <v/>
      </c>
      <c r="CA704">
        <f>'Grid_Requirement'!BY34</f>
        <v/>
      </c>
      <c r="CB704">
        <f>'Grid_Requirement'!BZ34</f>
        <v/>
      </c>
      <c r="CC704">
        <f>'Grid_Requirement'!CA34</f>
        <v/>
      </c>
      <c r="CD704">
        <f>'Grid_Requirement'!CB34</f>
        <v/>
      </c>
      <c r="CE704">
        <f>'Grid_Requirement'!CC34</f>
        <v/>
      </c>
      <c r="CF704">
        <f>'Grid_Requirement'!CD34</f>
        <v/>
      </c>
      <c r="CG704">
        <f>'Grid_Requirement'!CE34</f>
        <v/>
      </c>
      <c r="CH704">
        <f>'Grid_Requirement'!CF34</f>
        <v/>
      </c>
      <c r="CI704">
        <f>'Grid_Requirement'!CG34</f>
        <v/>
      </c>
      <c r="CJ704">
        <f>'Grid_Requirement'!CH34</f>
        <v/>
      </c>
      <c r="CK704">
        <f>'Grid_Requirement'!CI34</f>
        <v/>
      </c>
      <c r="CL704">
        <f>'Grid_Requirement'!CJ34</f>
        <v/>
      </c>
      <c r="CM704">
        <f>'Grid_Requirement'!CK34</f>
        <v/>
      </c>
      <c r="CN704">
        <f>'Grid_Requirement'!CL34</f>
        <v/>
      </c>
      <c r="CO704">
        <f>'Grid_Requirement'!CM34</f>
        <v/>
      </c>
      <c r="CP704">
        <f>'Grid_Requirement'!CN34</f>
        <v/>
      </c>
      <c r="CQ704">
        <f>'Grid_Requirement'!CO34</f>
        <v/>
      </c>
      <c r="CR704">
        <f>'Grid_Requirement'!CP34</f>
        <v/>
      </c>
      <c r="CS704">
        <f>'Grid_Requirement'!CQ34</f>
        <v/>
      </c>
      <c r="CT704">
        <f>'Grid_Requirement'!CR34</f>
        <v/>
      </c>
      <c r="CU704">
        <f>'Grid_Requirement'!CS34</f>
        <v/>
      </c>
      <c r="CV704">
        <f>'Grid_Requirement'!CT34</f>
        <v/>
      </c>
      <c r="CW704">
        <f>'Grid_Requirement'!CU34</f>
        <v/>
      </c>
      <c r="CX704">
        <f>'Grid_Requirement'!CV34</f>
        <v/>
      </c>
      <c r="CY704">
        <f>'Grid_Requirement'!CW34</f>
        <v/>
      </c>
      <c r="CZ704">
        <f>'Grid_Requirement'!CX34</f>
        <v/>
      </c>
      <c r="DA704">
        <f>'Grid_Requirement'!CY34</f>
        <v/>
      </c>
      <c r="DB704">
        <f>'Grid_Requirement'!CZ34</f>
        <v/>
      </c>
      <c r="DC704">
        <f>'Grid_Requirement'!DA34</f>
        <v/>
      </c>
    </row>
    <row r="705">
      <c r="B705" t="inlineStr">
        <is>
          <t>TTAF在庫(実績,kg)</t>
        </is>
      </c>
      <c r="D705">
        <f>'T_TTAFStock'!B38</f>
        <v/>
      </c>
      <c r="E705">
        <f>'T_TTAFStock'!C38</f>
        <v/>
      </c>
      <c r="F705">
        <f>'T_TTAFStock'!D38</f>
        <v/>
      </c>
      <c r="G705">
        <f>'T_TTAFStock'!E38</f>
        <v/>
      </c>
      <c r="H705">
        <f>'T_TTAFStock'!F38</f>
        <v/>
      </c>
      <c r="I705">
        <f>'T_TTAFStock'!G38</f>
        <v/>
      </c>
      <c r="J705">
        <f>'T_TTAFStock'!H38</f>
        <v/>
      </c>
      <c r="K705">
        <f>'T_TTAFStock'!I38</f>
        <v/>
      </c>
      <c r="L705">
        <f>'T_TTAFStock'!J38</f>
        <v/>
      </c>
      <c r="M705">
        <f>'T_TTAFStock'!K38</f>
        <v/>
      </c>
      <c r="N705">
        <f>'T_TTAFStock'!L38</f>
        <v/>
      </c>
      <c r="O705">
        <f>'T_TTAFStock'!M38</f>
        <v/>
      </c>
      <c r="P705">
        <f>'T_TTAFStock'!N38</f>
        <v/>
      </c>
      <c r="Q705">
        <f>'T_TTAFStock'!O38</f>
        <v/>
      </c>
      <c r="R705">
        <f>'T_TTAFStock'!P38</f>
        <v/>
      </c>
      <c r="S705">
        <f>'T_TTAFStock'!Q38</f>
        <v/>
      </c>
      <c r="T705">
        <f>'T_TTAFStock'!R38</f>
        <v/>
      </c>
      <c r="U705">
        <f>'T_TTAFStock'!S38</f>
        <v/>
      </c>
      <c r="V705">
        <f>'T_TTAFStock'!T38</f>
        <v/>
      </c>
      <c r="W705">
        <f>'T_TTAFStock'!U38</f>
        <v/>
      </c>
      <c r="X705">
        <f>'T_TTAFStock'!V38</f>
        <v/>
      </c>
      <c r="Y705">
        <f>'T_TTAFStock'!W38</f>
        <v/>
      </c>
      <c r="Z705">
        <f>'T_TTAFStock'!X38</f>
        <v/>
      </c>
      <c r="AA705">
        <f>'T_TTAFStock'!Y38</f>
        <v/>
      </c>
      <c r="AB705">
        <f>'T_TTAFStock'!Z38</f>
        <v/>
      </c>
      <c r="AC705">
        <f>'T_TTAFStock'!AA38</f>
        <v/>
      </c>
      <c r="AD705">
        <f>'T_TTAFStock'!AB38</f>
        <v/>
      </c>
      <c r="AE705">
        <f>'T_TTAFStock'!AC38</f>
        <v/>
      </c>
      <c r="AF705">
        <f>'T_TTAFStock'!AD38</f>
        <v/>
      </c>
      <c r="AG705">
        <f>'T_TTAFStock'!AE38</f>
        <v/>
      </c>
      <c r="AH705">
        <f>'T_TTAFStock'!AF38</f>
        <v/>
      </c>
      <c r="AI705">
        <f>'T_TTAFStock'!AG38</f>
        <v/>
      </c>
      <c r="AJ705">
        <f>'T_TTAFStock'!AH38</f>
        <v/>
      </c>
      <c r="AK705">
        <f>'T_TTAFStock'!AI38</f>
        <v/>
      </c>
      <c r="AL705">
        <f>'T_TTAFStock'!AJ38</f>
        <v/>
      </c>
      <c r="AM705">
        <f>'T_TTAFStock'!AK38</f>
        <v/>
      </c>
      <c r="AN705">
        <f>'T_TTAFStock'!AL38</f>
        <v/>
      </c>
      <c r="AO705">
        <f>'T_TTAFStock'!AM38</f>
        <v/>
      </c>
      <c r="AP705">
        <f>'T_TTAFStock'!AN38</f>
        <v/>
      </c>
      <c r="AQ705">
        <f>'T_TTAFStock'!AO38</f>
        <v/>
      </c>
      <c r="AR705">
        <f>'T_TTAFStock'!AP38</f>
        <v/>
      </c>
      <c r="AS705">
        <f>'T_TTAFStock'!AQ38</f>
        <v/>
      </c>
      <c r="AT705">
        <f>'T_TTAFStock'!AR38</f>
        <v/>
      </c>
      <c r="AU705">
        <f>'T_TTAFStock'!AS38</f>
        <v/>
      </c>
      <c r="AV705">
        <f>'T_TTAFStock'!AT38</f>
        <v/>
      </c>
      <c r="AW705">
        <f>'T_TTAFStock'!AU38</f>
        <v/>
      </c>
      <c r="AX705">
        <f>'T_TTAFStock'!AV38</f>
        <v/>
      </c>
      <c r="AY705">
        <f>'T_TTAFStock'!AW38</f>
        <v/>
      </c>
      <c r="AZ705">
        <f>'T_TTAFStock'!AX38</f>
        <v/>
      </c>
      <c r="BA705">
        <f>'T_TTAFStock'!AY38</f>
        <v/>
      </c>
      <c r="BB705">
        <f>'T_TTAFStock'!AZ38</f>
        <v/>
      </c>
      <c r="BC705">
        <f>'T_TTAFStock'!BA38</f>
        <v/>
      </c>
      <c r="BD705">
        <f>'T_TTAFStock'!BB38</f>
        <v/>
      </c>
      <c r="BE705">
        <f>'T_TTAFStock'!BC38</f>
        <v/>
      </c>
      <c r="BF705">
        <f>'T_TTAFStock'!BD38</f>
        <v/>
      </c>
      <c r="BG705">
        <f>'T_TTAFStock'!BE38</f>
        <v/>
      </c>
      <c r="BH705">
        <f>'T_TTAFStock'!BF38</f>
        <v/>
      </c>
      <c r="BI705">
        <f>'T_TTAFStock'!BG38</f>
        <v/>
      </c>
      <c r="BJ705">
        <f>'T_TTAFStock'!BH38</f>
        <v/>
      </c>
      <c r="BK705">
        <f>'T_TTAFStock'!BI38</f>
        <v/>
      </c>
      <c r="BL705">
        <f>'T_TTAFStock'!BJ38</f>
        <v/>
      </c>
      <c r="BM705">
        <f>'T_TTAFStock'!BK38</f>
        <v/>
      </c>
      <c r="BN705">
        <f>'T_TTAFStock'!BL38</f>
        <v/>
      </c>
      <c r="BO705">
        <f>'T_TTAFStock'!BM38</f>
        <v/>
      </c>
      <c r="BP705">
        <f>'T_TTAFStock'!BN38</f>
        <v/>
      </c>
      <c r="BQ705">
        <f>'T_TTAFStock'!BO38</f>
        <v/>
      </c>
      <c r="BR705">
        <f>'T_TTAFStock'!BP38</f>
        <v/>
      </c>
      <c r="BS705">
        <f>'T_TTAFStock'!BQ38</f>
        <v/>
      </c>
      <c r="BT705">
        <f>'T_TTAFStock'!BR38</f>
        <v/>
      </c>
      <c r="BU705">
        <f>'T_TTAFStock'!BS38</f>
        <v/>
      </c>
      <c r="BV705">
        <f>'T_TTAFStock'!BT38</f>
        <v/>
      </c>
      <c r="BW705">
        <f>'T_TTAFStock'!BU38</f>
        <v/>
      </c>
      <c r="BX705">
        <f>'T_TTAFStock'!BV38</f>
        <v/>
      </c>
      <c r="BY705">
        <f>'T_TTAFStock'!BW38</f>
        <v/>
      </c>
      <c r="BZ705">
        <f>'T_TTAFStock'!BX38</f>
        <v/>
      </c>
      <c r="CA705">
        <f>'T_TTAFStock'!BY38</f>
        <v/>
      </c>
      <c r="CB705">
        <f>'T_TTAFStock'!BZ38</f>
        <v/>
      </c>
      <c r="CC705">
        <f>'T_TTAFStock'!CA38</f>
        <v/>
      </c>
      <c r="CD705">
        <f>'T_TTAFStock'!CB38</f>
        <v/>
      </c>
      <c r="CE705">
        <f>'T_TTAFStock'!CC38</f>
        <v/>
      </c>
      <c r="CF705">
        <f>'T_TTAFStock'!CD38</f>
        <v/>
      </c>
      <c r="CG705">
        <f>'T_TTAFStock'!CE38</f>
        <v/>
      </c>
      <c r="CH705">
        <f>'T_TTAFStock'!CF38</f>
        <v/>
      </c>
      <c r="CI705">
        <f>'T_TTAFStock'!CG38</f>
        <v/>
      </c>
      <c r="CJ705">
        <f>'T_TTAFStock'!CH38</f>
        <v/>
      </c>
      <c r="CK705">
        <f>'T_TTAFStock'!CI38</f>
        <v/>
      </c>
      <c r="CL705">
        <f>'T_TTAFStock'!CJ38</f>
        <v/>
      </c>
      <c r="CM705">
        <f>'T_TTAFStock'!CK38</f>
        <v/>
      </c>
      <c r="CN705">
        <f>'T_TTAFStock'!CL38</f>
        <v/>
      </c>
      <c r="CO705">
        <f>'T_TTAFStock'!CM38</f>
        <v/>
      </c>
      <c r="CP705">
        <f>'T_TTAFStock'!CN38</f>
        <v/>
      </c>
      <c r="CQ705">
        <f>'T_TTAFStock'!CO38</f>
        <v/>
      </c>
      <c r="CR705">
        <f>'T_TTAFStock'!CP38</f>
        <v/>
      </c>
      <c r="CS705">
        <f>'T_TTAFStock'!CQ38</f>
        <v/>
      </c>
      <c r="CT705">
        <f>'T_TTAFStock'!CR38</f>
        <v/>
      </c>
      <c r="CU705">
        <f>'T_TTAFStock'!CS38</f>
        <v/>
      </c>
      <c r="CV705">
        <f>'T_TTAFStock'!CT38</f>
        <v/>
      </c>
      <c r="CW705">
        <f>'T_TTAFStock'!CU38</f>
        <v/>
      </c>
      <c r="CX705">
        <f>'T_TTAFStock'!CV38</f>
        <v/>
      </c>
      <c r="CY705">
        <f>'T_TTAFStock'!CW38</f>
        <v/>
      </c>
      <c r="CZ705">
        <f>'T_TTAFStock'!CX38</f>
        <v/>
      </c>
      <c r="DA705">
        <f>'T_TTAFStock'!CY38</f>
        <v/>
      </c>
      <c r="DB705">
        <f>'T_TTAFStock'!CZ38</f>
        <v/>
      </c>
      <c r="DC705">
        <f>'T_TTAFStock'!DA38</f>
        <v/>
      </c>
    </row>
    <row r="706">
      <c r="B706" t="inlineStr">
        <is>
          <t>自社在庫(実績,kg)</t>
        </is>
      </c>
      <c r="D706">
        <f>'T_SelfStock'!B38</f>
        <v/>
      </c>
      <c r="E706">
        <f>'T_SelfStock'!C38</f>
        <v/>
      </c>
      <c r="F706">
        <f>'T_SelfStock'!D38</f>
        <v/>
      </c>
      <c r="G706">
        <f>'T_SelfStock'!E38</f>
        <v/>
      </c>
      <c r="H706">
        <f>'T_SelfStock'!F38</f>
        <v/>
      </c>
      <c r="I706">
        <f>'T_SelfStock'!G38</f>
        <v/>
      </c>
      <c r="J706">
        <f>'T_SelfStock'!H38</f>
        <v/>
      </c>
      <c r="K706">
        <f>'T_SelfStock'!I38</f>
        <v/>
      </c>
      <c r="L706">
        <f>'T_SelfStock'!J38</f>
        <v/>
      </c>
      <c r="M706">
        <f>'T_SelfStock'!K38</f>
        <v/>
      </c>
      <c r="N706">
        <f>'T_SelfStock'!L38</f>
        <v/>
      </c>
      <c r="O706">
        <f>'T_SelfStock'!M38</f>
        <v/>
      </c>
      <c r="P706">
        <f>'T_SelfStock'!N38</f>
        <v/>
      </c>
      <c r="Q706">
        <f>'T_SelfStock'!O38</f>
        <v/>
      </c>
      <c r="R706">
        <f>'T_SelfStock'!P38</f>
        <v/>
      </c>
      <c r="S706">
        <f>'T_SelfStock'!Q38</f>
        <v/>
      </c>
      <c r="T706">
        <f>'T_SelfStock'!R38</f>
        <v/>
      </c>
      <c r="U706">
        <f>'T_SelfStock'!S38</f>
        <v/>
      </c>
      <c r="V706">
        <f>'T_SelfStock'!T38</f>
        <v/>
      </c>
      <c r="W706">
        <f>'T_SelfStock'!U38</f>
        <v/>
      </c>
      <c r="X706">
        <f>'T_SelfStock'!V38</f>
        <v/>
      </c>
      <c r="Y706">
        <f>'T_SelfStock'!W38</f>
        <v/>
      </c>
      <c r="Z706">
        <f>'T_SelfStock'!X38</f>
        <v/>
      </c>
      <c r="AA706">
        <f>'T_SelfStock'!Y38</f>
        <v/>
      </c>
      <c r="AB706">
        <f>'T_SelfStock'!Z38</f>
        <v/>
      </c>
      <c r="AC706">
        <f>'T_SelfStock'!AA38</f>
        <v/>
      </c>
      <c r="AD706">
        <f>'T_SelfStock'!AB38</f>
        <v/>
      </c>
      <c r="AE706">
        <f>'T_SelfStock'!AC38</f>
        <v/>
      </c>
      <c r="AF706">
        <f>'T_SelfStock'!AD38</f>
        <v/>
      </c>
      <c r="AG706">
        <f>'T_SelfStock'!AE38</f>
        <v/>
      </c>
      <c r="AH706">
        <f>'T_SelfStock'!AF38</f>
        <v/>
      </c>
      <c r="AI706">
        <f>'T_SelfStock'!AG38</f>
        <v/>
      </c>
      <c r="AJ706">
        <f>'T_SelfStock'!AH38</f>
        <v/>
      </c>
      <c r="AK706">
        <f>'T_SelfStock'!AI38</f>
        <v/>
      </c>
      <c r="AL706">
        <f>'T_SelfStock'!AJ38</f>
        <v/>
      </c>
      <c r="AM706">
        <f>'T_SelfStock'!AK38</f>
        <v/>
      </c>
      <c r="AN706">
        <f>'T_SelfStock'!AL38</f>
        <v/>
      </c>
      <c r="AO706">
        <f>'T_SelfStock'!AM38</f>
        <v/>
      </c>
      <c r="AP706">
        <f>'T_SelfStock'!AN38</f>
        <v/>
      </c>
      <c r="AQ706">
        <f>'T_SelfStock'!AO38</f>
        <v/>
      </c>
      <c r="AR706">
        <f>'T_SelfStock'!AP38</f>
        <v/>
      </c>
      <c r="AS706">
        <f>'T_SelfStock'!AQ38</f>
        <v/>
      </c>
      <c r="AT706">
        <f>'T_SelfStock'!AR38</f>
        <v/>
      </c>
      <c r="AU706">
        <f>'T_SelfStock'!AS38</f>
        <v/>
      </c>
      <c r="AV706">
        <f>'T_SelfStock'!AT38</f>
        <v/>
      </c>
      <c r="AW706">
        <f>'T_SelfStock'!AU38</f>
        <v/>
      </c>
      <c r="AX706">
        <f>'T_SelfStock'!AV38</f>
        <v/>
      </c>
      <c r="AY706">
        <f>'T_SelfStock'!AW38</f>
        <v/>
      </c>
      <c r="AZ706">
        <f>'T_SelfStock'!AX38</f>
        <v/>
      </c>
      <c r="BA706">
        <f>'T_SelfStock'!AY38</f>
        <v/>
      </c>
      <c r="BB706">
        <f>'T_SelfStock'!AZ38</f>
        <v/>
      </c>
      <c r="BC706">
        <f>'T_SelfStock'!BA38</f>
        <v/>
      </c>
      <c r="BD706">
        <f>'T_SelfStock'!BB38</f>
        <v/>
      </c>
      <c r="BE706">
        <f>'T_SelfStock'!BC38</f>
        <v/>
      </c>
      <c r="BF706">
        <f>'T_SelfStock'!BD38</f>
        <v/>
      </c>
      <c r="BG706">
        <f>'T_SelfStock'!BE38</f>
        <v/>
      </c>
      <c r="BH706">
        <f>'T_SelfStock'!BF38</f>
        <v/>
      </c>
      <c r="BI706">
        <f>'T_SelfStock'!BG38</f>
        <v/>
      </c>
      <c r="BJ706">
        <f>'T_SelfStock'!BH38</f>
        <v/>
      </c>
      <c r="BK706">
        <f>'T_SelfStock'!BI38</f>
        <v/>
      </c>
      <c r="BL706">
        <f>'T_SelfStock'!BJ38</f>
        <v/>
      </c>
      <c r="BM706">
        <f>'T_SelfStock'!BK38</f>
        <v/>
      </c>
      <c r="BN706">
        <f>'T_SelfStock'!BL38</f>
        <v/>
      </c>
      <c r="BO706">
        <f>'T_SelfStock'!BM38</f>
        <v/>
      </c>
      <c r="BP706">
        <f>'T_SelfStock'!BN38</f>
        <v/>
      </c>
      <c r="BQ706">
        <f>'T_SelfStock'!BO38</f>
        <v/>
      </c>
      <c r="BR706">
        <f>'T_SelfStock'!BP38</f>
        <v/>
      </c>
      <c r="BS706">
        <f>'T_SelfStock'!BQ38</f>
        <v/>
      </c>
      <c r="BT706">
        <f>'T_SelfStock'!BR38</f>
        <v/>
      </c>
      <c r="BU706">
        <f>'T_SelfStock'!BS38</f>
        <v/>
      </c>
      <c r="BV706">
        <f>'T_SelfStock'!BT38</f>
        <v/>
      </c>
      <c r="BW706">
        <f>'T_SelfStock'!BU38</f>
        <v/>
      </c>
      <c r="BX706">
        <f>'T_SelfStock'!BV38</f>
        <v/>
      </c>
      <c r="BY706">
        <f>'T_SelfStock'!BW38</f>
        <v/>
      </c>
      <c r="BZ706">
        <f>'T_SelfStock'!BX38</f>
        <v/>
      </c>
      <c r="CA706">
        <f>'T_SelfStock'!BY38</f>
        <v/>
      </c>
      <c r="CB706">
        <f>'T_SelfStock'!BZ38</f>
        <v/>
      </c>
      <c r="CC706">
        <f>'T_SelfStock'!CA38</f>
        <v/>
      </c>
      <c r="CD706">
        <f>'T_SelfStock'!CB38</f>
        <v/>
      </c>
      <c r="CE706">
        <f>'T_SelfStock'!CC38</f>
        <v/>
      </c>
      <c r="CF706">
        <f>'T_SelfStock'!CD38</f>
        <v/>
      </c>
      <c r="CG706">
        <f>'T_SelfStock'!CE38</f>
        <v/>
      </c>
      <c r="CH706">
        <f>'T_SelfStock'!CF38</f>
        <v/>
      </c>
      <c r="CI706">
        <f>'T_SelfStock'!CG38</f>
        <v/>
      </c>
      <c r="CJ706">
        <f>'T_SelfStock'!CH38</f>
        <v/>
      </c>
      <c r="CK706">
        <f>'T_SelfStock'!CI38</f>
        <v/>
      </c>
      <c r="CL706">
        <f>'T_SelfStock'!CJ38</f>
        <v/>
      </c>
      <c r="CM706">
        <f>'T_SelfStock'!CK38</f>
        <v/>
      </c>
      <c r="CN706">
        <f>'T_SelfStock'!CL38</f>
        <v/>
      </c>
      <c r="CO706">
        <f>'T_SelfStock'!CM38</f>
        <v/>
      </c>
      <c r="CP706">
        <f>'T_SelfStock'!CN38</f>
        <v/>
      </c>
      <c r="CQ706">
        <f>'T_SelfStock'!CO38</f>
        <v/>
      </c>
      <c r="CR706">
        <f>'T_SelfStock'!CP38</f>
        <v/>
      </c>
      <c r="CS706">
        <f>'T_SelfStock'!CQ38</f>
        <v/>
      </c>
      <c r="CT706">
        <f>'T_SelfStock'!CR38</f>
        <v/>
      </c>
      <c r="CU706">
        <f>'T_SelfStock'!CS38</f>
        <v/>
      </c>
      <c r="CV706">
        <f>'T_SelfStock'!CT38</f>
        <v/>
      </c>
      <c r="CW706">
        <f>'T_SelfStock'!CU38</f>
        <v/>
      </c>
      <c r="CX706">
        <f>'T_SelfStock'!CV38</f>
        <v/>
      </c>
      <c r="CY706">
        <f>'T_SelfStock'!CW38</f>
        <v/>
      </c>
      <c r="CZ706">
        <f>'T_SelfStock'!CX38</f>
        <v/>
      </c>
      <c r="DA706">
        <f>'T_SelfStock'!CY38</f>
        <v/>
      </c>
      <c r="DB706">
        <f>'T_SelfStock'!CZ38</f>
        <v/>
      </c>
      <c r="DC706">
        <f>'T_SelfStock'!DA38</f>
        <v/>
      </c>
    </row>
    <row r="707">
      <c r="B707" s="4" t="inlineStr">
        <is>
          <t>合計在庫(週末時点,kg)</t>
        </is>
      </c>
      <c r="D707">
        <f>'Grid_Stock'!B34</f>
        <v/>
      </c>
      <c r="E707">
        <f>'Grid_Stock'!C34</f>
        <v/>
      </c>
      <c r="F707">
        <f>'Grid_Stock'!D34</f>
        <v/>
      </c>
      <c r="G707">
        <f>'Grid_Stock'!E34</f>
        <v/>
      </c>
      <c r="H707">
        <f>'Grid_Stock'!F34</f>
        <v/>
      </c>
      <c r="I707">
        <f>'Grid_Stock'!G34</f>
        <v/>
      </c>
      <c r="J707">
        <f>'Grid_Stock'!H34</f>
        <v/>
      </c>
      <c r="K707">
        <f>'Grid_Stock'!I34</f>
        <v/>
      </c>
      <c r="L707">
        <f>'Grid_Stock'!J34</f>
        <v/>
      </c>
      <c r="M707">
        <f>'Grid_Stock'!K34</f>
        <v/>
      </c>
      <c r="N707">
        <f>'Grid_Stock'!L34</f>
        <v/>
      </c>
      <c r="O707">
        <f>'Grid_Stock'!M34</f>
        <v/>
      </c>
      <c r="P707">
        <f>'Grid_Stock'!N34</f>
        <v/>
      </c>
      <c r="Q707">
        <f>'Grid_Stock'!O34</f>
        <v/>
      </c>
      <c r="R707">
        <f>'Grid_Stock'!P34</f>
        <v/>
      </c>
      <c r="S707">
        <f>'Grid_Stock'!Q34</f>
        <v/>
      </c>
      <c r="T707">
        <f>'Grid_Stock'!R34</f>
        <v/>
      </c>
      <c r="U707">
        <f>'Grid_Stock'!S34</f>
        <v/>
      </c>
      <c r="V707">
        <f>'Grid_Stock'!T34</f>
        <v/>
      </c>
      <c r="W707">
        <f>'Grid_Stock'!U34</f>
        <v/>
      </c>
      <c r="X707">
        <f>'Grid_Stock'!V34</f>
        <v/>
      </c>
      <c r="Y707">
        <f>'Grid_Stock'!W34</f>
        <v/>
      </c>
      <c r="Z707">
        <f>'Grid_Stock'!X34</f>
        <v/>
      </c>
      <c r="AA707">
        <f>'Grid_Stock'!Y34</f>
        <v/>
      </c>
      <c r="AB707">
        <f>'Grid_Stock'!Z34</f>
        <v/>
      </c>
      <c r="AC707">
        <f>'Grid_Stock'!AA34</f>
        <v/>
      </c>
      <c r="AD707">
        <f>'Grid_Stock'!AB34</f>
        <v/>
      </c>
      <c r="AE707">
        <f>'Grid_Stock'!AC34</f>
        <v/>
      </c>
      <c r="AF707">
        <f>'Grid_Stock'!AD34</f>
        <v/>
      </c>
      <c r="AG707">
        <f>'Grid_Stock'!AE34</f>
        <v/>
      </c>
      <c r="AH707">
        <f>'Grid_Stock'!AF34</f>
        <v/>
      </c>
      <c r="AI707">
        <f>'Grid_Stock'!AG34</f>
        <v/>
      </c>
      <c r="AJ707">
        <f>'Grid_Stock'!AH34</f>
        <v/>
      </c>
      <c r="AK707">
        <f>'Grid_Stock'!AI34</f>
        <v/>
      </c>
      <c r="AL707">
        <f>'Grid_Stock'!AJ34</f>
        <v/>
      </c>
      <c r="AM707">
        <f>'Grid_Stock'!AK34</f>
        <v/>
      </c>
      <c r="AN707">
        <f>'Grid_Stock'!AL34</f>
        <v/>
      </c>
      <c r="AO707">
        <f>'Grid_Stock'!AM34</f>
        <v/>
      </c>
      <c r="AP707">
        <f>'Grid_Stock'!AN34</f>
        <v/>
      </c>
      <c r="AQ707">
        <f>'Grid_Stock'!AO34</f>
        <v/>
      </c>
      <c r="AR707">
        <f>'Grid_Stock'!AP34</f>
        <v/>
      </c>
      <c r="AS707">
        <f>'Grid_Stock'!AQ34</f>
        <v/>
      </c>
      <c r="AT707">
        <f>'Grid_Stock'!AR34</f>
        <v/>
      </c>
      <c r="AU707">
        <f>'Grid_Stock'!AS34</f>
        <v/>
      </c>
      <c r="AV707">
        <f>'Grid_Stock'!AT34</f>
        <v/>
      </c>
      <c r="AW707">
        <f>'Grid_Stock'!AU34</f>
        <v/>
      </c>
      <c r="AX707">
        <f>'Grid_Stock'!AV34</f>
        <v/>
      </c>
      <c r="AY707">
        <f>'Grid_Stock'!AW34</f>
        <v/>
      </c>
      <c r="AZ707">
        <f>'Grid_Stock'!AX34</f>
        <v/>
      </c>
      <c r="BA707">
        <f>'Grid_Stock'!AY34</f>
        <v/>
      </c>
      <c r="BB707">
        <f>'Grid_Stock'!AZ34</f>
        <v/>
      </c>
      <c r="BC707">
        <f>'Grid_Stock'!BA34</f>
        <v/>
      </c>
      <c r="BD707">
        <f>'Grid_Stock'!BB34</f>
        <v/>
      </c>
      <c r="BE707">
        <f>'Grid_Stock'!BC34</f>
        <v/>
      </c>
      <c r="BF707">
        <f>'Grid_Stock'!BD34</f>
        <v/>
      </c>
      <c r="BG707">
        <f>'Grid_Stock'!BE34</f>
        <v/>
      </c>
      <c r="BH707">
        <f>'Grid_Stock'!BF34</f>
        <v/>
      </c>
      <c r="BI707">
        <f>'Grid_Stock'!BG34</f>
        <v/>
      </c>
      <c r="BJ707">
        <f>'Grid_Stock'!BH34</f>
        <v/>
      </c>
      <c r="BK707">
        <f>'Grid_Stock'!BI34</f>
        <v/>
      </c>
      <c r="BL707">
        <f>'Grid_Stock'!BJ34</f>
        <v/>
      </c>
      <c r="BM707">
        <f>'Grid_Stock'!BK34</f>
        <v/>
      </c>
      <c r="BN707">
        <f>'Grid_Stock'!BL34</f>
        <v/>
      </c>
      <c r="BO707">
        <f>'Grid_Stock'!BM34</f>
        <v/>
      </c>
      <c r="BP707">
        <f>'Grid_Stock'!BN34</f>
        <v/>
      </c>
      <c r="BQ707">
        <f>'Grid_Stock'!BO34</f>
        <v/>
      </c>
      <c r="BR707">
        <f>'Grid_Stock'!BP34</f>
        <v/>
      </c>
      <c r="BS707">
        <f>'Grid_Stock'!BQ34</f>
        <v/>
      </c>
      <c r="BT707">
        <f>'Grid_Stock'!BR34</f>
        <v/>
      </c>
      <c r="BU707">
        <f>'Grid_Stock'!BS34</f>
        <v/>
      </c>
      <c r="BV707">
        <f>'Grid_Stock'!BT34</f>
        <v/>
      </c>
      <c r="BW707">
        <f>'Grid_Stock'!BU34</f>
        <v/>
      </c>
      <c r="BX707">
        <f>'Grid_Stock'!BV34</f>
        <v/>
      </c>
      <c r="BY707">
        <f>'Grid_Stock'!BW34</f>
        <v/>
      </c>
      <c r="BZ707">
        <f>'Grid_Stock'!BX34</f>
        <v/>
      </c>
      <c r="CA707">
        <f>'Grid_Stock'!BY34</f>
        <v/>
      </c>
      <c r="CB707">
        <f>'Grid_Stock'!BZ34</f>
        <v/>
      </c>
      <c r="CC707">
        <f>'Grid_Stock'!CA34</f>
        <v/>
      </c>
      <c r="CD707">
        <f>'Grid_Stock'!CB34</f>
        <v/>
      </c>
      <c r="CE707">
        <f>'Grid_Stock'!CC34</f>
        <v/>
      </c>
      <c r="CF707">
        <f>'Grid_Stock'!CD34</f>
        <v/>
      </c>
      <c r="CG707">
        <f>'Grid_Stock'!CE34</f>
        <v/>
      </c>
      <c r="CH707">
        <f>'Grid_Stock'!CF34</f>
        <v/>
      </c>
      <c r="CI707">
        <f>'Grid_Stock'!CG34</f>
        <v/>
      </c>
      <c r="CJ707">
        <f>'Grid_Stock'!CH34</f>
        <v/>
      </c>
      <c r="CK707">
        <f>'Grid_Stock'!CI34</f>
        <v/>
      </c>
      <c r="CL707">
        <f>'Grid_Stock'!CJ34</f>
        <v/>
      </c>
      <c r="CM707">
        <f>'Grid_Stock'!CK34</f>
        <v/>
      </c>
      <c r="CN707">
        <f>'Grid_Stock'!CL34</f>
        <v/>
      </c>
      <c r="CO707">
        <f>'Grid_Stock'!CM34</f>
        <v/>
      </c>
      <c r="CP707">
        <f>'Grid_Stock'!CN34</f>
        <v/>
      </c>
      <c r="CQ707">
        <f>'Grid_Stock'!CO34</f>
        <v/>
      </c>
      <c r="CR707">
        <f>'Grid_Stock'!CP34</f>
        <v/>
      </c>
      <c r="CS707">
        <f>'Grid_Stock'!CQ34</f>
        <v/>
      </c>
      <c r="CT707">
        <f>'Grid_Stock'!CR34</f>
        <v/>
      </c>
      <c r="CU707">
        <f>'Grid_Stock'!CS34</f>
        <v/>
      </c>
      <c r="CV707">
        <f>'Grid_Stock'!CT34</f>
        <v/>
      </c>
      <c r="CW707">
        <f>'Grid_Stock'!CU34</f>
        <v/>
      </c>
      <c r="CX707">
        <f>'Grid_Stock'!CV34</f>
        <v/>
      </c>
      <c r="CY707">
        <f>'Grid_Stock'!CW34</f>
        <v/>
      </c>
      <c r="CZ707">
        <f>'Grid_Stock'!CX34</f>
        <v/>
      </c>
      <c r="DA707">
        <f>'Grid_Stock'!CY34</f>
        <v/>
      </c>
      <c r="DB707">
        <f>'Grid_Stock'!CZ34</f>
        <v/>
      </c>
      <c r="DC707">
        <f>'Grid_Stock'!DA34</f>
        <v/>
      </c>
    </row>
    <row r="708">
      <c r="B708" s="16" t="inlineStr">
        <is>
          <t>（発注の目安はDashboardの基準在庫[下限/上限]と色分けを参照）</t>
        </is>
      </c>
    </row>
    <row r="710">
      <c r="A710" s="14" t="inlineStr">
        <is>
          <t>CHEM-1530</t>
        </is>
      </c>
      <c r="B710" s="14" t="inlineStr">
        <is>
          <t>JCK-97</t>
        </is>
      </c>
      <c r="C710" s="15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  <c r="AA710" s="14" t="n"/>
      <c r="AB710" s="14" t="n"/>
      <c r="AC710" s="14" t="n"/>
      <c r="AD710" s="14" t="n"/>
      <c r="AE710" s="14" t="n"/>
      <c r="AF710" s="14" t="n"/>
      <c r="AG710" s="14" t="n"/>
      <c r="AH710" s="14" t="n"/>
      <c r="AI710" s="14" t="n"/>
      <c r="AJ710" s="14" t="n"/>
      <c r="AK710" s="14" t="n"/>
      <c r="AL710" s="14" t="n"/>
      <c r="AM710" s="14" t="n"/>
      <c r="AN710" s="14" t="n"/>
      <c r="AO710" s="14" t="n"/>
      <c r="AP710" s="14" t="n"/>
      <c r="AQ710" s="14" t="n"/>
      <c r="AR710" s="14" t="n"/>
      <c r="AS710" s="14" t="n"/>
      <c r="AT710" s="14" t="n"/>
      <c r="AU710" s="14" t="n"/>
      <c r="AV710" s="14" t="n"/>
      <c r="AW710" s="14" t="n"/>
      <c r="AX710" s="14" t="n"/>
      <c r="AY710" s="14" t="n"/>
      <c r="AZ710" s="14" t="n"/>
      <c r="BA710" s="14" t="n"/>
      <c r="BB710" s="14" t="n"/>
      <c r="BC710" s="14" t="n"/>
      <c r="BD710" s="14" t="n"/>
      <c r="BE710" s="14" t="n"/>
      <c r="BF710" s="14" t="n"/>
      <c r="BG710" s="14" t="n"/>
      <c r="BH710" s="14" t="n"/>
      <c r="BI710" s="14" t="n"/>
      <c r="BJ710" s="14" t="n"/>
      <c r="BK710" s="14" t="n"/>
      <c r="BL710" s="14" t="n"/>
      <c r="BM710" s="14" t="n"/>
      <c r="BN710" s="14" t="n"/>
      <c r="BO710" s="14" t="n"/>
      <c r="BP710" s="14" t="n"/>
      <c r="BQ710" s="14" t="n"/>
      <c r="BR710" s="14" t="n"/>
      <c r="BS710" s="14" t="n"/>
      <c r="BT710" s="14" t="n"/>
      <c r="BU710" s="14" t="n"/>
      <c r="BV710" s="14" t="n"/>
      <c r="BW710" s="14" t="n"/>
      <c r="BX710" s="14" t="n"/>
      <c r="BY710" s="14" t="n"/>
      <c r="BZ710" s="14" t="n"/>
      <c r="CA710" s="14" t="n"/>
      <c r="CB710" s="14" t="n"/>
      <c r="CC710" s="14" t="n"/>
      <c r="CD710" s="14" t="n"/>
      <c r="CE710" s="14" t="n"/>
      <c r="CF710" s="14" t="n"/>
      <c r="CG710" s="14" t="n"/>
      <c r="CH710" s="14" t="n"/>
      <c r="CI710" s="14" t="n"/>
      <c r="CJ710" s="14" t="n"/>
      <c r="CK710" s="14" t="n"/>
      <c r="CL710" s="14" t="n"/>
      <c r="CM710" s="14" t="n"/>
      <c r="CN710" s="14" t="n"/>
      <c r="CO710" s="14" t="n"/>
      <c r="CP710" s="14" t="n"/>
      <c r="CQ710" s="14" t="n"/>
      <c r="CR710" s="14" t="n"/>
      <c r="CS710" s="14" t="n"/>
      <c r="CT710" s="14" t="n"/>
      <c r="CU710" s="14" t="n"/>
      <c r="CV710" s="14" t="n"/>
      <c r="CW710" s="14" t="n"/>
      <c r="CX710" s="14" t="n"/>
      <c r="CY710" s="14" t="n"/>
      <c r="CZ710" s="14" t="n"/>
      <c r="DA710" s="14" t="n"/>
      <c r="DB710" s="14" t="n"/>
      <c r="DC710" s="14" t="n"/>
    </row>
    <row r="711">
      <c r="B711" t="inlineStr">
        <is>
          <t>TSP-402</t>
        </is>
      </c>
      <c r="C711" t="inlineStr">
        <is>
          <t>No. of batches</t>
        </is>
      </c>
      <c r="D711">
        <f>IFERROR(INDEX(PP_Grid[#Data],$DD711,2),0)</f>
        <v/>
      </c>
      <c r="E711">
        <f>IFERROR(INDEX(PP_Grid[#Data],$DD711,3),0)</f>
        <v/>
      </c>
      <c r="F711">
        <f>IFERROR(INDEX(PP_Grid[#Data],$DD711,4),0)</f>
        <v/>
      </c>
      <c r="G711">
        <f>IFERROR(INDEX(PP_Grid[#Data],$DD711,5),0)</f>
        <v/>
      </c>
      <c r="H711">
        <f>IFERROR(INDEX(PP_Grid[#Data],$DD711,6),0)</f>
        <v/>
      </c>
      <c r="I711">
        <f>IFERROR(INDEX(PP_Grid[#Data],$DD711,7),0)</f>
        <v/>
      </c>
      <c r="J711">
        <f>IFERROR(INDEX(PP_Grid[#Data],$DD711,8),0)</f>
        <v/>
      </c>
      <c r="K711">
        <f>IFERROR(INDEX(PP_Grid[#Data],$DD711,9),0)</f>
        <v/>
      </c>
      <c r="L711">
        <f>IFERROR(INDEX(PP_Grid[#Data],$DD711,10),0)</f>
        <v/>
      </c>
      <c r="M711">
        <f>IFERROR(INDEX(PP_Grid[#Data],$DD711,11),0)</f>
        <v/>
      </c>
      <c r="N711">
        <f>IFERROR(INDEX(PP_Grid[#Data],$DD711,12),0)</f>
        <v/>
      </c>
      <c r="O711">
        <f>IFERROR(INDEX(PP_Grid[#Data],$DD711,13),0)</f>
        <v/>
      </c>
      <c r="P711">
        <f>IFERROR(INDEX(PP_Grid[#Data],$DD711,14),0)</f>
        <v/>
      </c>
      <c r="Q711">
        <f>IFERROR(INDEX(PP_Grid[#Data],$DD711,15),0)</f>
        <v/>
      </c>
      <c r="R711">
        <f>IFERROR(INDEX(PP_Grid[#Data],$DD711,16),0)</f>
        <v/>
      </c>
      <c r="S711">
        <f>IFERROR(INDEX(PP_Grid[#Data],$DD711,17),0)</f>
        <v/>
      </c>
      <c r="T711">
        <f>IFERROR(INDEX(PP_Grid[#Data],$DD711,18),0)</f>
        <v/>
      </c>
      <c r="U711">
        <f>IFERROR(INDEX(PP_Grid[#Data],$DD711,19),0)</f>
        <v/>
      </c>
      <c r="V711">
        <f>IFERROR(INDEX(PP_Grid[#Data],$DD711,20),0)</f>
        <v/>
      </c>
      <c r="W711">
        <f>IFERROR(INDEX(PP_Grid[#Data],$DD711,21),0)</f>
        <v/>
      </c>
      <c r="X711">
        <f>IFERROR(INDEX(PP_Grid[#Data],$DD711,22),0)</f>
        <v/>
      </c>
      <c r="Y711">
        <f>IFERROR(INDEX(PP_Grid[#Data],$DD711,23),0)</f>
        <v/>
      </c>
      <c r="Z711">
        <f>IFERROR(INDEX(PP_Grid[#Data],$DD711,24),0)</f>
        <v/>
      </c>
      <c r="AA711">
        <f>IFERROR(INDEX(PP_Grid[#Data],$DD711,25),0)</f>
        <v/>
      </c>
      <c r="AB711">
        <f>IFERROR(INDEX(PP_Grid[#Data],$DD711,26),0)</f>
        <v/>
      </c>
      <c r="AC711">
        <f>IFERROR(INDEX(PP_Grid[#Data],$DD711,27),0)</f>
        <v/>
      </c>
      <c r="AD711">
        <f>IFERROR(INDEX(PP_Grid[#Data],$DD711,28),0)</f>
        <v/>
      </c>
      <c r="AE711">
        <f>IFERROR(INDEX(PP_Grid[#Data],$DD711,29),0)</f>
        <v/>
      </c>
      <c r="AF711">
        <f>IFERROR(INDEX(PP_Grid[#Data],$DD711,30),0)</f>
        <v/>
      </c>
      <c r="AG711">
        <f>IFERROR(INDEX(PP_Grid[#Data],$DD711,31),0)</f>
        <v/>
      </c>
      <c r="AH711">
        <f>IFERROR(INDEX(PP_Grid[#Data],$DD711,32),0)</f>
        <v/>
      </c>
      <c r="AI711">
        <f>IFERROR(INDEX(PP_Grid[#Data],$DD711,33),0)</f>
        <v/>
      </c>
      <c r="AJ711">
        <f>IFERROR(INDEX(PP_Grid[#Data],$DD711,34),0)</f>
        <v/>
      </c>
      <c r="AK711">
        <f>IFERROR(INDEX(PP_Grid[#Data],$DD711,35),0)</f>
        <v/>
      </c>
      <c r="AL711">
        <f>IFERROR(INDEX(PP_Grid[#Data],$DD711,36),0)</f>
        <v/>
      </c>
      <c r="AM711">
        <f>IFERROR(INDEX(PP_Grid[#Data],$DD711,37),0)</f>
        <v/>
      </c>
      <c r="AN711">
        <f>IFERROR(INDEX(PP_Grid[#Data],$DD711,38),0)</f>
        <v/>
      </c>
      <c r="AO711">
        <f>IFERROR(INDEX(PP_Grid[#Data],$DD711,39),0)</f>
        <v/>
      </c>
      <c r="AP711">
        <f>IFERROR(INDEX(PP_Grid[#Data],$DD711,40),0)</f>
        <v/>
      </c>
      <c r="AQ711">
        <f>IFERROR(INDEX(PP_Grid[#Data],$DD711,41),0)</f>
        <v/>
      </c>
      <c r="AR711">
        <f>IFERROR(INDEX(PP_Grid[#Data],$DD711,42),0)</f>
        <v/>
      </c>
      <c r="AS711">
        <f>IFERROR(INDEX(PP_Grid[#Data],$DD711,43),0)</f>
        <v/>
      </c>
      <c r="AT711">
        <f>IFERROR(INDEX(PP_Grid[#Data],$DD711,44),0)</f>
        <v/>
      </c>
      <c r="AU711">
        <f>IFERROR(INDEX(PP_Grid[#Data],$DD711,45),0)</f>
        <v/>
      </c>
      <c r="AV711">
        <f>IFERROR(INDEX(PP_Grid[#Data],$DD711,46),0)</f>
        <v/>
      </c>
      <c r="AW711">
        <f>IFERROR(INDEX(PP_Grid[#Data],$DD711,47),0)</f>
        <v/>
      </c>
      <c r="AX711">
        <f>IFERROR(INDEX(PP_Grid[#Data],$DD711,48),0)</f>
        <v/>
      </c>
      <c r="AY711">
        <f>IFERROR(INDEX(PP_Grid[#Data],$DD711,49),0)</f>
        <v/>
      </c>
      <c r="AZ711">
        <f>IFERROR(INDEX(PP_Grid[#Data],$DD711,50),0)</f>
        <v/>
      </c>
      <c r="BA711">
        <f>IFERROR(INDEX(PP_Grid[#Data],$DD711,51),0)</f>
        <v/>
      </c>
      <c r="BB711">
        <f>IFERROR(INDEX(PP_Grid[#Data],$DD711,52),0)</f>
        <v/>
      </c>
      <c r="BC711">
        <f>IFERROR(INDEX(PP_Grid[#Data],$DD711,53),0)</f>
        <v/>
      </c>
      <c r="BD711">
        <f>IFERROR(INDEX(PP_Grid[#Data],$DD711,54),0)</f>
        <v/>
      </c>
      <c r="BE711">
        <f>IFERROR(INDEX(PP_Grid[#Data],$DD711,55),0)</f>
        <v/>
      </c>
      <c r="BF711">
        <f>IFERROR(INDEX(PP_Grid[#Data],$DD711,56),0)</f>
        <v/>
      </c>
      <c r="BG711">
        <f>IFERROR(INDEX(PP_Grid[#Data],$DD711,57),0)</f>
        <v/>
      </c>
      <c r="BH711">
        <f>IFERROR(INDEX(PP_Grid[#Data],$DD711,58),0)</f>
        <v/>
      </c>
      <c r="BI711">
        <f>IFERROR(INDEX(PP_Grid[#Data],$DD711,59),0)</f>
        <v/>
      </c>
      <c r="BJ711">
        <f>IFERROR(INDEX(PP_Grid[#Data],$DD711,60),0)</f>
        <v/>
      </c>
      <c r="BK711">
        <f>IFERROR(INDEX(PP_Grid[#Data],$DD711,61),0)</f>
        <v/>
      </c>
      <c r="BL711">
        <f>IFERROR(INDEX(PP_Grid[#Data],$DD711,62),0)</f>
        <v/>
      </c>
      <c r="BM711">
        <f>IFERROR(INDEX(PP_Grid[#Data],$DD711,63),0)</f>
        <v/>
      </c>
      <c r="BN711">
        <f>IFERROR(INDEX(PP_Grid[#Data],$DD711,64),0)</f>
        <v/>
      </c>
      <c r="BO711">
        <f>IFERROR(INDEX(PP_Grid[#Data],$DD711,65),0)</f>
        <v/>
      </c>
      <c r="BP711">
        <f>IFERROR(INDEX(PP_Grid[#Data],$DD711,66),0)</f>
        <v/>
      </c>
      <c r="BQ711">
        <f>IFERROR(INDEX(PP_Grid[#Data],$DD711,67),0)</f>
        <v/>
      </c>
      <c r="BR711">
        <f>IFERROR(INDEX(PP_Grid[#Data],$DD711,68),0)</f>
        <v/>
      </c>
      <c r="BS711">
        <f>IFERROR(INDEX(PP_Grid[#Data],$DD711,69),0)</f>
        <v/>
      </c>
      <c r="BT711">
        <f>IFERROR(INDEX(PP_Grid[#Data],$DD711,70),0)</f>
        <v/>
      </c>
      <c r="BU711">
        <f>IFERROR(INDEX(PP_Grid[#Data],$DD711,71),0)</f>
        <v/>
      </c>
      <c r="BV711">
        <f>IFERROR(INDEX(PP_Grid[#Data],$DD711,72),0)</f>
        <v/>
      </c>
      <c r="BW711">
        <f>IFERROR(INDEX(PP_Grid[#Data],$DD711,73),0)</f>
        <v/>
      </c>
      <c r="BX711">
        <f>IFERROR(INDEX(PP_Grid[#Data],$DD711,74),0)</f>
        <v/>
      </c>
      <c r="BY711">
        <f>IFERROR(INDEX(PP_Grid[#Data],$DD711,75),0)</f>
        <v/>
      </c>
      <c r="BZ711">
        <f>IFERROR(INDEX(PP_Grid[#Data],$DD711,76),0)</f>
        <v/>
      </c>
      <c r="CA711">
        <f>IFERROR(INDEX(PP_Grid[#Data],$DD711,77),0)</f>
        <v/>
      </c>
      <c r="CB711">
        <f>IFERROR(INDEX(PP_Grid[#Data],$DD711,78),0)</f>
        <v/>
      </c>
      <c r="CC711">
        <f>IFERROR(INDEX(PP_Grid[#Data],$DD711,79),0)</f>
        <v/>
      </c>
      <c r="CD711">
        <f>IFERROR(INDEX(PP_Grid[#Data],$DD711,80),0)</f>
        <v/>
      </c>
      <c r="CE711">
        <f>IFERROR(INDEX(PP_Grid[#Data],$DD711,81),0)</f>
        <v/>
      </c>
      <c r="CF711">
        <f>IFERROR(INDEX(PP_Grid[#Data],$DD711,82),0)</f>
        <v/>
      </c>
      <c r="CG711">
        <f>IFERROR(INDEX(PP_Grid[#Data],$DD711,83),0)</f>
        <v/>
      </c>
      <c r="CH711">
        <f>IFERROR(INDEX(PP_Grid[#Data],$DD711,84),0)</f>
        <v/>
      </c>
      <c r="CI711">
        <f>IFERROR(INDEX(PP_Grid[#Data],$DD711,85),0)</f>
        <v/>
      </c>
      <c r="CJ711">
        <f>IFERROR(INDEX(PP_Grid[#Data],$DD711,86),0)</f>
        <v/>
      </c>
      <c r="CK711">
        <f>IFERROR(INDEX(PP_Grid[#Data],$DD711,87),0)</f>
        <v/>
      </c>
      <c r="CL711">
        <f>IFERROR(INDEX(PP_Grid[#Data],$DD711,88),0)</f>
        <v/>
      </c>
      <c r="CM711">
        <f>IFERROR(INDEX(PP_Grid[#Data],$DD711,89),0)</f>
        <v/>
      </c>
      <c r="CN711">
        <f>IFERROR(INDEX(PP_Grid[#Data],$DD711,90),0)</f>
        <v/>
      </c>
      <c r="CO711">
        <f>IFERROR(INDEX(PP_Grid[#Data],$DD711,91),0)</f>
        <v/>
      </c>
      <c r="CP711">
        <f>IFERROR(INDEX(PP_Grid[#Data],$DD711,92),0)</f>
        <v/>
      </c>
      <c r="CQ711">
        <f>IFERROR(INDEX(PP_Grid[#Data],$DD711,93),0)</f>
        <v/>
      </c>
      <c r="CR711">
        <f>IFERROR(INDEX(PP_Grid[#Data],$DD711,94),0)</f>
        <v/>
      </c>
      <c r="CS711">
        <f>IFERROR(INDEX(PP_Grid[#Data],$DD711,95),0)</f>
        <v/>
      </c>
      <c r="CT711">
        <f>IFERROR(INDEX(PP_Grid[#Data],$DD711,96),0)</f>
        <v/>
      </c>
      <c r="CU711">
        <f>IFERROR(INDEX(PP_Grid[#Data],$DD711,97),0)</f>
        <v/>
      </c>
      <c r="CV711">
        <f>IFERROR(INDEX(PP_Grid[#Data],$DD711,98),0)</f>
        <v/>
      </c>
      <c r="CW711">
        <f>IFERROR(INDEX(PP_Grid[#Data],$DD711,99),0)</f>
        <v/>
      </c>
      <c r="CX711">
        <f>IFERROR(INDEX(PP_Grid[#Data],$DD711,100),0)</f>
        <v/>
      </c>
      <c r="CY711">
        <f>IFERROR(INDEX(PP_Grid[#Data],$DD711,101),0)</f>
        <v/>
      </c>
      <c r="CZ711">
        <f>IFERROR(INDEX(PP_Grid[#Data],$DD711,102),0)</f>
        <v/>
      </c>
      <c r="DA711">
        <f>IFERROR(INDEX(PP_Grid[#Data],$DD711,103),0)</f>
        <v/>
      </c>
      <c r="DB711">
        <f>IFERROR(INDEX(PP_Grid[#Data],$DD711,104),0)</f>
        <v/>
      </c>
      <c r="DC711">
        <f>IFERROR(INDEX(PP_Grid[#Data],$DD711,105),0)</f>
        <v/>
      </c>
      <c r="DD711" s="7">
        <f>IFERROR(MATCH($B711,PP_Grid[Intermediate],0),99999)</f>
        <v/>
      </c>
    </row>
    <row r="712">
      <c r="B712" t="inlineStr">
        <is>
          <t>使用量(kg)</t>
        </is>
      </c>
      <c r="C712">
        <f>SUMIFS(M_BOM[RM_Qty_Per_Batch],M_BOM[Intermediate],$B711,M_BOM[Part Name],$A710)</f>
        <v/>
      </c>
      <c r="D712">
        <f>$C712*D711</f>
        <v/>
      </c>
      <c r="E712">
        <f>$C712*E711</f>
        <v/>
      </c>
      <c r="F712">
        <f>$C712*F711</f>
        <v/>
      </c>
      <c r="G712">
        <f>$C712*G711</f>
        <v/>
      </c>
      <c r="H712">
        <f>$C712*H711</f>
        <v/>
      </c>
      <c r="I712">
        <f>$C712*I711</f>
        <v/>
      </c>
      <c r="J712">
        <f>$C712*J711</f>
        <v/>
      </c>
      <c r="K712">
        <f>$C712*K711</f>
        <v/>
      </c>
      <c r="L712">
        <f>$C712*L711</f>
        <v/>
      </c>
      <c r="M712">
        <f>$C712*M711</f>
        <v/>
      </c>
      <c r="N712">
        <f>$C712*N711</f>
        <v/>
      </c>
      <c r="O712">
        <f>$C712*O711</f>
        <v/>
      </c>
      <c r="P712">
        <f>$C712*P711</f>
        <v/>
      </c>
      <c r="Q712">
        <f>$C712*Q711</f>
        <v/>
      </c>
      <c r="R712">
        <f>$C712*R711</f>
        <v/>
      </c>
      <c r="S712">
        <f>$C712*S711</f>
        <v/>
      </c>
      <c r="T712">
        <f>$C712*T711</f>
        <v/>
      </c>
      <c r="U712">
        <f>$C712*U711</f>
        <v/>
      </c>
      <c r="V712">
        <f>$C712*V711</f>
        <v/>
      </c>
      <c r="W712">
        <f>$C712*W711</f>
        <v/>
      </c>
      <c r="X712">
        <f>$C712*X711</f>
        <v/>
      </c>
      <c r="Y712">
        <f>$C712*Y711</f>
        <v/>
      </c>
      <c r="Z712">
        <f>$C712*Z711</f>
        <v/>
      </c>
      <c r="AA712">
        <f>$C712*AA711</f>
        <v/>
      </c>
      <c r="AB712">
        <f>$C712*AB711</f>
        <v/>
      </c>
      <c r="AC712">
        <f>$C712*AC711</f>
        <v/>
      </c>
      <c r="AD712">
        <f>$C712*AD711</f>
        <v/>
      </c>
      <c r="AE712">
        <f>$C712*AE711</f>
        <v/>
      </c>
      <c r="AF712">
        <f>$C712*AF711</f>
        <v/>
      </c>
      <c r="AG712">
        <f>$C712*AG711</f>
        <v/>
      </c>
      <c r="AH712">
        <f>$C712*AH711</f>
        <v/>
      </c>
      <c r="AI712">
        <f>$C712*AI711</f>
        <v/>
      </c>
      <c r="AJ712">
        <f>$C712*AJ711</f>
        <v/>
      </c>
      <c r="AK712">
        <f>$C712*AK711</f>
        <v/>
      </c>
      <c r="AL712">
        <f>$C712*AL711</f>
        <v/>
      </c>
      <c r="AM712">
        <f>$C712*AM711</f>
        <v/>
      </c>
      <c r="AN712">
        <f>$C712*AN711</f>
        <v/>
      </c>
      <c r="AO712">
        <f>$C712*AO711</f>
        <v/>
      </c>
      <c r="AP712">
        <f>$C712*AP711</f>
        <v/>
      </c>
      <c r="AQ712">
        <f>$C712*AQ711</f>
        <v/>
      </c>
      <c r="AR712">
        <f>$C712*AR711</f>
        <v/>
      </c>
      <c r="AS712">
        <f>$C712*AS711</f>
        <v/>
      </c>
      <c r="AT712">
        <f>$C712*AT711</f>
        <v/>
      </c>
      <c r="AU712">
        <f>$C712*AU711</f>
        <v/>
      </c>
      <c r="AV712">
        <f>$C712*AV711</f>
        <v/>
      </c>
      <c r="AW712">
        <f>$C712*AW711</f>
        <v/>
      </c>
      <c r="AX712">
        <f>$C712*AX711</f>
        <v/>
      </c>
      <c r="AY712">
        <f>$C712*AY711</f>
        <v/>
      </c>
      <c r="AZ712">
        <f>$C712*AZ711</f>
        <v/>
      </c>
      <c r="BA712">
        <f>$C712*BA711</f>
        <v/>
      </c>
      <c r="BB712">
        <f>$C712*BB711</f>
        <v/>
      </c>
      <c r="BC712">
        <f>$C712*BC711</f>
        <v/>
      </c>
      <c r="BD712">
        <f>$C712*BD711</f>
        <v/>
      </c>
      <c r="BE712">
        <f>$C712*BE711</f>
        <v/>
      </c>
      <c r="BF712">
        <f>$C712*BF711</f>
        <v/>
      </c>
      <c r="BG712">
        <f>$C712*BG711</f>
        <v/>
      </c>
      <c r="BH712">
        <f>$C712*BH711</f>
        <v/>
      </c>
      <c r="BI712">
        <f>$C712*BI711</f>
        <v/>
      </c>
      <c r="BJ712">
        <f>$C712*BJ711</f>
        <v/>
      </c>
      <c r="BK712">
        <f>$C712*BK711</f>
        <v/>
      </c>
      <c r="BL712">
        <f>$C712*BL711</f>
        <v/>
      </c>
      <c r="BM712">
        <f>$C712*BM711</f>
        <v/>
      </c>
      <c r="BN712">
        <f>$C712*BN711</f>
        <v/>
      </c>
      <c r="BO712">
        <f>$C712*BO711</f>
        <v/>
      </c>
      <c r="BP712">
        <f>$C712*BP711</f>
        <v/>
      </c>
      <c r="BQ712">
        <f>$C712*BQ711</f>
        <v/>
      </c>
      <c r="BR712">
        <f>$C712*BR711</f>
        <v/>
      </c>
      <c r="BS712">
        <f>$C712*BS711</f>
        <v/>
      </c>
      <c r="BT712">
        <f>$C712*BT711</f>
        <v/>
      </c>
      <c r="BU712">
        <f>$C712*BU711</f>
        <v/>
      </c>
      <c r="BV712">
        <f>$C712*BV711</f>
        <v/>
      </c>
      <c r="BW712">
        <f>$C712*BW711</f>
        <v/>
      </c>
      <c r="BX712">
        <f>$C712*BX711</f>
        <v/>
      </c>
      <c r="BY712">
        <f>$C712*BY711</f>
        <v/>
      </c>
      <c r="BZ712">
        <f>$C712*BZ711</f>
        <v/>
      </c>
      <c r="CA712">
        <f>$C712*CA711</f>
        <v/>
      </c>
      <c r="CB712">
        <f>$C712*CB711</f>
        <v/>
      </c>
      <c r="CC712">
        <f>$C712*CC711</f>
        <v/>
      </c>
      <c r="CD712">
        <f>$C712*CD711</f>
        <v/>
      </c>
      <c r="CE712">
        <f>$C712*CE711</f>
        <v/>
      </c>
      <c r="CF712">
        <f>$C712*CF711</f>
        <v/>
      </c>
      <c r="CG712">
        <f>$C712*CG711</f>
        <v/>
      </c>
      <c r="CH712">
        <f>$C712*CH711</f>
        <v/>
      </c>
      <c r="CI712">
        <f>$C712*CI711</f>
        <v/>
      </c>
      <c r="CJ712">
        <f>$C712*CJ711</f>
        <v/>
      </c>
      <c r="CK712">
        <f>$C712*CK711</f>
        <v/>
      </c>
      <c r="CL712">
        <f>$C712*CL711</f>
        <v/>
      </c>
      <c r="CM712">
        <f>$C712*CM711</f>
        <v/>
      </c>
      <c r="CN712">
        <f>$C712*CN711</f>
        <v/>
      </c>
      <c r="CO712">
        <f>$C712*CO711</f>
        <v/>
      </c>
      <c r="CP712">
        <f>$C712*CP711</f>
        <v/>
      </c>
      <c r="CQ712">
        <f>$C712*CQ711</f>
        <v/>
      </c>
      <c r="CR712">
        <f>$C712*CR711</f>
        <v/>
      </c>
      <c r="CS712">
        <f>$C712*CS711</f>
        <v/>
      </c>
      <c r="CT712">
        <f>$C712*CT711</f>
        <v/>
      </c>
      <c r="CU712">
        <f>$C712*CU711</f>
        <v/>
      </c>
      <c r="CV712">
        <f>$C712*CV711</f>
        <v/>
      </c>
      <c r="CW712">
        <f>$C712*CW711</f>
        <v/>
      </c>
      <c r="CX712">
        <f>$C712*CX711</f>
        <v/>
      </c>
      <c r="CY712">
        <f>$C712*CY711</f>
        <v/>
      </c>
      <c r="CZ712">
        <f>$C712*CZ711</f>
        <v/>
      </c>
      <c r="DA712">
        <f>$C712*DA711</f>
        <v/>
      </c>
      <c r="DB712">
        <f>$C712*DB711</f>
        <v/>
      </c>
      <c r="DC712">
        <f>$C712*DC711</f>
        <v/>
      </c>
    </row>
    <row r="713">
      <c r="B713" t="inlineStr">
        <is>
          <t>TSP-403</t>
        </is>
      </c>
      <c r="C713" t="inlineStr">
        <is>
          <t>No. of batches</t>
        </is>
      </c>
      <c r="D713">
        <f>IFERROR(INDEX(PP_Grid[#Data],$DD713,2),0)</f>
        <v/>
      </c>
      <c r="E713">
        <f>IFERROR(INDEX(PP_Grid[#Data],$DD713,3),0)</f>
        <v/>
      </c>
      <c r="F713">
        <f>IFERROR(INDEX(PP_Grid[#Data],$DD713,4),0)</f>
        <v/>
      </c>
      <c r="G713">
        <f>IFERROR(INDEX(PP_Grid[#Data],$DD713,5),0)</f>
        <v/>
      </c>
      <c r="H713">
        <f>IFERROR(INDEX(PP_Grid[#Data],$DD713,6),0)</f>
        <v/>
      </c>
      <c r="I713">
        <f>IFERROR(INDEX(PP_Grid[#Data],$DD713,7),0)</f>
        <v/>
      </c>
      <c r="J713">
        <f>IFERROR(INDEX(PP_Grid[#Data],$DD713,8),0)</f>
        <v/>
      </c>
      <c r="K713">
        <f>IFERROR(INDEX(PP_Grid[#Data],$DD713,9),0)</f>
        <v/>
      </c>
      <c r="L713">
        <f>IFERROR(INDEX(PP_Grid[#Data],$DD713,10),0)</f>
        <v/>
      </c>
      <c r="M713">
        <f>IFERROR(INDEX(PP_Grid[#Data],$DD713,11),0)</f>
        <v/>
      </c>
      <c r="N713">
        <f>IFERROR(INDEX(PP_Grid[#Data],$DD713,12),0)</f>
        <v/>
      </c>
      <c r="O713">
        <f>IFERROR(INDEX(PP_Grid[#Data],$DD713,13),0)</f>
        <v/>
      </c>
      <c r="P713">
        <f>IFERROR(INDEX(PP_Grid[#Data],$DD713,14),0)</f>
        <v/>
      </c>
      <c r="Q713">
        <f>IFERROR(INDEX(PP_Grid[#Data],$DD713,15),0)</f>
        <v/>
      </c>
      <c r="R713">
        <f>IFERROR(INDEX(PP_Grid[#Data],$DD713,16),0)</f>
        <v/>
      </c>
      <c r="S713">
        <f>IFERROR(INDEX(PP_Grid[#Data],$DD713,17),0)</f>
        <v/>
      </c>
      <c r="T713">
        <f>IFERROR(INDEX(PP_Grid[#Data],$DD713,18),0)</f>
        <v/>
      </c>
      <c r="U713">
        <f>IFERROR(INDEX(PP_Grid[#Data],$DD713,19),0)</f>
        <v/>
      </c>
      <c r="V713">
        <f>IFERROR(INDEX(PP_Grid[#Data],$DD713,20),0)</f>
        <v/>
      </c>
      <c r="W713">
        <f>IFERROR(INDEX(PP_Grid[#Data],$DD713,21),0)</f>
        <v/>
      </c>
      <c r="X713">
        <f>IFERROR(INDEX(PP_Grid[#Data],$DD713,22),0)</f>
        <v/>
      </c>
      <c r="Y713">
        <f>IFERROR(INDEX(PP_Grid[#Data],$DD713,23),0)</f>
        <v/>
      </c>
      <c r="Z713">
        <f>IFERROR(INDEX(PP_Grid[#Data],$DD713,24),0)</f>
        <v/>
      </c>
      <c r="AA713">
        <f>IFERROR(INDEX(PP_Grid[#Data],$DD713,25),0)</f>
        <v/>
      </c>
      <c r="AB713">
        <f>IFERROR(INDEX(PP_Grid[#Data],$DD713,26),0)</f>
        <v/>
      </c>
      <c r="AC713">
        <f>IFERROR(INDEX(PP_Grid[#Data],$DD713,27),0)</f>
        <v/>
      </c>
      <c r="AD713">
        <f>IFERROR(INDEX(PP_Grid[#Data],$DD713,28),0)</f>
        <v/>
      </c>
      <c r="AE713">
        <f>IFERROR(INDEX(PP_Grid[#Data],$DD713,29),0)</f>
        <v/>
      </c>
      <c r="AF713">
        <f>IFERROR(INDEX(PP_Grid[#Data],$DD713,30),0)</f>
        <v/>
      </c>
      <c r="AG713">
        <f>IFERROR(INDEX(PP_Grid[#Data],$DD713,31),0)</f>
        <v/>
      </c>
      <c r="AH713">
        <f>IFERROR(INDEX(PP_Grid[#Data],$DD713,32),0)</f>
        <v/>
      </c>
      <c r="AI713">
        <f>IFERROR(INDEX(PP_Grid[#Data],$DD713,33),0)</f>
        <v/>
      </c>
      <c r="AJ713">
        <f>IFERROR(INDEX(PP_Grid[#Data],$DD713,34),0)</f>
        <v/>
      </c>
      <c r="AK713">
        <f>IFERROR(INDEX(PP_Grid[#Data],$DD713,35),0)</f>
        <v/>
      </c>
      <c r="AL713">
        <f>IFERROR(INDEX(PP_Grid[#Data],$DD713,36),0)</f>
        <v/>
      </c>
      <c r="AM713">
        <f>IFERROR(INDEX(PP_Grid[#Data],$DD713,37),0)</f>
        <v/>
      </c>
      <c r="AN713">
        <f>IFERROR(INDEX(PP_Grid[#Data],$DD713,38),0)</f>
        <v/>
      </c>
      <c r="AO713">
        <f>IFERROR(INDEX(PP_Grid[#Data],$DD713,39),0)</f>
        <v/>
      </c>
      <c r="AP713">
        <f>IFERROR(INDEX(PP_Grid[#Data],$DD713,40),0)</f>
        <v/>
      </c>
      <c r="AQ713">
        <f>IFERROR(INDEX(PP_Grid[#Data],$DD713,41),0)</f>
        <v/>
      </c>
      <c r="AR713">
        <f>IFERROR(INDEX(PP_Grid[#Data],$DD713,42),0)</f>
        <v/>
      </c>
      <c r="AS713">
        <f>IFERROR(INDEX(PP_Grid[#Data],$DD713,43),0)</f>
        <v/>
      </c>
      <c r="AT713">
        <f>IFERROR(INDEX(PP_Grid[#Data],$DD713,44),0)</f>
        <v/>
      </c>
      <c r="AU713">
        <f>IFERROR(INDEX(PP_Grid[#Data],$DD713,45),0)</f>
        <v/>
      </c>
      <c r="AV713">
        <f>IFERROR(INDEX(PP_Grid[#Data],$DD713,46),0)</f>
        <v/>
      </c>
      <c r="AW713">
        <f>IFERROR(INDEX(PP_Grid[#Data],$DD713,47),0)</f>
        <v/>
      </c>
      <c r="AX713">
        <f>IFERROR(INDEX(PP_Grid[#Data],$DD713,48),0)</f>
        <v/>
      </c>
      <c r="AY713">
        <f>IFERROR(INDEX(PP_Grid[#Data],$DD713,49),0)</f>
        <v/>
      </c>
      <c r="AZ713">
        <f>IFERROR(INDEX(PP_Grid[#Data],$DD713,50),0)</f>
        <v/>
      </c>
      <c r="BA713">
        <f>IFERROR(INDEX(PP_Grid[#Data],$DD713,51),0)</f>
        <v/>
      </c>
      <c r="BB713">
        <f>IFERROR(INDEX(PP_Grid[#Data],$DD713,52),0)</f>
        <v/>
      </c>
      <c r="BC713">
        <f>IFERROR(INDEX(PP_Grid[#Data],$DD713,53),0)</f>
        <v/>
      </c>
      <c r="BD713">
        <f>IFERROR(INDEX(PP_Grid[#Data],$DD713,54),0)</f>
        <v/>
      </c>
      <c r="BE713">
        <f>IFERROR(INDEX(PP_Grid[#Data],$DD713,55),0)</f>
        <v/>
      </c>
      <c r="BF713">
        <f>IFERROR(INDEX(PP_Grid[#Data],$DD713,56),0)</f>
        <v/>
      </c>
      <c r="BG713">
        <f>IFERROR(INDEX(PP_Grid[#Data],$DD713,57),0)</f>
        <v/>
      </c>
      <c r="BH713">
        <f>IFERROR(INDEX(PP_Grid[#Data],$DD713,58),0)</f>
        <v/>
      </c>
      <c r="BI713">
        <f>IFERROR(INDEX(PP_Grid[#Data],$DD713,59),0)</f>
        <v/>
      </c>
      <c r="BJ713">
        <f>IFERROR(INDEX(PP_Grid[#Data],$DD713,60),0)</f>
        <v/>
      </c>
      <c r="BK713">
        <f>IFERROR(INDEX(PP_Grid[#Data],$DD713,61),0)</f>
        <v/>
      </c>
      <c r="BL713">
        <f>IFERROR(INDEX(PP_Grid[#Data],$DD713,62),0)</f>
        <v/>
      </c>
      <c r="BM713">
        <f>IFERROR(INDEX(PP_Grid[#Data],$DD713,63),0)</f>
        <v/>
      </c>
      <c r="BN713">
        <f>IFERROR(INDEX(PP_Grid[#Data],$DD713,64),0)</f>
        <v/>
      </c>
      <c r="BO713">
        <f>IFERROR(INDEX(PP_Grid[#Data],$DD713,65),0)</f>
        <v/>
      </c>
      <c r="BP713">
        <f>IFERROR(INDEX(PP_Grid[#Data],$DD713,66),0)</f>
        <v/>
      </c>
      <c r="BQ713">
        <f>IFERROR(INDEX(PP_Grid[#Data],$DD713,67),0)</f>
        <v/>
      </c>
      <c r="BR713">
        <f>IFERROR(INDEX(PP_Grid[#Data],$DD713,68),0)</f>
        <v/>
      </c>
      <c r="BS713">
        <f>IFERROR(INDEX(PP_Grid[#Data],$DD713,69),0)</f>
        <v/>
      </c>
      <c r="BT713">
        <f>IFERROR(INDEX(PP_Grid[#Data],$DD713,70),0)</f>
        <v/>
      </c>
      <c r="BU713">
        <f>IFERROR(INDEX(PP_Grid[#Data],$DD713,71),0)</f>
        <v/>
      </c>
      <c r="BV713">
        <f>IFERROR(INDEX(PP_Grid[#Data],$DD713,72),0)</f>
        <v/>
      </c>
      <c r="BW713">
        <f>IFERROR(INDEX(PP_Grid[#Data],$DD713,73),0)</f>
        <v/>
      </c>
      <c r="BX713">
        <f>IFERROR(INDEX(PP_Grid[#Data],$DD713,74),0)</f>
        <v/>
      </c>
      <c r="BY713">
        <f>IFERROR(INDEX(PP_Grid[#Data],$DD713,75),0)</f>
        <v/>
      </c>
      <c r="BZ713">
        <f>IFERROR(INDEX(PP_Grid[#Data],$DD713,76),0)</f>
        <v/>
      </c>
      <c r="CA713">
        <f>IFERROR(INDEX(PP_Grid[#Data],$DD713,77),0)</f>
        <v/>
      </c>
      <c r="CB713">
        <f>IFERROR(INDEX(PP_Grid[#Data],$DD713,78),0)</f>
        <v/>
      </c>
      <c r="CC713">
        <f>IFERROR(INDEX(PP_Grid[#Data],$DD713,79),0)</f>
        <v/>
      </c>
      <c r="CD713">
        <f>IFERROR(INDEX(PP_Grid[#Data],$DD713,80),0)</f>
        <v/>
      </c>
      <c r="CE713">
        <f>IFERROR(INDEX(PP_Grid[#Data],$DD713,81),0)</f>
        <v/>
      </c>
      <c r="CF713">
        <f>IFERROR(INDEX(PP_Grid[#Data],$DD713,82),0)</f>
        <v/>
      </c>
      <c r="CG713">
        <f>IFERROR(INDEX(PP_Grid[#Data],$DD713,83),0)</f>
        <v/>
      </c>
      <c r="CH713">
        <f>IFERROR(INDEX(PP_Grid[#Data],$DD713,84),0)</f>
        <v/>
      </c>
      <c r="CI713">
        <f>IFERROR(INDEX(PP_Grid[#Data],$DD713,85),0)</f>
        <v/>
      </c>
      <c r="CJ713">
        <f>IFERROR(INDEX(PP_Grid[#Data],$DD713,86),0)</f>
        <v/>
      </c>
      <c r="CK713">
        <f>IFERROR(INDEX(PP_Grid[#Data],$DD713,87),0)</f>
        <v/>
      </c>
      <c r="CL713">
        <f>IFERROR(INDEX(PP_Grid[#Data],$DD713,88),0)</f>
        <v/>
      </c>
      <c r="CM713">
        <f>IFERROR(INDEX(PP_Grid[#Data],$DD713,89),0)</f>
        <v/>
      </c>
      <c r="CN713">
        <f>IFERROR(INDEX(PP_Grid[#Data],$DD713,90),0)</f>
        <v/>
      </c>
      <c r="CO713">
        <f>IFERROR(INDEX(PP_Grid[#Data],$DD713,91),0)</f>
        <v/>
      </c>
      <c r="CP713">
        <f>IFERROR(INDEX(PP_Grid[#Data],$DD713,92),0)</f>
        <v/>
      </c>
      <c r="CQ713">
        <f>IFERROR(INDEX(PP_Grid[#Data],$DD713,93),0)</f>
        <v/>
      </c>
      <c r="CR713">
        <f>IFERROR(INDEX(PP_Grid[#Data],$DD713,94),0)</f>
        <v/>
      </c>
      <c r="CS713">
        <f>IFERROR(INDEX(PP_Grid[#Data],$DD713,95),0)</f>
        <v/>
      </c>
      <c r="CT713">
        <f>IFERROR(INDEX(PP_Grid[#Data],$DD713,96),0)</f>
        <v/>
      </c>
      <c r="CU713">
        <f>IFERROR(INDEX(PP_Grid[#Data],$DD713,97),0)</f>
        <v/>
      </c>
      <c r="CV713">
        <f>IFERROR(INDEX(PP_Grid[#Data],$DD713,98),0)</f>
        <v/>
      </c>
      <c r="CW713">
        <f>IFERROR(INDEX(PP_Grid[#Data],$DD713,99),0)</f>
        <v/>
      </c>
      <c r="CX713">
        <f>IFERROR(INDEX(PP_Grid[#Data],$DD713,100),0)</f>
        <v/>
      </c>
      <c r="CY713">
        <f>IFERROR(INDEX(PP_Grid[#Data],$DD713,101),0)</f>
        <v/>
      </c>
      <c r="CZ713">
        <f>IFERROR(INDEX(PP_Grid[#Data],$DD713,102),0)</f>
        <v/>
      </c>
      <c r="DA713">
        <f>IFERROR(INDEX(PP_Grid[#Data],$DD713,103),0)</f>
        <v/>
      </c>
      <c r="DB713">
        <f>IFERROR(INDEX(PP_Grid[#Data],$DD713,104),0)</f>
        <v/>
      </c>
      <c r="DC713">
        <f>IFERROR(INDEX(PP_Grid[#Data],$DD713,105),0)</f>
        <v/>
      </c>
      <c r="DD713" s="7">
        <f>IFERROR(MATCH($B713,PP_Grid[Intermediate],0),99999)</f>
        <v/>
      </c>
    </row>
    <row r="714">
      <c r="B714" t="inlineStr">
        <is>
          <t>使用量(kg)</t>
        </is>
      </c>
      <c r="C714">
        <f>SUMIFS(M_BOM[RM_Qty_Per_Batch],M_BOM[Intermediate],$B713,M_BOM[Part Name],$A710)</f>
        <v/>
      </c>
      <c r="D714">
        <f>$C714*D713</f>
        <v/>
      </c>
      <c r="E714">
        <f>$C714*E713</f>
        <v/>
      </c>
      <c r="F714">
        <f>$C714*F713</f>
        <v/>
      </c>
      <c r="G714">
        <f>$C714*G713</f>
        <v/>
      </c>
      <c r="H714">
        <f>$C714*H713</f>
        <v/>
      </c>
      <c r="I714">
        <f>$C714*I713</f>
        <v/>
      </c>
      <c r="J714">
        <f>$C714*J713</f>
        <v/>
      </c>
      <c r="K714">
        <f>$C714*K713</f>
        <v/>
      </c>
      <c r="L714">
        <f>$C714*L713</f>
        <v/>
      </c>
      <c r="M714">
        <f>$C714*M713</f>
        <v/>
      </c>
      <c r="N714">
        <f>$C714*N713</f>
        <v/>
      </c>
      <c r="O714">
        <f>$C714*O713</f>
        <v/>
      </c>
      <c r="P714">
        <f>$C714*P713</f>
        <v/>
      </c>
      <c r="Q714">
        <f>$C714*Q713</f>
        <v/>
      </c>
      <c r="R714">
        <f>$C714*R713</f>
        <v/>
      </c>
      <c r="S714">
        <f>$C714*S713</f>
        <v/>
      </c>
      <c r="T714">
        <f>$C714*T713</f>
        <v/>
      </c>
      <c r="U714">
        <f>$C714*U713</f>
        <v/>
      </c>
      <c r="V714">
        <f>$C714*V713</f>
        <v/>
      </c>
      <c r="W714">
        <f>$C714*W713</f>
        <v/>
      </c>
      <c r="X714">
        <f>$C714*X713</f>
        <v/>
      </c>
      <c r="Y714">
        <f>$C714*Y713</f>
        <v/>
      </c>
      <c r="Z714">
        <f>$C714*Z713</f>
        <v/>
      </c>
      <c r="AA714">
        <f>$C714*AA713</f>
        <v/>
      </c>
      <c r="AB714">
        <f>$C714*AB713</f>
        <v/>
      </c>
      <c r="AC714">
        <f>$C714*AC713</f>
        <v/>
      </c>
      <c r="AD714">
        <f>$C714*AD713</f>
        <v/>
      </c>
      <c r="AE714">
        <f>$C714*AE713</f>
        <v/>
      </c>
      <c r="AF714">
        <f>$C714*AF713</f>
        <v/>
      </c>
      <c r="AG714">
        <f>$C714*AG713</f>
        <v/>
      </c>
      <c r="AH714">
        <f>$C714*AH713</f>
        <v/>
      </c>
      <c r="AI714">
        <f>$C714*AI713</f>
        <v/>
      </c>
      <c r="AJ714">
        <f>$C714*AJ713</f>
        <v/>
      </c>
      <c r="AK714">
        <f>$C714*AK713</f>
        <v/>
      </c>
      <c r="AL714">
        <f>$C714*AL713</f>
        <v/>
      </c>
      <c r="AM714">
        <f>$C714*AM713</f>
        <v/>
      </c>
      <c r="AN714">
        <f>$C714*AN713</f>
        <v/>
      </c>
      <c r="AO714">
        <f>$C714*AO713</f>
        <v/>
      </c>
      <c r="AP714">
        <f>$C714*AP713</f>
        <v/>
      </c>
      <c r="AQ714">
        <f>$C714*AQ713</f>
        <v/>
      </c>
      <c r="AR714">
        <f>$C714*AR713</f>
        <v/>
      </c>
      <c r="AS714">
        <f>$C714*AS713</f>
        <v/>
      </c>
      <c r="AT714">
        <f>$C714*AT713</f>
        <v/>
      </c>
      <c r="AU714">
        <f>$C714*AU713</f>
        <v/>
      </c>
      <c r="AV714">
        <f>$C714*AV713</f>
        <v/>
      </c>
      <c r="AW714">
        <f>$C714*AW713</f>
        <v/>
      </c>
      <c r="AX714">
        <f>$C714*AX713</f>
        <v/>
      </c>
      <c r="AY714">
        <f>$C714*AY713</f>
        <v/>
      </c>
      <c r="AZ714">
        <f>$C714*AZ713</f>
        <v/>
      </c>
      <c r="BA714">
        <f>$C714*BA713</f>
        <v/>
      </c>
      <c r="BB714">
        <f>$C714*BB713</f>
        <v/>
      </c>
      <c r="BC714">
        <f>$C714*BC713</f>
        <v/>
      </c>
      <c r="BD714">
        <f>$C714*BD713</f>
        <v/>
      </c>
      <c r="BE714">
        <f>$C714*BE713</f>
        <v/>
      </c>
      <c r="BF714">
        <f>$C714*BF713</f>
        <v/>
      </c>
      <c r="BG714">
        <f>$C714*BG713</f>
        <v/>
      </c>
      <c r="BH714">
        <f>$C714*BH713</f>
        <v/>
      </c>
      <c r="BI714">
        <f>$C714*BI713</f>
        <v/>
      </c>
      <c r="BJ714">
        <f>$C714*BJ713</f>
        <v/>
      </c>
      <c r="BK714">
        <f>$C714*BK713</f>
        <v/>
      </c>
      <c r="BL714">
        <f>$C714*BL713</f>
        <v/>
      </c>
      <c r="BM714">
        <f>$C714*BM713</f>
        <v/>
      </c>
      <c r="BN714">
        <f>$C714*BN713</f>
        <v/>
      </c>
      <c r="BO714">
        <f>$C714*BO713</f>
        <v/>
      </c>
      <c r="BP714">
        <f>$C714*BP713</f>
        <v/>
      </c>
      <c r="BQ714">
        <f>$C714*BQ713</f>
        <v/>
      </c>
      <c r="BR714">
        <f>$C714*BR713</f>
        <v/>
      </c>
      <c r="BS714">
        <f>$C714*BS713</f>
        <v/>
      </c>
      <c r="BT714">
        <f>$C714*BT713</f>
        <v/>
      </c>
      <c r="BU714">
        <f>$C714*BU713</f>
        <v/>
      </c>
      <c r="BV714">
        <f>$C714*BV713</f>
        <v/>
      </c>
      <c r="BW714">
        <f>$C714*BW713</f>
        <v/>
      </c>
      <c r="BX714">
        <f>$C714*BX713</f>
        <v/>
      </c>
      <c r="BY714">
        <f>$C714*BY713</f>
        <v/>
      </c>
      <c r="BZ714">
        <f>$C714*BZ713</f>
        <v/>
      </c>
      <c r="CA714">
        <f>$C714*CA713</f>
        <v/>
      </c>
      <c r="CB714">
        <f>$C714*CB713</f>
        <v/>
      </c>
      <c r="CC714">
        <f>$C714*CC713</f>
        <v/>
      </c>
      <c r="CD714">
        <f>$C714*CD713</f>
        <v/>
      </c>
      <c r="CE714">
        <f>$C714*CE713</f>
        <v/>
      </c>
      <c r="CF714">
        <f>$C714*CF713</f>
        <v/>
      </c>
      <c r="CG714">
        <f>$C714*CG713</f>
        <v/>
      </c>
      <c r="CH714">
        <f>$C714*CH713</f>
        <v/>
      </c>
      <c r="CI714">
        <f>$C714*CI713</f>
        <v/>
      </c>
      <c r="CJ714">
        <f>$C714*CJ713</f>
        <v/>
      </c>
      <c r="CK714">
        <f>$C714*CK713</f>
        <v/>
      </c>
      <c r="CL714">
        <f>$C714*CL713</f>
        <v/>
      </c>
      <c r="CM714">
        <f>$C714*CM713</f>
        <v/>
      </c>
      <c r="CN714">
        <f>$C714*CN713</f>
        <v/>
      </c>
      <c r="CO714">
        <f>$C714*CO713</f>
        <v/>
      </c>
      <c r="CP714">
        <f>$C714*CP713</f>
        <v/>
      </c>
      <c r="CQ714">
        <f>$C714*CQ713</f>
        <v/>
      </c>
      <c r="CR714">
        <f>$C714*CR713</f>
        <v/>
      </c>
      <c r="CS714">
        <f>$C714*CS713</f>
        <v/>
      </c>
      <c r="CT714">
        <f>$C714*CT713</f>
        <v/>
      </c>
      <c r="CU714">
        <f>$C714*CU713</f>
        <v/>
      </c>
      <c r="CV714">
        <f>$C714*CV713</f>
        <v/>
      </c>
      <c r="CW714">
        <f>$C714*CW713</f>
        <v/>
      </c>
      <c r="CX714">
        <f>$C714*CX713</f>
        <v/>
      </c>
      <c r="CY714">
        <f>$C714*CY713</f>
        <v/>
      </c>
      <c r="CZ714">
        <f>$C714*CZ713</f>
        <v/>
      </c>
      <c r="DA714">
        <f>$C714*DA713</f>
        <v/>
      </c>
      <c r="DB714">
        <f>$C714*DB713</f>
        <v/>
      </c>
      <c r="DC714">
        <f>$C714*DC713</f>
        <v/>
      </c>
    </row>
    <row r="715">
      <c r="B715" t="inlineStr">
        <is>
          <t>TSP-404</t>
        </is>
      </c>
      <c r="C715" t="inlineStr">
        <is>
          <t>No. of batches</t>
        </is>
      </c>
      <c r="D715">
        <f>IFERROR(INDEX(PP_Grid[#Data],$DD715,2),0)</f>
        <v/>
      </c>
      <c r="E715">
        <f>IFERROR(INDEX(PP_Grid[#Data],$DD715,3),0)</f>
        <v/>
      </c>
      <c r="F715">
        <f>IFERROR(INDEX(PP_Grid[#Data],$DD715,4),0)</f>
        <v/>
      </c>
      <c r="G715">
        <f>IFERROR(INDEX(PP_Grid[#Data],$DD715,5),0)</f>
        <v/>
      </c>
      <c r="H715">
        <f>IFERROR(INDEX(PP_Grid[#Data],$DD715,6),0)</f>
        <v/>
      </c>
      <c r="I715">
        <f>IFERROR(INDEX(PP_Grid[#Data],$DD715,7),0)</f>
        <v/>
      </c>
      <c r="J715">
        <f>IFERROR(INDEX(PP_Grid[#Data],$DD715,8),0)</f>
        <v/>
      </c>
      <c r="K715">
        <f>IFERROR(INDEX(PP_Grid[#Data],$DD715,9),0)</f>
        <v/>
      </c>
      <c r="L715">
        <f>IFERROR(INDEX(PP_Grid[#Data],$DD715,10),0)</f>
        <v/>
      </c>
      <c r="M715">
        <f>IFERROR(INDEX(PP_Grid[#Data],$DD715,11),0)</f>
        <v/>
      </c>
      <c r="N715">
        <f>IFERROR(INDEX(PP_Grid[#Data],$DD715,12),0)</f>
        <v/>
      </c>
      <c r="O715">
        <f>IFERROR(INDEX(PP_Grid[#Data],$DD715,13),0)</f>
        <v/>
      </c>
      <c r="P715">
        <f>IFERROR(INDEX(PP_Grid[#Data],$DD715,14),0)</f>
        <v/>
      </c>
      <c r="Q715">
        <f>IFERROR(INDEX(PP_Grid[#Data],$DD715,15),0)</f>
        <v/>
      </c>
      <c r="R715">
        <f>IFERROR(INDEX(PP_Grid[#Data],$DD715,16),0)</f>
        <v/>
      </c>
      <c r="S715">
        <f>IFERROR(INDEX(PP_Grid[#Data],$DD715,17),0)</f>
        <v/>
      </c>
      <c r="T715">
        <f>IFERROR(INDEX(PP_Grid[#Data],$DD715,18),0)</f>
        <v/>
      </c>
      <c r="U715">
        <f>IFERROR(INDEX(PP_Grid[#Data],$DD715,19),0)</f>
        <v/>
      </c>
      <c r="V715">
        <f>IFERROR(INDEX(PP_Grid[#Data],$DD715,20),0)</f>
        <v/>
      </c>
      <c r="W715">
        <f>IFERROR(INDEX(PP_Grid[#Data],$DD715,21),0)</f>
        <v/>
      </c>
      <c r="X715">
        <f>IFERROR(INDEX(PP_Grid[#Data],$DD715,22),0)</f>
        <v/>
      </c>
      <c r="Y715">
        <f>IFERROR(INDEX(PP_Grid[#Data],$DD715,23),0)</f>
        <v/>
      </c>
      <c r="Z715">
        <f>IFERROR(INDEX(PP_Grid[#Data],$DD715,24),0)</f>
        <v/>
      </c>
      <c r="AA715">
        <f>IFERROR(INDEX(PP_Grid[#Data],$DD715,25),0)</f>
        <v/>
      </c>
      <c r="AB715">
        <f>IFERROR(INDEX(PP_Grid[#Data],$DD715,26),0)</f>
        <v/>
      </c>
      <c r="AC715">
        <f>IFERROR(INDEX(PP_Grid[#Data],$DD715,27),0)</f>
        <v/>
      </c>
      <c r="AD715">
        <f>IFERROR(INDEX(PP_Grid[#Data],$DD715,28),0)</f>
        <v/>
      </c>
      <c r="AE715">
        <f>IFERROR(INDEX(PP_Grid[#Data],$DD715,29),0)</f>
        <v/>
      </c>
      <c r="AF715">
        <f>IFERROR(INDEX(PP_Grid[#Data],$DD715,30),0)</f>
        <v/>
      </c>
      <c r="AG715">
        <f>IFERROR(INDEX(PP_Grid[#Data],$DD715,31),0)</f>
        <v/>
      </c>
      <c r="AH715">
        <f>IFERROR(INDEX(PP_Grid[#Data],$DD715,32),0)</f>
        <v/>
      </c>
      <c r="AI715">
        <f>IFERROR(INDEX(PP_Grid[#Data],$DD715,33),0)</f>
        <v/>
      </c>
      <c r="AJ715">
        <f>IFERROR(INDEX(PP_Grid[#Data],$DD715,34),0)</f>
        <v/>
      </c>
      <c r="AK715">
        <f>IFERROR(INDEX(PP_Grid[#Data],$DD715,35),0)</f>
        <v/>
      </c>
      <c r="AL715">
        <f>IFERROR(INDEX(PP_Grid[#Data],$DD715,36),0)</f>
        <v/>
      </c>
      <c r="AM715">
        <f>IFERROR(INDEX(PP_Grid[#Data],$DD715,37),0)</f>
        <v/>
      </c>
      <c r="AN715">
        <f>IFERROR(INDEX(PP_Grid[#Data],$DD715,38),0)</f>
        <v/>
      </c>
      <c r="AO715">
        <f>IFERROR(INDEX(PP_Grid[#Data],$DD715,39),0)</f>
        <v/>
      </c>
      <c r="AP715">
        <f>IFERROR(INDEX(PP_Grid[#Data],$DD715,40),0)</f>
        <v/>
      </c>
      <c r="AQ715">
        <f>IFERROR(INDEX(PP_Grid[#Data],$DD715,41),0)</f>
        <v/>
      </c>
      <c r="AR715">
        <f>IFERROR(INDEX(PP_Grid[#Data],$DD715,42),0)</f>
        <v/>
      </c>
      <c r="AS715">
        <f>IFERROR(INDEX(PP_Grid[#Data],$DD715,43),0)</f>
        <v/>
      </c>
      <c r="AT715">
        <f>IFERROR(INDEX(PP_Grid[#Data],$DD715,44),0)</f>
        <v/>
      </c>
      <c r="AU715">
        <f>IFERROR(INDEX(PP_Grid[#Data],$DD715,45),0)</f>
        <v/>
      </c>
      <c r="AV715">
        <f>IFERROR(INDEX(PP_Grid[#Data],$DD715,46),0)</f>
        <v/>
      </c>
      <c r="AW715">
        <f>IFERROR(INDEX(PP_Grid[#Data],$DD715,47),0)</f>
        <v/>
      </c>
      <c r="AX715">
        <f>IFERROR(INDEX(PP_Grid[#Data],$DD715,48),0)</f>
        <v/>
      </c>
      <c r="AY715">
        <f>IFERROR(INDEX(PP_Grid[#Data],$DD715,49),0)</f>
        <v/>
      </c>
      <c r="AZ715">
        <f>IFERROR(INDEX(PP_Grid[#Data],$DD715,50),0)</f>
        <v/>
      </c>
      <c r="BA715">
        <f>IFERROR(INDEX(PP_Grid[#Data],$DD715,51),0)</f>
        <v/>
      </c>
      <c r="BB715">
        <f>IFERROR(INDEX(PP_Grid[#Data],$DD715,52),0)</f>
        <v/>
      </c>
      <c r="BC715">
        <f>IFERROR(INDEX(PP_Grid[#Data],$DD715,53),0)</f>
        <v/>
      </c>
      <c r="BD715">
        <f>IFERROR(INDEX(PP_Grid[#Data],$DD715,54),0)</f>
        <v/>
      </c>
      <c r="BE715">
        <f>IFERROR(INDEX(PP_Grid[#Data],$DD715,55),0)</f>
        <v/>
      </c>
      <c r="BF715">
        <f>IFERROR(INDEX(PP_Grid[#Data],$DD715,56),0)</f>
        <v/>
      </c>
      <c r="BG715">
        <f>IFERROR(INDEX(PP_Grid[#Data],$DD715,57),0)</f>
        <v/>
      </c>
      <c r="BH715">
        <f>IFERROR(INDEX(PP_Grid[#Data],$DD715,58),0)</f>
        <v/>
      </c>
      <c r="BI715">
        <f>IFERROR(INDEX(PP_Grid[#Data],$DD715,59),0)</f>
        <v/>
      </c>
      <c r="BJ715">
        <f>IFERROR(INDEX(PP_Grid[#Data],$DD715,60),0)</f>
        <v/>
      </c>
      <c r="BK715">
        <f>IFERROR(INDEX(PP_Grid[#Data],$DD715,61),0)</f>
        <v/>
      </c>
      <c r="BL715">
        <f>IFERROR(INDEX(PP_Grid[#Data],$DD715,62),0)</f>
        <v/>
      </c>
      <c r="BM715">
        <f>IFERROR(INDEX(PP_Grid[#Data],$DD715,63),0)</f>
        <v/>
      </c>
      <c r="BN715">
        <f>IFERROR(INDEX(PP_Grid[#Data],$DD715,64),0)</f>
        <v/>
      </c>
      <c r="BO715">
        <f>IFERROR(INDEX(PP_Grid[#Data],$DD715,65),0)</f>
        <v/>
      </c>
      <c r="BP715">
        <f>IFERROR(INDEX(PP_Grid[#Data],$DD715,66),0)</f>
        <v/>
      </c>
      <c r="BQ715">
        <f>IFERROR(INDEX(PP_Grid[#Data],$DD715,67),0)</f>
        <v/>
      </c>
      <c r="BR715">
        <f>IFERROR(INDEX(PP_Grid[#Data],$DD715,68),0)</f>
        <v/>
      </c>
      <c r="BS715">
        <f>IFERROR(INDEX(PP_Grid[#Data],$DD715,69),0)</f>
        <v/>
      </c>
      <c r="BT715">
        <f>IFERROR(INDEX(PP_Grid[#Data],$DD715,70),0)</f>
        <v/>
      </c>
      <c r="BU715">
        <f>IFERROR(INDEX(PP_Grid[#Data],$DD715,71),0)</f>
        <v/>
      </c>
      <c r="BV715">
        <f>IFERROR(INDEX(PP_Grid[#Data],$DD715,72),0)</f>
        <v/>
      </c>
      <c r="BW715">
        <f>IFERROR(INDEX(PP_Grid[#Data],$DD715,73),0)</f>
        <v/>
      </c>
      <c r="BX715">
        <f>IFERROR(INDEX(PP_Grid[#Data],$DD715,74),0)</f>
        <v/>
      </c>
      <c r="BY715">
        <f>IFERROR(INDEX(PP_Grid[#Data],$DD715,75),0)</f>
        <v/>
      </c>
      <c r="BZ715">
        <f>IFERROR(INDEX(PP_Grid[#Data],$DD715,76),0)</f>
        <v/>
      </c>
      <c r="CA715">
        <f>IFERROR(INDEX(PP_Grid[#Data],$DD715,77),0)</f>
        <v/>
      </c>
      <c r="CB715">
        <f>IFERROR(INDEX(PP_Grid[#Data],$DD715,78),0)</f>
        <v/>
      </c>
      <c r="CC715">
        <f>IFERROR(INDEX(PP_Grid[#Data],$DD715,79),0)</f>
        <v/>
      </c>
      <c r="CD715">
        <f>IFERROR(INDEX(PP_Grid[#Data],$DD715,80),0)</f>
        <v/>
      </c>
      <c r="CE715">
        <f>IFERROR(INDEX(PP_Grid[#Data],$DD715,81),0)</f>
        <v/>
      </c>
      <c r="CF715">
        <f>IFERROR(INDEX(PP_Grid[#Data],$DD715,82),0)</f>
        <v/>
      </c>
      <c r="CG715">
        <f>IFERROR(INDEX(PP_Grid[#Data],$DD715,83),0)</f>
        <v/>
      </c>
      <c r="CH715">
        <f>IFERROR(INDEX(PP_Grid[#Data],$DD715,84),0)</f>
        <v/>
      </c>
      <c r="CI715">
        <f>IFERROR(INDEX(PP_Grid[#Data],$DD715,85),0)</f>
        <v/>
      </c>
      <c r="CJ715">
        <f>IFERROR(INDEX(PP_Grid[#Data],$DD715,86),0)</f>
        <v/>
      </c>
      <c r="CK715">
        <f>IFERROR(INDEX(PP_Grid[#Data],$DD715,87),0)</f>
        <v/>
      </c>
      <c r="CL715">
        <f>IFERROR(INDEX(PP_Grid[#Data],$DD715,88),0)</f>
        <v/>
      </c>
      <c r="CM715">
        <f>IFERROR(INDEX(PP_Grid[#Data],$DD715,89),0)</f>
        <v/>
      </c>
      <c r="CN715">
        <f>IFERROR(INDEX(PP_Grid[#Data],$DD715,90),0)</f>
        <v/>
      </c>
      <c r="CO715">
        <f>IFERROR(INDEX(PP_Grid[#Data],$DD715,91),0)</f>
        <v/>
      </c>
      <c r="CP715">
        <f>IFERROR(INDEX(PP_Grid[#Data],$DD715,92),0)</f>
        <v/>
      </c>
      <c r="CQ715">
        <f>IFERROR(INDEX(PP_Grid[#Data],$DD715,93),0)</f>
        <v/>
      </c>
      <c r="CR715">
        <f>IFERROR(INDEX(PP_Grid[#Data],$DD715,94),0)</f>
        <v/>
      </c>
      <c r="CS715">
        <f>IFERROR(INDEX(PP_Grid[#Data],$DD715,95),0)</f>
        <v/>
      </c>
      <c r="CT715">
        <f>IFERROR(INDEX(PP_Grid[#Data],$DD715,96),0)</f>
        <v/>
      </c>
      <c r="CU715">
        <f>IFERROR(INDEX(PP_Grid[#Data],$DD715,97),0)</f>
        <v/>
      </c>
      <c r="CV715">
        <f>IFERROR(INDEX(PP_Grid[#Data],$DD715,98),0)</f>
        <v/>
      </c>
      <c r="CW715">
        <f>IFERROR(INDEX(PP_Grid[#Data],$DD715,99),0)</f>
        <v/>
      </c>
      <c r="CX715">
        <f>IFERROR(INDEX(PP_Grid[#Data],$DD715,100),0)</f>
        <v/>
      </c>
      <c r="CY715">
        <f>IFERROR(INDEX(PP_Grid[#Data],$DD715,101),0)</f>
        <v/>
      </c>
      <c r="CZ715">
        <f>IFERROR(INDEX(PP_Grid[#Data],$DD715,102),0)</f>
        <v/>
      </c>
      <c r="DA715">
        <f>IFERROR(INDEX(PP_Grid[#Data],$DD715,103),0)</f>
        <v/>
      </c>
      <c r="DB715">
        <f>IFERROR(INDEX(PP_Grid[#Data],$DD715,104),0)</f>
        <v/>
      </c>
      <c r="DC715">
        <f>IFERROR(INDEX(PP_Grid[#Data],$DD715,105),0)</f>
        <v/>
      </c>
      <c r="DD715" s="7">
        <f>IFERROR(MATCH($B715,PP_Grid[Intermediate],0),99999)</f>
        <v/>
      </c>
    </row>
    <row r="716">
      <c r="B716" t="inlineStr">
        <is>
          <t>使用量(kg)</t>
        </is>
      </c>
      <c r="C716">
        <f>SUMIFS(M_BOM[RM_Qty_Per_Batch],M_BOM[Intermediate],$B715,M_BOM[Part Name],$A710)</f>
        <v/>
      </c>
      <c r="D716">
        <f>$C716*D715</f>
        <v/>
      </c>
      <c r="E716">
        <f>$C716*E715</f>
        <v/>
      </c>
      <c r="F716">
        <f>$C716*F715</f>
        <v/>
      </c>
      <c r="G716">
        <f>$C716*G715</f>
        <v/>
      </c>
      <c r="H716">
        <f>$C716*H715</f>
        <v/>
      </c>
      <c r="I716">
        <f>$C716*I715</f>
        <v/>
      </c>
      <c r="J716">
        <f>$C716*J715</f>
        <v/>
      </c>
      <c r="K716">
        <f>$C716*K715</f>
        <v/>
      </c>
      <c r="L716">
        <f>$C716*L715</f>
        <v/>
      </c>
      <c r="M716">
        <f>$C716*M715</f>
        <v/>
      </c>
      <c r="N716">
        <f>$C716*N715</f>
        <v/>
      </c>
      <c r="O716">
        <f>$C716*O715</f>
        <v/>
      </c>
      <c r="P716">
        <f>$C716*P715</f>
        <v/>
      </c>
      <c r="Q716">
        <f>$C716*Q715</f>
        <v/>
      </c>
      <c r="R716">
        <f>$C716*R715</f>
        <v/>
      </c>
      <c r="S716">
        <f>$C716*S715</f>
        <v/>
      </c>
      <c r="T716">
        <f>$C716*T715</f>
        <v/>
      </c>
      <c r="U716">
        <f>$C716*U715</f>
        <v/>
      </c>
      <c r="V716">
        <f>$C716*V715</f>
        <v/>
      </c>
      <c r="W716">
        <f>$C716*W715</f>
        <v/>
      </c>
      <c r="X716">
        <f>$C716*X715</f>
        <v/>
      </c>
      <c r="Y716">
        <f>$C716*Y715</f>
        <v/>
      </c>
      <c r="Z716">
        <f>$C716*Z715</f>
        <v/>
      </c>
      <c r="AA716">
        <f>$C716*AA715</f>
        <v/>
      </c>
      <c r="AB716">
        <f>$C716*AB715</f>
        <v/>
      </c>
      <c r="AC716">
        <f>$C716*AC715</f>
        <v/>
      </c>
      <c r="AD716">
        <f>$C716*AD715</f>
        <v/>
      </c>
      <c r="AE716">
        <f>$C716*AE715</f>
        <v/>
      </c>
      <c r="AF716">
        <f>$C716*AF715</f>
        <v/>
      </c>
      <c r="AG716">
        <f>$C716*AG715</f>
        <v/>
      </c>
      <c r="AH716">
        <f>$C716*AH715</f>
        <v/>
      </c>
      <c r="AI716">
        <f>$C716*AI715</f>
        <v/>
      </c>
      <c r="AJ716">
        <f>$C716*AJ715</f>
        <v/>
      </c>
      <c r="AK716">
        <f>$C716*AK715</f>
        <v/>
      </c>
      <c r="AL716">
        <f>$C716*AL715</f>
        <v/>
      </c>
      <c r="AM716">
        <f>$C716*AM715</f>
        <v/>
      </c>
      <c r="AN716">
        <f>$C716*AN715</f>
        <v/>
      </c>
      <c r="AO716">
        <f>$C716*AO715</f>
        <v/>
      </c>
      <c r="AP716">
        <f>$C716*AP715</f>
        <v/>
      </c>
      <c r="AQ716">
        <f>$C716*AQ715</f>
        <v/>
      </c>
      <c r="AR716">
        <f>$C716*AR715</f>
        <v/>
      </c>
      <c r="AS716">
        <f>$C716*AS715</f>
        <v/>
      </c>
      <c r="AT716">
        <f>$C716*AT715</f>
        <v/>
      </c>
      <c r="AU716">
        <f>$C716*AU715</f>
        <v/>
      </c>
      <c r="AV716">
        <f>$C716*AV715</f>
        <v/>
      </c>
      <c r="AW716">
        <f>$C716*AW715</f>
        <v/>
      </c>
      <c r="AX716">
        <f>$C716*AX715</f>
        <v/>
      </c>
      <c r="AY716">
        <f>$C716*AY715</f>
        <v/>
      </c>
      <c r="AZ716">
        <f>$C716*AZ715</f>
        <v/>
      </c>
      <c r="BA716">
        <f>$C716*BA715</f>
        <v/>
      </c>
      <c r="BB716">
        <f>$C716*BB715</f>
        <v/>
      </c>
      <c r="BC716">
        <f>$C716*BC715</f>
        <v/>
      </c>
      <c r="BD716">
        <f>$C716*BD715</f>
        <v/>
      </c>
      <c r="BE716">
        <f>$C716*BE715</f>
        <v/>
      </c>
      <c r="BF716">
        <f>$C716*BF715</f>
        <v/>
      </c>
      <c r="BG716">
        <f>$C716*BG715</f>
        <v/>
      </c>
      <c r="BH716">
        <f>$C716*BH715</f>
        <v/>
      </c>
      <c r="BI716">
        <f>$C716*BI715</f>
        <v/>
      </c>
      <c r="BJ716">
        <f>$C716*BJ715</f>
        <v/>
      </c>
      <c r="BK716">
        <f>$C716*BK715</f>
        <v/>
      </c>
      <c r="BL716">
        <f>$C716*BL715</f>
        <v/>
      </c>
      <c r="BM716">
        <f>$C716*BM715</f>
        <v/>
      </c>
      <c r="BN716">
        <f>$C716*BN715</f>
        <v/>
      </c>
      <c r="BO716">
        <f>$C716*BO715</f>
        <v/>
      </c>
      <c r="BP716">
        <f>$C716*BP715</f>
        <v/>
      </c>
      <c r="BQ716">
        <f>$C716*BQ715</f>
        <v/>
      </c>
      <c r="BR716">
        <f>$C716*BR715</f>
        <v/>
      </c>
      <c r="BS716">
        <f>$C716*BS715</f>
        <v/>
      </c>
      <c r="BT716">
        <f>$C716*BT715</f>
        <v/>
      </c>
      <c r="BU716">
        <f>$C716*BU715</f>
        <v/>
      </c>
      <c r="BV716">
        <f>$C716*BV715</f>
        <v/>
      </c>
      <c r="BW716">
        <f>$C716*BW715</f>
        <v/>
      </c>
      <c r="BX716">
        <f>$C716*BX715</f>
        <v/>
      </c>
      <c r="BY716">
        <f>$C716*BY715</f>
        <v/>
      </c>
      <c r="BZ716">
        <f>$C716*BZ715</f>
        <v/>
      </c>
      <c r="CA716">
        <f>$C716*CA715</f>
        <v/>
      </c>
      <c r="CB716">
        <f>$C716*CB715</f>
        <v/>
      </c>
      <c r="CC716">
        <f>$C716*CC715</f>
        <v/>
      </c>
      <c r="CD716">
        <f>$C716*CD715</f>
        <v/>
      </c>
      <c r="CE716">
        <f>$C716*CE715</f>
        <v/>
      </c>
      <c r="CF716">
        <f>$C716*CF715</f>
        <v/>
      </c>
      <c r="CG716">
        <f>$C716*CG715</f>
        <v/>
      </c>
      <c r="CH716">
        <f>$C716*CH715</f>
        <v/>
      </c>
      <c r="CI716">
        <f>$C716*CI715</f>
        <v/>
      </c>
      <c r="CJ716">
        <f>$C716*CJ715</f>
        <v/>
      </c>
      <c r="CK716">
        <f>$C716*CK715</f>
        <v/>
      </c>
      <c r="CL716">
        <f>$C716*CL715</f>
        <v/>
      </c>
      <c r="CM716">
        <f>$C716*CM715</f>
        <v/>
      </c>
      <c r="CN716">
        <f>$C716*CN715</f>
        <v/>
      </c>
      <c r="CO716">
        <f>$C716*CO715</f>
        <v/>
      </c>
      <c r="CP716">
        <f>$C716*CP715</f>
        <v/>
      </c>
      <c r="CQ716">
        <f>$C716*CQ715</f>
        <v/>
      </c>
      <c r="CR716">
        <f>$C716*CR715</f>
        <v/>
      </c>
      <c r="CS716">
        <f>$C716*CS715</f>
        <v/>
      </c>
      <c r="CT716">
        <f>$C716*CT715</f>
        <v/>
      </c>
      <c r="CU716">
        <f>$C716*CU715</f>
        <v/>
      </c>
      <c r="CV716">
        <f>$C716*CV715</f>
        <v/>
      </c>
      <c r="CW716">
        <f>$C716*CW715</f>
        <v/>
      </c>
      <c r="CX716">
        <f>$C716*CX715</f>
        <v/>
      </c>
      <c r="CY716">
        <f>$C716*CY715</f>
        <v/>
      </c>
      <c r="CZ716">
        <f>$C716*CZ715</f>
        <v/>
      </c>
      <c r="DA716">
        <f>$C716*DA715</f>
        <v/>
      </c>
      <c r="DB716">
        <f>$C716*DB715</f>
        <v/>
      </c>
      <c r="DC716">
        <f>$C716*DC715</f>
        <v/>
      </c>
    </row>
    <row r="717">
      <c r="B717" t="inlineStr">
        <is>
          <t>TSP-405</t>
        </is>
      </c>
      <c r="C717" t="inlineStr">
        <is>
          <t>No. of batches</t>
        </is>
      </c>
      <c r="D717">
        <f>IFERROR(INDEX(PP_Grid[#Data],$DD717,2),0)</f>
        <v/>
      </c>
      <c r="E717">
        <f>IFERROR(INDEX(PP_Grid[#Data],$DD717,3),0)</f>
        <v/>
      </c>
      <c r="F717">
        <f>IFERROR(INDEX(PP_Grid[#Data],$DD717,4),0)</f>
        <v/>
      </c>
      <c r="G717">
        <f>IFERROR(INDEX(PP_Grid[#Data],$DD717,5),0)</f>
        <v/>
      </c>
      <c r="H717">
        <f>IFERROR(INDEX(PP_Grid[#Data],$DD717,6),0)</f>
        <v/>
      </c>
      <c r="I717">
        <f>IFERROR(INDEX(PP_Grid[#Data],$DD717,7),0)</f>
        <v/>
      </c>
      <c r="J717">
        <f>IFERROR(INDEX(PP_Grid[#Data],$DD717,8),0)</f>
        <v/>
      </c>
      <c r="K717">
        <f>IFERROR(INDEX(PP_Grid[#Data],$DD717,9),0)</f>
        <v/>
      </c>
      <c r="L717">
        <f>IFERROR(INDEX(PP_Grid[#Data],$DD717,10),0)</f>
        <v/>
      </c>
      <c r="M717">
        <f>IFERROR(INDEX(PP_Grid[#Data],$DD717,11),0)</f>
        <v/>
      </c>
      <c r="N717">
        <f>IFERROR(INDEX(PP_Grid[#Data],$DD717,12),0)</f>
        <v/>
      </c>
      <c r="O717">
        <f>IFERROR(INDEX(PP_Grid[#Data],$DD717,13),0)</f>
        <v/>
      </c>
      <c r="P717">
        <f>IFERROR(INDEX(PP_Grid[#Data],$DD717,14),0)</f>
        <v/>
      </c>
      <c r="Q717">
        <f>IFERROR(INDEX(PP_Grid[#Data],$DD717,15),0)</f>
        <v/>
      </c>
      <c r="R717">
        <f>IFERROR(INDEX(PP_Grid[#Data],$DD717,16),0)</f>
        <v/>
      </c>
      <c r="S717">
        <f>IFERROR(INDEX(PP_Grid[#Data],$DD717,17),0)</f>
        <v/>
      </c>
      <c r="T717">
        <f>IFERROR(INDEX(PP_Grid[#Data],$DD717,18),0)</f>
        <v/>
      </c>
      <c r="U717">
        <f>IFERROR(INDEX(PP_Grid[#Data],$DD717,19),0)</f>
        <v/>
      </c>
      <c r="V717">
        <f>IFERROR(INDEX(PP_Grid[#Data],$DD717,20),0)</f>
        <v/>
      </c>
      <c r="W717">
        <f>IFERROR(INDEX(PP_Grid[#Data],$DD717,21),0)</f>
        <v/>
      </c>
      <c r="X717">
        <f>IFERROR(INDEX(PP_Grid[#Data],$DD717,22),0)</f>
        <v/>
      </c>
      <c r="Y717">
        <f>IFERROR(INDEX(PP_Grid[#Data],$DD717,23),0)</f>
        <v/>
      </c>
      <c r="Z717">
        <f>IFERROR(INDEX(PP_Grid[#Data],$DD717,24),0)</f>
        <v/>
      </c>
      <c r="AA717">
        <f>IFERROR(INDEX(PP_Grid[#Data],$DD717,25),0)</f>
        <v/>
      </c>
      <c r="AB717">
        <f>IFERROR(INDEX(PP_Grid[#Data],$DD717,26),0)</f>
        <v/>
      </c>
      <c r="AC717">
        <f>IFERROR(INDEX(PP_Grid[#Data],$DD717,27),0)</f>
        <v/>
      </c>
      <c r="AD717">
        <f>IFERROR(INDEX(PP_Grid[#Data],$DD717,28),0)</f>
        <v/>
      </c>
      <c r="AE717">
        <f>IFERROR(INDEX(PP_Grid[#Data],$DD717,29),0)</f>
        <v/>
      </c>
      <c r="AF717">
        <f>IFERROR(INDEX(PP_Grid[#Data],$DD717,30),0)</f>
        <v/>
      </c>
      <c r="AG717">
        <f>IFERROR(INDEX(PP_Grid[#Data],$DD717,31),0)</f>
        <v/>
      </c>
      <c r="AH717">
        <f>IFERROR(INDEX(PP_Grid[#Data],$DD717,32),0)</f>
        <v/>
      </c>
      <c r="AI717">
        <f>IFERROR(INDEX(PP_Grid[#Data],$DD717,33),0)</f>
        <v/>
      </c>
      <c r="AJ717">
        <f>IFERROR(INDEX(PP_Grid[#Data],$DD717,34),0)</f>
        <v/>
      </c>
      <c r="AK717">
        <f>IFERROR(INDEX(PP_Grid[#Data],$DD717,35),0)</f>
        <v/>
      </c>
      <c r="AL717">
        <f>IFERROR(INDEX(PP_Grid[#Data],$DD717,36),0)</f>
        <v/>
      </c>
      <c r="AM717">
        <f>IFERROR(INDEX(PP_Grid[#Data],$DD717,37),0)</f>
        <v/>
      </c>
      <c r="AN717">
        <f>IFERROR(INDEX(PP_Grid[#Data],$DD717,38),0)</f>
        <v/>
      </c>
      <c r="AO717">
        <f>IFERROR(INDEX(PP_Grid[#Data],$DD717,39),0)</f>
        <v/>
      </c>
      <c r="AP717">
        <f>IFERROR(INDEX(PP_Grid[#Data],$DD717,40),0)</f>
        <v/>
      </c>
      <c r="AQ717">
        <f>IFERROR(INDEX(PP_Grid[#Data],$DD717,41),0)</f>
        <v/>
      </c>
      <c r="AR717">
        <f>IFERROR(INDEX(PP_Grid[#Data],$DD717,42),0)</f>
        <v/>
      </c>
      <c r="AS717">
        <f>IFERROR(INDEX(PP_Grid[#Data],$DD717,43),0)</f>
        <v/>
      </c>
      <c r="AT717">
        <f>IFERROR(INDEX(PP_Grid[#Data],$DD717,44),0)</f>
        <v/>
      </c>
      <c r="AU717">
        <f>IFERROR(INDEX(PP_Grid[#Data],$DD717,45),0)</f>
        <v/>
      </c>
      <c r="AV717">
        <f>IFERROR(INDEX(PP_Grid[#Data],$DD717,46),0)</f>
        <v/>
      </c>
      <c r="AW717">
        <f>IFERROR(INDEX(PP_Grid[#Data],$DD717,47),0)</f>
        <v/>
      </c>
      <c r="AX717">
        <f>IFERROR(INDEX(PP_Grid[#Data],$DD717,48),0)</f>
        <v/>
      </c>
      <c r="AY717">
        <f>IFERROR(INDEX(PP_Grid[#Data],$DD717,49),0)</f>
        <v/>
      </c>
      <c r="AZ717">
        <f>IFERROR(INDEX(PP_Grid[#Data],$DD717,50),0)</f>
        <v/>
      </c>
      <c r="BA717">
        <f>IFERROR(INDEX(PP_Grid[#Data],$DD717,51),0)</f>
        <v/>
      </c>
      <c r="BB717">
        <f>IFERROR(INDEX(PP_Grid[#Data],$DD717,52),0)</f>
        <v/>
      </c>
      <c r="BC717">
        <f>IFERROR(INDEX(PP_Grid[#Data],$DD717,53),0)</f>
        <v/>
      </c>
      <c r="BD717">
        <f>IFERROR(INDEX(PP_Grid[#Data],$DD717,54),0)</f>
        <v/>
      </c>
      <c r="BE717">
        <f>IFERROR(INDEX(PP_Grid[#Data],$DD717,55),0)</f>
        <v/>
      </c>
      <c r="BF717">
        <f>IFERROR(INDEX(PP_Grid[#Data],$DD717,56),0)</f>
        <v/>
      </c>
      <c r="BG717">
        <f>IFERROR(INDEX(PP_Grid[#Data],$DD717,57),0)</f>
        <v/>
      </c>
      <c r="BH717">
        <f>IFERROR(INDEX(PP_Grid[#Data],$DD717,58),0)</f>
        <v/>
      </c>
      <c r="BI717">
        <f>IFERROR(INDEX(PP_Grid[#Data],$DD717,59),0)</f>
        <v/>
      </c>
      <c r="BJ717">
        <f>IFERROR(INDEX(PP_Grid[#Data],$DD717,60),0)</f>
        <v/>
      </c>
      <c r="BK717">
        <f>IFERROR(INDEX(PP_Grid[#Data],$DD717,61),0)</f>
        <v/>
      </c>
      <c r="BL717">
        <f>IFERROR(INDEX(PP_Grid[#Data],$DD717,62),0)</f>
        <v/>
      </c>
      <c r="BM717">
        <f>IFERROR(INDEX(PP_Grid[#Data],$DD717,63),0)</f>
        <v/>
      </c>
      <c r="BN717">
        <f>IFERROR(INDEX(PP_Grid[#Data],$DD717,64),0)</f>
        <v/>
      </c>
      <c r="BO717">
        <f>IFERROR(INDEX(PP_Grid[#Data],$DD717,65),0)</f>
        <v/>
      </c>
      <c r="BP717">
        <f>IFERROR(INDEX(PP_Grid[#Data],$DD717,66),0)</f>
        <v/>
      </c>
      <c r="BQ717">
        <f>IFERROR(INDEX(PP_Grid[#Data],$DD717,67),0)</f>
        <v/>
      </c>
      <c r="BR717">
        <f>IFERROR(INDEX(PP_Grid[#Data],$DD717,68),0)</f>
        <v/>
      </c>
      <c r="BS717">
        <f>IFERROR(INDEX(PP_Grid[#Data],$DD717,69),0)</f>
        <v/>
      </c>
      <c r="BT717">
        <f>IFERROR(INDEX(PP_Grid[#Data],$DD717,70),0)</f>
        <v/>
      </c>
      <c r="BU717">
        <f>IFERROR(INDEX(PP_Grid[#Data],$DD717,71),0)</f>
        <v/>
      </c>
      <c r="BV717">
        <f>IFERROR(INDEX(PP_Grid[#Data],$DD717,72),0)</f>
        <v/>
      </c>
      <c r="BW717">
        <f>IFERROR(INDEX(PP_Grid[#Data],$DD717,73),0)</f>
        <v/>
      </c>
      <c r="BX717">
        <f>IFERROR(INDEX(PP_Grid[#Data],$DD717,74),0)</f>
        <v/>
      </c>
      <c r="BY717">
        <f>IFERROR(INDEX(PP_Grid[#Data],$DD717,75),0)</f>
        <v/>
      </c>
      <c r="BZ717">
        <f>IFERROR(INDEX(PP_Grid[#Data],$DD717,76),0)</f>
        <v/>
      </c>
      <c r="CA717">
        <f>IFERROR(INDEX(PP_Grid[#Data],$DD717,77),0)</f>
        <v/>
      </c>
      <c r="CB717">
        <f>IFERROR(INDEX(PP_Grid[#Data],$DD717,78),0)</f>
        <v/>
      </c>
      <c r="CC717">
        <f>IFERROR(INDEX(PP_Grid[#Data],$DD717,79),0)</f>
        <v/>
      </c>
      <c r="CD717">
        <f>IFERROR(INDEX(PP_Grid[#Data],$DD717,80),0)</f>
        <v/>
      </c>
      <c r="CE717">
        <f>IFERROR(INDEX(PP_Grid[#Data],$DD717,81),0)</f>
        <v/>
      </c>
      <c r="CF717">
        <f>IFERROR(INDEX(PP_Grid[#Data],$DD717,82),0)</f>
        <v/>
      </c>
      <c r="CG717">
        <f>IFERROR(INDEX(PP_Grid[#Data],$DD717,83),0)</f>
        <v/>
      </c>
      <c r="CH717">
        <f>IFERROR(INDEX(PP_Grid[#Data],$DD717,84),0)</f>
        <v/>
      </c>
      <c r="CI717">
        <f>IFERROR(INDEX(PP_Grid[#Data],$DD717,85),0)</f>
        <v/>
      </c>
      <c r="CJ717">
        <f>IFERROR(INDEX(PP_Grid[#Data],$DD717,86),0)</f>
        <v/>
      </c>
      <c r="CK717">
        <f>IFERROR(INDEX(PP_Grid[#Data],$DD717,87),0)</f>
        <v/>
      </c>
      <c r="CL717">
        <f>IFERROR(INDEX(PP_Grid[#Data],$DD717,88),0)</f>
        <v/>
      </c>
      <c r="CM717">
        <f>IFERROR(INDEX(PP_Grid[#Data],$DD717,89),0)</f>
        <v/>
      </c>
      <c r="CN717">
        <f>IFERROR(INDEX(PP_Grid[#Data],$DD717,90),0)</f>
        <v/>
      </c>
      <c r="CO717">
        <f>IFERROR(INDEX(PP_Grid[#Data],$DD717,91),0)</f>
        <v/>
      </c>
      <c r="CP717">
        <f>IFERROR(INDEX(PP_Grid[#Data],$DD717,92),0)</f>
        <v/>
      </c>
      <c r="CQ717">
        <f>IFERROR(INDEX(PP_Grid[#Data],$DD717,93),0)</f>
        <v/>
      </c>
      <c r="CR717">
        <f>IFERROR(INDEX(PP_Grid[#Data],$DD717,94),0)</f>
        <v/>
      </c>
      <c r="CS717">
        <f>IFERROR(INDEX(PP_Grid[#Data],$DD717,95),0)</f>
        <v/>
      </c>
      <c r="CT717">
        <f>IFERROR(INDEX(PP_Grid[#Data],$DD717,96),0)</f>
        <v/>
      </c>
      <c r="CU717">
        <f>IFERROR(INDEX(PP_Grid[#Data],$DD717,97),0)</f>
        <v/>
      </c>
      <c r="CV717">
        <f>IFERROR(INDEX(PP_Grid[#Data],$DD717,98),0)</f>
        <v/>
      </c>
      <c r="CW717">
        <f>IFERROR(INDEX(PP_Grid[#Data],$DD717,99),0)</f>
        <v/>
      </c>
      <c r="CX717">
        <f>IFERROR(INDEX(PP_Grid[#Data],$DD717,100),0)</f>
        <v/>
      </c>
      <c r="CY717">
        <f>IFERROR(INDEX(PP_Grid[#Data],$DD717,101),0)</f>
        <v/>
      </c>
      <c r="CZ717">
        <f>IFERROR(INDEX(PP_Grid[#Data],$DD717,102),0)</f>
        <v/>
      </c>
      <c r="DA717">
        <f>IFERROR(INDEX(PP_Grid[#Data],$DD717,103),0)</f>
        <v/>
      </c>
      <c r="DB717">
        <f>IFERROR(INDEX(PP_Grid[#Data],$DD717,104),0)</f>
        <v/>
      </c>
      <c r="DC717">
        <f>IFERROR(INDEX(PP_Grid[#Data],$DD717,105),0)</f>
        <v/>
      </c>
      <c r="DD717" s="7">
        <f>IFERROR(MATCH($B717,PP_Grid[Intermediate],0),99999)</f>
        <v/>
      </c>
    </row>
    <row r="718">
      <c r="B718" t="inlineStr">
        <is>
          <t>使用量(kg)</t>
        </is>
      </c>
      <c r="C718">
        <f>SUMIFS(M_BOM[RM_Qty_Per_Batch],M_BOM[Intermediate],$B717,M_BOM[Part Name],$A710)</f>
        <v/>
      </c>
      <c r="D718">
        <f>$C718*D717</f>
        <v/>
      </c>
      <c r="E718">
        <f>$C718*E717</f>
        <v/>
      </c>
      <c r="F718">
        <f>$C718*F717</f>
        <v/>
      </c>
      <c r="G718">
        <f>$C718*G717</f>
        <v/>
      </c>
      <c r="H718">
        <f>$C718*H717</f>
        <v/>
      </c>
      <c r="I718">
        <f>$C718*I717</f>
        <v/>
      </c>
      <c r="J718">
        <f>$C718*J717</f>
        <v/>
      </c>
      <c r="K718">
        <f>$C718*K717</f>
        <v/>
      </c>
      <c r="L718">
        <f>$C718*L717</f>
        <v/>
      </c>
      <c r="M718">
        <f>$C718*M717</f>
        <v/>
      </c>
      <c r="N718">
        <f>$C718*N717</f>
        <v/>
      </c>
      <c r="O718">
        <f>$C718*O717</f>
        <v/>
      </c>
      <c r="P718">
        <f>$C718*P717</f>
        <v/>
      </c>
      <c r="Q718">
        <f>$C718*Q717</f>
        <v/>
      </c>
      <c r="R718">
        <f>$C718*R717</f>
        <v/>
      </c>
      <c r="S718">
        <f>$C718*S717</f>
        <v/>
      </c>
      <c r="T718">
        <f>$C718*T717</f>
        <v/>
      </c>
      <c r="U718">
        <f>$C718*U717</f>
        <v/>
      </c>
      <c r="V718">
        <f>$C718*V717</f>
        <v/>
      </c>
      <c r="W718">
        <f>$C718*W717</f>
        <v/>
      </c>
      <c r="X718">
        <f>$C718*X717</f>
        <v/>
      </c>
      <c r="Y718">
        <f>$C718*Y717</f>
        <v/>
      </c>
      <c r="Z718">
        <f>$C718*Z717</f>
        <v/>
      </c>
      <c r="AA718">
        <f>$C718*AA717</f>
        <v/>
      </c>
      <c r="AB718">
        <f>$C718*AB717</f>
        <v/>
      </c>
      <c r="AC718">
        <f>$C718*AC717</f>
        <v/>
      </c>
      <c r="AD718">
        <f>$C718*AD717</f>
        <v/>
      </c>
      <c r="AE718">
        <f>$C718*AE717</f>
        <v/>
      </c>
      <c r="AF718">
        <f>$C718*AF717</f>
        <v/>
      </c>
      <c r="AG718">
        <f>$C718*AG717</f>
        <v/>
      </c>
      <c r="AH718">
        <f>$C718*AH717</f>
        <v/>
      </c>
      <c r="AI718">
        <f>$C718*AI717</f>
        <v/>
      </c>
      <c r="AJ718">
        <f>$C718*AJ717</f>
        <v/>
      </c>
      <c r="AK718">
        <f>$C718*AK717</f>
        <v/>
      </c>
      <c r="AL718">
        <f>$C718*AL717</f>
        <v/>
      </c>
      <c r="AM718">
        <f>$C718*AM717</f>
        <v/>
      </c>
      <c r="AN718">
        <f>$C718*AN717</f>
        <v/>
      </c>
      <c r="AO718">
        <f>$C718*AO717</f>
        <v/>
      </c>
      <c r="AP718">
        <f>$C718*AP717</f>
        <v/>
      </c>
      <c r="AQ718">
        <f>$C718*AQ717</f>
        <v/>
      </c>
      <c r="AR718">
        <f>$C718*AR717</f>
        <v/>
      </c>
      <c r="AS718">
        <f>$C718*AS717</f>
        <v/>
      </c>
      <c r="AT718">
        <f>$C718*AT717</f>
        <v/>
      </c>
      <c r="AU718">
        <f>$C718*AU717</f>
        <v/>
      </c>
      <c r="AV718">
        <f>$C718*AV717</f>
        <v/>
      </c>
      <c r="AW718">
        <f>$C718*AW717</f>
        <v/>
      </c>
      <c r="AX718">
        <f>$C718*AX717</f>
        <v/>
      </c>
      <c r="AY718">
        <f>$C718*AY717</f>
        <v/>
      </c>
      <c r="AZ718">
        <f>$C718*AZ717</f>
        <v/>
      </c>
      <c r="BA718">
        <f>$C718*BA717</f>
        <v/>
      </c>
      <c r="BB718">
        <f>$C718*BB717</f>
        <v/>
      </c>
      <c r="BC718">
        <f>$C718*BC717</f>
        <v/>
      </c>
      <c r="BD718">
        <f>$C718*BD717</f>
        <v/>
      </c>
      <c r="BE718">
        <f>$C718*BE717</f>
        <v/>
      </c>
      <c r="BF718">
        <f>$C718*BF717</f>
        <v/>
      </c>
      <c r="BG718">
        <f>$C718*BG717</f>
        <v/>
      </c>
      <c r="BH718">
        <f>$C718*BH717</f>
        <v/>
      </c>
      <c r="BI718">
        <f>$C718*BI717</f>
        <v/>
      </c>
      <c r="BJ718">
        <f>$C718*BJ717</f>
        <v/>
      </c>
      <c r="BK718">
        <f>$C718*BK717</f>
        <v/>
      </c>
      <c r="BL718">
        <f>$C718*BL717</f>
        <v/>
      </c>
      <c r="BM718">
        <f>$C718*BM717</f>
        <v/>
      </c>
      <c r="BN718">
        <f>$C718*BN717</f>
        <v/>
      </c>
      <c r="BO718">
        <f>$C718*BO717</f>
        <v/>
      </c>
      <c r="BP718">
        <f>$C718*BP717</f>
        <v/>
      </c>
      <c r="BQ718">
        <f>$C718*BQ717</f>
        <v/>
      </c>
      <c r="BR718">
        <f>$C718*BR717</f>
        <v/>
      </c>
      <c r="BS718">
        <f>$C718*BS717</f>
        <v/>
      </c>
      <c r="BT718">
        <f>$C718*BT717</f>
        <v/>
      </c>
      <c r="BU718">
        <f>$C718*BU717</f>
        <v/>
      </c>
      <c r="BV718">
        <f>$C718*BV717</f>
        <v/>
      </c>
      <c r="BW718">
        <f>$C718*BW717</f>
        <v/>
      </c>
      <c r="BX718">
        <f>$C718*BX717</f>
        <v/>
      </c>
      <c r="BY718">
        <f>$C718*BY717</f>
        <v/>
      </c>
      <c r="BZ718">
        <f>$C718*BZ717</f>
        <v/>
      </c>
      <c r="CA718">
        <f>$C718*CA717</f>
        <v/>
      </c>
      <c r="CB718">
        <f>$C718*CB717</f>
        <v/>
      </c>
      <c r="CC718">
        <f>$C718*CC717</f>
        <v/>
      </c>
      <c r="CD718">
        <f>$C718*CD717</f>
        <v/>
      </c>
      <c r="CE718">
        <f>$C718*CE717</f>
        <v/>
      </c>
      <c r="CF718">
        <f>$C718*CF717</f>
        <v/>
      </c>
      <c r="CG718">
        <f>$C718*CG717</f>
        <v/>
      </c>
      <c r="CH718">
        <f>$C718*CH717</f>
        <v/>
      </c>
      <c r="CI718">
        <f>$C718*CI717</f>
        <v/>
      </c>
      <c r="CJ718">
        <f>$C718*CJ717</f>
        <v/>
      </c>
      <c r="CK718">
        <f>$C718*CK717</f>
        <v/>
      </c>
      <c r="CL718">
        <f>$C718*CL717</f>
        <v/>
      </c>
      <c r="CM718">
        <f>$C718*CM717</f>
        <v/>
      </c>
      <c r="CN718">
        <f>$C718*CN717</f>
        <v/>
      </c>
      <c r="CO718">
        <f>$C718*CO717</f>
        <v/>
      </c>
      <c r="CP718">
        <f>$C718*CP717</f>
        <v/>
      </c>
      <c r="CQ718">
        <f>$C718*CQ717</f>
        <v/>
      </c>
      <c r="CR718">
        <f>$C718*CR717</f>
        <v/>
      </c>
      <c r="CS718">
        <f>$C718*CS717</f>
        <v/>
      </c>
      <c r="CT718">
        <f>$C718*CT717</f>
        <v/>
      </c>
      <c r="CU718">
        <f>$C718*CU717</f>
        <v/>
      </c>
      <c r="CV718">
        <f>$C718*CV717</f>
        <v/>
      </c>
      <c r="CW718">
        <f>$C718*CW717</f>
        <v/>
      </c>
      <c r="CX718">
        <f>$C718*CX717</f>
        <v/>
      </c>
      <c r="CY718">
        <f>$C718*CY717</f>
        <v/>
      </c>
      <c r="CZ718">
        <f>$C718*CZ717</f>
        <v/>
      </c>
      <c r="DA718">
        <f>$C718*DA717</f>
        <v/>
      </c>
      <c r="DB718">
        <f>$C718*DB717</f>
        <v/>
      </c>
      <c r="DC718">
        <f>$C718*DC717</f>
        <v/>
      </c>
    </row>
    <row r="719">
      <c r="B719" t="inlineStr">
        <is>
          <t>TSP-655</t>
        </is>
      </c>
      <c r="C719" t="inlineStr">
        <is>
          <t>No. of batches</t>
        </is>
      </c>
      <c r="D719">
        <f>IFERROR(INDEX(PP_Grid[#Data],$DD719,2),0)</f>
        <v/>
      </c>
      <c r="E719">
        <f>IFERROR(INDEX(PP_Grid[#Data],$DD719,3),0)</f>
        <v/>
      </c>
      <c r="F719">
        <f>IFERROR(INDEX(PP_Grid[#Data],$DD719,4),0)</f>
        <v/>
      </c>
      <c r="G719">
        <f>IFERROR(INDEX(PP_Grid[#Data],$DD719,5),0)</f>
        <v/>
      </c>
      <c r="H719">
        <f>IFERROR(INDEX(PP_Grid[#Data],$DD719,6),0)</f>
        <v/>
      </c>
      <c r="I719">
        <f>IFERROR(INDEX(PP_Grid[#Data],$DD719,7),0)</f>
        <v/>
      </c>
      <c r="J719">
        <f>IFERROR(INDEX(PP_Grid[#Data],$DD719,8),0)</f>
        <v/>
      </c>
      <c r="K719">
        <f>IFERROR(INDEX(PP_Grid[#Data],$DD719,9),0)</f>
        <v/>
      </c>
      <c r="L719">
        <f>IFERROR(INDEX(PP_Grid[#Data],$DD719,10),0)</f>
        <v/>
      </c>
      <c r="M719">
        <f>IFERROR(INDEX(PP_Grid[#Data],$DD719,11),0)</f>
        <v/>
      </c>
      <c r="N719">
        <f>IFERROR(INDEX(PP_Grid[#Data],$DD719,12),0)</f>
        <v/>
      </c>
      <c r="O719">
        <f>IFERROR(INDEX(PP_Grid[#Data],$DD719,13),0)</f>
        <v/>
      </c>
      <c r="P719">
        <f>IFERROR(INDEX(PP_Grid[#Data],$DD719,14),0)</f>
        <v/>
      </c>
      <c r="Q719">
        <f>IFERROR(INDEX(PP_Grid[#Data],$DD719,15),0)</f>
        <v/>
      </c>
      <c r="R719">
        <f>IFERROR(INDEX(PP_Grid[#Data],$DD719,16),0)</f>
        <v/>
      </c>
      <c r="S719">
        <f>IFERROR(INDEX(PP_Grid[#Data],$DD719,17),0)</f>
        <v/>
      </c>
      <c r="T719">
        <f>IFERROR(INDEX(PP_Grid[#Data],$DD719,18),0)</f>
        <v/>
      </c>
      <c r="U719">
        <f>IFERROR(INDEX(PP_Grid[#Data],$DD719,19),0)</f>
        <v/>
      </c>
      <c r="V719">
        <f>IFERROR(INDEX(PP_Grid[#Data],$DD719,20),0)</f>
        <v/>
      </c>
      <c r="W719">
        <f>IFERROR(INDEX(PP_Grid[#Data],$DD719,21),0)</f>
        <v/>
      </c>
      <c r="X719">
        <f>IFERROR(INDEX(PP_Grid[#Data],$DD719,22),0)</f>
        <v/>
      </c>
      <c r="Y719">
        <f>IFERROR(INDEX(PP_Grid[#Data],$DD719,23),0)</f>
        <v/>
      </c>
      <c r="Z719">
        <f>IFERROR(INDEX(PP_Grid[#Data],$DD719,24),0)</f>
        <v/>
      </c>
      <c r="AA719">
        <f>IFERROR(INDEX(PP_Grid[#Data],$DD719,25),0)</f>
        <v/>
      </c>
      <c r="AB719">
        <f>IFERROR(INDEX(PP_Grid[#Data],$DD719,26),0)</f>
        <v/>
      </c>
      <c r="AC719">
        <f>IFERROR(INDEX(PP_Grid[#Data],$DD719,27),0)</f>
        <v/>
      </c>
      <c r="AD719">
        <f>IFERROR(INDEX(PP_Grid[#Data],$DD719,28),0)</f>
        <v/>
      </c>
      <c r="AE719">
        <f>IFERROR(INDEX(PP_Grid[#Data],$DD719,29),0)</f>
        <v/>
      </c>
      <c r="AF719">
        <f>IFERROR(INDEX(PP_Grid[#Data],$DD719,30),0)</f>
        <v/>
      </c>
      <c r="AG719">
        <f>IFERROR(INDEX(PP_Grid[#Data],$DD719,31),0)</f>
        <v/>
      </c>
      <c r="AH719">
        <f>IFERROR(INDEX(PP_Grid[#Data],$DD719,32),0)</f>
        <v/>
      </c>
      <c r="AI719">
        <f>IFERROR(INDEX(PP_Grid[#Data],$DD719,33),0)</f>
        <v/>
      </c>
      <c r="AJ719">
        <f>IFERROR(INDEX(PP_Grid[#Data],$DD719,34),0)</f>
        <v/>
      </c>
      <c r="AK719">
        <f>IFERROR(INDEX(PP_Grid[#Data],$DD719,35),0)</f>
        <v/>
      </c>
      <c r="AL719">
        <f>IFERROR(INDEX(PP_Grid[#Data],$DD719,36),0)</f>
        <v/>
      </c>
      <c r="AM719">
        <f>IFERROR(INDEX(PP_Grid[#Data],$DD719,37),0)</f>
        <v/>
      </c>
      <c r="AN719">
        <f>IFERROR(INDEX(PP_Grid[#Data],$DD719,38),0)</f>
        <v/>
      </c>
      <c r="AO719">
        <f>IFERROR(INDEX(PP_Grid[#Data],$DD719,39),0)</f>
        <v/>
      </c>
      <c r="AP719">
        <f>IFERROR(INDEX(PP_Grid[#Data],$DD719,40),0)</f>
        <v/>
      </c>
      <c r="AQ719">
        <f>IFERROR(INDEX(PP_Grid[#Data],$DD719,41),0)</f>
        <v/>
      </c>
      <c r="AR719">
        <f>IFERROR(INDEX(PP_Grid[#Data],$DD719,42),0)</f>
        <v/>
      </c>
      <c r="AS719">
        <f>IFERROR(INDEX(PP_Grid[#Data],$DD719,43),0)</f>
        <v/>
      </c>
      <c r="AT719">
        <f>IFERROR(INDEX(PP_Grid[#Data],$DD719,44),0)</f>
        <v/>
      </c>
      <c r="AU719">
        <f>IFERROR(INDEX(PP_Grid[#Data],$DD719,45),0)</f>
        <v/>
      </c>
      <c r="AV719">
        <f>IFERROR(INDEX(PP_Grid[#Data],$DD719,46),0)</f>
        <v/>
      </c>
      <c r="AW719">
        <f>IFERROR(INDEX(PP_Grid[#Data],$DD719,47),0)</f>
        <v/>
      </c>
      <c r="AX719">
        <f>IFERROR(INDEX(PP_Grid[#Data],$DD719,48),0)</f>
        <v/>
      </c>
      <c r="AY719">
        <f>IFERROR(INDEX(PP_Grid[#Data],$DD719,49),0)</f>
        <v/>
      </c>
      <c r="AZ719">
        <f>IFERROR(INDEX(PP_Grid[#Data],$DD719,50),0)</f>
        <v/>
      </c>
      <c r="BA719">
        <f>IFERROR(INDEX(PP_Grid[#Data],$DD719,51),0)</f>
        <v/>
      </c>
      <c r="BB719">
        <f>IFERROR(INDEX(PP_Grid[#Data],$DD719,52),0)</f>
        <v/>
      </c>
      <c r="BC719">
        <f>IFERROR(INDEX(PP_Grid[#Data],$DD719,53),0)</f>
        <v/>
      </c>
      <c r="BD719">
        <f>IFERROR(INDEX(PP_Grid[#Data],$DD719,54),0)</f>
        <v/>
      </c>
      <c r="BE719">
        <f>IFERROR(INDEX(PP_Grid[#Data],$DD719,55),0)</f>
        <v/>
      </c>
      <c r="BF719">
        <f>IFERROR(INDEX(PP_Grid[#Data],$DD719,56),0)</f>
        <v/>
      </c>
      <c r="BG719">
        <f>IFERROR(INDEX(PP_Grid[#Data],$DD719,57),0)</f>
        <v/>
      </c>
      <c r="BH719">
        <f>IFERROR(INDEX(PP_Grid[#Data],$DD719,58),0)</f>
        <v/>
      </c>
      <c r="BI719">
        <f>IFERROR(INDEX(PP_Grid[#Data],$DD719,59),0)</f>
        <v/>
      </c>
      <c r="BJ719">
        <f>IFERROR(INDEX(PP_Grid[#Data],$DD719,60),0)</f>
        <v/>
      </c>
      <c r="BK719">
        <f>IFERROR(INDEX(PP_Grid[#Data],$DD719,61),0)</f>
        <v/>
      </c>
      <c r="BL719">
        <f>IFERROR(INDEX(PP_Grid[#Data],$DD719,62),0)</f>
        <v/>
      </c>
      <c r="BM719">
        <f>IFERROR(INDEX(PP_Grid[#Data],$DD719,63),0)</f>
        <v/>
      </c>
      <c r="BN719">
        <f>IFERROR(INDEX(PP_Grid[#Data],$DD719,64),0)</f>
        <v/>
      </c>
      <c r="BO719">
        <f>IFERROR(INDEX(PP_Grid[#Data],$DD719,65),0)</f>
        <v/>
      </c>
      <c r="BP719">
        <f>IFERROR(INDEX(PP_Grid[#Data],$DD719,66),0)</f>
        <v/>
      </c>
      <c r="BQ719">
        <f>IFERROR(INDEX(PP_Grid[#Data],$DD719,67),0)</f>
        <v/>
      </c>
      <c r="BR719">
        <f>IFERROR(INDEX(PP_Grid[#Data],$DD719,68),0)</f>
        <v/>
      </c>
      <c r="BS719">
        <f>IFERROR(INDEX(PP_Grid[#Data],$DD719,69),0)</f>
        <v/>
      </c>
      <c r="BT719">
        <f>IFERROR(INDEX(PP_Grid[#Data],$DD719,70),0)</f>
        <v/>
      </c>
      <c r="BU719">
        <f>IFERROR(INDEX(PP_Grid[#Data],$DD719,71),0)</f>
        <v/>
      </c>
      <c r="BV719">
        <f>IFERROR(INDEX(PP_Grid[#Data],$DD719,72),0)</f>
        <v/>
      </c>
      <c r="BW719">
        <f>IFERROR(INDEX(PP_Grid[#Data],$DD719,73),0)</f>
        <v/>
      </c>
      <c r="BX719">
        <f>IFERROR(INDEX(PP_Grid[#Data],$DD719,74),0)</f>
        <v/>
      </c>
      <c r="BY719">
        <f>IFERROR(INDEX(PP_Grid[#Data],$DD719,75),0)</f>
        <v/>
      </c>
      <c r="BZ719">
        <f>IFERROR(INDEX(PP_Grid[#Data],$DD719,76),0)</f>
        <v/>
      </c>
      <c r="CA719">
        <f>IFERROR(INDEX(PP_Grid[#Data],$DD719,77),0)</f>
        <v/>
      </c>
      <c r="CB719">
        <f>IFERROR(INDEX(PP_Grid[#Data],$DD719,78),0)</f>
        <v/>
      </c>
      <c r="CC719">
        <f>IFERROR(INDEX(PP_Grid[#Data],$DD719,79),0)</f>
        <v/>
      </c>
      <c r="CD719">
        <f>IFERROR(INDEX(PP_Grid[#Data],$DD719,80),0)</f>
        <v/>
      </c>
      <c r="CE719">
        <f>IFERROR(INDEX(PP_Grid[#Data],$DD719,81),0)</f>
        <v/>
      </c>
      <c r="CF719">
        <f>IFERROR(INDEX(PP_Grid[#Data],$DD719,82),0)</f>
        <v/>
      </c>
      <c r="CG719">
        <f>IFERROR(INDEX(PP_Grid[#Data],$DD719,83),0)</f>
        <v/>
      </c>
      <c r="CH719">
        <f>IFERROR(INDEX(PP_Grid[#Data],$DD719,84),0)</f>
        <v/>
      </c>
      <c r="CI719">
        <f>IFERROR(INDEX(PP_Grid[#Data],$DD719,85),0)</f>
        <v/>
      </c>
      <c r="CJ719">
        <f>IFERROR(INDEX(PP_Grid[#Data],$DD719,86),0)</f>
        <v/>
      </c>
      <c r="CK719">
        <f>IFERROR(INDEX(PP_Grid[#Data],$DD719,87),0)</f>
        <v/>
      </c>
      <c r="CL719">
        <f>IFERROR(INDEX(PP_Grid[#Data],$DD719,88),0)</f>
        <v/>
      </c>
      <c r="CM719">
        <f>IFERROR(INDEX(PP_Grid[#Data],$DD719,89),0)</f>
        <v/>
      </c>
      <c r="CN719">
        <f>IFERROR(INDEX(PP_Grid[#Data],$DD719,90),0)</f>
        <v/>
      </c>
      <c r="CO719">
        <f>IFERROR(INDEX(PP_Grid[#Data],$DD719,91),0)</f>
        <v/>
      </c>
      <c r="CP719">
        <f>IFERROR(INDEX(PP_Grid[#Data],$DD719,92),0)</f>
        <v/>
      </c>
      <c r="CQ719">
        <f>IFERROR(INDEX(PP_Grid[#Data],$DD719,93),0)</f>
        <v/>
      </c>
      <c r="CR719">
        <f>IFERROR(INDEX(PP_Grid[#Data],$DD719,94),0)</f>
        <v/>
      </c>
      <c r="CS719">
        <f>IFERROR(INDEX(PP_Grid[#Data],$DD719,95),0)</f>
        <v/>
      </c>
      <c r="CT719">
        <f>IFERROR(INDEX(PP_Grid[#Data],$DD719,96),0)</f>
        <v/>
      </c>
      <c r="CU719">
        <f>IFERROR(INDEX(PP_Grid[#Data],$DD719,97),0)</f>
        <v/>
      </c>
      <c r="CV719">
        <f>IFERROR(INDEX(PP_Grid[#Data],$DD719,98),0)</f>
        <v/>
      </c>
      <c r="CW719">
        <f>IFERROR(INDEX(PP_Grid[#Data],$DD719,99),0)</f>
        <v/>
      </c>
      <c r="CX719">
        <f>IFERROR(INDEX(PP_Grid[#Data],$DD719,100),0)</f>
        <v/>
      </c>
      <c r="CY719">
        <f>IFERROR(INDEX(PP_Grid[#Data],$DD719,101),0)</f>
        <v/>
      </c>
      <c r="CZ719">
        <f>IFERROR(INDEX(PP_Grid[#Data],$DD719,102),0)</f>
        <v/>
      </c>
      <c r="DA719">
        <f>IFERROR(INDEX(PP_Grid[#Data],$DD719,103),0)</f>
        <v/>
      </c>
      <c r="DB719">
        <f>IFERROR(INDEX(PP_Grid[#Data],$DD719,104),0)</f>
        <v/>
      </c>
      <c r="DC719">
        <f>IFERROR(INDEX(PP_Grid[#Data],$DD719,105),0)</f>
        <v/>
      </c>
      <c r="DD719" s="7">
        <f>IFERROR(MATCH($B719,PP_Grid[Intermediate],0),99999)</f>
        <v/>
      </c>
    </row>
    <row r="720">
      <c r="B720" t="inlineStr">
        <is>
          <t>使用量(kg)</t>
        </is>
      </c>
      <c r="C720">
        <f>SUMIFS(M_BOM[RM_Qty_Per_Batch],M_BOM[Intermediate],$B719,M_BOM[Part Name],$A710)</f>
        <v/>
      </c>
      <c r="D720">
        <f>$C720*D719</f>
        <v/>
      </c>
      <c r="E720">
        <f>$C720*E719</f>
        <v/>
      </c>
      <c r="F720">
        <f>$C720*F719</f>
        <v/>
      </c>
      <c r="G720">
        <f>$C720*G719</f>
        <v/>
      </c>
      <c r="H720">
        <f>$C720*H719</f>
        <v/>
      </c>
      <c r="I720">
        <f>$C720*I719</f>
        <v/>
      </c>
      <c r="J720">
        <f>$C720*J719</f>
        <v/>
      </c>
      <c r="K720">
        <f>$C720*K719</f>
        <v/>
      </c>
      <c r="L720">
        <f>$C720*L719</f>
        <v/>
      </c>
      <c r="M720">
        <f>$C720*M719</f>
        <v/>
      </c>
      <c r="N720">
        <f>$C720*N719</f>
        <v/>
      </c>
      <c r="O720">
        <f>$C720*O719</f>
        <v/>
      </c>
      <c r="P720">
        <f>$C720*P719</f>
        <v/>
      </c>
      <c r="Q720">
        <f>$C720*Q719</f>
        <v/>
      </c>
      <c r="R720">
        <f>$C720*R719</f>
        <v/>
      </c>
      <c r="S720">
        <f>$C720*S719</f>
        <v/>
      </c>
      <c r="T720">
        <f>$C720*T719</f>
        <v/>
      </c>
      <c r="U720">
        <f>$C720*U719</f>
        <v/>
      </c>
      <c r="V720">
        <f>$C720*V719</f>
        <v/>
      </c>
      <c r="W720">
        <f>$C720*W719</f>
        <v/>
      </c>
      <c r="X720">
        <f>$C720*X719</f>
        <v/>
      </c>
      <c r="Y720">
        <f>$C720*Y719</f>
        <v/>
      </c>
      <c r="Z720">
        <f>$C720*Z719</f>
        <v/>
      </c>
      <c r="AA720">
        <f>$C720*AA719</f>
        <v/>
      </c>
      <c r="AB720">
        <f>$C720*AB719</f>
        <v/>
      </c>
      <c r="AC720">
        <f>$C720*AC719</f>
        <v/>
      </c>
      <c r="AD720">
        <f>$C720*AD719</f>
        <v/>
      </c>
      <c r="AE720">
        <f>$C720*AE719</f>
        <v/>
      </c>
      <c r="AF720">
        <f>$C720*AF719</f>
        <v/>
      </c>
      <c r="AG720">
        <f>$C720*AG719</f>
        <v/>
      </c>
      <c r="AH720">
        <f>$C720*AH719</f>
        <v/>
      </c>
      <c r="AI720">
        <f>$C720*AI719</f>
        <v/>
      </c>
      <c r="AJ720">
        <f>$C720*AJ719</f>
        <v/>
      </c>
      <c r="AK720">
        <f>$C720*AK719</f>
        <v/>
      </c>
      <c r="AL720">
        <f>$C720*AL719</f>
        <v/>
      </c>
      <c r="AM720">
        <f>$C720*AM719</f>
        <v/>
      </c>
      <c r="AN720">
        <f>$C720*AN719</f>
        <v/>
      </c>
      <c r="AO720">
        <f>$C720*AO719</f>
        <v/>
      </c>
      <c r="AP720">
        <f>$C720*AP719</f>
        <v/>
      </c>
      <c r="AQ720">
        <f>$C720*AQ719</f>
        <v/>
      </c>
      <c r="AR720">
        <f>$C720*AR719</f>
        <v/>
      </c>
      <c r="AS720">
        <f>$C720*AS719</f>
        <v/>
      </c>
      <c r="AT720">
        <f>$C720*AT719</f>
        <v/>
      </c>
      <c r="AU720">
        <f>$C720*AU719</f>
        <v/>
      </c>
      <c r="AV720">
        <f>$C720*AV719</f>
        <v/>
      </c>
      <c r="AW720">
        <f>$C720*AW719</f>
        <v/>
      </c>
      <c r="AX720">
        <f>$C720*AX719</f>
        <v/>
      </c>
      <c r="AY720">
        <f>$C720*AY719</f>
        <v/>
      </c>
      <c r="AZ720">
        <f>$C720*AZ719</f>
        <v/>
      </c>
      <c r="BA720">
        <f>$C720*BA719</f>
        <v/>
      </c>
      <c r="BB720">
        <f>$C720*BB719</f>
        <v/>
      </c>
      <c r="BC720">
        <f>$C720*BC719</f>
        <v/>
      </c>
      <c r="BD720">
        <f>$C720*BD719</f>
        <v/>
      </c>
      <c r="BE720">
        <f>$C720*BE719</f>
        <v/>
      </c>
      <c r="BF720">
        <f>$C720*BF719</f>
        <v/>
      </c>
      <c r="BG720">
        <f>$C720*BG719</f>
        <v/>
      </c>
      <c r="BH720">
        <f>$C720*BH719</f>
        <v/>
      </c>
      <c r="BI720">
        <f>$C720*BI719</f>
        <v/>
      </c>
      <c r="BJ720">
        <f>$C720*BJ719</f>
        <v/>
      </c>
      <c r="BK720">
        <f>$C720*BK719</f>
        <v/>
      </c>
      <c r="BL720">
        <f>$C720*BL719</f>
        <v/>
      </c>
      <c r="BM720">
        <f>$C720*BM719</f>
        <v/>
      </c>
      <c r="BN720">
        <f>$C720*BN719</f>
        <v/>
      </c>
      <c r="BO720">
        <f>$C720*BO719</f>
        <v/>
      </c>
      <c r="BP720">
        <f>$C720*BP719</f>
        <v/>
      </c>
      <c r="BQ720">
        <f>$C720*BQ719</f>
        <v/>
      </c>
      <c r="BR720">
        <f>$C720*BR719</f>
        <v/>
      </c>
      <c r="BS720">
        <f>$C720*BS719</f>
        <v/>
      </c>
      <c r="BT720">
        <f>$C720*BT719</f>
        <v/>
      </c>
      <c r="BU720">
        <f>$C720*BU719</f>
        <v/>
      </c>
      <c r="BV720">
        <f>$C720*BV719</f>
        <v/>
      </c>
      <c r="BW720">
        <f>$C720*BW719</f>
        <v/>
      </c>
      <c r="BX720">
        <f>$C720*BX719</f>
        <v/>
      </c>
      <c r="BY720">
        <f>$C720*BY719</f>
        <v/>
      </c>
      <c r="BZ720">
        <f>$C720*BZ719</f>
        <v/>
      </c>
      <c r="CA720">
        <f>$C720*CA719</f>
        <v/>
      </c>
      <c r="CB720">
        <f>$C720*CB719</f>
        <v/>
      </c>
      <c r="CC720">
        <f>$C720*CC719</f>
        <v/>
      </c>
      <c r="CD720">
        <f>$C720*CD719</f>
        <v/>
      </c>
      <c r="CE720">
        <f>$C720*CE719</f>
        <v/>
      </c>
      <c r="CF720">
        <f>$C720*CF719</f>
        <v/>
      </c>
      <c r="CG720">
        <f>$C720*CG719</f>
        <v/>
      </c>
      <c r="CH720">
        <f>$C720*CH719</f>
        <v/>
      </c>
      <c r="CI720">
        <f>$C720*CI719</f>
        <v/>
      </c>
      <c r="CJ720">
        <f>$C720*CJ719</f>
        <v/>
      </c>
      <c r="CK720">
        <f>$C720*CK719</f>
        <v/>
      </c>
      <c r="CL720">
        <f>$C720*CL719</f>
        <v/>
      </c>
      <c r="CM720">
        <f>$C720*CM719</f>
        <v/>
      </c>
      <c r="CN720">
        <f>$C720*CN719</f>
        <v/>
      </c>
      <c r="CO720">
        <f>$C720*CO719</f>
        <v/>
      </c>
      <c r="CP720">
        <f>$C720*CP719</f>
        <v/>
      </c>
      <c r="CQ720">
        <f>$C720*CQ719</f>
        <v/>
      </c>
      <c r="CR720">
        <f>$C720*CR719</f>
        <v/>
      </c>
      <c r="CS720">
        <f>$C720*CS719</f>
        <v/>
      </c>
      <c r="CT720">
        <f>$C720*CT719</f>
        <v/>
      </c>
      <c r="CU720">
        <f>$C720*CU719</f>
        <v/>
      </c>
      <c r="CV720">
        <f>$C720*CV719</f>
        <v/>
      </c>
      <c r="CW720">
        <f>$C720*CW719</f>
        <v/>
      </c>
      <c r="CX720">
        <f>$C720*CX719</f>
        <v/>
      </c>
      <c r="CY720">
        <f>$C720*CY719</f>
        <v/>
      </c>
      <c r="CZ720">
        <f>$C720*CZ719</f>
        <v/>
      </c>
      <c r="DA720">
        <f>$C720*DA719</f>
        <v/>
      </c>
      <c r="DB720">
        <f>$C720*DB719</f>
        <v/>
      </c>
      <c r="DC720">
        <f>$C720*DC719</f>
        <v/>
      </c>
    </row>
    <row r="721">
      <c r="B721" t="inlineStr">
        <is>
          <t>TSP-903</t>
        </is>
      </c>
      <c r="C721" t="inlineStr">
        <is>
          <t>No. of batches</t>
        </is>
      </c>
      <c r="D721">
        <f>IFERROR(INDEX(PP_Grid[#Data],$DD721,2),0)</f>
        <v/>
      </c>
      <c r="E721">
        <f>IFERROR(INDEX(PP_Grid[#Data],$DD721,3),0)</f>
        <v/>
      </c>
      <c r="F721">
        <f>IFERROR(INDEX(PP_Grid[#Data],$DD721,4),0)</f>
        <v/>
      </c>
      <c r="G721">
        <f>IFERROR(INDEX(PP_Grid[#Data],$DD721,5),0)</f>
        <v/>
      </c>
      <c r="H721">
        <f>IFERROR(INDEX(PP_Grid[#Data],$DD721,6),0)</f>
        <v/>
      </c>
      <c r="I721">
        <f>IFERROR(INDEX(PP_Grid[#Data],$DD721,7),0)</f>
        <v/>
      </c>
      <c r="J721">
        <f>IFERROR(INDEX(PP_Grid[#Data],$DD721,8),0)</f>
        <v/>
      </c>
      <c r="K721">
        <f>IFERROR(INDEX(PP_Grid[#Data],$DD721,9),0)</f>
        <v/>
      </c>
      <c r="L721">
        <f>IFERROR(INDEX(PP_Grid[#Data],$DD721,10),0)</f>
        <v/>
      </c>
      <c r="M721">
        <f>IFERROR(INDEX(PP_Grid[#Data],$DD721,11),0)</f>
        <v/>
      </c>
      <c r="N721">
        <f>IFERROR(INDEX(PP_Grid[#Data],$DD721,12),0)</f>
        <v/>
      </c>
      <c r="O721">
        <f>IFERROR(INDEX(PP_Grid[#Data],$DD721,13),0)</f>
        <v/>
      </c>
      <c r="P721">
        <f>IFERROR(INDEX(PP_Grid[#Data],$DD721,14),0)</f>
        <v/>
      </c>
      <c r="Q721">
        <f>IFERROR(INDEX(PP_Grid[#Data],$DD721,15),0)</f>
        <v/>
      </c>
      <c r="R721">
        <f>IFERROR(INDEX(PP_Grid[#Data],$DD721,16),0)</f>
        <v/>
      </c>
      <c r="S721">
        <f>IFERROR(INDEX(PP_Grid[#Data],$DD721,17),0)</f>
        <v/>
      </c>
      <c r="T721">
        <f>IFERROR(INDEX(PP_Grid[#Data],$DD721,18),0)</f>
        <v/>
      </c>
      <c r="U721">
        <f>IFERROR(INDEX(PP_Grid[#Data],$DD721,19),0)</f>
        <v/>
      </c>
      <c r="V721">
        <f>IFERROR(INDEX(PP_Grid[#Data],$DD721,20),0)</f>
        <v/>
      </c>
      <c r="W721">
        <f>IFERROR(INDEX(PP_Grid[#Data],$DD721,21),0)</f>
        <v/>
      </c>
      <c r="X721">
        <f>IFERROR(INDEX(PP_Grid[#Data],$DD721,22),0)</f>
        <v/>
      </c>
      <c r="Y721">
        <f>IFERROR(INDEX(PP_Grid[#Data],$DD721,23),0)</f>
        <v/>
      </c>
      <c r="Z721">
        <f>IFERROR(INDEX(PP_Grid[#Data],$DD721,24),0)</f>
        <v/>
      </c>
      <c r="AA721">
        <f>IFERROR(INDEX(PP_Grid[#Data],$DD721,25),0)</f>
        <v/>
      </c>
      <c r="AB721">
        <f>IFERROR(INDEX(PP_Grid[#Data],$DD721,26),0)</f>
        <v/>
      </c>
      <c r="AC721">
        <f>IFERROR(INDEX(PP_Grid[#Data],$DD721,27),0)</f>
        <v/>
      </c>
      <c r="AD721">
        <f>IFERROR(INDEX(PP_Grid[#Data],$DD721,28),0)</f>
        <v/>
      </c>
      <c r="AE721">
        <f>IFERROR(INDEX(PP_Grid[#Data],$DD721,29),0)</f>
        <v/>
      </c>
      <c r="AF721">
        <f>IFERROR(INDEX(PP_Grid[#Data],$DD721,30),0)</f>
        <v/>
      </c>
      <c r="AG721">
        <f>IFERROR(INDEX(PP_Grid[#Data],$DD721,31),0)</f>
        <v/>
      </c>
      <c r="AH721">
        <f>IFERROR(INDEX(PP_Grid[#Data],$DD721,32),0)</f>
        <v/>
      </c>
      <c r="AI721">
        <f>IFERROR(INDEX(PP_Grid[#Data],$DD721,33),0)</f>
        <v/>
      </c>
      <c r="AJ721">
        <f>IFERROR(INDEX(PP_Grid[#Data],$DD721,34),0)</f>
        <v/>
      </c>
      <c r="AK721">
        <f>IFERROR(INDEX(PP_Grid[#Data],$DD721,35),0)</f>
        <v/>
      </c>
      <c r="AL721">
        <f>IFERROR(INDEX(PP_Grid[#Data],$DD721,36),0)</f>
        <v/>
      </c>
      <c r="AM721">
        <f>IFERROR(INDEX(PP_Grid[#Data],$DD721,37),0)</f>
        <v/>
      </c>
      <c r="AN721">
        <f>IFERROR(INDEX(PP_Grid[#Data],$DD721,38),0)</f>
        <v/>
      </c>
      <c r="AO721">
        <f>IFERROR(INDEX(PP_Grid[#Data],$DD721,39),0)</f>
        <v/>
      </c>
      <c r="AP721">
        <f>IFERROR(INDEX(PP_Grid[#Data],$DD721,40),0)</f>
        <v/>
      </c>
      <c r="AQ721">
        <f>IFERROR(INDEX(PP_Grid[#Data],$DD721,41),0)</f>
        <v/>
      </c>
      <c r="AR721">
        <f>IFERROR(INDEX(PP_Grid[#Data],$DD721,42),0)</f>
        <v/>
      </c>
      <c r="AS721">
        <f>IFERROR(INDEX(PP_Grid[#Data],$DD721,43),0)</f>
        <v/>
      </c>
      <c r="AT721">
        <f>IFERROR(INDEX(PP_Grid[#Data],$DD721,44),0)</f>
        <v/>
      </c>
      <c r="AU721">
        <f>IFERROR(INDEX(PP_Grid[#Data],$DD721,45),0)</f>
        <v/>
      </c>
      <c r="AV721">
        <f>IFERROR(INDEX(PP_Grid[#Data],$DD721,46),0)</f>
        <v/>
      </c>
      <c r="AW721">
        <f>IFERROR(INDEX(PP_Grid[#Data],$DD721,47),0)</f>
        <v/>
      </c>
      <c r="AX721">
        <f>IFERROR(INDEX(PP_Grid[#Data],$DD721,48),0)</f>
        <v/>
      </c>
      <c r="AY721">
        <f>IFERROR(INDEX(PP_Grid[#Data],$DD721,49),0)</f>
        <v/>
      </c>
      <c r="AZ721">
        <f>IFERROR(INDEX(PP_Grid[#Data],$DD721,50),0)</f>
        <v/>
      </c>
      <c r="BA721">
        <f>IFERROR(INDEX(PP_Grid[#Data],$DD721,51),0)</f>
        <v/>
      </c>
      <c r="BB721">
        <f>IFERROR(INDEX(PP_Grid[#Data],$DD721,52),0)</f>
        <v/>
      </c>
      <c r="BC721">
        <f>IFERROR(INDEX(PP_Grid[#Data],$DD721,53),0)</f>
        <v/>
      </c>
      <c r="BD721">
        <f>IFERROR(INDEX(PP_Grid[#Data],$DD721,54),0)</f>
        <v/>
      </c>
      <c r="BE721">
        <f>IFERROR(INDEX(PP_Grid[#Data],$DD721,55),0)</f>
        <v/>
      </c>
      <c r="BF721">
        <f>IFERROR(INDEX(PP_Grid[#Data],$DD721,56),0)</f>
        <v/>
      </c>
      <c r="BG721">
        <f>IFERROR(INDEX(PP_Grid[#Data],$DD721,57),0)</f>
        <v/>
      </c>
      <c r="BH721">
        <f>IFERROR(INDEX(PP_Grid[#Data],$DD721,58),0)</f>
        <v/>
      </c>
      <c r="BI721">
        <f>IFERROR(INDEX(PP_Grid[#Data],$DD721,59),0)</f>
        <v/>
      </c>
      <c r="BJ721">
        <f>IFERROR(INDEX(PP_Grid[#Data],$DD721,60),0)</f>
        <v/>
      </c>
      <c r="BK721">
        <f>IFERROR(INDEX(PP_Grid[#Data],$DD721,61),0)</f>
        <v/>
      </c>
      <c r="BL721">
        <f>IFERROR(INDEX(PP_Grid[#Data],$DD721,62),0)</f>
        <v/>
      </c>
      <c r="BM721">
        <f>IFERROR(INDEX(PP_Grid[#Data],$DD721,63),0)</f>
        <v/>
      </c>
      <c r="BN721">
        <f>IFERROR(INDEX(PP_Grid[#Data],$DD721,64),0)</f>
        <v/>
      </c>
      <c r="BO721">
        <f>IFERROR(INDEX(PP_Grid[#Data],$DD721,65),0)</f>
        <v/>
      </c>
      <c r="BP721">
        <f>IFERROR(INDEX(PP_Grid[#Data],$DD721,66),0)</f>
        <v/>
      </c>
      <c r="BQ721">
        <f>IFERROR(INDEX(PP_Grid[#Data],$DD721,67),0)</f>
        <v/>
      </c>
      <c r="BR721">
        <f>IFERROR(INDEX(PP_Grid[#Data],$DD721,68),0)</f>
        <v/>
      </c>
      <c r="BS721">
        <f>IFERROR(INDEX(PP_Grid[#Data],$DD721,69),0)</f>
        <v/>
      </c>
      <c r="BT721">
        <f>IFERROR(INDEX(PP_Grid[#Data],$DD721,70),0)</f>
        <v/>
      </c>
      <c r="BU721">
        <f>IFERROR(INDEX(PP_Grid[#Data],$DD721,71),0)</f>
        <v/>
      </c>
      <c r="BV721">
        <f>IFERROR(INDEX(PP_Grid[#Data],$DD721,72),0)</f>
        <v/>
      </c>
      <c r="BW721">
        <f>IFERROR(INDEX(PP_Grid[#Data],$DD721,73),0)</f>
        <v/>
      </c>
      <c r="BX721">
        <f>IFERROR(INDEX(PP_Grid[#Data],$DD721,74),0)</f>
        <v/>
      </c>
      <c r="BY721">
        <f>IFERROR(INDEX(PP_Grid[#Data],$DD721,75),0)</f>
        <v/>
      </c>
      <c r="BZ721">
        <f>IFERROR(INDEX(PP_Grid[#Data],$DD721,76),0)</f>
        <v/>
      </c>
      <c r="CA721">
        <f>IFERROR(INDEX(PP_Grid[#Data],$DD721,77),0)</f>
        <v/>
      </c>
      <c r="CB721">
        <f>IFERROR(INDEX(PP_Grid[#Data],$DD721,78),0)</f>
        <v/>
      </c>
      <c r="CC721">
        <f>IFERROR(INDEX(PP_Grid[#Data],$DD721,79),0)</f>
        <v/>
      </c>
      <c r="CD721">
        <f>IFERROR(INDEX(PP_Grid[#Data],$DD721,80),0)</f>
        <v/>
      </c>
      <c r="CE721">
        <f>IFERROR(INDEX(PP_Grid[#Data],$DD721,81),0)</f>
        <v/>
      </c>
      <c r="CF721">
        <f>IFERROR(INDEX(PP_Grid[#Data],$DD721,82),0)</f>
        <v/>
      </c>
      <c r="CG721">
        <f>IFERROR(INDEX(PP_Grid[#Data],$DD721,83),0)</f>
        <v/>
      </c>
      <c r="CH721">
        <f>IFERROR(INDEX(PP_Grid[#Data],$DD721,84),0)</f>
        <v/>
      </c>
      <c r="CI721">
        <f>IFERROR(INDEX(PP_Grid[#Data],$DD721,85),0)</f>
        <v/>
      </c>
      <c r="CJ721">
        <f>IFERROR(INDEX(PP_Grid[#Data],$DD721,86),0)</f>
        <v/>
      </c>
      <c r="CK721">
        <f>IFERROR(INDEX(PP_Grid[#Data],$DD721,87),0)</f>
        <v/>
      </c>
      <c r="CL721">
        <f>IFERROR(INDEX(PP_Grid[#Data],$DD721,88),0)</f>
        <v/>
      </c>
      <c r="CM721">
        <f>IFERROR(INDEX(PP_Grid[#Data],$DD721,89),0)</f>
        <v/>
      </c>
      <c r="CN721">
        <f>IFERROR(INDEX(PP_Grid[#Data],$DD721,90),0)</f>
        <v/>
      </c>
      <c r="CO721">
        <f>IFERROR(INDEX(PP_Grid[#Data],$DD721,91),0)</f>
        <v/>
      </c>
      <c r="CP721">
        <f>IFERROR(INDEX(PP_Grid[#Data],$DD721,92),0)</f>
        <v/>
      </c>
      <c r="CQ721">
        <f>IFERROR(INDEX(PP_Grid[#Data],$DD721,93),0)</f>
        <v/>
      </c>
      <c r="CR721">
        <f>IFERROR(INDEX(PP_Grid[#Data],$DD721,94),0)</f>
        <v/>
      </c>
      <c r="CS721">
        <f>IFERROR(INDEX(PP_Grid[#Data],$DD721,95),0)</f>
        <v/>
      </c>
      <c r="CT721">
        <f>IFERROR(INDEX(PP_Grid[#Data],$DD721,96),0)</f>
        <v/>
      </c>
      <c r="CU721">
        <f>IFERROR(INDEX(PP_Grid[#Data],$DD721,97),0)</f>
        <v/>
      </c>
      <c r="CV721">
        <f>IFERROR(INDEX(PP_Grid[#Data],$DD721,98),0)</f>
        <v/>
      </c>
      <c r="CW721">
        <f>IFERROR(INDEX(PP_Grid[#Data],$DD721,99),0)</f>
        <v/>
      </c>
      <c r="CX721">
        <f>IFERROR(INDEX(PP_Grid[#Data],$DD721,100),0)</f>
        <v/>
      </c>
      <c r="CY721">
        <f>IFERROR(INDEX(PP_Grid[#Data],$DD721,101),0)</f>
        <v/>
      </c>
      <c r="CZ721">
        <f>IFERROR(INDEX(PP_Grid[#Data],$DD721,102),0)</f>
        <v/>
      </c>
      <c r="DA721">
        <f>IFERROR(INDEX(PP_Grid[#Data],$DD721,103),0)</f>
        <v/>
      </c>
      <c r="DB721">
        <f>IFERROR(INDEX(PP_Grid[#Data],$DD721,104),0)</f>
        <v/>
      </c>
      <c r="DC721">
        <f>IFERROR(INDEX(PP_Grid[#Data],$DD721,105),0)</f>
        <v/>
      </c>
      <c r="DD721" s="7">
        <f>IFERROR(MATCH($B721,PP_Grid[Intermediate],0),99999)</f>
        <v/>
      </c>
    </row>
    <row r="722">
      <c r="B722" t="inlineStr">
        <is>
          <t>使用量(kg)</t>
        </is>
      </c>
      <c r="C722">
        <f>SUMIFS(M_BOM[RM_Qty_Per_Batch],M_BOM[Intermediate],$B721,M_BOM[Part Name],$A710)</f>
        <v/>
      </c>
      <c r="D722">
        <f>$C722*D721</f>
        <v/>
      </c>
      <c r="E722">
        <f>$C722*E721</f>
        <v/>
      </c>
      <c r="F722">
        <f>$C722*F721</f>
        <v/>
      </c>
      <c r="G722">
        <f>$C722*G721</f>
        <v/>
      </c>
      <c r="H722">
        <f>$C722*H721</f>
        <v/>
      </c>
      <c r="I722">
        <f>$C722*I721</f>
        <v/>
      </c>
      <c r="J722">
        <f>$C722*J721</f>
        <v/>
      </c>
      <c r="K722">
        <f>$C722*K721</f>
        <v/>
      </c>
      <c r="L722">
        <f>$C722*L721</f>
        <v/>
      </c>
      <c r="M722">
        <f>$C722*M721</f>
        <v/>
      </c>
      <c r="N722">
        <f>$C722*N721</f>
        <v/>
      </c>
      <c r="O722">
        <f>$C722*O721</f>
        <v/>
      </c>
      <c r="P722">
        <f>$C722*P721</f>
        <v/>
      </c>
      <c r="Q722">
        <f>$C722*Q721</f>
        <v/>
      </c>
      <c r="R722">
        <f>$C722*R721</f>
        <v/>
      </c>
      <c r="S722">
        <f>$C722*S721</f>
        <v/>
      </c>
      <c r="T722">
        <f>$C722*T721</f>
        <v/>
      </c>
      <c r="U722">
        <f>$C722*U721</f>
        <v/>
      </c>
      <c r="V722">
        <f>$C722*V721</f>
        <v/>
      </c>
      <c r="W722">
        <f>$C722*W721</f>
        <v/>
      </c>
      <c r="X722">
        <f>$C722*X721</f>
        <v/>
      </c>
      <c r="Y722">
        <f>$C722*Y721</f>
        <v/>
      </c>
      <c r="Z722">
        <f>$C722*Z721</f>
        <v/>
      </c>
      <c r="AA722">
        <f>$C722*AA721</f>
        <v/>
      </c>
      <c r="AB722">
        <f>$C722*AB721</f>
        <v/>
      </c>
      <c r="AC722">
        <f>$C722*AC721</f>
        <v/>
      </c>
      <c r="AD722">
        <f>$C722*AD721</f>
        <v/>
      </c>
      <c r="AE722">
        <f>$C722*AE721</f>
        <v/>
      </c>
      <c r="AF722">
        <f>$C722*AF721</f>
        <v/>
      </c>
      <c r="AG722">
        <f>$C722*AG721</f>
        <v/>
      </c>
      <c r="AH722">
        <f>$C722*AH721</f>
        <v/>
      </c>
      <c r="AI722">
        <f>$C722*AI721</f>
        <v/>
      </c>
      <c r="AJ722">
        <f>$C722*AJ721</f>
        <v/>
      </c>
      <c r="AK722">
        <f>$C722*AK721</f>
        <v/>
      </c>
      <c r="AL722">
        <f>$C722*AL721</f>
        <v/>
      </c>
      <c r="AM722">
        <f>$C722*AM721</f>
        <v/>
      </c>
      <c r="AN722">
        <f>$C722*AN721</f>
        <v/>
      </c>
      <c r="AO722">
        <f>$C722*AO721</f>
        <v/>
      </c>
      <c r="AP722">
        <f>$C722*AP721</f>
        <v/>
      </c>
      <c r="AQ722">
        <f>$C722*AQ721</f>
        <v/>
      </c>
      <c r="AR722">
        <f>$C722*AR721</f>
        <v/>
      </c>
      <c r="AS722">
        <f>$C722*AS721</f>
        <v/>
      </c>
      <c r="AT722">
        <f>$C722*AT721</f>
        <v/>
      </c>
      <c r="AU722">
        <f>$C722*AU721</f>
        <v/>
      </c>
      <c r="AV722">
        <f>$C722*AV721</f>
        <v/>
      </c>
      <c r="AW722">
        <f>$C722*AW721</f>
        <v/>
      </c>
      <c r="AX722">
        <f>$C722*AX721</f>
        <v/>
      </c>
      <c r="AY722">
        <f>$C722*AY721</f>
        <v/>
      </c>
      <c r="AZ722">
        <f>$C722*AZ721</f>
        <v/>
      </c>
      <c r="BA722">
        <f>$C722*BA721</f>
        <v/>
      </c>
      <c r="BB722">
        <f>$C722*BB721</f>
        <v/>
      </c>
      <c r="BC722">
        <f>$C722*BC721</f>
        <v/>
      </c>
      <c r="BD722">
        <f>$C722*BD721</f>
        <v/>
      </c>
      <c r="BE722">
        <f>$C722*BE721</f>
        <v/>
      </c>
      <c r="BF722">
        <f>$C722*BF721</f>
        <v/>
      </c>
      <c r="BG722">
        <f>$C722*BG721</f>
        <v/>
      </c>
      <c r="BH722">
        <f>$C722*BH721</f>
        <v/>
      </c>
      <c r="BI722">
        <f>$C722*BI721</f>
        <v/>
      </c>
      <c r="BJ722">
        <f>$C722*BJ721</f>
        <v/>
      </c>
      <c r="BK722">
        <f>$C722*BK721</f>
        <v/>
      </c>
      <c r="BL722">
        <f>$C722*BL721</f>
        <v/>
      </c>
      <c r="BM722">
        <f>$C722*BM721</f>
        <v/>
      </c>
      <c r="BN722">
        <f>$C722*BN721</f>
        <v/>
      </c>
      <c r="BO722">
        <f>$C722*BO721</f>
        <v/>
      </c>
      <c r="BP722">
        <f>$C722*BP721</f>
        <v/>
      </c>
      <c r="BQ722">
        <f>$C722*BQ721</f>
        <v/>
      </c>
      <c r="BR722">
        <f>$C722*BR721</f>
        <v/>
      </c>
      <c r="BS722">
        <f>$C722*BS721</f>
        <v/>
      </c>
      <c r="BT722">
        <f>$C722*BT721</f>
        <v/>
      </c>
      <c r="BU722">
        <f>$C722*BU721</f>
        <v/>
      </c>
      <c r="BV722">
        <f>$C722*BV721</f>
        <v/>
      </c>
      <c r="BW722">
        <f>$C722*BW721</f>
        <v/>
      </c>
      <c r="BX722">
        <f>$C722*BX721</f>
        <v/>
      </c>
      <c r="BY722">
        <f>$C722*BY721</f>
        <v/>
      </c>
      <c r="BZ722">
        <f>$C722*BZ721</f>
        <v/>
      </c>
      <c r="CA722">
        <f>$C722*CA721</f>
        <v/>
      </c>
      <c r="CB722">
        <f>$C722*CB721</f>
        <v/>
      </c>
      <c r="CC722">
        <f>$C722*CC721</f>
        <v/>
      </c>
      <c r="CD722">
        <f>$C722*CD721</f>
        <v/>
      </c>
      <c r="CE722">
        <f>$C722*CE721</f>
        <v/>
      </c>
      <c r="CF722">
        <f>$C722*CF721</f>
        <v/>
      </c>
      <c r="CG722">
        <f>$C722*CG721</f>
        <v/>
      </c>
      <c r="CH722">
        <f>$C722*CH721</f>
        <v/>
      </c>
      <c r="CI722">
        <f>$C722*CI721</f>
        <v/>
      </c>
      <c r="CJ722">
        <f>$C722*CJ721</f>
        <v/>
      </c>
      <c r="CK722">
        <f>$C722*CK721</f>
        <v/>
      </c>
      <c r="CL722">
        <f>$C722*CL721</f>
        <v/>
      </c>
      <c r="CM722">
        <f>$C722*CM721</f>
        <v/>
      </c>
      <c r="CN722">
        <f>$C722*CN721</f>
        <v/>
      </c>
      <c r="CO722">
        <f>$C722*CO721</f>
        <v/>
      </c>
      <c r="CP722">
        <f>$C722*CP721</f>
        <v/>
      </c>
      <c r="CQ722">
        <f>$C722*CQ721</f>
        <v/>
      </c>
      <c r="CR722">
        <f>$C722*CR721</f>
        <v/>
      </c>
      <c r="CS722">
        <f>$C722*CS721</f>
        <v/>
      </c>
      <c r="CT722">
        <f>$C722*CT721</f>
        <v/>
      </c>
      <c r="CU722">
        <f>$C722*CU721</f>
        <v/>
      </c>
      <c r="CV722">
        <f>$C722*CV721</f>
        <v/>
      </c>
      <c r="CW722">
        <f>$C722*CW721</f>
        <v/>
      </c>
      <c r="CX722">
        <f>$C722*CX721</f>
        <v/>
      </c>
      <c r="CY722">
        <f>$C722*CY721</f>
        <v/>
      </c>
      <c r="CZ722">
        <f>$C722*CZ721</f>
        <v/>
      </c>
      <c r="DA722">
        <f>$C722*DA721</f>
        <v/>
      </c>
      <c r="DB722">
        <f>$C722*DB721</f>
        <v/>
      </c>
      <c r="DC722">
        <f>$C722*DC721</f>
        <v/>
      </c>
    </row>
    <row r="723">
      <c r="B723" t="inlineStr">
        <is>
          <t>TSP-959</t>
        </is>
      </c>
      <c r="C723" t="inlineStr">
        <is>
          <t>No. of batches</t>
        </is>
      </c>
      <c r="D723">
        <f>IFERROR(INDEX(PP_Grid[#Data],$DD723,2),0)</f>
        <v/>
      </c>
      <c r="E723">
        <f>IFERROR(INDEX(PP_Grid[#Data],$DD723,3),0)</f>
        <v/>
      </c>
      <c r="F723">
        <f>IFERROR(INDEX(PP_Grid[#Data],$DD723,4),0)</f>
        <v/>
      </c>
      <c r="G723">
        <f>IFERROR(INDEX(PP_Grid[#Data],$DD723,5),0)</f>
        <v/>
      </c>
      <c r="H723">
        <f>IFERROR(INDEX(PP_Grid[#Data],$DD723,6),0)</f>
        <v/>
      </c>
      <c r="I723">
        <f>IFERROR(INDEX(PP_Grid[#Data],$DD723,7),0)</f>
        <v/>
      </c>
      <c r="J723">
        <f>IFERROR(INDEX(PP_Grid[#Data],$DD723,8),0)</f>
        <v/>
      </c>
      <c r="K723">
        <f>IFERROR(INDEX(PP_Grid[#Data],$DD723,9),0)</f>
        <v/>
      </c>
      <c r="L723">
        <f>IFERROR(INDEX(PP_Grid[#Data],$DD723,10),0)</f>
        <v/>
      </c>
      <c r="M723">
        <f>IFERROR(INDEX(PP_Grid[#Data],$DD723,11),0)</f>
        <v/>
      </c>
      <c r="N723">
        <f>IFERROR(INDEX(PP_Grid[#Data],$DD723,12),0)</f>
        <v/>
      </c>
      <c r="O723">
        <f>IFERROR(INDEX(PP_Grid[#Data],$DD723,13),0)</f>
        <v/>
      </c>
      <c r="P723">
        <f>IFERROR(INDEX(PP_Grid[#Data],$DD723,14),0)</f>
        <v/>
      </c>
      <c r="Q723">
        <f>IFERROR(INDEX(PP_Grid[#Data],$DD723,15),0)</f>
        <v/>
      </c>
      <c r="R723">
        <f>IFERROR(INDEX(PP_Grid[#Data],$DD723,16),0)</f>
        <v/>
      </c>
      <c r="S723">
        <f>IFERROR(INDEX(PP_Grid[#Data],$DD723,17),0)</f>
        <v/>
      </c>
      <c r="T723">
        <f>IFERROR(INDEX(PP_Grid[#Data],$DD723,18),0)</f>
        <v/>
      </c>
      <c r="U723">
        <f>IFERROR(INDEX(PP_Grid[#Data],$DD723,19),0)</f>
        <v/>
      </c>
      <c r="V723">
        <f>IFERROR(INDEX(PP_Grid[#Data],$DD723,20),0)</f>
        <v/>
      </c>
      <c r="W723">
        <f>IFERROR(INDEX(PP_Grid[#Data],$DD723,21),0)</f>
        <v/>
      </c>
      <c r="X723">
        <f>IFERROR(INDEX(PP_Grid[#Data],$DD723,22),0)</f>
        <v/>
      </c>
      <c r="Y723">
        <f>IFERROR(INDEX(PP_Grid[#Data],$DD723,23),0)</f>
        <v/>
      </c>
      <c r="Z723">
        <f>IFERROR(INDEX(PP_Grid[#Data],$DD723,24),0)</f>
        <v/>
      </c>
      <c r="AA723">
        <f>IFERROR(INDEX(PP_Grid[#Data],$DD723,25),0)</f>
        <v/>
      </c>
      <c r="AB723">
        <f>IFERROR(INDEX(PP_Grid[#Data],$DD723,26),0)</f>
        <v/>
      </c>
      <c r="AC723">
        <f>IFERROR(INDEX(PP_Grid[#Data],$DD723,27),0)</f>
        <v/>
      </c>
      <c r="AD723">
        <f>IFERROR(INDEX(PP_Grid[#Data],$DD723,28),0)</f>
        <v/>
      </c>
      <c r="AE723">
        <f>IFERROR(INDEX(PP_Grid[#Data],$DD723,29),0)</f>
        <v/>
      </c>
      <c r="AF723">
        <f>IFERROR(INDEX(PP_Grid[#Data],$DD723,30),0)</f>
        <v/>
      </c>
      <c r="AG723">
        <f>IFERROR(INDEX(PP_Grid[#Data],$DD723,31),0)</f>
        <v/>
      </c>
      <c r="AH723">
        <f>IFERROR(INDEX(PP_Grid[#Data],$DD723,32),0)</f>
        <v/>
      </c>
      <c r="AI723">
        <f>IFERROR(INDEX(PP_Grid[#Data],$DD723,33),0)</f>
        <v/>
      </c>
      <c r="AJ723">
        <f>IFERROR(INDEX(PP_Grid[#Data],$DD723,34),0)</f>
        <v/>
      </c>
      <c r="AK723">
        <f>IFERROR(INDEX(PP_Grid[#Data],$DD723,35),0)</f>
        <v/>
      </c>
      <c r="AL723">
        <f>IFERROR(INDEX(PP_Grid[#Data],$DD723,36),0)</f>
        <v/>
      </c>
      <c r="AM723">
        <f>IFERROR(INDEX(PP_Grid[#Data],$DD723,37),0)</f>
        <v/>
      </c>
      <c r="AN723">
        <f>IFERROR(INDEX(PP_Grid[#Data],$DD723,38),0)</f>
        <v/>
      </c>
      <c r="AO723">
        <f>IFERROR(INDEX(PP_Grid[#Data],$DD723,39),0)</f>
        <v/>
      </c>
      <c r="AP723">
        <f>IFERROR(INDEX(PP_Grid[#Data],$DD723,40),0)</f>
        <v/>
      </c>
      <c r="AQ723">
        <f>IFERROR(INDEX(PP_Grid[#Data],$DD723,41),0)</f>
        <v/>
      </c>
      <c r="AR723">
        <f>IFERROR(INDEX(PP_Grid[#Data],$DD723,42),0)</f>
        <v/>
      </c>
      <c r="AS723">
        <f>IFERROR(INDEX(PP_Grid[#Data],$DD723,43),0)</f>
        <v/>
      </c>
      <c r="AT723">
        <f>IFERROR(INDEX(PP_Grid[#Data],$DD723,44),0)</f>
        <v/>
      </c>
      <c r="AU723">
        <f>IFERROR(INDEX(PP_Grid[#Data],$DD723,45),0)</f>
        <v/>
      </c>
      <c r="AV723">
        <f>IFERROR(INDEX(PP_Grid[#Data],$DD723,46),0)</f>
        <v/>
      </c>
      <c r="AW723">
        <f>IFERROR(INDEX(PP_Grid[#Data],$DD723,47),0)</f>
        <v/>
      </c>
      <c r="AX723">
        <f>IFERROR(INDEX(PP_Grid[#Data],$DD723,48),0)</f>
        <v/>
      </c>
      <c r="AY723">
        <f>IFERROR(INDEX(PP_Grid[#Data],$DD723,49),0)</f>
        <v/>
      </c>
      <c r="AZ723">
        <f>IFERROR(INDEX(PP_Grid[#Data],$DD723,50),0)</f>
        <v/>
      </c>
      <c r="BA723">
        <f>IFERROR(INDEX(PP_Grid[#Data],$DD723,51),0)</f>
        <v/>
      </c>
      <c r="BB723">
        <f>IFERROR(INDEX(PP_Grid[#Data],$DD723,52),0)</f>
        <v/>
      </c>
      <c r="BC723">
        <f>IFERROR(INDEX(PP_Grid[#Data],$DD723,53),0)</f>
        <v/>
      </c>
      <c r="BD723">
        <f>IFERROR(INDEX(PP_Grid[#Data],$DD723,54),0)</f>
        <v/>
      </c>
      <c r="BE723">
        <f>IFERROR(INDEX(PP_Grid[#Data],$DD723,55),0)</f>
        <v/>
      </c>
      <c r="BF723">
        <f>IFERROR(INDEX(PP_Grid[#Data],$DD723,56),0)</f>
        <v/>
      </c>
      <c r="BG723">
        <f>IFERROR(INDEX(PP_Grid[#Data],$DD723,57),0)</f>
        <v/>
      </c>
      <c r="BH723">
        <f>IFERROR(INDEX(PP_Grid[#Data],$DD723,58),0)</f>
        <v/>
      </c>
      <c r="BI723">
        <f>IFERROR(INDEX(PP_Grid[#Data],$DD723,59),0)</f>
        <v/>
      </c>
      <c r="BJ723">
        <f>IFERROR(INDEX(PP_Grid[#Data],$DD723,60),0)</f>
        <v/>
      </c>
      <c r="BK723">
        <f>IFERROR(INDEX(PP_Grid[#Data],$DD723,61),0)</f>
        <v/>
      </c>
      <c r="BL723">
        <f>IFERROR(INDEX(PP_Grid[#Data],$DD723,62),0)</f>
        <v/>
      </c>
      <c r="BM723">
        <f>IFERROR(INDEX(PP_Grid[#Data],$DD723,63),0)</f>
        <v/>
      </c>
      <c r="BN723">
        <f>IFERROR(INDEX(PP_Grid[#Data],$DD723,64),0)</f>
        <v/>
      </c>
      <c r="BO723">
        <f>IFERROR(INDEX(PP_Grid[#Data],$DD723,65),0)</f>
        <v/>
      </c>
      <c r="BP723">
        <f>IFERROR(INDEX(PP_Grid[#Data],$DD723,66),0)</f>
        <v/>
      </c>
      <c r="BQ723">
        <f>IFERROR(INDEX(PP_Grid[#Data],$DD723,67),0)</f>
        <v/>
      </c>
      <c r="BR723">
        <f>IFERROR(INDEX(PP_Grid[#Data],$DD723,68),0)</f>
        <v/>
      </c>
      <c r="BS723">
        <f>IFERROR(INDEX(PP_Grid[#Data],$DD723,69),0)</f>
        <v/>
      </c>
      <c r="BT723">
        <f>IFERROR(INDEX(PP_Grid[#Data],$DD723,70),0)</f>
        <v/>
      </c>
      <c r="BU723">
        <f>IFERROR(INDEX(PP_Grid[#Data],$DD723,71),0)</f>
        <v/>
      </c>
      <c r="BV723">
        <f>IFERROR(INDEX(PP_Grid[#Data],$DD723,72),0)</f>
        <v/>
      </c>
      <c r="BW723">
        <f>IFERROR(INDEX(PP_Grid[#Data],$DD723,73),0)</f>
        <v/>
      </c>
      <c r="BX723">
        <f>IFERROR(INDEX(PP_Grid[#Data],$DD723,74),0)</f>
        <v/>
      </c>
      <c r="BY723">
        <f>IFERROR(INDEX(PP_Grid[#Data],$DD723,75),0)</f>
        <v/>
      </c>
      <c r="BZ723">
        <f>IFERROR(INDEX(PP_Grid[#Data],$DD723,76),0)</f>
        <v/>
      </c>
      <c r="CA723">
        <f>IFERROR(INDEX(PP_Grid[#Data],$DD723,77),0)</f>
        <v/>
      </c>
      <c r="CB723">
        <f>IFERROR(INDEX(PP_Grid[#Data],$DD723,78),0)</f>
        <v/>
      </c>
      <c r="CC723">
        <f>IFERROR(INDEX(PP_Grid[#Data],$DD723,79),0)</f>
        <v/>
      </c>
      <c r="CD723">
        <f>IFERROR(INDEX(PP_Grid[#Data],$DD723,80),0)</f>
        <v/>
      </c>
      <c r="CE723">
        <f>IFERROR(INDEX(PP_Grid[#Data],$DD723,81),0)</f>
        <v/>
      </c>
      <c r="CF723">
        <f>IFERROR(INDEX(PP_Grid[#Data],$DD723,82),0)</f>
        <v/>
      </c>
      <c r="CG723">
        <f>IFERROR(INDEX(PP_Grid[#Data],$DD723,83),0)</f>
        <v/>
      </c>
      <c r="CH723">
        <f>IFERROR(INDEX(PP_Grid[#Data],$DD723,84),0)</f>
        <v/>
      </c>
      <c r="CI723">
        <f>IFERROR(INDEX(PP_Grid[#Data],$DD723,85),0)</f>
        <v/>
      </c>
      <c r="CJ723">
        <f>IFERROR(INDEX(PP_Grid[#Data],$DD723,86),0)</f>
        <v/>
      </c>
      <c r="CK723">
        <f>IFERROR(INDEX(PP_Grid[#Data],$DD723,87),0)</f>
        <v/>
      </c>
      <c r="CL723">
        <f>IFERROR(INDEX(PP_Grid[#Data],$DD723,88),0)</f>
        <v/>
      </c>
      <c r="CM723">
        <f>IFERROR(INDEX(PP_Grid[#Data],$DD723,89),0)</f>
        <v/>
      </c>
      <c r="CN723">
        <f>IFERROR(INDEX(PP_Grid[#Data],$DD723,90),0)</f>
        <v/>
      </c>
      <c r="CO723">
        <f>IFERROR(INDEX(PP_Grid[#Data],$DD723,91),0)</f>
        <v/>
      </c>
      <c r="CP723">
        <f>IFERROR(INDEX(PP_Grid[#Data],$DD723,92),0)</f>
        <v/>
      </c>
      <c r="CQ723">
        <f>IFERROR(INDEX(PP_Grid[#Data],$DD723,93),0)</f>
        <v/>
      </c>
      <c r="CR723">
        <f>IFERROR(INDEX(PP_Grid[#Data],$DD723,94),0)</f>
        <v/>
      </c>
      <c r="CS723">
        <f>IFERROR(INDEX(PP_Grid[#Data],$DD723,95),0)</f>
        <v/>
      </c>
      <c r="CT723">
        <f>IFERROR(INDEX(PP_Grid[#Data],$DD723,96),0)</f>
        <v/>
      </c>
      <c r="CU723">
        <f>IFERROR(INDEX(PP_Grid[#Data],$DD723,97),0)</f>
        <v/>
      </c>
      <c r="CV723">
        <f>IFERROR(INDEX(PP_Grid[#Data],$DD723,98),0)</f>
        <v/>
      </c>
      <c r="CW723">
        <f>IFERROR(INDEX(PP_Grid[#Data],$DD723,99),0)</f>
        <v/>
      </c>
      <c r="CX723">
        <f>IFERROR(INDEX(PP_Grid[#Data],$DD723,100),0)</f>
        <v/>
      </c>
      <c r="CY723">
        <f>IFERROR(INDEX(PP_Grid[#Data],$DD723,101),0)</f>
        <v/>
      </c>
      <c r="CZ723">
        <f>IFERROR(INDEX(PP_Grid[#Data],$DD723,102),0)</f>
        <v/>
      </c>
      <c r="DA723">
        <f>IFERROR(INDEX(PP_Grid[#Data],$DD723,103),0)</f>
        <v/>
      </c>
      <c r="DB723">
        <f>IFERROR(INDEX(PP_Grid[#Data],$DD723,104),0)</f>
        <v/>
      </c>
      <c r="DC723">
        <f>IFERROR(INDEX(PP_Grid[#Data],$DD723,105),0)</f>
        <v/>
      </c>
      <c r="DD723" s="7">
        <f>IFERROR(MATCH($B723,PP_Grid[Intermediate],0),99999)</f>
        <v/>
      </c>
    </row>
    <row r="724">
      <c r="B724" t="inlineStr">
        <is>
          <t>使用量(kg)</t>
        </is>
      </c>
      <c r="C724">
        <f>SUMIFS(M_BOM[RM_Qty_Per_Batch],M_BOM[Intermediate],$B723,M_BOM[Part Name],$A710)</f>
        <v/>
      </c>
      <c r="D724">
        <f>$C724*D723</f>
        <v/>
      </c>
      <c r="E724">
        <f>$C724*E723</f>
        <v/>
      </c>
      <c r="F724">
        <f>$C724*F723</f>
        <v/>
      </c>
      <c r="G724">
        <f>$C724*G723</f>
        <v/>
      </c>
      <c r="H724">
        <f>$C724*H723</f>
        <v/>
      </c>
      <c r="I724">
        <f>$C724*I723</f>
        <v/>
      </c>
      <c r="J724">
        <f>$C724*J723</f>
        <v/>
      </c>
      <c r="K724">
        <f>$C724*K723</f>
        <v/>
      </c>
      <c r="L724">
        <f>$C724*L723</f>
        <v/>
      </c>
      <c r="M724">
        <f>$C724*M723</f>
        <v/>
      </c>
      <c r="N724">
        <f>$C724*N723</f>
        <v/>
      </c>
      <c r="O724">
        <f>$C724*O723</f>
        <v/>
      </c>
      <c r="P724">
        <f>$C724*P723</f>
        <v/>
      </c>
      <c r="Q724">
        <f>$C724*Q723</f>
        <v/>
      </c>
      <c r="R724">
        <f>$C724*R723</f>
        <v/>
      </c>
      <c r="S724">
        <f>$C724*S723</f>
        <v/>
      </c>
      <c r="T724">
        <f>$C724*T723</f>
        <v/>
      </c>
      <c r="U724">
        <f>$C724*U723</f>
        <v/>
      </c>
      <c r="V724">
        <f>$C724*V723</f>
        <v/>
      </c>
      <c r="W724">
        <f>$C724*W723</f>
        <v/>
      </c>
      <c r="X724">
        <f>$C724*X723</f>
        <v/>
      </c>
      <c r="Y724">
        <f>$C724*Y723</f>
        <v/>
      </c>
      <c r="Z724">
        <f>$C724*Z723</f>
        <v/>
      </c>
      <c r="AA724">
        <f>$C724*AA723</f>
        <v/>
      </c>
      <c r="AB724">
        <f>$C724*AB723</f>
        <v/>
      </c>
      <c r="AC724">
        <f>$C724*AC723</f>
        <v/>
      </c>
      <c r="AD724">
        <f>$C724*AD723</f>
        <v/>
      </c>
      <c r="AE724">
        <f>$C724*AE723</f>
        <v/>
      </c>
      <c r="AF724">
        <f>$C724*AF723</f>
        <v/>
      </c>
      <c r="AG724">
        <f>$C724*AG723</f>
        <v/>
      </c>
      <c r="AH724">
        <f>$C724*AH723</f>
        <v/>
      </c>
      <c r="AI724">
        <f>$C724*AI723</f>
        <v/>
      </c>
      <c r="AJ724">
        <f>$C724*AJ723</f>
        <v/>
      </c>
      <c r="AK724">
        <f>$C724*AK723</f>
        <v/>
      </c>
      <c r="AL724">
        <f>$C724*AL723</f>
        <v/>
      </c>
      <c r="AM724">
        <f>$C724*AM723</f>
        <v/>
      </c>
      <c r="AN724">
        <f>$C724*AN723</f>
        <v/>
      </c>
      <c r="AO724">
        <f>$C724*AO723</f>
        <v/>
      </c>
      <c r="AP724">
        <f>$C724*AP723</f>
        <v/>
      </c>
      <c r="AQ724">
        <f>$C724*AQ723</f>
        <v/>
      </c>
      <c r="AR724">
        <f>$C724*AR723</f>
        <v/>
      </c>
      <c r="AS724">
        <f>$C724*AS723</f>
        <v/>
      </c>
      <c r="AT724">
        <f>$C724*AT723</f>
        <v/>
      </c>
      <c r="AU724">
        <f>$C724*AU723</f>
        <v/>
      </c>
      <c r="AV724">
        <f>$C724*AV723</f>
        <v/>
      </c>
      <c r="AW724">
        <f>$C724*AW723</f>
        <v/>
      </c>
      <c r="AX724">
        <f>$C724*AX723</f>
        <v/>
      </c>
      <c r="AY724">
        <f>$C724*AY723</f>
        <v/>
      </c>
      <c r="AZ724">
        <f>$C724*AZ723</f>
        <v/>
      </c>
      <c r="BA724">
        <f>$C724*BA723</f>
        <v/>
      </c>
      <c r="BB724">
        <f>$C724*BB723</f>
        <v/>
      </c>
      <c r="BC724">
        <f>$C724*BC723</f>
        <v/>
      </c>
      <c r="BD724">
        <f>$C724*BD723</f>
        <v/>
      </c>
      <c r="BE724">
        <f>$C724*BE723</f>
        <v/>
      </c>
      <c r="BF724">
        <f>$C724*BF723</f>
        <v/>
      </c>
      <c r="BG724">
        <f>$C724*BG723</f>
        <v/>
      </c>
      <c r="BH724">
        <f>$C724*BH723</f>
        <v/>
      </c>
      <c r="BI724">
        <f>$C724*BI723</f>
        <v/>
      </c>
      <c r="BJ724">
        <f>$C724*BJ723</f>
        <v/>
      </c>
      <c r="BK724">
        <f>$C724*BK723</f>
        <v/>
      </c>
      <c r="BL724">
        <f>$C724*BL723</f>
        <v/>
      </c>
      <c r="BM724">
        <f>$C724*BM723</f>
        <v/>
      </c>
      <c r="BN724">
        <f>$C724*BN723</f>
        <v/>
      </c>
      <c r="BO724">
        <f>$C724*BO723</f>
        <v/>
      </c>
      <c r="BP724">
        <f>$C724*BP723</f>
        <v/>
      </c>
      <c r="BQ724">
        <f>$C724*BQ723</f>
        <v/>
      </c>
      <c r="BR724">
        <f>$C724*BR723</f>
        <v/>
      </c>
      <c r="BS724">
        <f>$C724*BS723</f>
        <v/>
      </c>
      <c r="BT724">
        <f>$C724*BT723</f>
        <v/>
      </c>
      <c r="BU724">
        <f>$C724*BU723</f>
        <v/>
      </c>
      <c r="BV724">
        <f>$C724*BV723</f>
        <v/>
      </c>
      <c r="BW724">
        <f>$C724*BW723</f>
        <v/>
      </c>
      <c r="BX724">
        <f>$C724*BX723</f>
        <v/>
      </c>
      <c r="BY724">
        <f>$C724*BY723</f>
        <v/>
      </c>
      <c r="BZ724">
        <f>$C724*BZ723</f>
        <v/>
      </c>
      <c r="CA724">
        <f>$C724*CA723</f>
        <v/>
      </c>
      <c r="CB724">
        <f>$C724*CB723</f>
        <v/>
      </c>
      <c r="CC724">
        <f>$C724*CC723</f>
        <v/>
      </c>
      <c r="CD724">
        <f>$C724*CD723</f>
        <v/>
      </c>
      <c r="CE724">
        <f>$C724*CE723</f>
        <v/>
      </c>
      <c r="CF724">
        <f>$C724*CF723</f>
        <v/>
      </c>
      <c r="CG724">
        <f>$C724*CG723</f>
        <v/>
      </c>
      <c r="CH724">
        <f>$C724*CH723</f>
        <v/>
      </c>
      <c r="CI724">
        <f>$C724*CI723</f>
        <v/>
      </c>
      <c r="CJ724">
        <f>$C724*CJ723</f>
        <v/>
      </c>
      <c r="CK724">
        <f>$C724*CK723</f>
        <v/>
      </c>
      <c r="CL724">
        <f>$C724*CL723</f>
        <v/>
      </c>
      <c r="CM724">
        <f>$C724*CM723</f>
        <v/>
      </c>
      <c r="CN724">
        <f>$C724*CN723</f>
        <v/>
      </c>
      <c r="CO724">
        <f>$C724*CO723</f>
        <v/>
      </c>
      <c r="CP724">
        <f>$C724*CP723</f>
        <v/>
      </c>
      <c r="CQ724">
        <f>$C724*CQ723</f>
        <v/>
      </c>
      <c r="CR724">
        <f>$C724*CR723</f>
        <v/>
      </c>
      <c r="CS724">
        <f>$C724*CS723</f>
        <v/>
      </c>
      <c r="CT724">
        <f>$C724*CT723</f>
        <v/>
      </c>
      <c r="CU724">
        <f>$C724*CU723</f>
        <v/>
      </c>
      <c r="CV724">
        <f>$C724*CV723</f>
        <v/>
      </c>
      <c r="CW724">
        <f>$C724*CW723</f>
        <v/>
      </c>
      <c r="CX724">
        <f>$C724*CX723</f>
        <v/>
      </c>
      <c r="CY724">
        <f>$C724*CY723</f>
        <v/>
      </c>
      <c r="CZ724">
        <f>$C724*CZ723</f>
        <v/>
      </c>
      <c r="DA724">
        <f>$C724*DA723</f>
        <v/>
      </c>
      <c r="DB724">
        <f>$C724*DB723</f>
        <v/>
      </c>
      <c r="DC724">
        <f>$C724*DC723</f>
        <v/>
      </c>
    </row>
    <row r="725">
      <c r="B725" t="inlineStr">
        <is>
          <t>VSP-567</t>
        </is>
      </c>
      <c r="C725" t="inlineStr">
        <is>
          <t>No. of batches</t>
        </is>
      </c>
      <c r="D725">
        <f>IFERROR(INDEX(PP_Grid[#Data],$DD725,2),0)</f>
        <v/>
      </c>
      <c r="E725">
        <f>IFERROR(INDEX(PP_Grid[#Data],$DD725,3),0)</f>
        <v/>
      </c>
      <c r="F725">
        <f>IFERROR(INDEX(PP_Grid[#Data],$DD725,4),0)</f>
        <v/>
      </c>
      <c r="G725">
        <f>IFERROR(INDEX(PP_Grid[#Data],$DD725,5),0)</f>
        <v/>
      </c>
      <c r="H725">
        <f>IFERROR(INDEX(PP_Grid[#Data],$DD725,6),0)</f>
        <v/>
      </c>
      <c r="I725">
        <f>IFERROR(INDEX(PP_Grid[#Data],$DD725,7),0)</f>
        <v/>
      </c>
      <c r="J725">
        <f>IFERROR(INDEX(PP_Grid[#Data],$DD725,8),0)</f>
        <v/>
      </c>
      <c r="K725">
        <f>IFERROR(INDEX(PP_Grid[#Data],$DD725,9),0)</f>
        <v/>
      </c>
      <c r="L725">
        <f>IFERROR(INDEX(PP_Grid[#Data],$DD725,10),0)</f>
        <v/>
      </c>
      <c r="M725">
        <f>IFERROR(INDEX(PP_Grid[#Data],$DD725,11),0)</f>
        <v/>
      </c>
      <c r="N725">
        <f>IFERROR(INDEX(PP_Grid[#Data],$DD725,12),0)</f>
        <v/>
      </c>
      <c r="O725">
        <f>IFERROR(INDEX(PP_Grid[#Data],$DD725,13),0)</f>
        <v/>
      </c>
      <c r="P725">
        <f>IFERROR(INDEX(PP_Grid[#Data],$DD725,14),0)</f>
        <v/>
      </c>
      <c r="Q725">
        <f>IFERROR(INDEX(PP_Grid[#Data],$DD725,15),0)</f>
        <v/>
      </c>
      <c r="R725">
        <f>IFERROR(INDEX(PP_Grid[#Data],$DD725,16),0)</f>
        <v/>
      </c>
      <c r="S725">
        <f>IFERROR(INDEX(PP_Grid[#Data],$DD725,17),0)</f>
        <v/>
      </c>
      <c r="T725">
        <f>IFERROR(INDEX(PP_Grid[#Data],$DD725,18),0)</f>
        <v/>
      </c>
      <c r="U725">
        <f>IFERROR(INDEX(PP_Grid[#Data],$DD725,19),0)</f>
        <v/>
      </c>
      <c r="V725">
        <f>IFERROR(INDEX(PP_Grid[#Data],$DD725,20),0)</f>
        <v/>
      </c>
      <c r="W725">
        <f>IFERROR(INDEX(PP_Grid[#Data],$DD725,21),0)</f>
        <v/>
      </c>
      <c r="X725">
        <f>IFERROR(INDEX(PP_Grid[#Data],$DD725,22),0)</f>
        <v/>
      </c>
      <c r="Y725">
        <f>IFERROR(INDEX(PP_Grid[#Data],$DD725,23),0)</f>
        <v/>
      </c>
      <c r="Z725">
        <f>IFERROR(INDEX(PP_Grid[#Data],$DD725,24),0)</f>
        <v/>
      </c>
      <c r="AA725">
        <f>IFERROR(INDEX(PP_Grid[#Data],$DD725,25),0)</f>
        <v/>
      </c>
      <c r="AB725">
        <f>IFERROR(INDEX(PP_Grid[#Data],$DD725,26),0)</f>
        <v/>
      </c>
      <c r="AC725">
        <f>IFERROR(INDEX(PP_Grid[#Data],$DD725,27),0)</f>
        <v/>
      </c>
      <c r="AD725">
        <f>IFERROR(INDEX(PP_Grid[#Data],$DD725,28),0)</f>
        <v/>
      </c>
      <c r="AE725">
        <f>IFERROR(INDEX(PP_Grid[#Data],$DD725,29),0)</f>
        <v/>
      </c>
      <c r="AF725">
        <f>IFERROR(INDEX(PP_Grid[#Data],$DD725,30),0)</f>
        <v/>
      </c>
      <c r="AG725">
        <f>IFERROR(INDEX(PP_Grid[#Data],$DD725,31),0)</f>
        <v/>
      </c>
      <c r="AH725">
        <f>IFERROR(INDEX(PP_Grid[#Data],$DD725,32),0)</f>
        <v/>
      </c>
      <c r="AI725">
        <f>IFERROR(INDEX(PP_Grid[#Data],$DD725,33),0)</f>
        <v/>
      </c>
      <c r="AJ725">
        <f>IFERROR(INDEX(PP_Grid[#Data],$DD725,34),0)</f>
        <v/>
      </c>
      <c r="AK725">
        <f>IFERROR(INDEX(PP_Grid[#Data],$DD725,35),0)</f>
        <v/>
      </c>
      <c r="AL725">
        <f>IFERROR(INDEX(PP_Grid[#Data],$DD725,36),0)</f>
        <v/>
      </c>
      <c r="AM725">
        <f>IFERROR(INDEX(PP_Grid[#Data],$DD725,37),0)</f>
        <v/>
      </c>
      <c r="AN725">
        <f>IFERROR(INDEX(PP_Grid[#Data],$DD725,38),0)</f>
        <v/>
      </c>
      <c r="AO725">
        <f>IFERROR(INDEX(PP_Grid[#Data],$DD725,39),0)</f>
        <v/>
      </c>
      <c r="AP725">
        <f>IFERROR(INDEX(PP_Grid[#Data],$DD725,40),0)</f>
        <v/>
      </c>
      <c r="AQ725">
        <f>IFERROR(INDEX(PP_Grid[#Data],$DD725,41),0)</f>
        <v/>
      </c>
      <c r="AR725">
        <f>IFERROR(INDEX(PP_Grid[#Data],$DD725,42),0)</f>
        <v/>
      </c>
      <c r="AS725">
        <f>IFERROR(INDEX(PP_Grid[#Data],$DD725,43),0)</f>
        <v/>
      </c>
      <c r="AT725">
        <f>IFERROR(INDEX(PP_Grid[#Data],$DD725,44),0)</f>
        <v/>
      </c>
      <c r="AU725">
        <f>IFERROR(INDEX(PP_Grid[#Data],$DD725,45),0)</f>
        <v/>
      </c>
      <c r="AV725">
        <f>IFERROR(INDEX(PP_Grid[#Data],$DD725,46),0)</f>
        <v/>
      </c>
      <c r="AW725">
        <f>IFERROR(INDEX(PP_Grid[#Data],$DD725,47),0)</f>
        <v/>
      </c>
      <c r="AX725">
        <f>IFERROR(INDEX(PP_Grid[#Data],$DD725,48),0)</f>
        <v/>
      </c>
      <c r="AY725">
        <f>IFERROR(INDEX(PP_Grid[#Data],$DD725,49),0)</f>
        <v/>
      </c>
      <c r="AZ725">
        <f>IFERROR(INDEX(PP_Grid[#Data],$DD725,50),0)</f>
        <v/>
      </c>
      <c r="BA725">
        <f>IFERROR(INDEX(PP_Grid[#Data],$DD725,51),0)</f>
        <v/>
      </c>
      <c r="BB725">
        <f>IFERROR(INDEX(PP_Grid[#Data],$DD725,52),0)</f>
        <v/>
      </c>
      <c r="BC725">
        <f>IFERROR(INDEX(PP_Grid[#Data],$DD725,53),0)</f>
        <v/>
      </c>
      <c r="BD725">
        <f>IFERROR(INDEX(PP_Grid[#Data],$DD725,54),0)</f>
        <v/>
      </c>
      <c r="BE725">
        <f>IFERROR(INDEX(PP_Grid[#Data],$DD725,55),0)</f>
        <v/>
      </c>
      <c r="BF725">
        <f>IFERROR(INDEX(PP_Grid[#Data],$DD725,56),0)</f>
        <v/>
      </c>
      <c r="BG725">
        <f>IFERROR(INDEX(PP_Grid[#Data],$DD725,57),0)</f>
        <v/>
      </c>
      <c r="BH725">
        <f>IFERROR(INDEX(PP_Grid[#Data],$DD725,58),0)</f>
        <v/>
      </c>
      <c r="BI725">
        <f>IFERROR(INDEX(PP_Grid[#Data],$DD725,59),0)</f>
        <v/>
      </c>
      <c r="BJ725">
        <f>IFERROR(INDEX(PP_Grid[#Data],$DD725,60),0)</f>
        <v/>
      </c>
      <c r="BK725">
        <f>IFERROR(INDEX(PP_Grid[#Data],$DD725,61),0)</f>
        <v/>
      </c>
      <c r="BL725">
        <f>IFERROR(INDEX(PP_Grid[#Data],$DD725,62),0)</f>
        <v/>
      </c>
      <c r="BM725">
        <f>IFERROR(INDEX(PP_Grid[#Data],$DD725,63),0)</f>
        <v/>
      </c>
      <c r="BN725">
        <f>IFERROR(INDEX(PP_Grid[#Data],$DD725,64),0)</f>
        <v/>
      </c>
      <c r="BO725">
        <f>IFERROR(INDEX(PP_Grid[#Data],$DD725,65),0)</f>
        <v/>
      </c>
      <c r="BP725">
        <f>IFERROR(INDEX(PP_Grid[#Data],$DD725,66),0)</f>
        <v/>
      </c>
      <c r="BQ725">
        <f>IFERROR(INDEX(PP_Grid[#Data],$DD725,67),0)</f>
        <v/>
      </c>
      <c r="BR725">
        <f>IFERROR(INDEX(PP_Grid[#Data],$DD725,68),0)</f>
        <v/>
      </c>
      <c r="BS725">
        <f>IFERROR(INDEX(PP_Grid[#Data],$DD725,69),0)</f>
        <v/>
      </c>
      <c r="BT725">
        <f>IFERROR(INDEX(PP_Grid[#Data],$DD725,70),0)</f>
        <v/>
      </c>
      <c r="BU725">
        <f>IFERROR(INDEX(PP_Grid[#Data],$DD725,71),0)</f>
        <v/>
      </c>
      <c r="BV725">
        <f>IFERROR(INDEX(PP_Grid[#Data],$DD725,72),0)</f>
        <v/>
      </c>
      <c r="BW725">
        <f>IFERROR(INDEX(PP_Grid[#Data],$DD725,73),0)</f>
        <v/>
      </c>
      <c r="BX725">
        <f>IFERROR(INDEX(PP_Grid[#Data],$DD725,74),0)</f>
        <v/>
      </c>
      <c r="BY725">
        <f>IFERROR(INDEX(PP_Grid[#Data],$DD725,75),0)</f>
        <v/>
      </c>
      <c r="BZ725">
        <f>IFERROR(INDEX(PP_Grid[#Data],$DD725,76),0)</f>
        <v/>
      </c>
      <c r="CA725">
        <f>IFERROR(INDEX(PP_Grid[#Data],$DD725,77),0)</f>
        <v/>
      </c>
      <c r="CB725">
        <f>IFERROR(INDEX(PP_Grid[#Data],$DD725,78),0)</f>
        <v/>
      </c>
      <c r="CC725">
        <f>IFERROR(INDEX(PP_Grid[#Data],$DD725,79),0)</f>
        <v/>
      </c>
      <c r="CD725">
        <f>IFERROR(INDEX(PP_Grid[#Data],$DD725,80),0)</f>
        <v/>
      </c>
      <c r="CE725">
        <f>IFERROR(INDEX(PP_Grid[#Data],$DD725,81),0)</f>
        <v/>
      </c>
      <c r="CF725">
        <f>IFERROR(INDEX(PP_Grid[#Data],$DD725,82),0)</f>
        <v/>
      </c>
      <c r="CG725">
        <f>IFERROR(INDEX(PP_Grid[#Data],$DD725,83),0)</f>
        <v/>
      </c>
      <c r="CH725">
        <f>IFERROR(INDEX(PP_Grid[#Data],$DD725,84),0)</f>
        <v/>
      </c>
      <c r="CI725">
        <f>IFERROR(INDEX(PP_Grid[#Data],$DD725,85),0)</f>
        <v/>
      </c>
      <c r="CJ725">
        <f>IFERROR(INDEX(PP_Grid[#Data],$DD725,86),0)</f>
        <v/>
      </c>
      <c r="CK725">
        <f>IFERROR(INDEX(PP_Grid[#Data],$DD725,87),0)</f>
        <v/>
      </c>
      <c r="CL725">
        <f>IFERROR(INDEX(PP_Grid[#Data],$DD725,88),0)</f>
        <v/>
      </c>
      <c r="CM725">
        <f>IFERROR(INDEX(PP_Grid[#Data],$DD725,89),0)</f>
        <v/>
      </c>
      <c r="CN725">
        <f>IFERROR(INDEX(PP_Grid[#Data],$DD725,90),0)</f>
        <v/>
      </c>
      <c r="CO725">
        <f>IFERROR(INDEX(PP_Grid[#Data],$DD725,91),0)</f>
        <v/>
      </c>
      <c r="CP725">
        <f>IFERROR(INDEX(PP_Grid[#Data],$DD725,92),0)</f>
        <v/>
      </c>
      <c r="CQ725">
        <f>IFERROR(INDEX(PP_Grid[#Data],$DD725,93),0)</f>
        <v/>
      </c>
      <c r="CR725">
        <f>IFERROR(INDEX(PP_Grid[#Data],$DD725,94),0)</f>
        <v/>
      </c>
      <c r="CS725">
        <f>IFERROR(INDEX(PP_Grid[#Data],$DD725,95),0)</f>
        <v/>
      </c>
      <c r="CT725">
        <f>IFERROR(INDEX(PP_Grid[#Data],$DD725,96),0)</f>
        <v/>
      </c>
      <c r="CU725">
        <f>IFERROR(INDEX(PP_Grid[#Data],$DD725,97),0)</f>
        <v/>
      </c>
      <c r="CV725">
        <f>IFERROR(INDEX(PP_Grid[#Data],$DD725,98),0)</f>
        <v/>
      </c>
      <c r="CW725">
        <f>IFERROR(INDEX(PP_Grid[#Data],$DD725,99),0)</f>
        <v/>
      </c>
      <c r="CX725">
        <f>IFERROR(INDEX(PP_Grid[#Data],$DD725,100),0)</f>
        <v/>
      </c>
      <c r="CY725">
        <f>IFERROR(INDEX(PP_Grid[#Data],$DD725,101),0)</f>
        <v/>
      </c>
      <c r="CZ725">
        <f>IFERROR(INDEX(PP_Grid[#Data],$DD725,102),0)</f>
        <v/>
      </c>
      <c r="DA725">
        <f>IFERROR(INDEX(PP_Grid[#Data],$DD725,103),0)</f>
        <v/>
      </c>
      <c r="DB725">
        <f>IFERROR(INDEX(PP_Grid[#Data],$DD725,104),0)</f>
        <v/>
      </c>
      <c r="DC725">
        <f>IFERROR(INDEX(PP_Grid[#Data],$DD725,105),0)</f>
        <v/>
      </c>
      <c r="DD725" s="7">
        <f>IFERROR(MATCH($B725,PP_Grid[Intermediate],0),99999)</f>
        <v/>
      </c>
    </row>
    <row r="726">
      <c r="B726" t="inlineStr">
        <is>
          <t>使用量(kg)</t>
        </is>
      </c>
      <c r="C726">
        <f>SUMIFS(M_BOM[RM_Qty_Per_Batch],M_BOM[Intermediate],$B725,M_BOM[Part Name],$A710)</f>
        <v/>
      </c>
      <c r="D726">
        <f>$C726*D725</f>
        <v/>
      </c>
      <c r="E726">
        <f>$C726*E725</f>
        <v/>
      </c>
      <c r="F726">
        <f>$C726*F725</f>
        <v/>
      </c>
      <c r="G726">
        <f>$C726*G725</f>
        <v/>
      </c>
      <c r="H726">
        <f>$C726*H725</f>
        <v/>
      </c>
      <c r="I726">
        <f>$C726*I725</f>
        <v/>
      </c>
      <c r="J726">
        <f>$C726*J725</f>
        <v/>
      </c>
      <c r="K726">
        <f>$C726*K725</f>
        <v/>
      </c>
      <c r="L726">
        <f>$C726*L725</f>
        <v/>
      </c>
      <c r="M726">
        <f>$C726*M725</f>
        <v/>
      </c>
      <c r="N726">
        <f>$C726*N725</f>
        <v/>
      </c>
      <c r="O726">
        <f>$C726*O725</f>
        <v/>
      </c>
      <c r="P726">
        <f>$C726*P725</f>
        <v/>
      </c>
      <c r="Q726">
        <f>$C726*Q725</f>
        <v/>
      </c>
      <c r="R726">
        <f>$C726*R725</f>
        <v/>
      </c>
      <c r="S726">
        <f>$C726*S725</f>
        <v/>
      </c>
      <c r="T726">
        <f>$C726*T725</f>
        <v/>
      </c>
      <c r="U726">
        <f>$C726*U725</f>
        <v/>
      </c>
      <c r="V726">
        <f>$C726*V725</f>
        <v/>
      </c>
      <c r="W726">
        <f>$C726*W725</f>
        <v/>
      </c>
      <c r="X726">
        <f>$C726*X725</f>
        <v/>
      </c>
      <c r="Y726">
        <f>$C726*Y725</f>
        <v/>
      </c>
      <c r="Z726">
        <f>$C726*Z725</f>
        <v/>
      </c>
      <c r="AA726">
        <f>$C726*AA725</f>
        <v/>
      </c>
      <c r="AB726">
        <f>$C726*AB725</f>
        <v/>
      </c>
      <c r="AC726">
        <f>$C726*AC725</f>
        <v/>
      </c>
      <c r="AD726">
        <f>$C726*AD725</f>
        <v/>
      </c>
      <c r="AE726">
        <f>$C726*AE725</f>
        <v/>
      </c>
      <c r="AF726">
        <f>$C726*AF725</f>
        <v/>
      </c>
      <c r="AG726">
        <f>$C726*AG725</f>
        <v/>
      </c>
      <c r="AH726">
        <f>$C726*AH725</f>
        <v/>
      </c>
      <c r="AI726">
        <f>$C726*AI725</f>
        <v/>
      </c>
      <c r="AJ726">
        <f>$C726*AJ725</f>
        <v/>
      </c>
      <c r="AK726">
        <f>$C726*AK725</f>
        <v/>
      </c>
      <c r="AL726">
        <f>$C726*AL725</f>
        <v/>
      </c>
      <c r="AM726">
        <f>$C726*AM725</f>
        <v/>
      </c>
      <c r="AN726">
        <f>$C726*AN725</f>
        <v/>
      </c>
      <c r="AO726">
        <f>$C726*AO725</f>
        <v/>
      </c>
      <c r="AP726">
        <f>$C726*AP725</f>
        <v/>
      </c>
      <c r="AQ726">
        <f>$C726*AQ725</f>
        <v/>
      </c>
      <c r="AR726">
        <f>$C726*AR725</f>
        <v/>
      </c>
      <c r="AS726">
        <f>$C726*AS725</f>
        <v/>
      </c>
      <c r="AT726">
        <f>$C726*AT725</f>
        <v/>
      </c>
      <c r="AU726">
        <f>$C726*AU725</f>
        <v/>
      </c>
      <c r="AV726">
        <f>$C726*AV725</f>
        <v/>
      </c>
      <c r="AW726">
        <f>$C726*AW725</f>
        <v/>
      </c>
      <c r="AX726">
        <f>$C726*AX725</f>
        <v/>
      </c>
      <c r="AY726">
        <f>$C726*AY725</f>
        <v/>
      </c>
      <c r="AZ726">
        <f>$C726*AZ725</f>
        <v/>
      </c>
      <c r="BA726">
        <f>$C726*BA725</f>
        <v/>
      </c>
      <c r="BB726">
        <f>$C726*BB725</f>
        <v/>
      </c>
      <c r="BC726">
        <f>$C726*BC725</f>
        <v/>
      </c>
      <c r="BD726">
        <f>$C726*BD725</f>
        <v/>
      </c>
      <c r="BE726">
        <f>$C726*BE725</f>
        <v/>
      </c>
      <c r="BF726">
        <f>$C726*BF725</f>
        <v/>
      </c>
      <c r="BG726">
        <f>$C726*BG725</f>
        <v/>
      </c>
      <c r="BH726">
        <f>$C726*BH725</f>
        <v/>
      </c>
      <c r="BI726">
        <f>$C726*BI725</f>
        <v/>
      </c>
      <c r="BJ726">
        <f>$C726*BJ725</f>
        <v/>
      </c>
      <c r="BK726">
        <f>$C726*BK725</f>
        <v/>
      </c>
      <c r="BL726">
        <f>$C726*BL725</f>
        <v/>
      </c>
      <c r="BM726">
        <f>$C726*BM725</f>
        <v/>
      </c>
      <c r="BN726">
        <f>$C726*BN725</f>
        <v/>
      </c>
      <c r="BO726">
        <f>$C726*BO725</f>
        <v/>
      </c>
      <c r="BP726">
        <f>$C726*BP725</f>
        <v/>
      </c>
      <c r="BQ726">
        <f>$C726*BQ725</f>
        <v/>
      </c>
      <c r="BR726">
        <f>$C726*BR725</f>
        <v/>
      </c>
      <c r="BS726">
        <f>$C726*BS725</f>
        <v/>
      </c>
      <c r="BT726">
        <f>$C726*BT725</f>
        <v/>
      </c>
      <c r="BU726">
        <f>$C726*BU725</f>
        <v/>
      </c>
      <c r="BV726">
        <f>$C726*BV725</f>
        <v/>
      </c>
      <c r="BW726">
        <f>$C726*BW725</f>
        <v/>
      </c>
      <c r="BX726">
        <f>$C726*BX725</f>
        <v/>
      </c>
      <c r="BY726">
        <f>$C726*BY725</f>
        <v/>
      </c>
      <c r="BZ726">
        <f>$C726*BZ725</f>
        <v/>
      </c>
      <c r="CA726">
        <f>$C726*CA725</f>
        <v/>
      </c>
      <c r="CB726">
        <f>$C726*CB725</f>
        <v/>
      </c>
      <c r="CC726">
        <f>$C726*CC725</f>
        <v/>
      </c>
      <c r="CD726">
        <f>$C726*CD725</f>
        <v/>
      </c>
      <c r="CE726">
        <f>$C726*CE725</f>
        <v/>
      </c>
      <c r="CF726">
        <f>$C726*CF725</f>
        <v/>
      </c>
      <c r="CG726">
        <f>$C726*CG725</f>
        <v/>
      </c>
      <c r="CH726">
        <f>$C726*CH725</f>
        <v/>
      </c>
      <c r="CI726">
        <f>$C726*CI725</f>
        <v/>
      </c>
      <c r="CJ726">
        <f>$C726*CJ725</f>
        <v/>
      </c>
      <c r="CK726">
        <f>$C726*CK725</f>
        <v/>
      </c>
      <c r="CL726">
        <f>$C726*CL725</f>
        <v/>
      </c>
      <c r="CM726">
        <f>$C726*CM725</f>
        <v/>
      </c>
      <c r="CN726">
        <f>$C726*CN725</f>
        <v/>
      </c>
      <c r="CO726">
        <f>$C726*CO725</f>
        <v/>
      </c>
      <c r="CP726">
        <f>$C726*CP725</f>
        <v/>
      </c>
      <c r="CQ726">
        <f>$C726*CQ725</f>
        <v/>
      </c>
      <c r="CR726">
        <f>$C726*CR725</f>
        <v/>
      </c>
      <c r="CS726">
        <f>$C726*CS725</f>
        <v/>
      </c>
      <c r="CT726">
        <f>$C726*CT725</f>
        <v/>
      </c>
      <c r="CU726">
        <f>$C726*CU725</f>
        <v/>
      </c>
      <c r="CV726">
        <f>$C726*CV725</f>
        <v/>
      </c>
      <c r="CW726">
        <f>$C726*CW725</f>
        <v/>
      </c>
      <c r="CX726">
        <f>$C726*CX725</f>
        <v/>
      </c>
      <c r="CY726">
        <f>$C726*CY725</f>
        <v/>
      </c>
      <c r="CZ726">
        <f>$C726*CZ725</f>
        <v/>
      </c>
      <c r="DA726">
        <f>$C726*DA725</f>
        <v/>
      </c>
      <c r="DB726">
        <f>$C726*DB725</f>
        <v/>
      </c>
      <c r="DC726">
        <f>$C726*DC725</f>
        <v/>
      </c>
    </row>
    <row r="727">
      <c r="B727" t="inlineStr">
        <is>
          <t>VSP-602</t>
        </is>
      </c>
      <c r="C727" t="inlineStr">
        <is>
          <t>No. of batches</t>
        </is>
      </c>
      <c r="D727">
        <f>IFERROR(INDEX(PP_Grid[#Data],$DD727,2),0)</f>
        <v/>
      </c>
      <c r="E727">
        <f>IFERROR(INDEX(PP_Grid[#Data],$DD727,3),0)</f>
        <v/>
      </c>
      <c r="F727">
        <f>IFERROR(INDEX(PP_Grid[#Data],$DD727,4),0)</f>
        <v/>
      </c>
      <c r="G727">
        <f>IFERROR(INDEX(PP_Grid[#Data],$DD727,5),0)</f>
        <v/>
      </c>
      <c r="H727">
        <f>IFERROR(INDEX(PP_Grid[#Data],$DD727,6),0)</f>
        <v/>
      </c>
      <c r="I727">
        <f>IFERROR(INDEX(PP_Grid[#Data],$DD727,7),0)</f>
        <v/>
      </c>
      <c r="J727">
        <f>IFERROR(INDEX(PP_Grid[#Data],$DD727,8),0)</f>
        <v/>
      </c>
      <c r="K727">
        <f>IFERROR(INDEX(PP_Grid[#Data],$DD727,9),0)</f>
        <v/>
      </c>
      <c r="L727">
        <f>IFERROR(INDEX(PP_Grid[#Data],$DD727,10),0)</f>
        <v/>
      </c>
      <c r="M727">
        <f>IFERROR(INDEX(PP_Grid[#Data],$DD727,11),0)</f>
        <v/>
      </c>
      <c r="N727">
        <f>IFERROR(INDEX(PP_Grid[#Data],$DD727,12),0)</f>
        <v/>
      </c>
      <c r="O727">
        <f>IFERROR(INDEX(PP_Grid[#Data],$DD727,13),0)</f>
        <v/>
      </c>
      <c r="P727">
        <f>IFERROR(INDEX(PP_Grid[#Data],$DD727,14),0)</f>
        <v/>
      </c>
      <c r="Q727">
        <f>IFERROR(INDEX(PP_Grid[#Data],$DD727,15),0)</f>
        <v/>
      </c>
      <c r="R727">
        <f>IFERROR(INDEX(PP_Grid[#Data],$DD727,16),0)</f>
        <v/>
      </c>
      <c r="S727">
        <f>IFERROR(INDEX(PP_Grid[#Data],$DD727,17),0)</f>
        <v/>
      </c>
      <c r="T727">
        <f>IFERROR(INDEX(PP_Grid[#Data],$DD727,18),0)</f>
        <v/>
      </c>
      <c r="U727">
        <f>IFERROR(INDEX(PP_Grid[#Data],$DD727,19),0)</f>
        <v/>
      </c>
      <c r="V727">
        <f>IFERROR(INDEX(PP_Grid[#Data],$DD727,20),0)</f>
        <v/>
      </c>
      <c r="W727">
        <f>IFERROR(INDEX(PP_Grid[#Data],$DD727,21),0)</f>
        <v/>
      </c>
      <c r="X727">
        <f>IFERROR(INDEX(PP_Grid[#Data],$DD727,22),0)</f>
        <v/>
      </c>
      <c r="Y727">
        <f>IFERROR(INDEX(PP_Grid[#Data],$DD727,23),0)</f>
        <v/>
      </c>
      <c r="Z727">
        <f>IFERROR(INDEX(PP_Grid[#Data],$DD727,24),0)</f>
        <v/>
      </c>
      <c r="AA727">
        <f>IFERROR(INDEX(PP_Grid[#Data],$DD727,25),0)</f>
        <v/>
      </c>
      <c r="AB727">
        <f>IFERROR(INDEX(PP_Grid[#Data],$DD727,26),0)</f>
        <v/>
      </c>
      <c r="AC727">
        <f>IFERROR(INDEX(PP_Grid[#Data],$DD727,27),0)</f>
        <v/>
      </c>
      <c r="AD727">
        <f>IFERROR(INDEX(PP_Grid[#Data],$DD727,28),0)</f>
        <v/>
      </c>
      <c r="AE727">
        <f>IFERROR(INDEX(PP_Grid[#Data],$DD727,29),0)</f>
        <v/>
      </c>
      <c r="AF727">
        <f>IFERROR(INDEX(PP_Grid[#Data],$DD727,30),0)</f>
        <v/>
      </c>
      <c r="AG727">
        <f>IFERROR(INDEX(PP_Grid[#Data],$DD727,31),0)</f>
        <v/>
      </c>
      <c r="AH727">
        <f>IFERROR(INDEX(PP_Grid[#Data],$DD727,32),0)</f>
        <v/>
      </c>
      <c r="AI727">
        <f>IFERROR(INDEX(PP_Grid[#Data],$DD727,33),0)</f>
        <v/>
      </c>
      <c r="AJ727">
        <f>IFERROR(INDEX(PP_Grid[#Data],$DD727,34),0)</f>
        <v/>
      </c>
      <c r="AK727">
        <f>IFERROR(INDEX(PP_Grid[#Data],$DD727,35),0)</f>
        <v/>
      </c>
      <c r="AL727">
        <f>IFERROR(INDEX(PP_Grid[#Data],$DD727,36),0)</f>
        <v/>
      </c>
      <c r="AM727">
        <f>IFERROR(INDEX(PP_Grid[#Data],$DD727,37),0)</f>
        <v/>
      </c>
      <c r="AN727">
        <f>IFERROR(INDEX(PP_Grid[#Data],$DD727,38),0)</f>
        <v/>
      </c>
      <c r="AO727">
        <f>IFERROR(INDEX(PP_Grid[#Data],$DD727,39),0)</f>
        <v/>
      </c>
      <c r="AP727">
        <f>IFERROR(INDEX(PP_Grid[#Data],$DD727,40),0)</f>
        <v/>
      </c>
      <c r="AQ727">
        <f>IFERROR(INDEX(PP_Grid[#Data],$DD727,41),0)</f>
        <v/>
      </c>
      <c r="AR727">
        <f>IFERROR(INDEX(PP_Grid[#Data],$DD727,42),0)</f>
        <v/>
      </c>
      <c r="AS727">
        <f>IFERROR(INDEX(PP_Grid[#Data],$DD727,43),0)</f>
        <v/>
      </c>
      <c r="AT727">
        <f>IFERROR(INDEX(PP_Grid[#Data],$DD727,44),0)</f>
        <v/>
      </c>
      <c r="AU727">
        <f>IFERROR(INDEX(PP_Grid[#Data],$DD727,45),0)</f>
        <v/>
      </c>
      <c r="AV727">
        <f>IFERROR(INDEX(PP_Grid[#Data],$DD727,46),0)</f>
        <v/>
      </c>
      <c r="AW727">
        <f>IFERROR(INDEX(PP_Grid[#Data],$DD727,47),0)</f>
        <v/>
      </c>
      <c r="AX727">
        <f>IFERROR(INDEX(PP_Grid[#Data],$DD727,48),0)</f>
        <v/>
      </c>
      <c r="AY727">
        <f>IFERROR(INDEX(PP_Grid[#Data],$DD727,49),0)</f>
        <v/>
      </c>
      <c r="AZ727">
        <f>IFERROR(INDEX(PP_Grid[#Data],$DD727,50),0)</f>
        <v/>
      </c>
      <c r="BA727">
        <f>IFERROR(INDEX(PP_Grid[#Data],$DD727,51),0)</f>
        <v/>
      </c>
      <c r="BB727">
        <f>IFERROR(INDEX(PP_Grid[#Data],$DD727,52),0)</f>
        <v/>
      </c>
      <c r="BC727">
        <f>IFERROR(INDEX(PP_Grid[#Data],$DD727,53),0)</f>
        <v/>
      </c>
      <c r="BD727">
        <f>IFERROR(INDEX(PP_Grid[#Data],$DD727,54),0)</f>
        <v/>
      </c>
      <c r="BE727">
        <f>IFERROR(INDEX(PP_Grid[#Data],$DD727,55),0)</f>
        <v/>
      </c>
      <c r="BF727">
        <f>IFERROR(INDEX(PP_Grid[#Data],$DD727,56),0)</f>
        <v/>
      </c>
      <c r="BG727">
        <f>IFERROR(INDEX(PP_Grid[#Data],$DD727,57),0)</f>
        <v/>
      </c>
      <c r="BH727">
        <f>IFERROR(INDEX(PP_Grid[#Data],$DD727,58),0)</f>
        <v/>
      </c>
      <c r="BI727">
        <f>IFERROR(INDEX(PP_Grid[#Data],$DD727,59),0)</f>
        <v/>
      </c>
      <c r="BJ727">
        <f>IFERROR(INDEX(PP_Grid[#Data],$DD727,60),0)</f>
        <v/>
      </c>
      <c r="BK727">
        <f>IFERROR(INDEX(PP_Grid[#Data],$DD727,61),0)</f>
        <v/>
      </c>
      <c r="BL727">
        <f>IFERROR(INDEX(PP_Grid[#Data],$DD727,62),0)</f>
        <v/>
      </c>
      <c r="BM727">
        <f>IFERROR(INDEX(PP_Grid[#Data],$DD727,63),0)</f>
        <v/>
      </c>
      <c r="BN727">
        <f>IFERROR(INDEX(PP_Grid[#Data],$DD727,64),0)</f>
        <v/>
      </c>
      <c r="BO727">
        <f>IFERROR(INDEX(PP_Grid[#Data],$DD727,65),0)</f>
        <v/>
      </c>
      <c r="BP727">
        <f>IFERROR(INDEX(PP_Grid[#Data],$DD727,66),0)</f>
        <v/>
      </c>
      <c r="BQ727">
        <f>IFERROR(INDEX(PP_Grid[#Data],$DD727,67),0)</f>
        <v/>
      </c>
      <c r="BR727">
        <f>IFERROR(INDEX(PP_Grid[#Data],$DD727,68),0)</f>
        <v/>
      </c>
      <c r="BS727">
        <f>IFERROR(INDEX(PP_Grid[#Data],$DD727,69),0)</f>
        <v/>
      </c>
      <c r="BT727">
        <f>IFERROR(INDEX(PP_Grid[#Data],$DD727,70),0)</f>
        <v/>
      </c>
      <c r="BU727">
        <f>IFERROR(INDEX(PP_Grid[#Data],$DD727,71),0)</f>
        <v/>
      </c>
      <c r="BV727">
        <f>IFERROR(INDEX(PP_Grid[#Data],$DD727,72),0)</f>
        <v/>
      </c>
      <c r="BW727">
        <f>IFERROR(INDEX(PP_Grid[#Data],$DD727,73),0)</f>
        <v/>
      </c>
      <c r="BX727">
        <f>IFERROR(INDEX(PP_Grid[#Data],$DD727,74),0)</f>
        <v/>
      </c>
      <c r="BY727">
        <f>IFERROR(INDEX(PP_Grid[#Data],$DD727,75),0)</f>
        <v/>
      </c>
      <c r="BZ727">
        <f>IFERROR(INDEX(PP_Grid[#Data],$DD727,76),0)</f>
        <v/>
      </c>
      <c r="CA727">
        <f>IFERROR(INDEX(PP_Grid[#Data],$DD727,77),0)</f>
        <v/>
      </c>
      <c r="CB727">
        <f>IFERROR(INDEX(PP_Grid[#Data],$DD727,78),0)</f>
        <v/>
      </c>
      <c r="CC727">
        <f>IFERROR(INDEX(PP_Grid[#Data],$DD727,79),0)</f>
        <v/>
      </c>
      <c r="CD727">
        <f>IFERROR(INDEX(PP_Grid[#Data],$DD727,80),0)</f>
        <v/>
      </c>
      <c r="CE727">
        <f>IFERROR(INDEX(PP_Grid[#Data],$DD727,81),0)</f>
        <v/>
      </c>
      <c r="CF727">
        <f>IFERROR(INDEX(PP_Grid[#Data],$DD727,82),0)</f>
        <v/>
      </c>
      <c r="CG727">
        <f>IFERROR(INDEX(PP_Grid[#Data],$DD727,83),0)</f>
        <v/>
      </c>
      <c r="CH727">
        <f>IFERROR(INDEX(PP_Grid[#Data],$DD727,84),0)</f>
        <v/>
      </c>
      <c r="CI727">
        <f>IFERROR(INDEX(PP_Grid[#Data],$DD727,85),0)</f>
        <v/>
      </c>
      <c r="CJ727">
        <f>IFERROR(INDEX(PP_Grid[#Data],$DD727,86),0)</f>
        <v/>
      </c>
      <c r="CK727">
        <f>IFERROR(INDEX(PP_Grid[#Data],$DD727,87),0)</f>
        <v/>
      </c>
      <c r="CL727">
        <f>IFERROR(INDEX(PP_Grid[#Data],$DD727,88),0)</f>
        <v/>
      </c>
      <c r="CM727">
        <f>IFERROR(INDEX(PP_Grid[#Data],$DD727,89),0)</f>
        <v/>
      </c>
      <c r="CN727">
        <f>IFERROR(INDEX(PP_Grid[#Data],$DD727,90),0)</f>
        <v/>
      </c>
      <c r="CO727">
        <f>IFERROR(INDEX(PP_Grid[#Data],$DD727,91),0)</f>
        <v/>
      </c>
      <c r="CP727">
        <f>IFERROR(INDEX(PP_Grid[#Data],$DD727,92),0)</f>
        <v/>
      </c>
      <c r="CQ727">
        <f>IFERROR(INDEX(PP_Grid[#Data],$DD727,93),0)</f>
        <v/>
      </c>
      <c r="CR727">
        <f>IFERROR(INDEX(PP_Grid[#Data],$DD727,94),0)</f>
        <v/>
      </c>
      <c r="CS727">
        <f>IFERROR(INDEX(PP_Grid[#Data],$DD727,95),0)</f>
        <v/>
      </c>
      <c r="CT727">
        <f>IFERROR(INDEX(PP_Grid[#Data],$DD727,96),0)</f>
        <v/>
      </c>
      <c r="CU727">
        <f>IFERROR(INDEX(PP_Grid[#Data],$DD727,97),0)</f>
        <v/>
      </c>
      <c r="CV727">
        <f>IFERROR(INDEX(PP_Grid[#Data],$DD727,98),0)</f>
        <v/>
      </c>
      <c r="CW727">
        <f>IFERROR(INDEX(PP_Grid[#Data],$DD727,99),0)</f>
        <v/>
      </c>
      <c r="CX727">
        <f>IFERROR(INDEX(PP_Grid[#Data],$DD727,100),0)</f>
        <v/>
      </c>
      <c r="CY727">
        <f>IFERROR(INDEX(PP_Grid[#Data],$DD727,101),0)</f>
        <v/>
      </c>
      <c r="CZ727">
        <f>IFERROR(INDEX(PP_Grid[#Data],$DD727,102),0)</f>
        <v/>
      </c>
      <c r="DA727">
        <f>IFERROR(INDEX(PP_Grid[#Data],$DD727,103),0)</f>
        <v/>
      </c>
      <c r="DB727">
        <f>IFERROR(INDEX(PP_Grid[#Data],$DD727,104),0)</f>
        <v/>
      </c>
      <c r="DC727">
        <f>IFERROR(INDEX(PP_Grid[#Data],$DD727,105),0)</f>
        <v/>
      </c>
      <c r="DD727" s="7">
        <f>IFERROR(MATCH($B727,PP_Grid[Intermediate],0),99999)</f>
        <v/>
      </c>
    </row>
    <row r="728">
      <c r="B728" t="inlineStr">
        <is>
          <t>使用量(kg)</t>
        </is>
      </c>
      <c r="C728">
        <f>SUMIFS(M_BOM[RM_Qty_Per_Batch],M_BOM[Intermediate],$B727,M_BOM[Part Name],$A710)</f>
        <v/>
      </c>
      <c r="D728">
        <f>$C728*D727</f>
        <v/>
      </c>
      <c r="E728">
        <f>$C728*E727</f>
        <v/>
      </c>
      <c r="F728">
        <f>$C728*F727</f>
        <v/>
      </c>
      <c r="G728">
        <f>$C728*G727</f>
        <v/>
      </c>
      <c r="H728">
        <f>$C728*H727</f>
        <v/>
      </c>
      <c r="I728">
        <f>$C728*I727</f>
        <v/>
      </c>
      <c r="J728">
        <f>$C728*J727</f>
        <v/>
      </c>
      <c r="K728">
        <f>$C728*K727</f>
        <v/>
      </c>
      <c r="L728">
        <f>$C728*L727</f>
        <v/>
      </c>
      <c r="M728">
        <f>$C728*M727</f>
        <v/>
      </c>
      <c r="N728">
        <f>$C728*N727</f>
        <v/>
      </c>
      <c r="O728">
        <f>$C728*O727</f>
        <v/>
      </c>
      <c r="P728">
        <f>$C728*P727</f>
        <v/>
      </c>
      <c r="Q728">
        <f>$C728*Q727</f>
        <v/>
      </c>
      <c r="R728">
        <f>$C728*R727</f>
        <v/>
      </c>
      <c r="S728">
        <f>$C728*S727</f>
        <v/>
      </c>
      <c r="T728">
        <f>$C728*T727</f>
        <v/>
      </c>
      <c r="U728">
        <f>$C728*U727</f>
        <v/>
      </c>
      <c r="V728">
        <f>$C728*V727</f>
        <v/>
      </c>
      <c r="W728">
        <f>$C728*W727</f>
        <v/>
      </c>
      <c r="X728">
        <f>$C728*X727</f>
        <v/>
      </c>
      <c r="Y728">
        <f>$C728*Y727</f>
        <v/>
      </c>
      <c r="Z728">
        <f>$C728*Z727</f>
        <v/>
      </c>
      <c r="AA728">
        <f>$C728*AA727</f>
        <v/>
      </c>
      <c r="AB728">
        <f>$C728*AB727</f>
        <v/>
      </c>
      <c r="AC728">
        <f>$C728*AC727</f>
        <v/>
      </c>
      <c r="AD728">
        <f>$C728*AD727</f>
        <v/>
      </c>
      <c r="AE728">
        <f>$C728*AE727</f>
        <v/>
      </c>
      <c r="AF728">
        <f>$C728*AF727</f>
        <v/>
      </c>
      <c r="AG728">
        <f>$C728*AG727</f>
        <v/>
      </c>
      <c r="AH728">
        <f>$C728*AH727</f>
        <v/>
      </c>
      <c r="AI728">
        <f>$C728*AI727</f>
        <v/>
      </c>
      <c r="AJ728">
        <f>$C728*AJ727</f>
        <v/>
      </c>
      <c r="AK728">
        <f>$C728*AK727</f>
        <v/>
      </c>
      <c r="AL728">
        <f>$C728*AL727</f>
        <v/>
      </c>
      <c r="AM728">
        <f>$C728*AM727</f>
        <v/>
      </c>
      <c r="AN728">
        <f>$C728*AN727</f>
        <v/>
      </c>
      <c r="AO728">
        <f>$C728*AO727</f>
        <v/>
      </c>
      <c r="AP728">
        <f>$C728*AP727</f>
        <v/>
      </c>
      <c r="AQ728">
        <f>$C728*AQ727</f>
        <v/>
      </c>
      <c r="AR728">
        <f>$C728*AR727</f>
        <v/>
      </c>
      <c r="AS728">
        <f>$C728*AS727</f>
        <v/>
      </c>
      <c r="AT728">
        <f>$C728*AT727</f>
        <v/>
      </c>
      <c r="AU728">
        <f>$C728*AU727</f>
        <v/>
      </c>
      <c r="AV728">
        <f>$C728*AV727</f>
        <v/>
      </c>
      <c r="AW728">
        <f>$C728*AW727</f>
        <v/>
      </c>
      <c r="AX728">
        <f>$C728*AX727</f>
        <v/>
      </c>
      <c r="AY728">
        <f>$C728*AY727</f>
        <v/>
      </c>
      <c r="AZ728">
        <f>$C728*AZ727</f>
        <v/>
      </c>
      <c r="BA728">
        <f>$C728*BA727</f>
        <v/>
      </c>
      <c r="BB728">
        <f>$C728*BB727</f>
        <v/>
      </c>
      <c r="BC728">
        <f>$C728*BC727</f>
        <v/>
      </c>
      <c r="BD728">
        <f>$C728*BD727</f>
        <v/>
      </c>
      <c r="BE728">
        <f>$C728*BE727</f>
        <v/>
      </c>
      <c r="BF728">
        <f>$C728*BF727</f>
        <v/>
      </c>
      <c r="BG728">
        <f>$C728*BG727</f>
        <v/>
      </c>
      <c r="BH728">
        <f>$C728*BH727</f>
        <v/>
      </c>
      <c r="BI728">
        <f>$C728*BI727</f>
        <v/>
      </c>
      <c r="BJ728">
        <f>$C728*BJ727</f>
        <v/>
      </c>
      <c r="BK728">
        <f>$C728*BK727</f>
        <v/>
      </c>
      <c r="BL728">
        <f>$C728*BL727</f>
        <v/>
      </c>
      <c r="BM728">
        <f>$C728*BM727</f>
        <v/>
      </c>
      <c r="BN728">
        <f>$C728*BN727</f>
        <v/>
      </c>
      <c r="BO728">
        <f>$C728*BO727</f>
        <v/>
      </c>
      <c r="BP728">
        <f>$C728*BP727</f>
        <v/>
      </c>
      <c r="BQ728">
        <f>$C728*BQ727</f>
        <v/>
      </c>
      <c r="BR728">
        <f>$C728*BR727</f>
        <v/>
      </c>
      <c r="BS728">
        <f>$C728*BS727</f>
        <v/>
      </c>
      <c r="BT728">
        <f>$C728*BT727</f>
        <v/>
      </c>
      <c r="BU728">
        <f>$C728*BU727</f>
        <v/>
      </c>
      <c r="BV728">
        <f>$C728*BV727</f>
        <v/>
      </c>
      <c r="BW728">
        <f>$C728*BW727</f>
        <v/>
      </c>
      <c r="BX728">
        <f>$C728*BX727</f>
        <v/>
      </c>
      <c r="BY728">
        <f>$C728*BY727</f>
        <v/>
      </c>
      <c r="BZ728">
        <f>$C728*BZ727</f>
        <v/>
      </c>
      <c r="CA728">
        <f>$C728*CA727</f>
        <v/>
      </c>
      <c r="CB728">
        <f>$C728*CB727</f>
        <v/>
      </c>
      <c r="CC728">
        <f>$C728*CC727</f>
        <v/>
      </c>
      <c r="CD728">
        <f>$C728*CD727</f>
        <v/>
      </c>
      <c r="CE728">
        <f>$C728*CE727</f>
        <v/>
      </c>
      <c r="CF728">
        <f>$C728*CF727</f>
        <v/>
      </c>
      <c r="CG728">
        <f>$C728*CG727</f>
        <v/>
      </c>
      <c r="CH728">
        <f>$C728*CH727</f>
        <v/>
      </c>
      <c r="CI728">
        <f>$C728*CI727</f>
        <v/>
      </c>
      <c r="CJ728">
        <f>$C728*CJ727</f>
        <v/>
      </c>
      <c r="CK728">
        <f>$C728*CK727</f>
        <v/>
      </c>
      <c r="CL728">
        <f>$C728*CL727</f>
        <v/>
      </c>
      <c r="CM728">
        <f>$C728*CM727</f>
        <v/>
      </c>
      <c r="CN728">
        <f>$C728*CN727</f>
        <v/>
      </c>
      <c r="CO728">
        <f>$C728*CO727</f>
        <v/>
      </c>
      <c r="CP728">
        <f>$C728*CP727</f>
        <v/>
      </c>
      <c r="CQ728">
        <f>$C728*CQ727</f>
        <v/>
      </c>
      <c r="CR728">
        <f>$C728*CR727</f>
        <v/>
      </c>
      <c r="CS728">
        <f>$C728*CS727</f>
        <v/>
      </c>
      <c r="CT728">
        <f>$C728*CT727</f>
        <v/>
      </c>
      <c r="CU728">
        <f>$C728*CU727</f>
        <v/>
      </c>
      <c r="CV728">
        <f>$C728*CV727</f>
        <v/>
      </c>
      <c r="CW728">
        <f>$C728*CW727</f>
        <v/>
      </c>
      <c r="CX728">
        <f>$C728*CX727</f>
        <v/>
      </c>
      <c r="CY728">
        <f>$C728*CY727</f>
        <v/>
      </c>
      <c r="CZ728">
        <f>$C728*CZ727</f>
        <v/>
      </c>
      <c r="DA728">
        <f>$C728*DA727</f>
        <v/>
      </c>
      <c r="DB728">
        <f>$C728*DB727</f>
        <v/>
      </c>
      <c r="DC728">
        <f>$C728*DC727</f>
        <v/>
      </c>
    </row>
    <row r="729">
      <c r="B729" t="inlineStr">
        <is>
          <t>VSP-605</t>
        </is>
      </c>
      <c r="C729" t="inlineStr">
        <is>
          <t>No. of batches</t>
        </is>
      </c>
      <c r="D729">
        <f>IFERROR(INDEX(PP_Grid[#Data],$DD729,2),0)</f>
        <v/>
      </c>
      <c r="E729">
        <f>IFERROR(INDEX(PP_Grid[#Data],$DD729,3),0)</f>
        <v/>
      </c>
      <c r="F729">
        <f>IFERROR(INDEX(PP_Grid[#Data],$DD729,4),0)</f>
        <v/>
      </c>
      <c r="G729">
        <f>IFERROR(INDEX(PP_Grid[#Data],$DD729,5),0)</f>
        <v/>
      </c>
      <c r="H729">
        <f>IFERROR(INDEX(PP_Grid[#Data],$DD729,6),0)</f>
        <v/>
      </c>
      <c r="I729">
        <f>IFERROR(INDEX(PP_Grid[#Data],$DD729,7),0)</f>
        <v/>
      </c>
      <c r="J729">
        <f>IFERROR(INDEX(PP_Grid[#Data],$DD729,8),0)</f>
        <v/>
      </c>
      <c r="K729">
        <f>IFERROR(INDEX(PP_Grid[#Data],$DD729,9),0)</f>
        <v/>
      </c>
      <c r="L729">
        <f>IFERROR(INDEX(PP_Grid[#Data],$DD729,10),0)</f>
        <v/>
      </c>
      <c r="M729">
        <f>IFERROR(INDEX(PP_Grid[#Data],$DD729,11),0)</f>
        <v/>
      </c>
      <c r="N729">
        <f>IFERROR(INDEX(PP_Grid[#Data],$DD729,12),0)</f>
        <v/>
      </c>
      <c r="O729">
        <f>IFERROR(INDEX(PP_Grid[#Data],$DD729,13),0)</f>
        <v/>
      </c>
      <c r="P729">
        <f>IFERROR(INDEX(PP_Grid[#Data],$DD729,14),0)</f>
        <v/>
      </c>
      <c r="Q729">
        <f>IFERROR(INDEX(PP_Grid[#Data],$DD729,15),0)</f>
        <v/>
      </c>
      <c r="R729">
        <f>IFERROR(INDEX(PP_Grid[#Data],$DD729,16),0)</f>
        <v/>
      </c>
      <c r="S729">
        <f>IFERROR(INDEX(PP_Grid[#Data],$DD729,17),0)</f>
        <v/>
      </c>
      <c r="T729">
        <f>IFERROR(INDEX(PP_Grid[#Data],$DD729,18),0)</f>
        <v/>
      </c>
      <c r="U729">
        <f>IFERROR(INDEX(PP_Grid[#Data],$DD729,19),0)</f>
        <v/>
      </c>
      <c r="V729">
        <f>IFERROR(INDEX(PP_Grid[#Data],$DD729,20),0)</f>
        <v/>
      </c>
      <c r="W729">
        <f>IFERROR(INDEX(PP_Grid[#Data],$DD729,21),0)</f>
        <v/>
      </c>
      <c r="X729">
        <f>IFERROR(INDEX(PP_Grid[#Data],$DD729,22),0)</f>
        <v/>
      </c>
      <c r="Y729">
        <f>IFERROR(INDEX(PP_Grid[#Data],$DD729,23),0)</f>
        <v/>
      </c>
      <c r="Z729">
        <f>IFERROR(INDEX(PP_Grid[#Data],$DD729,24),0)</f>
        <v/>
      </c>
      <c r="AA729">
        <f>IFERROR(INDEX(PP_Grid[#Data],$DD729,25),0)</f>
        <v/>
      </c>
      <c r="AB729">
        <f>IFERROR(INDEX(PP_Grid[#Data],$DD729,26),0)</f>
        <v/>
      </c>
      <c r="AC729">
        <f>IFERROR(INDEX(PP_Grid[#Data],$DD729,27),0)</f>
        <v/>
      </c>
      <c r="AD729">
        <f>IFERROR(INDEX(PP_Grid[#Data],$DD729,28),0)</f>
        <v/>
      </c>
      <c r="AE729">
        <f>IFERROR(INDEX(PP_Grid[#Data],$DD729,29),0)</f>
        <v/>
      </c>
      <c r="AF729">
        <f>IFERROR(INDEX(PP_Grid[#Data],$DD729,30),0)</f>
        <v/>
      </c>
      <c r="AG729">
        <f>IFERROR(INDEX(PP_Grid[#Data],$DD729,31),0)</f>
        <v/>
      </c>
      <c r="AH729">
        <f>IFERROR(INDEX(PP_Grid[#Data],$DD729,32),0)</f>
        <v/>
      </c>
      <c r="AI729">
        <f>IFERROR(INDEX(PP_Grid[#Data],$DD729,33),0)</f>
        <v/>
      </c>
      <c r="AJ729">
        <f>IFERROR(INDEX(PP_Grid[#Data],$DD729,34),0)</f>
        <v/>
      </c>
      <c r="AK729">
        <f>IFERROR(INDEX(PP_Grid[#Data],$DD729,35),0)</f>
        <v/>
      </c>
      <c r="AL729">
        <f>IFERROR(INDEX(PP_Grid[#Data],$DD729,36),0)</f>
        <v/>
      </c>
      <c r="AM729">
        <f>IFERROR(INDEX(PP_Grid[#Data],$DD729,37),0)</f>
        <v/>
      </c>
      <c r="AN729">
        <f>IFERROR(INDEX(PP_Grid[#Data],$DD729,38),0)</f>
        <v/>
      </c>
      <c r="AO729">
        <f>IFERROR(INDEX(PP_Grid[#Data],$DD729,39),0)</f>
        <v/>
      </c>
      <c r="AP729">
        <f>IFERROR(INDEX(PP_Grid[#Data],$DD729,40),0)</f>
        <v/>
      </c>
      <c r="AQ729">
        <f>IFERROR(INDEX(PP_Grid[#Data],$DD729,41),0)</f>
        <v/>
      </c>
      <c r="AR729">
        <f>IFERROR(INDEX(PP_Grid[#Data],$DD729,42),0)</f>
        <v/>
      </c>
      <c r="AS729">
        <f>IFERROR(INDEX(PP_Grid[#Data],$DD729,43),0)</f>
        <v/>
      </c>
      <c r="AT729">
        <f>IFERROR(INDEX(PP_Grid[#Data],$DD729,44),0)</f>
        <v/>
      </c>
      <c r="AU729">
        <f>IFERROR(INDEX(PP_Grid[#Data],$DD729,45),0)</f>
        <v/>
      </c>
      <c r="AV729">
        <f>IFERROR(INDEX(PP_Grid[#Data],$DD729,46),0)</f>
        <v/>
      </c>
      <c r="AW729">
        <f>IFERROR(INDEX(PP_Grid[#Data],$DD729,47),0)</f>
        <v/>
      </c>
      <c r="AX729">
        <f>IFERROR(INDEX(PP_Grid[#Data],$DD729,48),0)</f>
        <v/>
      </c>
      <c r="AY729">
        <f>IFERROR(INDEX(PP_Grid[#Data],$DD729,49),0)</f>
        <v/>
      </c>
      <c r="AZ729">
        <f>IFERROR(INDEX(PP_Grid[#Data],$DD729,50),0)</f>
        <v/>
      </c>
      <c r="BA729">
        <f>IFERROR(INDEX(PP_Grid[#Data],$DD729,51),0)</f>
        <v/>
      </c>
      <c r="BB729">
        <f>IFERROR(INDEX(PP_Grid[#Data],$DD729,52),0)</f>
        <v/>
      </c>
      <c r="BC729">
        <f>IFERROR(INDEX(PP_Grid[#Data],$DD729,53),0)</f>
        <v/>
      </c>
      <c r="BD729">
        <f>IFERROR(INDEX(PP_Grid[#Data],$DD729,54),0)</f>
        <v/>
      </c>
      <c r="BE729">
        <f>IFERROR(INDEX(PP_Grid[#Data],$DD729,55),0)</f>
        <v/>
      </c>
      <c r="BF729">
        <f>IFERROR(INDEX(PP_Grid[#Data],$DD729,56),0)</f>
        <v/>
      </c>
      <c r="BG729">
        <f>IFERROR(INDEX(PP_Grid[#Data],$DD729,57),0)</f>
        <v/>
      </c>
      <c r="BH729">
        <f>IFERROR(INDEX(PP_Grid[#Data],$DD729,58),0)</f>
        <v/>
      </c>
      <c r="BI729">
        <f>IFERROR(INDEX(PP_Grid[#Data],$DD729,59),0)</f>
        <v/>
      </c>
      <c r="BJ729">
        <f>IFERROR(INDEX(PP_Grid[#Data],$DD729,60),0)</f>
        <v/>
      </c>
      <c r="BK729">
        <f>IFERROR(INDEX(PP_Grid[#Data],$DD729,61),0)</f>
        <v/>
      </c>
      <c r="BL729">
        <f>IFERROR(INDEX(PP_Grid[#Data],$DD729,62),0)</f>
        <v/>
      </c>
      <c r="BM729">
        <f>IFERROR(INDEX(PP_Grid[#Data],$DD729,63),0)</f>
        <v/>
      </c>
      <c r="BN729">
        <f>IFERROR(INDEX(PP_Grid[#Data],$DD729,64),0)</f>
        <v/>
      </c>
      <c r="BO729">
        <f>IFERROR(INDEX(PP_Grid[#Data],$DD729,65),0)</f>
        <v/>
      </c>
      <c r="BP729">
        <f>IFERROR(INDEX(PP_Grid[#Data],$DD729,66),0)</f>
        <v/>
      </c>
      <c r="BQ729">
        <f>IFERROR(INDEX(PP_Grid[#Data],$DD729,67),0)</f>
        <v/>
      </c>
      <c r="BR729">
        <f>IFERROR(INDEX(PP_Grid[#Data],$DD729,68),0)</f>
        <v/>
      </c>
      <c r="BS729">
        <f>IFERROR(INDEX(PP_Grid[#Data],$DD729,69),0)</f>
        <v/>
      </c>
      <c r="BT729">
        <f>IFERROR(INDEX(PP_Grid[#Data],$DD729,70),0)</f>
        <v/>
      </c>
      <c r="BU729">
        <f>IFERROR(INDEX(PP_Grid[#Data],$DD729,71),0)</f>
        <v/>
      </c>
      <c r="BV729">
        <f>IFERROR(INDEX(PP_Grid[#Data],$DD729,72),0)</f>
        <v/>
      </c>
      <c r="BW729">
        <f>IFERROR(INDEX(PP_Grid[#Data],$DD729,73),0)</f>
        <v/>
      </c>
      <c r="BX729">
        <f>IFERROR(INDEX(PP_Grid[#Data],$DD729,74),0)</f>
        <v/>
      </c>
      <c r="BY729">
        <f>IFERROR(INDEX(PP_Grid[#Data],$DD729,75),0)</f>
        <v/>
      </c>
      <c r="BZ729">
        <f>IFERROR(INDEX(PP_Grid[#Data],$DD729,76),0)</f>
        <v/>
      </c>
      <c r="CA729">
        <f>IFERROR(INDEX(PP_Grid[#Data],$DD729,77),0)</f>
        <v/>
      </c>
      <c r="CB729">
        <f>IFERROR(INDEX(PP_Grid[#Data],$DD729,78),0)</f>
        <v/>
      </c>
      <c r="CC729">
        <f>IFERROR(INDEX(PP_Grid[#Data],$DD729,79),0)</f>
        <v/>
      </c>
      <c r="CD729">
        <f>IFERROR(INDEX(PP_Grid[#Data],$DD729,80),0)</f>
        <v/>
      </c>
      <c r="CE729">
        <f>IFERROR(INDEX(PP_Grid[#Data],$DD729,81),0)</f>
        <v/>
      </c>
      <c r="CF729">
        <f>IFERROR(INDEX(PP_Grid[#Data],$DD729,82),0)</f>
        <v/>
      </c>
      <c r="CG729">
        <f>IFERROR(INDEX(PP_Grid[#Data],$DD729,83),0)</f>
        <v/>
      </c>
      <c r="CH729">
        <f>IFERROR(INDEX(PP_Grid[#Data],$DD729,84),0)</f>
        <v/>
      </c>
      <c r="CI729">
        <f>IFERROR(INDEX(PP_Grid[#Data],$DD729,85),0)</f>
        <v/>
      </c>
      <c r="CJ729">
        <f>IFERROR(INDEX(PP_Grid[#Data],$DD729,86),0)</f>
        <v/>
      </c>
      <c r="CK729">
        <f>IFERROR(INDEX(PP_Grid[#Data],$DD729,87),0)</f>
        <v/>
      </c>
      <c r="CL729">
        <f>IFERROR(INDEX(PP_Grid[#Data],$DD729,88),0)</f>
        <v/>
      </c>
      <c r="CM729">
        <f>IFERROR(INDEX(PP_Grid[#Data],$DD729,89),0)</f>
        <v/>
      </c>
      <c r="CN729">
        <f>IFERROR(INDEX(PP_Grid[#Data],$DD729,90),0)</f>
        <v/>
      </c>
      <c r="CO729">
        <f>IFERROR(INDEX(PP_Grid[#Data],$DD729,91),0)</f>
        <v/>
      </c>
      <c r="CP729">
        <f>IFERROR(INDEX(PP_Grid[#Data],$DD729,92),0)</f>
        <v/>
      </c>
      <c r="CQ729">
        <f>IFERROR(INDEX(PP_Grid[#Data],$DD729,93),0)</f>
        <v/>
      </c>
      <c r="CR729">
        <f>IFERROR(INDEX(PP_Grid[#Data],$DD729,94),0)</f>
        <v/>
      </c>
      <c r="CS729">
        <f>IFERROR(INDEX(PP_Grid[#Data],$DD729,95),0)</f>
        <v/>
      </c>
      <c r="CT729">
        <f>IFERROR(INDEX(PP_Grid[#Data],$DD729,96),0)</f>
        <v/>
      </c>
      <c r="CU729">
        <f>IFERROR(INDEX(PP_Grid[#Data],$DD729,97),0)</f>
        <v/>
      </c>
      <c r="CV729">
        <f>IFERROR(INDEX(PP_Grid[#Data],$DD729,98),0)</f>
        <v/>
      </c>
      <c r="CW729">
        <f>IFERROR(INDEX(PP_Grid[#Data],$DD729,99),0)</f>
        <v/>
      </c>
      <c r="CX729">
        <f>IFERROR(INDEX(PP_Grid[#Data],$DD729,100),0)</f>
        <v/>
      </c>
      <c r="CY729">
        <f>IFERROR(INDEX(PP_Grid[#Data],$DD729,101),0)</f>
        <v/>
      </c>
      <c r="CZ729">
        <f>IFERROR(INDEX(PP_Grid[#Data],$DD729,102),0)</f>
        <v/>
      </c>
      <c r="DA729">
        <f>IFERROR(INDEX(PP_Grid[#Data],$DD729,103),0)</f>
        <v/>
      </c>
      <c r="DB729">
        <f>IFERROR(INDEX(PP_Grid[#Data],$DD729,104),0)</f>
        <v/>
      </c>
      <c r="DC729">
        <f>IFERROR(INDEX(PP_Grid[#Data],$DD729,105),0)</f>
        <v/>
      </c>
      <c r="DD729" s="7">
        <f>IFERROR(MATCH($B729,PP_Grid[Intermediate],0),99999)</f>
        <v/>
      </c>
    </row>
    <row r="730">
      <c r="B730" t="inlineStr">
        <is>
          <t>使用量(kg)</t>
        </is>
      </c>
      <c r="C730">
        <f>SUMIFS(M_BOM[RM_Qty_Per_Batch],M_BOM[Intermediate],$B729,M_BOM[Part Name],$A710)</f>
        <v/>
      </c>
      <c r="D730">
        <f>$C730*D729</f>
        <v/>
      </c>
      <c r="E730">
        <f>$C730*E729</f>
        <v/>
      </c>
      <c r="F730">
        <f>$C730*F729</f>
        <v/>
      </c>
      <c r="G730">
        <f>$C730*G729</f>
        <v/>
      </c>
      <c r="H730">
        <f>$C730*H729</f>
        <v/>
      </c>
      <c r="I730">
        <f>$C730*I729</f>
        <v/>
      </c>
      <c r="J730">
        <f>$C730*J729</f>
        <v/>
      </c>
      <c r="K730">
        <f>$C730*K729</f>
        <v/>
      </c>
      <c r="L730">
        <f>$C730*L729</f>
        <v/>
      </c>
      <c r="M730">
        <f>$C730*M729</f>
        <v/>
      </c>
      <c r="N730">
        <f>$C730*N729</f>
        <v/>
      </c>
      <c r="O730">
        <f>$C730*O729</f>
        <v/>
      </c>
      <c r="P730">
        <f>$C730*P729</f>
        <v/>
      </c>
      <c r="Q730">
        <f>$C730*Q729</f>
        <v/>
      </c>
      <c r="R730">
        <f>$C730*R729</f>
        <v/>
      </c>
      <c r="S730">
        <f>$C730*S729</f>
        <v/>
      </c>
      <c r="T730">
        <f>$C730*T729</f>
        <v/>
      </c>
      <c r="U730">
        <f>$C730*U729</f>
        <v/>
      </c>
      <c r="V730">
        <f>$C730*V729</f>
        <v/>
      </c>
      <c r="W730">
        <f>$C730*W729</f>
        <v/>
      </c>
      <c r="X730">
        <f>$C730*X729</f>
        <v/>
      </c>
      <c r="Y730">
        <f>$C730*Y729</f>
        <v/>
      </c>
      <c r="Z730">
        <f>$C730*Z729</f>
        <v/>
      </c>
      <c r="AA730">
        <f>$C730*AA729</f>
        <v/>
      </c>
      <c r="AB730">
        <f>$C730*AB729</f>
        <v/>
      </c>
      <c r="AC730">
        <f>$C730*AC729</f>
        <v/>
      </c>
      <c r="AD730">
        <f>$C730*AD729</f>
        <v/>
      </c>
      <c r="AE730">
        <f>$C730*AE729</f>
        <v/>
      </c>
      <c r="AF730">
        <f>$C730*AF729</f>
        <v/>
      </c>
      <c r="AG730">
        <f>$C730*AG729</f>
        <v/>
      </c>
      <c r="AH730">
        <f>$C730*AH729</f>
        <v/>
      </c>
      <c r="AI730">
        <f>$C730*AI729</f>
        <v/>
      </c>
      <c r="AJ730">
        <f>$C730*AJ729</f>
        <v/>
      </c>
      <c r="AK730">
        <f>$C730*AK729</f>
        <v/>
      </c>
      <c r="AL730">
        <f>$C730*AL729</f>
        <v/>
      </c>
      <c r="AM730">
        <f>$C730*AM729</f>
        <v/>
      </c>
      <c r="AN730">
        <f>$C730*AN729</f>
        <v/>
      </c>
      <c r="AO730">
        <f>$C730*AO729</f>
        <v/>
      </c>
      <c r="AP730">
        <f>$C730*AP729</f>
        <v/>
      </c>
      <c r="AQ730">
        <f>$C730*AQ729</f>
        <v/>
      </c>
      <c r="AR730">
        <f>$C730*AR729</f>
        <v/>
      </c>
      <c r="AS730">
        <f>$C730*AS729</f>
        <v/>
      </c>
      <c r="AT730">
        <f>$C730*AT729</f>
        <v/>
      </c>
      <c r="AU730">
        <f>$C730*AU729</f>
        <v/>
      </c>
      <c r="AV730">
        <f>$C730*AV729</f>
        <v/>
      </c>
      <c r="AW730">
        <f>$C730*AW729</f>
        <v/>
      </c>
      <c r="AX730">
        <f>$C730*AX729</f>
        <v/>
      </c>
      <c r="AY730">
        <f>$C730*AY729</f>
        <v/>
      </c>
      <c r="AZ730">
        <f>$C730*AZ729</f>
        <v/>
      </c>
      <c r="BA730">
        <f>$C730*BA729</f>
        <v/>
      </c>
      <c r="BB730">
        <f>$C730*BB729</f>
        <v/>
      </c>
      <c r="BC730">
        <f>$C730*BC729</f>
        <v/>
      </c>
      <c r="BD730">
        <f>$C730*BD729</f>
        <v/>
      </c>
      <c r="BE730">
        <f>$C730*BE729</f>
        <v/>
      </c>
      <c r="BF730">
        <f>$C730*BF729</f>
        <v/>
      </c>
      <c r="BG730">
        <f>$C730*BG729</f>
        <v/>
      </c>
      <c r="BH730">
        <f>$C730*BH729</f>
        <v/>
      </c>
      <c r="BI730">
        <f>$C730*BI729</f>
        <v/>
      </c>
      <c r="BJ730">
        <f>$C730*BJ729</f>
        <v/>
      </c>
      <c r="BK730">
        <f>$C730*BK729</f>
        <v/>
      </c>
      <c r="BL730">
        <f>$C730*BL729</f>
        <v/>
      </c>
      <c r="BM730">
        <f>$C730*BM729</f>
        <v/>
      </c>
      <c r="BN730">
        <f>$C730*BN729</f>
        <v/>
      </c>
      <c r="BO730">
        <f>$C730*BO729</f>
        <v/>
      </c>
      <c r="BP730">
        <f>$C730*BP729</f>
        <v/>
      </c>
      <c r="BQ730">
        <f>$C730*BQ729</f>
        <v/>
      </c>
      <c r="BR730">
        <f>$C730*BR729</f>
        <v/>
      </c>
      <c r="BS730">
        <f>$C730*BS729</f>
        <v/>
      </c>
      <c r="BT730">
        <f>$C730*BT729</f>
        <v/>
      </c>
      <c r="BU730">
        <f>$C730*BU729</f>
        <v/>
      </c>
      <c r="BV730">
        <f>$C730*BV729</f>
        <v/>
      </c>
      <c r="BW730">
        <f>$C730*BW729</f>
        <v/>
      </c>
      <c r="BX730">
        <f>$C730*BX729</f>
        <v/>
      </c>
      <c r="BY730">
        <f>$C730*BY729</f>
        <v/>
      </c>
      <c r="BZ730">
        <f>$C730*BZ729</f>
        <v/>
      </c>
      <c r="CA730">
        <f>$C730*CA729</f>
        <v/>
      </c>
      <c r="CB730">
        <f>$C730*CB729</f>
        <v/>
      </c>
      <c r="CC730">
        <f>$C730*CC729</f>
        <v/>
      </c>
      <c r="CD730">
        <f>$C730*CD729</f>
        <v/>
      </c>
      <c r="CE730">
        <f>$C730*CE729</f>
        <v/>
      </c>
      <c r="CF730">
        <f>$C730*CF729</f>
        <v/>
      </c>
      <c r="CG730">
        <f>$C730*CG729</f>
        <v/>
      </c>
      <c r="CH730">
        <f>$C730*CH729</f>
        <v/>
      </c>
      <c r="CI730">
        <f>$C730*CI729</f>
        <v/>
      </c>
      <c r="CJ730">
        <f>$C730*CJ729</f>
        <v/>
      </c>
      <c r="CK730">
        <f>$C730*CK729</f>
        <v/>
      </c>
      <c r="CL730">
        <f>$C730*CL729</f>
        <v/>
      </c>
      <c r="CM730">
        <f>$C730*CM729</f>
        <v/>
      </c>
      <c r="CN730">
        <f>$C730*CN729</f>
        <v/>
      </c>
      <c r="CO730">
        <f>$C730*CO729</f>
        <v/>
      </c>
      <c r="CP730">
        <f>$C730*CP729</f>
        <v/>
      </c>
      <c r="CQ730">
        <f>$C730*CQ729</f>
        <v/>
      </c>
      <c r="CR730">
        <f>$C730*CR729</f>
        <v/>
      </c>
      <c r="CS730">
        <f>$C730*CS729</f>
        <v/>
      </c>
      <c r="CT730">
        <f>$C730*CT729</f>
        <v/>
      </c>
      <c r="CU730">
        <f>$C730*CU729</f>
        <v/>
      </c>
      <c r="CV730">
        <f>$C730*CV729</f>
        <v/>
      </c>
      <c r="CW730">
        <f>$C730*CW729</f>
        <v/>
      </c>
      <c r="CX730">
        <f>$C730*CX729</f>
        <v/>
      </c>
      <c r="CY730">
        <f>$C730*CY729</f>
        <v/>
      </c>
      <c r="CZ730">
        <f>$C730*CZ729</f>
        <v/>
      </c>
      <c r="DA730">
        <f>$C730*DA729</f>
        <v/>
      </c>
      <c r="DB730">
        <f>$C730*DB729</f>
        <v/>
      </c>
      <c r="DC730">
        <f>$C730*DC729</f>
        <v/>
      </c>
    </row>
    <row r="731">
      <c r="B731" t="inlineStr">
        <is>
          <t>VSP-607</t>
        </is>
      </c>
      <c r="C731" t="inlineStr">
        <is>
          <t>No. of batches</t>
        </is>
      </c>
      <c r="D731">
        <f>IFERROR(INDEX(PP_Grid[#Data],$DD731,2),0)</f>
        <v/>
      </c>
      <c r="E731">
        <f>IFERROR(INDEX(PP_Grid[#Data],$DD731,3),0)</f>
        <v/>
      </c>
      <c r="F731">
        <f>IFERROR(INDEX(PP_Grid[#Data],$DD731,4),0)</f>
        <v/>
      </c>
      <c r="G731">
        <f>IFERROR(INDEX(PP_Grid[#Data],$DD731,5),0)</f>
        <v/>
      </c>
      <c r="H731">
        <f>IFERROR(INDEX(PP_Grid[#Data],$DD731,6),0)</f>
        <v/>
      </c>
      <c r="I731">
        <f>IFERROR(INDEX(PP_Grid[#Data],$DD731,7),0)</f>
        <v/>
      </c>
      <c r="J731">
        <f>IFERROR(INDEX(PP_Grid[#Data],$DD731,8),0)</f>
        <v/>
      </c>
      <c r="K731">
        <f>IFERROR(INDEX(PP_Grid[#Data],$DD731,9),0)</f>
        <v/>
      </c>
      <c r="L731">
        <f>IFERROR(INDEX(PP_Grid[#Data],$DD731,10),0)</f>
        <v/>
      </c>
      <c r="M731">
        <f>IFERROR(INDEX(PP_Grid[#Data],$DD731,11),0)</f>
        <v/>
      </c>
      <c r="N731">
        <f>IFERROR(INDEX(PP_Grid[#Data],$DD731,12),0)</f>
        <v/>
      </c>
      <c r="O731">
        <f>IFERROR(INDEX(PP_Grid[#Data],$DD731,13),0)</f>
        <v/>
      </c>
      <c r="P731">
        <f>IFERROR(INDEX(PP_Grid[#Data],$DD731,14),0)</f>
        <v/>
      </c>
      <c r="Q731">
        <f>IFERROR(INDEX(PP_Grid[#Data],$DD731,15),0)</f>
        <v/>
      </c>
      <c r="R731">
        <f>IFERROR(INDEX(PP_Grid[#Data],$DD731,16),0)</f>
        <v/>
      </c>
      <c r="S731">
        <f>IFERROR(INDEX(PP_Grid[#Data],$DD731,17),0)</f>
        <v/>
      </c>
      <c r="T731">
        <f>IFERROR(INDEX(PP_Grid[#Data],$DD731,18),0)</f>
        <v/>
      </c>
      <c r="U731">
        <f>IFERROR(INDEX(PP_Grid[#Data],$DD731,19),0)</f>
        <v/>
      </c>
      <c r="V731">
        <f>IFERROR(INDEX(PP_Grid[#Data],$DD731,20),0)</f>
        <v/>
      </c>
      <c r="W731">
        <f>IFERROR(INDEX(PP_Grid[#Data],$DD731,21),0)</f>
        <v/>
      </c>
      <c r="X731">
        <f>IFERROR(INDEX(PP_Grid[#Data],$DD731,22),0)</f>
        <v/>
      </c>
      <c r="Y731">
        <f>IFERROR(INDEX(PP_Grid[#Data],$DD731,23),0)</f>
        <v/>
      </c>
      <c r="Z731">
        <f>IFERROR(INDEX(PP_Grid[#Data],$DD731,24),0)</f>
        <v/>
      </c>
      <c r="AA731">
        <f>IFERROR(INDEX(PP_Grid[#Data],$DD731,25),0)</f>
        <v/>
      </c>
      <c r="AB731">
        <f>IFERROR(INDEX(PP_Grid[#Data],$DD731,26),0)</f>
        <v/>
      </c>
      <c r="AC731">
        <f>IFERROR(INDEX(PP_Grid[#Data],$DD731,27),0)</f>
        <v/>
      </c>
      <c r="AD731">
        <f>IFERROR(INDEX(PP_Grid[#Data],$DD731,28),0)</f>
        <v/>
      </c>
      <c r="AE731">
        <f>IFERROR(INDEX(PP_Grid[#Data],$DD731,29),0)</f>
        <v/>
      </c>
      <c r="AF731">
        <f>IFERROR(INDEX(PP_Grid[#Data],$DD731,30),0)</f>
        <v/>
      </c>
      <c r="AG731">
        <f>IFERROR(INDEX(PP_Grid[#Data],$DD731,31),0)</f>
        <v/>
      </c>
      <c r="AH731">
        <f>IFERROR(INDEX(PP_Grid[#Data],$DD731,32),0)</f>
        <v/>
      </c>
      <c r="AI731">
        <f>IFERROR(INDEX(PP_Grid[#Data],$DD731,33),0)</f>
        <v/>
      </c>
      <c r="AJ731">
        <f>IFERROR(INDEX(PP_Grid[#Data],$DD731,34),0)</f>
        <v/>
      </c>
      <c r="AK731">
        <f>IFERROR(INDEX(PP_Grid[#Data],$DD731,35),0)</f>
        <v/>
      </c>
      <c r="AL731">
        <f>IFERROR(INDEX(PP_Grid[#Data],$DD731,36),0)</f>
        <v/>
      </c>
      <c r="AM731">
        <f>IFERROR(INDEX(PP_Grid[#Data],$DD731,37),0)</f>
        <v/>
      </c>
      <c r="AN731">
        <f>IFERROR(INDEX(PP_Grid[#Data],$DD731,38),0)</f>
        <v/>
      </c>
      <c r="AO731">
        <f>IFERROR(INDEX(PP_Grid[#Data],$DD731,39),0)</f>
        <v/>
      </c>
      <c r="AP731">
        <f>IFERROR(INDEX(PP_Grid[#Data],$DD731,40),0)</f>
        <v/>
      </c>
      <c r="AQ731">
        <f>IFERROR(INDEX(PP_Grid[#Data],$DD731,41),0)</f>
        <v/>
      </c>
      <c r="AR731">
        <f>IFERROR(INDEX(PP_Grid[#Data],$DD731,42),0)</f>
        <v/>
      </c>
      <c r="AS731">
        <f>IFERROR(INDEX(PP_Grid[#Data],$DD731,43),0)</f>
        <v/>
      </c>
      <c r="AT731">
        <f>IFERROR(INDEX(PP_Grid[#Data],$DD731,44),0)</f>
        <v/>
      </c>
      <c r="AU731">
        <f>IFERROR(INDEX(PP_Grid[#Data],$DD731,45),0)</f>
        <v/>
      </c>
      <c r="AV731">
        <f>IFERROR(INDEX(PP_Grid[#Data],$DD731,46),0)</f>
        <v/>
      </c>
      <c r="AW731">
        <f>IFERROR(INDEX(PP_Grid[#Data],$DD731,47),0)</f>
        <v/>
      </c>
      <c r="AX731">
        <f>IFERROR(INDEX(PP_Grid[#Data],$DD731,48),0)</f>
        <v/>
      </c>
      <c r="AY731">
        <f>IFERROR(INDEX(PP_Grid[#Data],$DD731,49),0)</f>
        <v/>
      </c>
      <c r="AZ731">
        <f>IFERROR(INDEX(PP_Grid[#Data],$DD731,50),0)</f>
        <v/>
      </c>
      <c r="BA731">
        <f>IFERROR(INDEX(PP_Grid[#Data],$DD731,51),0)</f>
        <v/>
      </c>
      <c r="BB731">
        <f>IFERROR(INDEX(PP_Grid[#Data],$DD731,52),0)</f>
        <v/>
      </c>
      <c r="BC731">
        <f>IFERROR(INDEX(PP_Grid[#Data],$DD731,53),0)</f>
        <v/>
      </c>
      <c r="BD731">
        <f>IFERROR(INDEX(PP_Grid[#Data],$DD731,54),0)</f>
        <v/>
      </c>
      <c r="BE731">
        <f>IFERROR(INDEX(PP_Grid[#Data],$DD731,55),0)</f>
        <v/>
      </c>
      <c r="BF731">
        <f>IFERROR(INDEX(PP_Grid[#Data],$DD731,56),0)</f>
        <v/>
      </c>
      <c r="BG731">
        <f>IFERROR(INDEX(PP_Grid[#Data],$DD731,57),0)</f>
        <v/>
      </c>
      <c r="BH731">
        <f>IFERROR(INDEX(PP_Grid[#Data],$DD731,58),0)</f>
        <v/>
      </c>
      <c r="BI731">
        <f>IFERROR(INDEX(PP_Grid[#Data],$DD731,59),0)</f>
        <v/>
      </c>
      <c r="BJ731">
        <f>IFERROR(INDEX(PP_Grid[#Data],$DD731,60),0)</f>
        <v/>
      </c>
      <c r="BK731">
        <f>IFERROR(INDEX(PP_Grid[#Data],$DD731,61),0)</f>
        <v/>
      </c>
      <c r="BL731">
        <f>IFERROR(INDEX(PP_Grid[#Data],$DD731,62),0)</f>
        <v/>
      </c>
      <c r="BM731">
        <f>IFERROR(INDEX(PP_Grid[#Data],$DD731,63),0)</f>
        <v/>
      </c>
      <c r="BN731">
        <f>IFERROR(INDEX(PP_Grid[#Data],$DD731,64),0)</f>
        <v/>
      </c>
      <c r="BO731">
        <f>IFERROR(INDEX(PP_Grid[#Data],$DD731,65),0)</f>
        <v/>
      </c>
      <c r="BP731">
        <f>IFERROR(INDEX(PP_Grid[#Data],$DD731,66),0)</f>
        <v/>
      </c>
      <c r="BQ731">
        <f>IFERROR(INDEX(PP_Grid[#Data],$DD731,67),0)</f>
        <v/>
      </c>
      <c r="BR731">
        <f>IFERROR(INDEX(PP_Grid[#Data],$DD731,68),0)</f>
        <v/>
      </c>
      <c r="BS731">
        <f>IFERROR(INDEX(PP_Grid[#Data],$DD731,69),0)</f>
        <v/>
      </c>
      <c r="BT731">
        <f>IFERROR(INDEX(PP_Grid[#Data],$DD731,70),0)</f>
        <v/>
      </c>
      <c r="BU731">
        <f>IFERROR(INDEX(PP_Grid[#Data],$DD731,71),0)</f>
        <v/>
      </c>
      <c r="BV731">
        <f>IFERROR(INDEX(PP_Grid[#Data],$DD731,72),0)</f>
        <v/>
      </c>
      <c r="BW731">
        <f>IFERROR(INDEX(PP_Grid[#Data],$DD731,73),0)</f>
        <v/>
      </c>
      <c r="BX731">
        <f>IFERROR(INDEX(PP_Grid[#Data],$DD731,74),0)</f>
        <v/>
      </c>
      <c r="BY731">
        <f>IFERROR(INDEX(PP_Grid[#Data],$DD731,75),0)</f>
        <v/>
      </c>
      <c r="BZ731">
        <f>IFERROR(INDEX(PP_Grid[#Data],$DD731,76),0)</f>
        <v/>
      </c>
      <c r="CA731">
        <f>IFERROR(INDEX(PP_Grid[#Data],$DD731,77),0)</f>
        <v/>
      </c>
      <c r="CB731">
        <f>IFERROR(INDEX(PP_Grid[#Data],$DD731,78),0)</f>
        <v/>
      </c>
      <c r="CC731">
        <f>IFERROR(INDEX(PP_Grid[#Data],$DD731,79),0)</f>
        <v/>
      </c>
      <c r="CD731">
        <f>IFERROR(INDEX(PP_Grid[#Data],$DD731,80),0)</f>
        <v/>
      </c>
      <c r="CE731">
        <f>IFERROR(INDEX(PP_Grid[#Data],$DD731,81),0)</f>
        <v/>
      </c>
      <c r="CF731">
        <f>IFERROR(INDEX(PP_Grid[#Data],$DD731,82),0)</f>
        <v/>
      </c>
      <c r="CG731">
        <f>IFERROR(INDEX(PP_Grid[#Data],$DD731,83),0)</f>
        <v/>
      </c>
      <c r="CH731">
        <f>IFERROR(INDEX(PP_Grid[#Data],$DD731,84),0)</f>
        <v/>
      </c>
      <c r="CI731">
        <f>IFERROR(INDEX(PP_Grid[#Data],$DD731,85),0)</f>
        <v/>
      </c>
      <c r="CJ731">
        <f>IFERROR(INDEX(PP_Grid[#Data],$DD731,86),0)</f>
        <v/>
      </c>
      <c r="CK731">
        <f>IFERROR(INDEX(PP_Grid[#Data],$DD731,87),0)</f>
        <v/>
      </c>
      <c r="CL731">
        <f>IFERROR(INDEX(PP_Grid[#Data],$DD731,88),0)</f>
        <v/>
      </c>
      <c r="CM731">
        <f>IFERROR(INDEX(PP_Grid[#Data],$DD731,89),0)</f>
        <v/>
      </c>
      <c r="CN731">
        <f>IFERROR(INDEX(PP_Grid[#Data],$DD731,90),0)</f>
        <v/>
      </c>
      <c r="CO731">
        <f>IFERROR(INDEX(PP_Grid[#Data],$DD731,91),0)</f>
        <v/>
      </c>
      <c r="CP731">
        <f>IFERROR(INDEX(PP_Grid[#Data],$DD731,92),0)</f>
        <v/>
      </c>
      <c r="CQ731">
        <f>IFERROR(INDEX(PP_Grid[#Data],$DD731,93),0)</f>
        <v/>
      </c>
      <c r="CR731">
        <f>IFERROR(INDEX(PP_Grid[#Data],$DD731,94),0)</f>
        <v/>
      </c>
      <c r="CS731">
        <f>IFERROR(INDEX(PP_Grid[#Data],$DD731,95),0)</f>
        <v/>
      </c>
      <c r="CT731">
        <f>IFERROR(INDEX(PP_Grid[#Data],$DD731,96),0)</f>
        <v/>
      </c>
      <c r="CU731">
        <f>IFERROR(INDEX(PP_Grid[#Data],$DD731,97),0)</f>
        <v/>
      </c>
      <c r="CV731">
        <f>IFERROR(INDEX(PP_Grid[#Data],$DD731,98),0)</f>
        <v/>
      </c>
      <c r="CW731">
        <f>IFERROR(INDEX(PP_Grid[#Data],$DD731,99),0)</f>
        <v/>
      </c>
      <c r="CX731">
        <f>IFERROR(INDEX(PP_Grid[#Data],$DD731,100),0)</f>
        <v/>
      </c>
      <c r="CY731">
        <f>IFERROR(INDEX(PP_Grid[#Data],$DD731,101),0)</f>
        <v/>
      </c>
      <c r="CZ731">
        <f>IFERROR(INDEX(PP_Grid[#Data],$DD731,102),0)</f>
        <v/>
      </c>
      <c r="DA731">
        <f>IFERROR(INDEX(PP_Grid[#Data],$DD731,103),0)</f>
        <v/>
      </c>
      <c r="DB731">
        <f>IFERROR(INDEX(PP_Grid[#Data],$DD731,104),0)</f>
        <v/>
      </c>
      <c r="DC731">
        <f>IFERROR(INDEX(PP_Grid[#Data],$DD731,105),0)</f>
        <v/>
      </c>
      <c r="DD731" s="7">
        <f>IFERROR(MATCH($B731,PP_Grid[Intermediate],0),99999)</f>
        <v/>
      </c>
    </row>
    <row r="732">
      <c r="B732" t="inlineStr">
        <is>
          <t>使用量(kg)</t>
        </is>
      </c>
      <c r="C732">
        <f>SUMIFS(M_BOM[RM_Qty_Per_Batch],M_BOM[Intermediate],$B731,M_BOM[Part Name],$A710)</f>
        <v/>
      </c>
      <c r="D732">
        <f>$C732*D731</f>
        <v/>
      </c>
      <c r="E732">
        <f>$C732*E731</f>
        <v/>
      </c>
      <c r="F732">
        <f>$C732*F731</f>
        <v/>
      </c>
      <c r="G732">
        <f>$C732*G731</f>
        <v/>
      </c>
      <c r="H732">
        <f>$C732*H731</f>
        <v/>
      </c>
      <c r="I732">
        <f>$C732*I731</f>
        <v/>
      </c>
      <c r="J732">
        <f>$C732*J731</f>
        <v/>
      </c>
      <c r="K732">
        <f>$C732*K731</f>
        <v/>
      </c>
      <c r="L732">
        <f>$C732*L731</f>
        <v/>
      </c>
      <c r="M732">
        <f>$C732*M731</f>
        <v/>
      </c>
      <c r="N732">
        <f>$C732*N731</f>
        <v/>
      </c>
      <c r="O732">
        <f>$C732*O731</f>
        <v/>
      </c>
      <c r="P732">
        <f>$C732*P731</f>
        <v/>
      </c>
      <c r="Q732">
        <f>$C732*Q731</f>
        <v/>
      </c>
      <c r="R732">
        <f>$C732*R731</f>
        <v/>
      </c>
      <c r="S732">
        <f>$C732*S731</f>
        <v/>
      </c>
      <c r="T732">
        <f>$C732*T731</f>
        <v/>
      </c>
      <c r="U732">
        <f>$C732*U731</f>
        <v/>
      </c>
      <c r="V732">
        <f>$C732*V731</f>
        <v/>
      </c>
      <c r="W732">
        <f>$C732*W731</f>
        <v/>
      </c>
      <c r="X732">
        <f>$C732*X731</f>
        <v/>
      </c>
      <c r="Y732">
        <f>$C732*Y731</f>
        <v/>
      </c>
      <c r="Z732">
        <f>$C732*Z731</f>
        <v/>
      </c>
      <c r="AA732">
        <f>$C732*AA731</f>
        <v/>
      </c>
      <c r="AB732">
        <f>$C732*AB731</f>
        <v/>
      </c>
      <c r="AC732">
        <f>$C732*AC731</f>
        <v/>
      </c>
      <c r="AD732">
        <f>$C732*AD731</f>
        <v/>
      </c>
      <c r="AE732">
        <f>$C732*AE731</f>
        <v/>
      </c>
      <c r="AF732">
        <f>$C732*AF731</f>
        <v/>
      </c>
      <c r="AG732">
        <f>$C732*AG731</f>
        <v/>
      </c>
      <c r="AH732">
        <f>$C732*AH731</f>
        <v/>
      </c>
      <c r="AI732">
        <f>$C732*AI731</f>
        <v/>
      </c>
      <c r="AJ732">
        <f>$C732*AJ731</f>
        <v/>
      </c>
      <c r="AK732">
        <f>$C732*AK731</f>
        <v/>
      </c>
      <c r="AL732">
        <f>$C732*AL731</f>
        <v/>
      </c>
      <c r="AM732">
        <f>$C732*AM731</f>
        <v/>
      </c>
      <c r="AN732">
        <f>$C732*AN731</f>
        <v/>
      </c>
      <c r="AO732">
        <f>$C732*AO731</f>
        <v/>
      </c>
      <c r="AP732">
        <f>$C732*AP731</f>
        <v/>
      </c>
      <c r="AQ732">
        <f>$C732*AQ731</f>
        <v/>
      </c>
      <c r="AR732">
        <f>$C732*AR731</f>
        <v/>
      </c>
      <c r="AS732">
        <f>$C732*AS731</f>
        <v/>
      </c>
      <c r="AT732">
        <f>$C732*AT731</f>
        <v/>
      </c>
      <c r="AU732">
        <f>$C732*AU731</f>
        <v/>
      </c>
      <c r="AV732">
        <f>$C732*AV731</f>
        <v/>
      </c>
      <c r="AW732">
        <f>$C732*AW731</f>
        <v/>
      </c>
      <c r="AX732">
        <f>$C732*AX731</f>
        <v/>
      </c>
      <c r="AY732">
        <f>$C732*AY731</f>
        <v/>
      </c>
      <c r="AZ732">
        <f>$C732*AZ731</f>
        <v/>
      </c>
      <c r="BA732">
        <f>$C732*BA731</f>
        <v/>
      </c>
      <c r="BB732">
        <f>$C732*BB731</f>
        <v/>
      </c>
      <c r="BC732">
        <f>$C732*BC731</f>
        <v/>
      </c>
      <c r="BD732">
        <f>$C732*BD731</f>
        <v/>
      </c>
      <c r="BE732">
        <f>$C732*BE731</f>
        <v/>
      </c>
      <c r="BF732">
        <f>$C732*BF731</f>
        <v/>
      </c>
      <c r="BG732">
        <f>$C732*BG731</f>
        <v/>
      </c>
      <c r="BH732">
        <f>$C732*BH731</f>
        <v/>
      </c>
      <c r="BI732">
        <f>$C732*BI731</f>
        <v/>
      </c>
      <c r="BJ732">
        <f>$C732*BJ731</f>
        <v/>
      </c>
      <c r="BK732">
        <f>$C732*BK731</f>
        <v/>
      </c>
      <c r="BL732">
        <f>$C732*BL731</f>
        <v/>
      </c>
      <c r="BM732">
        <f>$C732*BM731</f>
        <v/>
      </c>
      <c r="BN732">
        <f>$C732*BN731</f>
        <v/>
      </c>
      <c r="BO732">
        <f>$C732*BO731</f>
        <v/>
      </c>
      <c r="BP732">
        <f>$C732*BP731</f>
        <v/>
      </c>
      <c r="BQ732">
        <f>$C732*BQ731</f>
        <v/>
      </c>
      <c r="BR732">
        <f>$C732*BR731</f>
        <v/>
      </c>
      <c r="BS732">
        <f>$C732*BS731</f>
        <v/>
      </c>
      <c r="BT732">
        <f>$C732*BT731</f>
        <v/>
      </c>
      <c r="BU732">
        <f>$C732*BU731</f>
        <v/>
      </c>
      <c r="BV732">
        <f>$C732*BV731</f>
        <v/>
      </c>
      <c r="BW732">
        <f>$C732*BW731</f>
        <v/>
      </c>
      <c r="BX732">
        <f>$C732*BX731</f>
        <v/>
      </c>
      <c r="BY732">
        <f>$C732*BY731</f>
        <v/>
      </c>
      <c r="BZ732">
        <f>$C732*BZ731</f>
        <v/>
      </c>
      <c r="CA732">
        <f>$C732*CA731</f>
        <v/>
      </c>
      <c r="CB732">
        <f>$C732*CB731</f>
        <v/>
      </c>
      <c r="CC732">
        <f>$C732*CC731</f>
        <v/>
      </c>
      <c r="CD732">
        <f>$C732*CD731</f>
        <v/>
      </c>
      <c r="CE732">
        <f>$C732*CE731</f>
        <v/>
      </c>
      <c r="CF732">
        <f>$C732*CF731</f>
        <v/>
      </c>
      <c r="CG732">
        <f>$C732*CG731</f>
        <v/>
      </c>
      <c r="CH732">
        <f>$C732*CH731</f>
        <v/>
      </c>
      <c r="CI732">
        <f>$C732*CI731</f>
        <v/>
      </c>
      <c r="CJ732">
        <f>$C732*CJ731</f>
        <v/>
      </c>
      <c r="CK732">
        <f>$C732*CK731</f>
        <v/>
      </c>
      <c r="CL732">
        <f>$C732*CL731</f>
        <v/>
      </c>
      <c r="CM732">
        <f>$C732*CM731</f>
        <v/>
      </c>
      <c r="CN732">
        <f>$C732*CN731</f>
        <v/>
      </c>
      <c r="CO732">
        <f>$C732*CO731</f>
        <v/>
      </c>
      <c r="CP732">
        <f>$C732*CP731</f>
        <v/>
      </c>
      <c r="CQ732">
        <f>$C732*CQ731</f>
        <v/>
      </c>
      <c r="CR732">
        <f>$C732*CR731</f>
        <v/>
      </c>
      <c r="CS732">
        <f>$C732*CS731</f>
        <v/>
      </c>
      <c r="CT732">
        <f>$C732*CT731</f>
        <v/>
      </c>
      <c r="CU732">
        <f>$C732*CU731</f>
        <v/>
      </c>
      <c r="CV732">
        <f>$C732*CV731</f>
        <v/>
      </c>
      <c r="CW732">
        <f>$C732*CW731</f>
        <v/>
      </c>
      <c r="CX732">
        <f>$C732*CX731</f>
        <v/>
      </c>
      <c r="CY732">
        <f>$C732*CY731</f>
        <v/>
      </c>
      <c r="CZ732">
        <f>$C732*CZ731</f>
        <v/>
      </c>
      <c r="DA732">
        <f>$C732*DA731</f>
        <v/>
      </c>
      <c r="DB732">
        <f>$C732*DB731</f>
        <v/>
      </c>
      <c r="DC732">
        <f>$C732*DC731</f>
        <v/>
      </c>
    </row>
    <row r="733">
      <c r="B733" t="inlineStr">
        <is>
          <t>VSP-740</t>
        </is>
      </c>
      <c r="C733" t="inlineStr">
        <is>
          <t>No. of batches</t>
        </is>
      </c>
      <c r="D733">
        <f>IFERROR(INDEX(PP_Grid[#Data],$DD733,2),0)</f>
        <v/>
      </c>
      <c r="E733">
        <f>IFERROR(INDEX(PP_Grid[#Data],$DD733,3),0)</f>
        <v/>
      </c>
      <c r="F733">
        <f>IFERROR(INDEX(PP_Grid[#Data],$DD733,4),0)</f>
        <v/>
      </c>
      <c r="G733">
        <f>IFERROR(INDEX(PP_Grid[#Data],$DD733,5),0)</f>
        <v/>
      </c>
      <c r="H733">
        <f>IFERROR(INDEX(PP_Grid[#Data],$DD733,6),0)</f>
        <v/>
      </c>
      <c r="I733">
        <f>IFERROR(INDEX(PP_Grid[#Data],$DD733,7),0)</f>
        <v/>
      </c>
      <c r="J733">
        <f>IFERROR(INDEX(PP_Grid[#Data],$DD733,8),0)</f>
        <v/>
      </c>
      <c r="K733">
        <f>IFERROR(INDEX(PP_Grid[#Data],$DD733,9),0)</f>
        <v/>
      </c>
      <c r="L733">
        <f>IFERROR(INDEX(PP_Grid[#Data],$DD733,10),0)</f>
        <v/>
      </c>
      <c r="M733">
        <f>IFERROR(INDEX(PP_Grid[#Data],$DD733,11),0)</f>
        <v/>
      </c>
      <c r="N733">
        <f>IFERROR(INDEX(PP_Grid[#Data],$DD733,12),0)</f>
        <v/>
      </c>
      <c r="O733">
        <f>IFERROR(INDEX(PP_Grid[#Data],$DD733,13),0)</f>
        <v/>
      </c>
      <c r="P733">
        <f>IFERROR(INDEX(PP_Grid[#Data],$DD733,14),0)</f>
        <v/>
      </c>
      <c r="Q733">
        <f>IFERROR(INDEX(PP_Grid[#Data],$DD733,15),0)</f>
        <v/>
      </c>
      <c r="R733">
        <f>IFERROR(INDEX(PP_Grid[#Data],$DD733,16),0)</f>
        <v/>
      </c>
      <c r="S733">
        <f>IFERROR(INDEX(PP_Grid[#Data],$DD733,17),0)</f>
        <v/>
      </c>
      <c r="T733">
        <f>IFERROR(INDEX(PP_Grid[#Data],$DD733,18),0)</f>
        <v/>
      </c>
      <c r="U733">
        <f>IFERROR(INDEX(PP_Grid[#Data],$DD733,19),0)</f>
        <v/>
      </c>
      <c r="V733">
        <f>IFERROR(INDEX(PP_Grid[#Data],$DD733,20),0)</f>
        <v/>
      </c>
      <c r="W733">
        <f>IFERROR(INDEX(PP_Grid[#Data],$DD733,21),0)</f>
        <v/>
      </c>
      <c r="X733">
        <f>IFERROR(INDEX(PP_Grid[#Data],$DD733,22),0)</f>
        <v/>
      </c>
      <c r="Y733">
        <f>IFERROR(INDEX(PP_Grid[#Data],$DD733,23),0)</f>
        <v/>
      </c>
      <c r="Z733">
        <f>IFERROR(INDEX(PP_Grid[#Data],$DD733,24),0)</f>
        <v/>
      </c>
      <c r="AA733">
        <f>IFERROR(INDEX(PP_Grid[#Data],$DD733,25),0)</f>
        <v/>
      </c>
      <c r="AB733">
        <f>IFERROR(INDEX(PP_Grid[#Data],$DD733,26),0)</f>
        <v/>
      </c>
      <c r="AC733">
        <f>IFERROR(INDEX(PP_Grid[#Data],$DD733,27),0)</f>
        <v/>
      </c>
      <c r="AD733">
        <f>IFERROR(INDEX(PP_Grid[#Data],$DD733,28),0)</f>
        <v/>
      </c>
      <c r="AE733">
        <f>IFERROR(INDEX(PP_Grid[#Data],$DD733,29),0)</f>
        <v/>
      </c>
      <c r="AF733">
        <f>IFERROR(INDEX(PP_Grid[#Data],$DD733,30),0)</f>
        <v/>
      </c>
      <c r="AG733">
        <f>IFERROR(INDEX(PP_Grid[#Data],$DD733,31),0)</f>
        <v/>
      </c>
      <c r="AH733">
        <f>IFERROR(INDEX(PP_Grid[#Data],$DD733,32),0)</f>
        <v/>
      </c>
      <c r="AI733">
        <f>IFERROR(INDEX(PP_Grid[#Data],$DD733,33),0)</f>
        <v/>
      </c>
      <c r="AJ733">
        <f>IFERROR(INDEX(PP_Grid[#Data],$DD733,34),0)</f>
        <v/>
      </c>
      <c r="AK733">
        <f>IFERROR(INDEX(PP_Grid[#Data],$DD733,35),0)</f>
        <v/>
      </c>
      <c r="AL733">
        <f>IFERROR(INDEX(PP_Grid[#Data],$DD733,36),0)</f>
        <v/>
      </c>
      <c r="AM733">
        <f>IFERROR(INDEX(PP_Grid[#Data],$DD733,37),0)</f>
        <v/>
      </c>
      <c r="AN733">
        <f>IFERROR(INDEX(PP_Grid[#Data],$DD733,38),0)</f>
        <v/>
      </c>
      <c r="AO733">
        <f>IFERROR(INDEX(PP_Grid[#Data],$DD733,39),0)</f>
        <v/>
      </c>
      <c r="AP733">
        <f>IFERROR(INDEX(PP_Grid[#Data],$DD733,40),0)</f>
        <v/>
      </c>
      <c r="AQ733">
        <f>IFERROR(INDEX(PP_Grid[#Data],$DD733,41),0)</f>
        <v/>
      </c>
      <c r="AR733">
        <f>IFERROR(INDEX(PP_Grid[#Data],$DD733,42),0)</f>
        <v/>
      </c>
      <c r="AS733">
        <f>IFERROR(INDEX(PP_Grid[#Data],$DD733,43),0)</f>
        <v/>
      </c>
      <c r="AT733">
        <f>IFERROR(INDEX(PP_Grid[#Data],$DD733,44),0)</f>
        <v/>
      </c>
      <c r="AU733">
        <f>IFERROR(INDEX(PP_Grid[#Data],$DD733,45),0)</f>
        <v/>
      </c>
      <c r="AV733">
        <f>IFERROR(INDEX(PP_Grid[#Data],$DD733,46),0)</f>
        <v/>
      </c>
      <c r="AW733">
        <f>IFERROR(INDEX(PP_Grid[#Data],$DD733,47),0)</f>
        <v/>
      </c>
      <c r="AX733">
        <f>IFERROR(INDEX(PP_Grid[#Data],$DD733,48),0)</f>
        <v/>
      </c>
      <c r="AY733">
        <f>IFERROR(INDEX(PP_Grid[#Data],$DD733,49),0)</f>
        <v/>
      </c>
      <c r="AZ733">
        <f>IFERROR(INDEX(PP_Grid[#Data],$DD733,50),0)</f>
        <v/>
      </c>
      <c r="BA733">
        <f>IFERROR(INDEX(PP_Grid[#Data],$DD733,51),0)</f>
        <v/>
      </c>
      <c r="BB733">
        <f>IFERROR(INDEX(PP_Grid[#Data],$DD733,52),0)</f>
        <v/>
      </c>
      <c r="BC733">
        <f>IFERROR(INDEX(PP_Grid[#Data],$DD733,53),0)</f>
        <v/>
      </c>
      <c r="BD733">
        <f>IFERROR(INDEX(PP_Grid[#Data],$DD733,54),0)</f>
        <v/>
      </c>
      <c r="BE733">
        <f>IFERROR(INDEX(PP_Grid[#Data],$DD733,55),0)</f>
        <v/>
      </c>
      <c r="BF733">
        <f>IFERROR(INDEX(PP_Grid[#Data],$DD733,56),0)</f>
        <v/>
      </c>
      <c r="BG733">
        <f>IFERROR(INDEX(PP_Grid[#Data],$DD733,57),0)</f>
        <v/>
      </c>
      <c r="BH733">
        <f>IFERROR(INDEX(PP_Grid[#Data],$DD733,58),0)</f>
        <v/>
      </c>
      <c r="BI733">
        <f>IFERROR(INDEX(PP_Grid[#Data],$DD733,59),0)</f>
        <v/>
      </c>
      <c r="BJ733">
        <f>IFERROR(INDEX(PP_Grid[#Data],$DD733,60),0)</f>
        <v/>
      </c>
      <c r="BK733">
        <f>IFERROR(INDEX(PP_Grid[#Data],$DD733,61),0)</f>
        <v/>
      </c>
      <c r="BL733">
        <f>IFERROR(INDEX(PP_Grid[#Data],$DD733,62),0)</f>
        <v/>
      </c>
      <c r="BM733">
        <f>IFERROR(INDEX(PP_Grid[#Data],$DD733,63),0)</f>
        <v/>
      </c>
      <c r="BN733">
        <f>IFERROR(INDEX(PP_Grid[#Data],$DD733,64),0)</f>
        <v/>
      </c>
      <c r="BO733">
        <f>IFERROR(INDEX(PP_Grid[#Data],$DD733,65),0)</f>
        <v/>
      </c>
      <c r="BP733">
        <f>IFERROR(INDEX(PP_Grid[#Data],$DD733,66),0)</f>
        <v/>
      </c>
      <c r="BQ733">
        <f>IFERROR(INDEX(PP_Grid[#Data],$DD733,67),0)</f>
        <v/>
      </c>
      <c r="BR733">
        <f>IFERROR(INDEX(PP_Grid[#Data],$DD733,68),0)</f>
        <v/>
      </c>
      <c r="BS733">
        <f>IFERROR(INDEX(PP_Grid[#Data],$DD733,69),0)</f>
        <v/>
      </c>
      <c r="BT733">
        <f>IFERROR(INDEX(PP_Grid[#Data],$DD733,70),0)</f>
        <v/>
      </c>
      <c r="BU733">
        <f>IFERROR(INDEX(PP_Grid[#Data],$DD733,71),0)</f>
        <v/>
      </c>
      <c r="BV733">
        <f>IFERROR(INDEX(PP_Grid[#Data],$DD733,72),0)</f>
        <v/>
      </c>
      <c r="BW733">
        <f>IFERROR(INDEX(PP_Grid[#Data],$DD733,73),0)</f>
        <v/>
      </c>
      <c r="BX733">
        <f>IFERROR(INDEX(PP_Grid[#Data],$DD733,74),0)</f>
        <v/>
      </c>
      <c r="BY733">
        <f>IFERROR(INDEX(PP_Grid[#Data],$DD733,75),0)</f>
        <v/>
      </c>
      <c r="BZ733">
        <f>IFERROR(INDEX(PP_Grid[#Data],$DD733,76),0)</f>
        <v/>
      </c>
      <c r="CA733">
        <f>IFERROR(INDEX(PP_Grid[#Data],$DD733,77),0)</f>
        <v/>
      </c>
      <c r="CB733">
        <f>IFERROR(INDEX(PP_Grid[#Data],$DD733,78),0)</f>
        <v/>
      </c>
      <c r="CC733">
        <f>IFERROR(INDEX(PP_Grid[#Data],$DD733,79),0)</f>
        <v/>
      </c>
      <c r="CD733">
        <f>IFERROR(INDEX(PP_Grid[#Data],$DD733,80),0)</f>
        <v/>
      </c>
      <c r="CE733">
        <f>IFERROR(INDEX(PP_Grid[#Data],$DD733,81),0)</f>
        <v/>
      </c>
      <c r="CF733">
        <f>IFERROR(INDEX(PP_Grid[#Data],$DD733,82),0)</f>
        <v/>
      </c>
      <c r="CG733">
        <f>IFERROR(INDEX(PP_Grid[#Data],$DD733,83),0)</f>
        <v/>
      </c>
      <c r="CH733">
        <f>IFERROR(INDEX(PP_Grid[#Data],$DD733,84),0)</f>
        <v/>
      </c>
      <c r="CI733">
        <f>IFERROR(INDEX(PP_Grid[#Data],$DD733,85),0)</f>
        <v/>
      </c>
      <c r="CJ733">
        <f>IFERROR(INDEX(PP_Grid[#Data],$DD733,86),0)</f>
        <v/>
      </c>
      <c r="CK733">
        <f>IFERROR(INDEX(PP_Grid[#Data],$DD733,87),0)</f>
        <v/>
      </c>
      <c r="CL733">
        <f>IFERROR(INDEX(PP_Grid[#Data],$DD733,88),0)</f>
        <v/>
      </c>
      <c r="CM733">
        <f>IFERROR(INDEX(PP_Grid[#Data],$DD733,89),0)</f>
        <v/>
      </c>
      <c r="CN733">
        <f>IFERROR(INDEX(PP_Grid[#Data],$DD733,90),0)</f>
        <v/>
      </c>
      <c r="CO733">
        <f>IFERROR(INDEX(PP_Grid[#Data],$DD733,91),0)</f>
        <v/>
      </c>
      <c r="CP733">
        <f>IFERROR(INDEX(PP_Grid[#Data],$DD733,92),0)</f>
        <v/>
      </c>
      <c r="CQ733">
        <f>IFERROR(INDEX(PP_Grid[#Data],$DD733,93),0)</f>
        <v/>
      </c>
      <c r="CR733">
        <f>IFERROR(INDEX(PP_Grid[#Data],$DD733,94),0)</f>
        <v/>
      </c>
      <c r="CS733">
        <f>IFERROR(INDEX(PP_Grid[#Data],$DD733,95),0)</f>
        <v/>
      </c>
      <c r="CT733">
        <f>IFERROR(INDEX(PP_Grid[#Data],$DD733,96),0)</f>
        <v/>
      </c>
      <c r="CU733">
        <f>IFERROR(INDEX(PP_Grid[#Data],$DD733,97),0)</f>
        <v/>
      </c>
      <c r="CV733">
        <f>IFERROR(INDEX(PP_Grid[#Data],$DD733,98),0)</f>
        <v/>
      </c>
      <c r="CW733">
        <f>IFERROR(INDEX(PP_Grid[#Data],$DD733,99),0)</f>
        <v/>
      </c>
      <c r="CX733">
        <f>IFERROR(INDEX(PP_Grid[#Data],$DD733,100),0)</f>
        <v/>
      </c>
      <c r="CY733">
        <f>IFERROR(INDEX(PP_Grid[#Data],$DD733,101),0)</f>
        <v/>
      </c>
      <c r="CZ733">
        <f>IFERROR(INDEX(PP_Grid[#Data],$DD733,102),0)</f>
        <v/>
      </c>
      <c r="DA733">
        <f>IFERROR(INDEX(PP_Grid[#Data],$DD733,103),0)</f>
        <v/>
      </c>
      <c r="DB733">
        <f>IFERROR(INDEX(PP_Grid[#Data],$DD733,104),0)</f>
        <v/>
      </c>
      <c r="DC733">
        <f>IFERROR(INDEX(PP_Grid[#Data],$DD733,105),0)</f>
        <v/>
      </c>
      <c r="DD733" s="7">
        <f>IFERROR(MATCH($B733,PP_Grid[Intermediate],0),99999)</f>
        <v/>
      </c>
    </row>
    <row r="734">
      <c r="B734" t="inlineStr">
        <is>
          <t>使用量(kg)</t>
        </is>
      </c>
      <c r="C734">
        <f>SUMIFS(M_BOM[RM_Qty_Per_Batch],M_BOM[Intermediate],$B733,M_BOM[Part Name],$A710)</f>
        <v/>
      </c>
      <c r="D734">
        <f>$C734*D733</f>
        <v/>
      </c>
      <c r="E734">
        <f>$C734*E733</f>
        <v/>
      </c>
      <c r="F734">
        <f>$C734*F733</f>
        <v/>
      </c>
      <c r="G734">
        <f>$C734*G733</f>
        <v/>
      </c>
      <c r="H734">
        <f>$C734*H733</f>
        <v/>
      </c>
      <c r="I734">
        <f>$C734*I733</f>
        <v/>
      </c>
      <c r="J734">
        <f>$C734*J733</f>
        <v/>
      </c>
      <c r="K734">
        <f>$C734*K733</f>
        <v/>
      </c>
      <c r="L734">
        <f>$C734*L733</f>
        <v/>
      </c>
      <c r="M734">
        <f>$C734*M733</f>
        <v/>
      </c>
      <c r="N734">
        <f>$C734*N733</f>
        <v/>
      </c>
      <c r="O734">
        <f>$C734*O733</f>
        <v/>
      </c>
      <c r="P734">
        <f>$C734*P733</f>
        <v/>
      </c>
      <c r="Q734">
        <f>$C734*Q733</f>
        <v/>
      </c>
      <c r="R734">
        <f>$C734*R733</f>
        <v/>
      </c>
      <c r="S734">
        <f>$C734*S733</f>
        <v/>
      </c>
      <c r="T734">
        <f>$C734*T733</f>
        <v/>
      </c>
      <c r="U734">
        <f>$C734*U733</f>
        <v/>
      </c>
      <c r="V734">
        <f>$C734*V733</f>
        <v/>
      </c>
      <c r="W734">
        <f>$C734*W733</f>
        <v/>
      </c>
      <c r="X734">
        <f>$C734*X733</f>
        <v/>
      </c>
      <c r="Y734">
        <f>$C734*Y733</f>
        <v/>
      </c>
      <c r="Z734">
        <f>$C734*Z733</f>
        <v/>
      </c>
      <c r="AA734">
        <f>$C734*AA733</f>
        <v/>
      </c>
      <c r="AB734">
        <f>$C734*AB733</f>
        <v/>
      </c>
      <c r="AC734">
        <f>$C734*AC733</f>
        <v/>
      </c>
      <c r="AD734">
        <f>$C734*AD733</f>
        <v/>
      </c>
      <c r="AE734">
        <f>$C734*AE733</f>
        <v/>
      </c>
      <c r="AF734">
        <f>$C734*AF733</f>
        <v/>
      </c>
      <c r="AG734">
        <f>$C734*AG733</f>
        <v/>
      </c>
      <c r="AH734">
        <f>$C734*AH733</f>
        <v/>
      </c>
      <c r="AI734">
        <f>$C734*AI733</f>
        <v/>
      </c>
      <c r="AJ734">
        <f>$C734*AJ733</f>
        <v/>
      </c>
      <c r="AK734">
        <f>$C734*AK733</f>
        <v/>
      </c>
      <c r="AL734">
        <f>$C734*AL733</f>
        <v/>
      </c>
      <c r="AM734">
        <f>$C734*AM733</f>
        <v/>
      </c>
      <c r="AN734">
        <f>$C734*AN733</f>
        <v/>
      </c>
      <c r="AO734">
        <f>$C734*AO733</f>
        <v/>
      </c>
      <c r="AP734">
        <f>$C734*AP733</f>
        <v/>
      </c>
      <c r="AQ734">
        <f>$C734*AQ733</f>
        <v/>
      </c>
      <c r="AR734">
        <f>$C734*AR733</f>
        <v/>
      </c>
      <c r="AS734">
        <f>$C734*AS733</f>
        <v/>
      </c>
      <c r="AT734">
        <f>$C734*AT733</f>
        <v/>
      </c>
      <c r="AU734">
        <f>$C734*AU733</f>
        <v/>
      </c>
      <c r="AV734">
        <f>$C734*AV733</f>
        <v/>
      </c>
      <c r="AW734">
        <f>$C734*AW733</f>
        <v/>
      </c>
      <c r="AX734">
        <f>$C734*AX733</f>
        <v/>
      </c>
      <c r="AY734">
        <f>$C734*AY733</f>
        <v/>
      </c>
      <c r="AZ734">
        <f>$C734*AZ733</f>
        <v/>
      </c>
      <c r="BA734">
        <f>$C734*BA733</f>
        <v/>
      </c>
      <c r="BB734">
        <f>$C734*BB733</f>
        <v/>
      </c>
      <c r="BC734">
        <f>$C734*BC733</f>
        <v/>
      </c>
      <c r="BD734">
        <f>$C734*BD733</f>
        <v/>
      </c>
      <c r="BE734">
        <f>$C734*BE733</f>
        <v/>
      </c>
      <c r="BF734">
        <f>$C734*BF733</f>
        <v/>
      </c>
      <c r="BG734">
        <f>$C734*BG733</f>
        <v/>
      </c>
      <c r="BH734">
        <f>$C734*BH733</f>
        <v/>
      </c>
      <c r="BI734">
        <f>$C734*BI733</f>
        <v/>
      </c>
      <c r="BJ734">
        <f>$C734*BJ733</f>
        <v/>
      </c>
      <c r="BK734">
        <f>$C734*BK733</f>
        <v/>
      </c>
      <c r="BL734">
        <f>$C734*BL733</f>
        <v/>
      </c>
      <c r="BM734">
        <f>$C734*BM733</f>
        <v/>
      </c>
      <c r="BN734">
        <f>$C734*BN733</f>
        <v/>
      </c>
      <c r="BO734">
        <f>$C734*BO733</f>
        <v/>
      </c>
      <c r="BP734">
        <f>$C734*BP733</f>
        <v/>
      </c>
      <c r="BQ734">
        <f>$C734*BQ733</f>
        <v/>
      </c>
      <c r="BR734">
        <f>$C734*BR733</f>
        <v/>
      </c>
      <c r="BS734">
        <f>$C734*BS733</f>
        <v/>
      </c>
      <c r="BT734">
        <f>$C734*BT733</f>
        <v/>
      </c>
      <c r="BU734">
        <f>$C734*BU733</f>
        <v/>
      </c>
      <c r="BV734">
        <f>$C734*BV733</f>
        <v/>
      </c>
      <c r="BW734">
        <f>$C734*BW733</f>
        <v/>
      </c>
      <c r="BX734">
        <f>$C734*BX733</f>
        <v/>
      </c>
      <c r="BY734">
        <f>$C734*BY733</f>
        <v/>
      </c>
      <c r="BZ734">
        <f>$C734*BZ733</f>
        <v/>
      </c>
      <c r="CA734">
        <f>$C734*CA733</f>
        <v/>
      </c>
      <c r="CB734">
        <f>$C734*CB733</f>
        <v/>
      </c>
      <c r="CC734">
        <f>$C734*CC733</f>
        <v/>
      </c>
      <c r="CD734">
        <f>$C734*CD733</f>
        <v/>
      </c>
      <c r="CE734">
        <f>$C734*CE733</f>
        <v/>
      </c>
      <c r="CF734">
        <f>$C734*CF733</f>
        <v/>
      </c>
      <c r="CG734">
        <f>$C734*CG733</f>
        <v/>
      </c>
      <c r="CH734">
        <f>$C734*CH733</f>
        <v/>
      </c>
      <c r="CI734">
        <f>$C734*CI733</f>
        <v/>
      </c>
      <c r="CJ734">
        <f>$C734*CJ733</f>
        <v/>
      </c>
      <c r="CK734">
        <f>$C734*CK733</f>
        <v/>
      </c>
      <c r="CL734">
        <f>$C734*CL733</f>
        <v/>
      </c>
      <c r="CM734">
        <f>$C734*CM733</f>
        <v/>
      </c>
      <c r="CN734">
        <f>$C734*CN733</f>
        <v/>
      </c>
      <c r="CO734">
        <f>$C734*CO733</f>
        <v/>
      </c>
      <c r="CP734">
        <f>$C734*CP733</f>
        <v/>
      </c>
      <c r="CQ734">
        <f>$C734*CQ733</f>
        <v/>
      </c>
      <c r="CR734">
        <f>$C734*CR733</f>
        <v/>
      </c>
      <c r="CS734">
        <f>$C734*CS733</f>
        <v/>
      </c>
      <c r="CT734">
        <f>$C734*CT733</f>
        <v/>
      </c>
      <c r="CU734">
        <f>$C734*CU733</f>
        <v/>
      </c>
      <c r="CV734">
        <f>$C734*CV733</f>
        <v/>
      </c>
      <c r="CW734">
        <f>$C734*CW733</f>
        <v/>
      </c>
      <c r="CX734">
        <f>$C734*CX733</f>
        <v/>
      </c>
      <c r="CY734">
        <f>$C734*CY733</f>
        <v/>
      </c>
      <c r="CZ734">
        <f>$C734*CZ733</f>
        <v/>
      </c>
      <c r="DA734">
        <f>$C734*DA733</f>
        <v/>
      </c>
      <c r="DB734">
        <f>$C734*DB733</f>
        <v/>
      </c>
      <c r="DC734">
        <f>$C734*DC733</f>
        <v/>
      </c>
    </row>
    <row r="735">
      <c r="B735" t="inlineStr">
        <is>
          <t>VSP-746</t>
        </is>
      </c>
      <c r="C735" t="inlineStr">
        <is>
          <t>No. of batches</t>
        </is>
      </c>
      <c r="D735">
        <f>IFERROR(INDEX(PP_Grid[#Data],$DD735,2),0)</f>
        <v/>
      </c>
      <c r="E735">
        <f>IFERROR(INDEX(PP_Grid[#Data],$DD735,3),0)</f>
        <v/>
      </c>
      <c r="F735">
        <f>IFERROR(INDEX(PP_Grid[#Data],$DD735,4),0)</f>
        <v/>
      </c>
      <c r="G735">
        <f>IFERROR(INDEX(PP_Grid[#Data],$DD735,5),0)</f>
        <v/>
      </c>
      <c r="H735">
        <f>IFERROR(INDEX(PP_Grid[#Data],$DD735,6),0)</f>
        <v/>
      </c>
      <c r="I735">
        <f>IFERROR(INDEX(PP_Grid[#Data],$DD735,7),0)</f>
        <v/>
      </c>
      <c r="J735">
        <f>IFERROR(INDEX(PP_Grid[#Data],$DD735,8),0)</f>
        <v/>
      </c>
      <c r="K735">
        <f>IFERROR(INDEX(PP_Grid[#Data],$DD735,9),0)</f>
        <v/>
      </c>
      <c r="L735">
        <f>IFERROR(INDEX(PP_Grid[#Data],$DD735,10),0)</f>
        <v/>
      </c>
      <c r="M735">
        <f>IFERROR(INDEX(PP_Grid[#Data],$DD735,11),0)</f>
        <v/>
      </c>
      <c r="N735">
        <f>IFERROR(INDEX(PP_Grid[#Data],$DD735,12),0)</f>
        <v/>
      </c>
      <c r="O735">
        <f>IFERROR(INDEX(PP_Grid[#Data],$DD735,13),0)</f>
        <v/>
      </c>
      <c r="P735">
        <f>IFERROR(INDEX(PP_Grid[#Data],$DD735,14),0)</f>
        <v/>
      </c>
      <c r="Q735">
        <f>IFERROR(INDEX(PP_Grid[#Data],$DD735,15),0)</f>
        <v/>
      </c>
      <c r="R735">
        <f>IFERROR(INDEX(PP_Grid[#Data],$DD735,16),0)</f>
        <v/>
      </c>
      <c r="S735">
        <f>IFERROR(INDEX(PP_Grid[#Data],$DD735,17),0)</f>
        <v/>
      </c>
      <c r="T735">
        <f>IFERROR(INDEX(PP_Grid[#Data],$DD735,18),0)</f>
        <v/>
      </c>
      <c r="U735">
        <f>IFERROR(INDEX(PP_Grid[#Data],$DD735,19),0)</f>
        <v/>
      </c>
      <c r="V735">
        <f>IFERROR(INDEX(PP_Grid[#Data],$DD735,20),0)</f>
        <v/>
      </c>
      <c r="W735">
        <f>IFERROR(INDEX(PP_Grid[#Data],$DD735,21),0)</f>
        <v/>
      </c>
      <c r="X735">
        <f>IFERROR(INDEX(PP_Grid[#Data],$DD735,22),0)</f>
        <v/>
      </c>
      <c r="Y735">
        <f>IFERROR(INDEX(PP_Grid[#Data],$DD735,23),0)</f>
        <v/>
      </c>
      <c r="Z735">
        <f>IFERROR(INDEX(PP_Grid[#Data],$DD735,24),0)</f>
        <v/>
      </c>
      <c r="AA735">
        <f>IFERROR(INDEX(PP_Grid[#Data],$DD735,25),0)</f>
        <v/>
      </c>
      <c r="AB735">
        <f>IFERROR(INDEX(PP_Grid[#Data],$DD735,26),0)</f>
        <v/>
      </c>
      <c r="AC735">
        <f>IFERROR(INDEX(PP_Grid[#Data],$DD735,27),0)</f>
        <v/>
      </c>
      <c r="AD735">
        <f>IFERROR(INDEX(PP_Grid[#Data],$DD735,28),0)</f>
        <v/>
      </c>
      <c r="AE735">
        <f>IFERROR(INDEX(PP_Grid[#Data],$DD735,29),0)</f>
        <v/>
      </c>
      <c r="AF735">
        <f>IFERROR(INDEX(PP_Grid[#Data],$DD735,30),0)</f>
        <v/>
      </c>
      <c r="AG735">
        <f>IFERROR(INDEX(PP_Grid[#Data],$DD735,31),0)</f>
        <v/>
      </c>
      <c r="AH735">
        <f>IFERROR(INDEX(PP_Grid[#Data],$DD735,32),0)</f>
        <v/>
      </c>
      <c r="AI735">
        <f>IFERROR(INDEX(PP_Grid[#Data],$DD735,33),0)</f>
        <v/>
      </c>
      <c r="AJ735">
        <f>IFERROR(INDEX(PP_Grid[#Data],$DD735,34),0)</f>
        <v/>
      </c>
      <c r="AK735">
        <f>IFERROR(INDEX(PP_Grid[#Data],$DD735,35),0)</f>
        <v/>
      </c>
      <c r="AL735">
        <f>IFERROR(INDEX(PP_Grid[#Data],$DD735,36),0)</f>
        <v/>
      </c>
      <c r="AM735">
        <f>IFERROR(INDEX(PP_Grid[#Data],$DD735,37),0)</f>
        <v/>
      </c>
      <c r="AN735">
        <f>IFERROR(INDEX(PP_Grid[#Data],$DD735,38),0)</f>
        <v/>
      </c>
      <c r="AO735">
        <f>IFERROR(INDEX(PP_Grid[#Data],$DD735,39),0)</f>
        <v/>
      </c>
      <c r="AP735">
        <f>IFERROR(INDEX(PP_Grid[#Data],$DD735,40),0)</f>
        <v/>
      </c>
      <c r="AQ735">
        <f>IFERROR(INDEX(PP_Grid[#Data],$DD735,41),0)</f>
        <v/>
      </c>
      <c r="AR735">
        <f>IFERROR(INDEX(PP_Grid[#Data],$DD735,42),0)</f>
        <v/>
      </c>
      <c r="AS735">
        <f>IFERROR(INDEX(PP_Grid[#Data],$DD735,43),0)</f>
        <v/>
      </c>
      <c r="AT735">
        <f>IFERROR(INDEX(PP_Grid[#Data],$DD735,44),0)</f>
        <v/>
      </c>
      <c r="AU735">
        <f>IFERROR(INDEX(PP_Grid[#Data],$DD735,45),0)</f>
        <v/>
      </c>
      <c r="AV735">
        <f>IFERROR(INDEX(PP_Grid[#Data],$DD735,46),0)</f>
        <v/>
      </c>
      <c r="AW735">
        <f>IFERROR(INDEX(PP_Grid[#Data],$DD735,47),0)</f>
        <v/>
      </c>
      <c r="AX735">
        <f>IFERROR(INDEX(PP_Grid[#Data],$DD735,48),0)</f>
        <v/>
      </c>
      <c r="AY735">
        <f>IFERROR(INDEX(PP_Grid[#Data],$DD735,49),0)</f>
        <v/>
      </c>
      <c r="AZ735">
        <f>IFERROR(INDEX(PP_Grid[#Data],$DD735,50),0)</f>
        <v/>
      </c>
      <c r="BA735">
        <f>IFERROR(INDEX(PP_Grid[#Data],$DD735,51),0)</f>
        <v/>
      </c>
      <c r="BB735">
        <f>IFERROR(INDEX(PP_Grid[#Data],$DD735,52),0)</f>
        <v/>
      </c>
      <c r="BC735">
        <f>IFERROR(INDEX(PP_Grid[#Data],$DD735,53),0)</f>
        <v/>
      </c>
      <c r="BD735">
        <f>IFERROR(INDEX(PP_Grid[#Data],$DD735,54),0)</f>
        <v/>
      </c>
      <c r="BE735">
        <f>IFERROR(INDEX(PP_Grid[#Data],$DD735,55),0)</f>
        <v/>
      </c>
      <c r="BF735">
        <f>IFERROR(INDEX(PP_Grid[#Data],$DD735,56),0)</f>
        <v/>
      </c>
      <c r="BG735">
        <f>IFERROR(INDEX(PP_Grid[#Data],$DD735,57),0)</f>
        <v/>
      </c>
      <c r="BH735">
        <f>IFERROR(INDEX(PP_Grid[#Data],$DD735,58),0)</f>
        <v/>
      </c>
      <c r="BI735">
        <f>IFERROR(INDEX(PP_Grid[#Data],$DD735,59),0)</f>
        <v/>
      </c>
      <c r="BJ735">
        <f>IFERROR(INDEX(PP_Grid[#Data],$DD735,60),0)</f>
        <v/>
      </c>
      <c r="BK735">
        <f>IFERROR(INDEX(PP_Grid[#Data],$DD735,61),0)</f>
        <v/>
      </c>
      <c r="BL735">
        <f>IFERROR(INDEX(PP_Grid[#Data],$DD735,62),0)</f>
        <v/>
      </c>
      <c r="BM735">
        <f>IFERROR(INDEX(PP_Grid[#Data],$DD735,63),0)</f>
        <v/>
      </c>
      <c r="BN735">
        <f>IFERROR(INDEX(PP_Grid[#Data],$DD735,64),0)</f>
        <v/>
      </c>
      <c r="BO735">
        <f>IFERROR(INDEX(PP_Grid[#Data],$DD735,65),0)</f>
        <v/>
      </c>
      <c r="BP735">
        <f>IFERROR(INDEX(PP_Grid[#Data],$DD735,66),0)</f>
        <v/>
      </c>
      <c r="BQ735">
        <f>IFERROR(INDEX(PP_Grid[#Data],$DD735,67),0)</f>
        <v/>
      </c>
      <c r="BR735">
        <f>IFERROR(INDEX(PP_Grid[#Data],$DD735,68),0)</f>
        <v/>
      </c>
      <c r="BS735">
        <f>IFERROR(INDEX(PP_Grid[#Data],$DD735,69),0)</f>
        <v/>
      </c>
      <c r="BT735">
        <f>IFERROR(INDEX(PP_Grid[#Data],$DD735,70),0)</f>
        <v/>
      </c>
      <c r="BU735">
        <f>IFERROR(INDEX(PP_Grid[#Data],$DD735,71),0)</f>
        <v/>
      </c>
      <c r="BV735">
        <f>IFERROR(INDEX(PP_Grid[#Data],$DD735,72),0)</f>
        <v/>
      </c>
      <c r="BW735">
        <f>IFERROR(INDEX(PP_Grid[#Data],$DD735,73),0)</f>
        <v/>
      </c>
      <c r="BX735">
        <f>IFERROR(INDEX(PP_Grid[#Data],$DD735,74),0)</f>
        <v/>
      </c>
      <c r="BY735">
        <f>IFERROR(INDEX(PP_Grid[#Data],$DD735,75),0)</f>
        <v/>
      </c>
      <c r="BZ735">
        <f>IFERROR(INDEX(PP_Grid[#Data],$DD735,76),0)</f>
        <v/>
      </c>
      <c r="CA735">
        <f>IFERROR(INDEX(PP_Grid[#Data],$DD735,77),0)</f>
        <v/>
      </c>
      <c r="CB735">
        <f>IFERROR(INDEX(PP_Grid[#Data],$DD735,78),0)</f>
        <v/>
      </c>
      <c r="CC735">
        <f>IFERROR(INDEX(PP_Grid[#Data],$DD735,79),0)</f>
        <v/>
      </c>
      <c r="CD735">
        <f>IFERROR(INDEX(PP_Grid[#Data],$DD735,80),0)</f>
        <v/>
      </c>
      <c r="CE735">
        <f>IFERROR(INDEX(PP_Grid[#Data],$DD735,81),0)</f>
        <v/>
      </c>
      <c r="CF735">
        <f>IFERROR(INDEX(PP_Grid[#Data],$DD735,82),0)</f>
        <v/>
      </c>
      <c r="CG735">
        <f>IFERROR(INDEX(PP_Grid[#Data],$DD735,83),0)</f>
        <v/>
      </c>
      <c r="CH735">
        <f>IFERROR(INDEX(PP_Grid[#Data],$DD735,84),0)</f>
        <v/>
      </c>
      <c r="CI735">
        <f>IFERROR(INDEX(PP_Grid[#Data],$DD735,85),0)</f>
        <v/>
      </c>
      <c r="CJ735">
        <f>IFERROR(INDEX(PP_Grid[#Data],$DD735,86),0)</f>
        <v/>
      </c>
      <c r="CK735">
        <f>IFERROR(INDEX(PP_Grid[#Data],$DD735,87),0)</f>
        <v/>
      </c>
      <c r="CL735">
        <f>IFERROR(INDEX(PP_Grid[#Data],$DD735,88),0)</f>
        <v/>
      </c>
      <c r="CM735">
        <f>IFERROR(INDEX(PP_Grid[#Data],$DD735,89),0)</f>
        <v/>
      </c>
      <c r="CN735">
        <f>IFERROR(INDEX(PP_Grid[#Data],$DD735,90),0)</f>
        <v/>
      </c>
      <c r="CO735">
        <f>IFERROR(INDEX(PP_Grid[#Data],$DD735,91),0)</f>
        <v/>
      </c>
      <c r="CP735">
        <f>IFERROR(INDEX(PP_Grid[#Data],$DD735,92),0)</f>
        <v/>
      </c>
      <c r="CQ735">
        <f>IFERROR(INDEX(PP_Grid[#Data],$DD735,93),0)</f>
        <v/>
      </c>
      <c r="CR735">
        <f>IFERROR(INDEX(PP_Grid[#Data],$DD735,94),0)</f>
        <v/>
      </c>
      <c r="CS735">
        <f>IFERROR(INDEX(PP_Grid[#Data],$DD735,95),0)</f>
        <v/>
      </c>
      <c r="CT735">
        <f>IFERROR(INDEX(PP_Grid[#Data],$DD735,96),0)</f>
        <v/>
      </c>
      <c r="CU735">
        <f>IFERROR(INDEX(PP_Grid[#Data],$DD735,97),0)</f>
        <v/>
      </c>
      <c r="CV735">
        <f>IFERROR(INDEX(PP_Grid[#Data],$DD735,98),0)</f>
        <v/>
      </c>
      <c r="CW735">
        <f>IFERROR(INDEX(PP_Grid[#Data],$DD735,99),0)</f>
        <v/>
      </c>
      <c r="CX735">
        <f>IFERROR(INDEX(PP_Grid[#Data],$DD735,100),0)</f>
        <v/>
      </c>
      <c r="CY735">
        <f>IFERROR(INDEX(PP_Grid[#Data],$DD735,101),0)</f>
        <v/>
      </c>
      <c r="CZ735">
        <f>IFERROR(INDEX(PP_Grid[#Data],$DD735,102),0)</f>
        <v/>
      </c>
      <c r="DA735">
        <f>IFERROR(INDEX(PP_Grid[#Data],$DD735,103),0)</f>
        <v/>
      </c>
      <c r="DB735">
        <f>IFERROR(INDEX(PP_Grid[#Data],$DD735,104),0)</f>
        <v/>
      </c>
      <c r="DC735">
        <f>IFERROR(INDEX(PP_Grid[#Data],$DD735,105),0)</f>
        <v/>
      </c>
      <c r="DD735" s="7">
        <f>IFERROR(MATCH($B735,PP_Grid[Intermediate],0),99999)</f>
        <v/>
      </c>
    </row>
    <row r="736">
      <c r="B736" t="inlineStr">
        <is>
          <t>使用量(kg)</t>
        </is>
      </c>
      <c r="C736">
        <f>SUMIFS(M_BOM[RM_Qty_Per_Batch],M_BOM[Intermediate],$B735,M_BOM[Part Name],$A710)</f>
        <v/>
      </c>
      <c r="D736">
        <f>$C736*D735</f>
        <v/>
      </c>
      <c r="E736">
        <f>$C736*E735</f>
        <v/>
      </c>
      <c r="F736">
        <f>$C736*F735</f>
        <v/>
      </c>
      <c r="G736">
        <f>$C736*G735</f>
        <v/>
      </c>
      <c r="H736">
        <f>$C736*H735</f>
        <v/>
      </c>
      <c r="I736">
        <f>$C736*I735</f>
        <v/>
      </c>
      <c r="J736">
        <f>$C736*J735</f>
        <v/>
      </c>
      <c r="K736">
        <f>$C736*K735</f>
        <v/>
      </c>
      <c r="L736">
        <f>$C736*L735</f>
        <v/>
      </c>
      <c r="M736">
        <f>$C736*M735</f>
        <v/>
      </c>
      <c r="N736">
        <f>$C736*N735</f>
        <v/>
      </c>
      <c r="O736">
        <f>$C736*O735</f>
        <v/>
      </c>
      <c r="P736">
        <f>$C736*P735</f>
        <v/>
      </c>
      <c r="Q736">
        <f>$C736*Q735</f>
        <v/>
      </c>
      <c r="R736">
        <f>$C736*R735</f>
        <v/>
      </c>
      <c r="S736">
        <f>$C736*S735</f>
        <v/>
      </c>
      <c r="T736">
        <f>$C736*T735</f>
        <v/>
      </c>
      <c r="U736">
        <f>$C736*U735</f>
        <v/>
      </c>
      <c r="V736">
        <f>$C736*V735</f>
        <v/>
      </c>
      <c r="W736">
        <f>$C736*W735</f>
        <v/>
      </c>
      <c r="X736">
        <f>$C736*X735</f>
        <v/>
      </c>
      <c r="Y736">
        <f>$C736*Y735</f>
        <v/>
      </c>
      <c r="Z736">
        <f>$C736*Z735</f>
        <v/>
      </c>
      <c r="AA736">
        <f>$C736*AA735</f>
        <v/>
      </c>
      <c r="AB736">
        <f>$C736*AB735</f>
        <v/>
      </c>
      <c r="AC736">
        <f>$C736*AC735</f>
        <v/>
      </c>
      <c r="AD736">
        <f>$C736*AD735</f>
        <v/>
      </c>
      <c r="AE736">
        <f>$C736*AE735</f>
        <v/>
      </c>
      <c r="AF736">
        <f>$C736*AF735</f>
        <v/>
      </c>
      <c r="AG736">
        <f>$C736*AG735</f>
        <v/>
      </c>
      <c r="AH736">
        <f>$C736*AH735</f>
        <v/>
      </c>
      <c r="AI736">
        <f>$C736*AI735</f>
        <v/>
      </c>
      <c r="AJ736">
        <f>$C736*AJ735</f>
        <v/>
      </c>
      <c r="AK736">
        <f>$C736*AK735</f>
        <v/>
      </c>
      <c r="AL736">
        <f>$C736*AL735</f>
        <v/>
      </c>
      <c r="AM736">
        <f>$C736*AM735</f>
        <v/>
      </c>
      <c r="AN736">
        <f>$C736*AN735</f>
        <v/>
      </c>
      <c r="AO736">
        <f>$C736*AO735</f>
        <v/>
      </c>
      <c r="AP736">
        <f>$C736*AP735</f>
        <v/>
      </c>
      <c r="AQ736">
        <f>$C736*AQ735</f>
        <v/>
      </c>
      <c r="AR736">
        <f>$C736*AR735</f>
        <v/>
      </c>
      <c r="AS736">
        <f>$C736*AS735</f>
        <v/>
      </c>
      <c r="AT736">
        <f>$C736*AT735</f>
        <v/>
      </c>
      <c r="AU736">
        <f>$C736*AU735</f>
        <v/>
      </c>
      <c r="AV736">
        <f>$C736*AV735</f>
        <v/>
      </c>
      <c r="AW736">
        <f>$C736*AW735</f>
        <v/>
      </c>
      <c r="AX736">
        <f>$C736*AX735</f>
        <v/>
      </c>
      <c r="AY736">
        <f>$C736*AY735</f>
        <v/>
      </c>
      <c r="AZ736">
        <f>$C736*AZ735</f>
        <v/>
      </c>
      <c r="BA736">
        <f>$C736*BA735</f>
        <v/>
      </c>
      <c r="BB736">
        <f>$C736*BB735</f>
        <v/>
      </c>
      <c r="BC736">
        <f>$C736*BC735</f>
        <v/>
      </c>
      <c r="BD736">
        <f>$C736*BD735</f>
        <v/>
      </c>
      <c r="BE736">
        <f>$C736*BE735</f>
        <v/>
      </c>
      <c r="BF736">
        <f>$C736*BF735</f>
        <v/>
      </c>
      <c r="BG736">
        <f>$C736*BG735</f>
        <v/>
      </c>
      <c r="BH736">
        <f>$C736*BH735</f>
        <v/>
      </c>
      <c r="BI736">
        <f>$C736*BI735</f>
        <v/>
      </c>
      <c r="BJ736">
        <f>$C736*BJ735</f>
        <v/>
      </c>
      <c r="BK736">
        <f>$C736*BK735</f>
        <v/>
      </c>
      <c r="BL736">
        <f>$C736*BL735</f>
        <v/>
      </c>
      <c r="BM736">
        <f>$C736*BM735</f>
        <v/>
      </c>
      <c r="BN736">
        <f>$C736*BN735</f>
        <v/>
      </c>
      <c r="BO736">
        <f>$C736*BO735</f>
        <v/>
      </c>
      <c r="BP736">
        <f>$C736*BP735</f>
        <v/>
      </c>
      <c r="BQ736">
        <f>$C736*BQ735</f>
        <v/>
      </c>
      <c r="BR736">
        <f>$C736*BR735</f>
        <v/>
      </c>
      <c r="BS736">
        <f>$C736*BS735</f>
        <v/>
      </c>
      <c r="BT736">
        <f>$C736*BT735</f>
        <v/>
      </c>
      <c r="BU736">
        <f>$C736*BU735</f>
        <v/>
      </c>
      <c r="BV736">
        <f>$C736*BV735</f>
        <v/>
      </c>
      <c r="BW736">
        <f>$C736*BW735</f>
        <v/>
      </c>
      <c r="BX736">
        <f>$C736*BX735</f>
        <v/>
      </c>
      <c r="BY736">
        <f>$C736*BY735</f>
        <v/>
      </c>
      <c r="BZ736">
        <f>$C736*BZ735</f>
        <v/>
      </c>
      <c r="CA736">
        <f>$C736*CA735</f>
        <v/>
      </c>
      <c r="CB736">
        <f>$C736*CB735</f>
        <v/>
      </c>
      <c r="CC736">
        <f>$C736*CC735</f>
        <v/>
      </c>
      <c r="CD736">
        <f>$C736*CD735</f>
        <v/>
      </c>
      <c r="CE736">
        <f>$C736*CE735</f>
        <v/>
      </c>
      <c r="CF736">
        <f>$C736*CF735</f>
        <v/>
      </c>
      <c r="CG736">
        <f>$C736*CG735</f>
        <v/>
      </c>
      <c r="CH736">
        <f>$C736*CH735</f>
        <v/>
      </c>
      <c r="CI736">
        <f>$C736*CI735</f>
        <v/>
      </c>
      <c r="CJ736">
        <f>$C736*CJ735</f>
        <v/>
      </c>
      <c r="CK736">
        <f>$C736*CK735</f>
        <v/>
      </c>
      <c r="CL736">
        <f>$C736*CL735</f>
        <v/>
      </c>
      <c r="CM736">
        <f>$C736*CM735</f>
        <v/>
      </c>
      <c r="CN736">
        <f>$C736*CN735</f>
        <v/>
      </c>
      <c r="CO736">
        <f>$C736*CO735</f>
        <v/>
      </c>
      <c r="CP736">
        <f>$C736*CP735</f>
        <v/>
      </c>
      <c r="CQ736">
        <f>$C736*CQ735</f>
        <v/>
      </c>
      <c r="CR736">
        <f>$C736*CR735</f>
        <v/>
      </c>
      <c r="CS736">
        <f>$C736*CS735</f>
        <v/>
      </c>
      <c r="CT736">
        <f>$C736*CT735</f>
        <v/>
      </c>
      <c r="CU736">
        <f>$C736*CU735</f>
        <v/>
      </c>
      <c r="CV736">
        <f>$C736*CV735</f>
        <v/>
      </c>
      <c r="CW736">
        <f>$C736*CW735</f>
        <v/>
      </c>
      <c r="CX736">
        <f>$C736*CX735</f>
        <v/>
      </c>
      <c r="CY736">
        <f>$C736*CY735</f>
        <v/>
      </c>
      <c r="CZ736">
        <f>$C736*CZ735</f>
        <v/>
      </c>
      <c r="DA736">
        <f>$C736*DA735</f>
        <v/>
      </c>
      <c r="DB736">
        <f>$C736*DB735</f>
        <v/>
      </c>
      <c r="DC736">
        <f>$C736*DC735</f>
        <v/>
      </c>
    </row>
    <row r="737">
      <c r="B737" t="inlineStr">
        <is>
          <t>VSP-822</t>
        </is>
      </c>
      <c r="C737" t="inlineStr">
        <is>
          <t>No. of batches</t>
        </is>
      </c>
      <c r="D737">
        <f>IFERROR(INDEX(PP_Grid[#Data],$DD737,2),0)</f>
        <v/>
      </c>
      <c r="E737">
        <f>IFERROR(INDEX(PP_Grid[#Data],$DD737,3),0)</f>
        <v/>
      </c>
      <c r="F737">
        <f>IFERROR(INDEX(PP_Grid[#Data],$DD737,4),0)</f>
        <v/>
      </c>
      <c r="G737">
        <f>IFERROR(INDEX(PP_Grid[#Data],$DD737,5),0)</f>
        <v/>
      </c>
      <c r="H737">
        <f>IFERROR(INDEX(PP_Grid[#Data],$DD737,6),0)</f>
        <v/>
      </c>
      <c r="I737">
        <f>IFERROR(INDEX(PP_Grid[#Data],$DD737,7),0)</f>
        <v/>
      </c>
      <c r="J737">
        <f>IFERROR(INDEX(PP_Grid[#Data],$DD737,8),0)</f>
        <v/>
      </c>
      <c r="K737">
        <f>IFERROR(INDEX(PP_Grid[#Data],$DD737,9),0)</f>
        <v/>
      </c>
      <c r="L737">
        <f>IFERROR(INDEX(PP_Grid[#Data],$DD737,10),0)</f>
        <v/>
      </c>
      <c r="M737">
        <f>IFERROR(INDEX(PP_Grid[#Data],$DD737,11),0)</f>
        <v/>
      </c>
      <c r="N737">
        <f>IFERROR(INDEX(PP_Grid[#Data],$DD737,12),0)</f>
        <v/>
      </c>
      <c r="O737">
        <f>IFERROR(INDEX(PP_Grid[#Data],$DD737,13),0)</f>
        <v/>
      </c>
      <c r="P737">
        <f>IFERROR(INDEX(PP_Grid[#Data],$DD737,14),0)</f>
        <v/>
      </c>
      <c r="Q737">
        <f>IFERROR(INDEX(PP_Grid[#Data],$DD737,15),0)</f>
        <v/>
      </c>
      <c r="R737">
        <f>IFERROR(INDEX(PP_Grid[#Data],$DD737,16),0)</f>
        <v/>
      </c>
      <c r="S737">
        <f>IFERROR(INDEX(PP_Grid[#Data],$DD737,17),0)</f>
        <v/>
      </c>
      <c r="T737">
        <f>IFERROR(INDEX(PP_Grid[#Data],$DD737,18),0)</f>
        <v/>
      </c>
      <c r="U737">
        <f>IFERROR(INDEX(PP_Grid[#Data],$DD737,19),0)</f>
        <v/>
      </c>
      <c r="V737">
        <f>IFERROR(INDEX(PP_Grid[#Data],$DD737,20),0)</f>
        <v/>
      </c>
      <c r="W737">
        <f>IFERROR(INDEX(PP_Grid[#Data],$DD737,21),0)</f>
        <v/>
      </c>
      <c r="X737">
        <f>IFERROR(INDEX(PP_Grid[#Data],$DD737,22),0)</f>
        <v/>
      </c>
      <c r="Y737">
        <f>IFERROR(INDEX(PP_Grid[#Data],$DD737,23),0)</f>
        <v/>
      </c>
      <c r="Z737">
        <f>IFERROR(INDEX(PP_Grid[#Data],$DD737,24),0)</f>
        <v/>
      </c>
      <c r="AA737">
        <f>IFERROR(INDEX(PP_Grid[#Data],$DD737,25),0)</f>
        <v/>
      </c>
      <c r="AB737">
        <f>IFERROR(INDEX(PP_Grid[#Data],$DD737,26),0)</f>
        <v/>
      </c>
      <c r="AC737">
        <f>IFERROR(INDEX(PP_Grid[#Data],$DD737,27),0)</f>
        <v/>
      </c>
      <c r="AD737">
        <f>IFERROR(INDEX(PP_Grid[#Data],$DD737,28),0)</f>
        <v/>
      </c>
      <c r="AE737">
        <f>IFERROR(INDEX(PP_Grid[#Data],$DD737,29),0)</f>
        <v/>
      </c>
      <c r="AF737">
        <f>IFERROR(INDEX(PP_Grid[#Data],$DD737,30),0)</f>
        <v/>
      </c>
      <c r="AG737">
        <f>IFERROR(INDEX(PP_Grid[#Data],$DD737,31),0)</f>
        <v/>
      </c>
      <c r="AH737">
        <f>IFERROR(INDEX(PP_Grid[#Data],$DD737,32),0)</f>
        <v/>
      </c>
      <c r="AI737">
        <f>IFERROR(INDEX(PP_Grid[#Data],$DD737,33),0)</f>
        <v/>
      </c>
      <c r="AJ737">
        <f>IFERROR(INDEX(PP_Grid[#Data],$DD737,34),0)</f>
        <v/>
      </c>
      <c r="AK737">
        <f>IFERROR(INDEX(PP_Grid[#Data],$DD737,35),0)</f>
        <v/>
      </c>
      <c r="AL737">
        <f>IFERROR(INDEX(PP_Grid[#Data],$DD737,36),0)</f>
        <v/>
      </c>
      <c r="AM737">
        <f>IFERROR(INDEX(PP_Grid[#Data],$DD737,37),0)</f>
        <v/>
      </c>
      <c r="AN737">
        <f>IFERROR(INDEX(PP_Grid[#Data],$DD737,38),0)</f>
        <v/>
      </c>
      <c r="AO737">
        <f>IFERROR(INDEX(PP_Grid[#Data],$DD737,39),0)</f>
        <v/>
      </c>
      <c r="AP737">
        <f>IFERROR(INDEX(PP_Grid[#Data],$DD737,40),0)</f>
        <v/>
      </c>
      <c r="AQ737">
        <f>IFERROR(INDEX(PP_Grid[#Data],$DD737,41),0)</f>
        <v/>
      </c>
      <c r="AR737">
        <f>IFERROR(INDEX(PP_Grid[#Data],$DD737,42),0)</f>
        <v/>
      </c>
      <c r="AS737">
        <f>IFERROR(INDEX(PP_Grid[#Data],$DD737,43),0)</f>
        <v/>
      </c>
      <c r="AT737">
        <f>IFERROR(INDEX(PP_Grid[#Data],$DD737,44),0)</f>
        <v/>
      </c>
      <c r="AU737">
        <f>IFERROR(INDEX(PP_Grid[#Data],$DD737,45),0)</f>
        <v/>
      </c>
      <c r="AV737">
        <f>IFERROR(INDEX(PP_Grid[#Data],$DD737,46),0)</f>
        <v/>
      </c>
      <c r="AW737">
        <f>IFERROR(INDEX(PP_Grid[#Data],$DD737,47),0)</f>
        <v/>
      </c>
      <c r="AX737">
        <f>IFERROR(INDEX(PP_Grid[#Data],$DD737,48),0)</f>
        <v/>
      </c>
      <c r="AY737">
        <f>IFERROR(INDEX(PP_Grid[#Data],$DD737,49),0)</f>
        <v/>
      </c>
      <c r="AZ737">
        <f>IFERROR(INDEX(PP_Grid[#Data],$DD737,50),0)</f>
        <v/>
      </c>
      <c r="BA737">
        <f>IFERROR(INDEX(PP_Grid[#Data],$DD737,51),0)</f>
        <v/>
      </c>
      <c r="BB737">
        <f>IFERROR(INDEX(PP_Grid[#Data],$DD737,52),0)</f>
        <v/>
      </c>
      <c r="BC737">
        <f>IFERROR(INDEX(PP_Grid[#Data],$DD737,53),0)</f>
        <v/>
      </c>
      <c r="BD737">
        <f>IFERROR(INDEX(PP_Grid[#Data],$DD737,54),0)</f>
        <v/>
      </c>
      <c r="BE737">
        <f>IFERROR(INDEX(PP_Grid[#Data],$DD737,55),0)</f>
        <v/>
      </c>
      <c r="BF737">
        <f>IFERROR(INDEX(PP_Grid[#Data],$DD737,56),0)</f>
        <v/>
      </c>
      <c r="BG737">
        <f>IFERROR(INDEX(PP_Grid[#Data],$DD737,57),0)</f>
        <v/>
      </c>
      <c r="BH737">
        <f>IFERROR(INDEX(PP_Grid[#Data],$DD737,58),0)</f>
        <v/>
      </c>
      <c r="BI737">
        <f>IFERROR(INDEX(PP_Grid[#Data],$DD737,59),0)</f>
        <v/>
      </c>
      <c r="BJ737">
        <f>IFERROR(INDEX(PP_Grid[#Data],$DD737,60),0)</f>
        <v/>
      </c>
      <c r="BK737">
        <f>IFERROR(INDEX(PP_Grid[#Data],$DD737,61),0)</f>
        <v/>
      </c>
      <c r="BL737">
        <f>IFERROR(INDEX(PP_Grid[#Data],$DD737,62),0)</f>
        <v/>
      </c>
      <c r="BM737">
        <f>IFERROR(INDEX(PP_Grid[#Data],$DD737,63),0)</f>
        <v/>
      </c>
      <c r="BN737">
        <f>IFERROR(INDEX(PP_Grid[#Data],$DD737,64),0)</f>
        <v/>
      </c>
      <c r="BO737">
        <f>IFERROR(INDEX(PP_Grid[#Data],$DD737,65),0)</f>
        <v/>
      </c>
      <c r="BP737">
        <f>IFERROR(INDEX(PP_Grid[#Data],$DD737,66),0)</f>
        <v/>
      </c>
      <c r="BQ737">
        <f>IFERROR(INDEX(PP_Grid[#Data],$DD737,67),0)</f>
        <v/>
      </c>
      <c r="BR737">
        <f>IFERROR(INDEX(PP_Grid[#Data],$DD737,68),0)</f>
        <v/>
      </c>
      <c r="BS737">
        <f>IFERROR(INDEX(PP_Grid[#Data],$DD737,69),0)</f>
        <v/>
      </c>
      <c r="BT737">
        <f>IFERROR(INDEX(PP_Grid[#Data],$DD737,70),0)</f>
        <v/>
      </c>
      <c r="BU737">
        <f>IFERROR(INDEX(PP_Grid[#Data],$DD737,71),0)</f>
        <v/>
      </c>
      <c r="BV737">
        <f>IFERROR(INDEX(PP_Grid[#Data],$DD737,72),0)</f>
        <v/>
      </c>
      <c r="BW737">
        <f>IFERROR(INDEX(PP_Grid[#Data],$DD737,73),0)</f>
        <v/>
      </c>
      <c r="BX737">
        <f>IFERROR(INDEX(PP_Grid[#Data],$DD737,74),0)</f>
        <v/>
      </c>
      <c r="BY737">
        <f>IFERROR(INDEX(PP_Grid[#Data],$DD737,75),0)</f>
        <v/>
      </c>
      <c r="BZ737">
        <f>IFERROR(INDEX(PP_Grid[#Data],$DD737,76),0)</f>
        <v/>
      </c>
      <c r="CA737">
        <f>IFERROR(INDEX(PP_Grid[#Data],$DD737,77),0)</f>
        <v/>
      </c>
      <c r="CB737">
        <f>IFERROR(INDEX(PP_Grid[#Data],$DD737,78),0)</f>
        <v/>
      </c>
      <c r="CC737">
        <f>IFERROR(INDEX(PP_Grid[#Data],$DD737,79),0)</f>
        <v/>
      </c>
      <c r="CD737">
        <f>IFERROR(INDEX(PP_Grid[#Data],$DD737,80),0)</f>
        <v/>
      </c>
      <c r="CE737">
        <f>IFERROR(INDEX(PP_Grid[#Data],$DD737,81),0)</f>
        <v/>
      </c>
      <c r="CF737">
        <f>IFERROR(INDEX(PP_Grid[#Data],$DD737,82),0)</f>
        <v/>
      </c>
      <c r="CG737">
        <f>IFERROR(INDEX(PP_Grid[#Data],$DD737,83),0)</f>
        <v/>
      </c>
      <c r="CH737">
        <f>IFERROR(INDEX(PP_Grid[#Data],$DD737,84),0)</f>
        <v/>
      </c>
      <c r="CI737">
        <f>IFERROR(INDEX(PP_Grid[#Data],$DD737,85),0)</f>
        <v/>
      </c>
      <c r="CJ737">
        <f>IFERROR(INDEX(PP_Grid[#Data],$DD737,86),0)</f>
        <v/>
      </c>
      <c r="CK737">
        <f>IFERROR(INDEX(PP_Grid[#Data],$DD737,87),0)</f>
        <v/>
      </c>
      <c r="CL737">
        <f>IFERROR(INDEX(PP_Grid[#Data],$DD737,88),0)</f>
        <v/>
      </c>
      <c r="CM737">
        <f>IFERROR(INDEX(PP_Grid[#Data],$DD737,89),0)</f>
        <v/>
      </c>
      <c r="CN737">
        <f>IFERROR(INDEX(PP_Grid[#Data],$DD737,90),0)</f>
        <v/>
      </c>
      <c r="CO737">
        <f>IFERROR(INDEX(PP_Grid[#Data],$DD737,91),0)</f>
        <v/>
      </c>
      <c r="CP737">
        <f>IFERROR(INDEX(PP_Grid[#Data],$DD737,92),0)</f>
        <v/>
      </c>
      <c r="CQ737">
        <f>IFERROR(INDEX(PP_Grid[#Data],$DD737,93),0)</f>
        <v/>
      </c>
      <c r="CR737">
        <f>IFERROR(INDEX(PP_Grid[#Data],$DD737,94),0)</f>
        <v/>
      </c>
      <c r="CS737">
        <f>IFERROR(INDEX(PP_Grid[#Data],$DD737,95),0)</f>
        <v/>
      </c>
      <c r="CT737">
        <f>IFERROR(INDEX(PP_Grid[#Data],$DD737,96),0)</f>
        <v/>
      </c>
      <c r="CU737">
        <f>IFERROR(INDEX(PP_Grid[#Data],$DD737,97),0)</f>
        <v/>
      </c>
      <c r="CV737">
        <f>IFERROR(INDEX(PP_Grid[#Data],$DD737,98),0)</f>
        <v/>
      </c>
      <c r="CW737">
        <f>IFERROR(INDEX(PP_Grid[#Data],$DD737,99),0)</f>
        <v/>
      </c>
      <c r="CX737">
        <f>IFERROR(INDEX(PP_Grid[#Data],$DD737,100),0)</f>
        <v/>
      </c>
      <c r="CY737">
        <f>IFERROR(INDEX(PP_Grid[#Data],$DD737,101),0)</f>
        <v/>
      </c>
      <c r="CZ737">
        <f>IFERROR(INDEX(PP_Grid[#Data],$DD737,102),0)</f>
        <v/>
      </c>
      <c r="DA737">
        <f>IFERROR(INDEX(PP_Grid[#Data],$DD737,103),0)</f>
        <v/>
      </c>
      <c r="DB737">
        <f>IFERROR(INDEX(PP_Grid[#Data],$DD737,104),0)</f>
        <v/>
      </c>
      <c r="DC737">
        <f>IFERROR(INDEX(PP_Grid[#Data],$DD737,105),0)</f>
        <v/>
      </c>
      <c r="DD737" s="7">
        <f>IFERROR(MATCH($B737,PP_Grid[Intermediate],0),99999)</f>
        <v/>
      </c>
    </row>
    <row r="738">
      <c r="B738" t="inlineStr">
        <is>
          <t>使用量(kg)</t>
        </is>
      </c>
      <c r="C738">
        <f>SUMIFS(M_BOM[RM_Qty_Per_Batch],M_BOM[Intermediate],$B737,M_BOM[Part Name],$A710)</f>
        <v/>
      </c>
      <c r="D738">
        <f>$C738*D737</f>
        <v/>
      </c>
      <c r="E738">
        <f>$C738*E737</f>
        <v/>
      </c>
      <c r="F738">
        <f>$C738*F737</f>
        <v/>
      </c>
      <c r="G738">
        <f>$C738*G737</f>
        <v/>
      </c>
      <c r="H738">
        <f>$C738*H737</f>
        <v/>
      </c>
      <c r="I738">
        <f>$C738*I737</f>
        <v/>
      </c>
      <c r="J738">
        <f>$C738*J737</f>
        <v/>
      </c>
      <c r="K738">
        <f>$C738*K737</f>
        <v/>
      </c>
      <c r="L738">
        <f>$C738*L737</f>
        <v/>
      </c>
      <c r="M738">
        <f>$C738*M737</f>
        <v/>
      </c>
      <c r="N738">
        <f>$C738*N737</f>
        <v/>
      </c>
      <c r="O738">
        <f>$C738*O737</f>
        <v/>
      </c>
      <c r="P738">
        <f>$C738*P737</f>
        <v/>
      </c>
      <c r="Q738">
        <f>$C738*Q737</f>
        <v/>
      </c>
      <c r="R738">
        <f>$C738*R737</f>
        <v/>
      </c>
      <c r="S738">
        <f>$C738*S737</f>
        <v/>
      </c>
      <c r="T738">
        <f>$C738*T737</f>
        <v/>
      </c>
      <c r="U738">
        <f>$C738*U737</f>
        <v/>
      </c>
      <c r="V738">
        <f>$C738*V737</f>
        <v/>
      </c>
      <c r="W738">
        <f>$C738*W737</f>
        <v/>
      </c>
      <c r="X738">
        <f>$C738*X737</f>
        <v/>
      </c>
      <c r="Y738">
        <f>$C738*Y737</f>
        <v/>
      </c>
      <c r="Z738">
        <f>$C738*Z737</f>
        <v/>
      </c>
      <c r="AA738">
        <f>$C738*AA737</f>
        <v/>
      </c>
      <c r="AB738">
        <f>$C738*AB737</f>
        <v/>
      </c>
      <c r="AC738">
        <f>$C738*AC737</f>
        <v/>
      </c>
      <c r="AD738">
        <f>$C738*AD737</f>
        <v/>
      </c>
      <c r="AE738">
        <f>$C738*AE737</f>
        <v/>
      </c>
      <c r="AF738">
        <f>$C738*AF737</f>
        <v/>
      </c>
      <c r="AG738">
        <f>$C738*AG737</f>
        <v/>
      </c>
      <c r="AH738">
        <f>$C738*AH737</f>
        <v/>
      </c>
      <c r="AI738">
        <f>$C738*AI737</f>
        <v/>
      </c>
      <c r="AJ738">
        <f>$C738*AJ737</f>
        <v/>
      </c>
      <c r="AK738">
        <f>$C738*AK737</f>
        <v/>
      </c>
      <c r="AL738">
        <f>$C738*AL737</f>
        <v/>
      </c>
      <c r="AM738">
        <f>$C738*AM737</f>
        <v/>
      </c>
      <c r="AN738">
        <f>$C738*AN737</f>
        <v/>
      </c>
      <c r="AO738">
        <f>$C738*AO737</f>
        <v/>
      </c>
      <c r="AP738">
        <f>$C738*AP737</f>
        <v/>
      </c>
      <c r="AQ738">
        <f>$C738*AQ737</f>
        <v/>
      </c>
      <c r="AR738">
        <f>$C738*AR737</f>
        <v/>
      </c>
      <c r="AS738">
        <f>$C738*AS737</f>
        <v/>
      </c>
      <c r="AT738">
        <f>$C738*AT737</f>
        <v/>
      </c>
      <c r="AU738">
        <f>$C738*AU737</f>
        <v/>
      </c>
      <c r="AV738">
        <f>$C738*AV737</f>
        <v/>
      </c>
      <c r="AW738">
        <f>$C738*AW737</f>
        <v/>
      </c>
      <c r="AX738">
        <f>$C738*AX737</f>
        <v/>
      </c>
      <c r="AY738">
        <f>$C738*AY737</f>
        <v/>
      </c>
      <c r="AZ738">
        <f>$C738*AZ737</f>
        <v/>
      </c>
      <c r="BA738">
        <f>$C738*BA737</f>
        <v/>
      </c>
      <c r="BB738">
        <f>$C738*BB737</f>
        <v/>
      </c>
      <c r="BC738">
        <f>$C738*BC737</f>
        <v/>
      </c>
      <c r="BD738">
        <f>$C738*BD737</f>
        <v/>
      </c>
      <c r="BE738">
        <f>$C738*BE737</f>
        <v/>
      </c>
      <c r="BF738">
        <f>$C738*BF737</f>
        <v/>
      </c>
      <c r="BG738">
        <f>$C738*BG737</f>
        <v/>
      </c>
      <c r="BH738">
        <f>$C738*BH737</f>
        <v/>
      </c>
      <c r="BI738">
        <f>$C738*BI737</f>
        <v/>
      </c>
      <c r="BJ738">
        <f>$C738*BJ737</f>
        <v/>
      </c>
      <c r="BK738">
        <f>$C738*BK737</f>
        <v/>
      </c>
      <c r="BL738">
        <f>$C738*BL737</f>
        <v/>
      </c>
      <c r="BM738">
        <f>$C738*BM737</f>
        <v/>
      </c>
      <c r="BN738">
        <f>$C738*BN737</f>
        <v/>
      </c>
      <c r="BO738">
        <f>$C738*BO737</f>
        <v/>
      </c>
      <c r="BP738">
        <f>$C738*BP737</f>
        <v/>
      </c>
      <c r="BQ738">
        <f>$C738*BQ737</f>
        <v/>
      </c>
      <c r="BR738">
        <f>$C738*BR737</f>
        <v/>
      </c>
      <c r="BS738">
        <f>$C738*BS737</f>
        <v/>
      </c>
      <c r="BT738">
        <f>$C738*BT737</f>
        <v/>
      </c>
      <c r="BU738">
        <f>$C738*BU737</f>
        <v/>
      </c>
      <c r="BV738">
        <f>$C738*BV737</f>
        <v/>
      </c>
      <c r="BW738">
        <f>$C738*BW737</f>
        <v/>
      </c>
      <c r="BX738">
        <f>$C738*BX737</f>
        <v/>
      </c>
      <c r="BY738">
        <f>$C738*BY737</f>
        <v/>
      </c>
      <c r="BZ738">
        <f>$C738*BZ737</f>
        <v/>
      </c>
      <c r="CA738">
        <f>$C738*CA737</f>
        <v/>
      </c>
      <c r="CB738">
        <f>$C738*CB737</f>
        <v/>
      </c>
      <c r="CC738">
        <f>$C738*CC737</f>
        <v/>
      </c>
      <c r="CD738">
        <f>$C738*CD737</f>
        <v/>
      </c>
      <c r="CE738">
        <f>$C738*CE737</f>
        <v/>
      </c>
      <c r="CF738">
        <f>$C738*CF737</f>
        <v/>
      </c>
      <c r="CG738">
        <f>$C738*CG737</f>
        <v/>
      </c>
      <c r="CH738">
        <f>$C738*CH737</f>
        <v/>
      </c>
      <c r="CI738">
        <f>$C738*CI737</f>
        <v/>
      </c>
      <c r="CJ738">
        <f>$C738*CJ737</f>
        <v/>
      </c>
      <c r="CK738">
        <f>$C738*CK737</f>
        <v/>
      </c>
      <c r="CL738">
        <f>$C738*CL737</f>
        <v/>
      </c>
      <c r="CM738">
        <f>$C738*CM737</f>
        <v/>
      </c>
      <c r="CN738">
        <f>$C738*CN737</f>
        <v/>
      </c>
      <c r="CO738">
        <f>$C738*CO737</f>
        <v/>
      </c>
      <c r="CP738">
        <f>$C738*CP737</f>
        <v/>
      </c>
      <c r="CQ738">
        <f>$C738*CQ737</f>
        <v/>
      </c>
      <c r="CR738">
        <f>$C738*CR737</f>
        <v/>
      </c>
      <c r="CS738">
        <f>$C738*CS737</f>
        <v/>
      </c>
      <c r="CT738">
        <f>$C738*CT737</f>
        <v/>
      </c>
      <c r="CU738">
        <f>$C738*CU737</f>
        <v/>
      </c>
      <c r="CV738">
        <f>$C738*CV737</f>
        <v/>
      </c>
      <c r="CW738">
        <f>$C738*CW737</f>
        <v/>
      </c>
      <c r="CX738">
        <f>$C738*CX737</f>
        <v/>
      </c>
      <c r="CY738">
        <f>$C738*CY737</f>
        <v/>
      </c>
      <c r="CZ738">
        <f>$C738*CZ737</f>
        <v/>
      </c>
      <c r="DA738">
        <f>$C738*DA737</f>
        <v/>
      </c>
      <c r="DB738">
        <f>$C738*DB737</f>
        <v/>
      </c>
      <c r="DC738">
        <f>$C738*DC737</f>
        <v/>
      </c>
    </row>
    <row r="739">
      <c r="B739" t="inlineStr">
        <is>
          <t>VSP-870</t>
        </is>
      </c>
      <c r="C739" t="inlineStr">
        <is>
          <t>No. of batches</t>
        </is>
      </c>
      <c r="D739">
        <f>IFERROR(INDEX(PP_Grid[#Data],$DD739,2),0)</f>
        <v/>
      </c>
      <c r="E739">
        <f>IFERROR(INDEX(PP_Grid[#Data],$DD739,3),0)</f>
        <v/>
      </c>
      <c r="F739">
        <f>IFERROR(INDEX(PP_Grid[#Data],$DD739,4),0)</f>
        <v/>
      </c>
      <c r="G739">
        <f>IFERROR(INDEX(PP_Grid[#Data],$DD739,5),0)</f>
        <v/>
      </c>
      <c r="H739">
        <f>IFERROR(INDEX(PP_Grid[#Data],$DD739,6),0)</f>
        <v/>
      </c>
      <c r="I739">
        <f>IFERROR(INDEX(PP_Grid[#Data],$DD739,7),0)</f>
        <v/>
      </c>
      <c r="J739">
        <f>IFERROR(INDEX(PP_Grid[#Data],$DD739,8),0)</f>
        <v/>
      </c>
      <c r="K739">
        <f>IFERROR(INDEX(PP_Grid[#Data],$DD739,9),0)</f>
        <v/>
      </c>
      <c r="L739">
        <f>IFERROR(INDEX(PP_Grid[#Data],$DD739,10),0)</f>
        <v/>
      </c>
      <c r="M739">
        <f>IFERROR(INDEX(PP_Grid[#Data],$DD739,11),0)</f>
        <v/>
      </c>
      <c r="N739">
        <f>IFERROR(INDEX(PP_Grid[#Data],$DD739,12),0)</f>
        <v/>
      </c>
      <c r="O739">
        <f>IFERROR(INDEX(PP_Grid[#Data],$DD739,13),0)</f>
        <v/>
      </c>
      <c r="P739">
        <f>IFERROR(INDEX(PP_Grid[#Data],$DD739,14),0)</f>
        <v/>
      </c>
      <c r="Q739">
        <f>IFERROR(INDEX(PP_Grid[#Data],$DD739,15),0)</f>
        <v/>
      </c>
      <c r="R739">
        <f>IFERROR(INDEX(PP_Grid[#Data],$DD739,16),0)</f>
        <v/>
      </c>
      <c r="S739">
        <f>IFERROR(INDEX(PP_Grid[#Data],$DD739,17),0)</f>
        <v/>
      </c>
      <c r="T739">
        <f>IFERROR(INDEX(PP_Grid[#Data],$DD739,18),0)</f>
        <v/>
      </c>
      <c r="U739">
        <f>IFERROR(INDEX(PP_Grid[#Data],$DD739,19),0)</f>
        <v/>
      </c>
      <c r="V739">
        <f>IFERROR(INDEX(PP_Grid[#Data],$DD739,20),0)</f>
        <v/>
      </c>
      <c r="W739">
        <f>IFERROR(INDEX(PP_Grid[#Data],$DD739,21),0)</f>
        <v/>
      </c>
      <c r="X739">
        <f>IFERROR(INDEX(PP_Grid[#Data],$DD739,22),0)</f>
        <v/>
      </c>
      <c r="Y739">
        <f>IFERROR(INDEX(PP_Grid[#Data],$DD739,23),0)</f>
        <v/>
      </c>
      <c r="Z739">
        <f>IFERROR(INDEX(PP_Grid[#Data],$DD739,24),0)</f>
        <v/>
      </c>
      <c r="AA739">
        <f>IFERROR(INDEX(PP_Grid[#Data],$DD739,25),0)</f>
        <v/>
      </c>
      <c r="AB739">
        <f>IFERROR(INDEX(PP_Grid[#Data],$DD739,26),0)</f>
        <v/>
      </c>
      <c r="AC739">
        <f>IFERROR(INDEX(PP_Grid[#Data],$DD739,27),0)</f>
        <v/>
      </c>
      <c r="AD739">
        <f>IFERROR(INDEX(PP_Grid[#Data],$DD739,28),0)</f>
        <v/>
      </c>
      <c r="AE739">
        <f>IFERROR(INDEX(PP_Grid[#Data],$DD739,29),0)</f>
        <v/>
      </c>
      <c r="AF739">
        <f>IFERROR(INDEX(PP_Grid[#Data],$DD739,30),0)</f>
        <v/>
      </c>
      <c r="AG739">
        <f>IFERROR(INDEX(PP_Grid[#Data],$DD739,31),0)</f>
        <v/>
      </c>
      <c r="AH739">
        <f>IFERROR(INDEX(PP_Grid[#Data],$DD739,32),0)</f>
        <v/>
      </c>
      <c r="AI739">
        <f>IFERROR(INDEX(PP_Grid[#Data],$DD739,33),0)</f>
        <v/>
      </c>
      <c r="AJ739">
        <f>IFERROR(INDEX(PP_Grid[#Data],$DD739,34),0)</f>
        <v/>
      </c>
      <c r="AK739">
        <f>IFERROR(INDEX(PP_Grid[#Data],$DD739,35),0)</f>
        <v/>
      </c>
      <c r="AL739">
        <f>IFERROR(INDEX(PP_Grid[#Data],$DD739,36),0)</f>
        <v/>
      </c>
      <c r="AM739">
        <f>IFERROR(INDEX(PP_Grid[#Data],$DD739,37),0)</f>
        <v/>
      </c>
      <c r="AN739">
        <f>IFERROR(INDEX(PP_Grid[#Data],$DD739,38),0)</f>
        <v/>
      </c>
      <c r="AO739">
        <f>IFERROR(INDEX(PP_Grid[#Data],$DD739,39),0)</f>
        <v/>
      </c>
      <c r="AP739">
        <f>IFERROR(INDEX(PP_Grid[#Data],$DD739,40),0)</f>
        <v/>
      </c>
      <c r="AQ739">
        <f>IFERROR(INDEX(PP_Grid[#Data],$DD739,41),0)</f>
        <v/>
      </c>
      <c r="AR739">
        <f>IFERROR(INDEX(PP_Grid[#Data],$DD739,42),0)</f>
        <v/>
      </c>
      <c r="AS739">
        <f>IFERROR(INDEX(PP_Grid[#Data],$DD739,43),0)</f>
        <v/>
      </c>
      <c r="AT739">
        <f>IFERROR(INDEX(PP_Grid[#Data],$DD739,44),0)</f>
        <v/>
      </c>
      <c r="AU739">
        <f>IFERROR(INDEX(PP_Grid[#Data],$DD739,45),0)</f>
        <v/>
      </c>
      <c r="AV739">
        <f>IFERROR(INDEX(PP_Grid[#Data],$DD739,46),0)</f>
        <v/>
      </c>
      <c r="AW739">
        <f>IFERROR(INDEX(PP_Grid[#Data],$DD739,47),0)</f>
        <v/>
      </c>
      <c r="AX739">
        <f>IFERROR(INDEX(PP_Grid[#Data],$DD739,48),0)</f>
        <v/>
      </c>
      <c r="AY739">
        <f>IFERROR(INDEX(PP_Grid[#Data],$DD739,49),0)</f>
        <v/>
      </c>
      <c r="AZ739">
        <f>IFERROR(INDEX(PP_Grid[#Data],$DD739,50),0)</f>
        <v/>
      </c>
      <c r="BA739">
        <f>IFERROR(INDEX(PP_Grid[#Data],$DD739,51),0)</f>
        <v/>
      </c>
      <c r="BB739">
        <f>IFERROR(INDEX(PP_Grid[#Data],$DD739,52),0)</f>
        <v/>
      </c>
      <c r="BC739">
        <f>IFERROR(INDEX(PP_Grid[#Data],$DD739,53),0)</f>
        <v/>
      </c>
      <c r="BD739">
        <f>IFERROR(INDEX(PP_Grid[#Data],$DD739,54),0)</f>
        <v/>
      </c>
      <c r="BE739">
        <f>IFERROR(INDEX(PP_Grid[#Data],$DD739,55),0)</f>
        <v/>
      </c>
      <c r="BF739">
        <f>IFERROR(INDEX(PP_Grid[#Data],$DD739,56),0)</f>
        <v/>
      </c>
      <c r="BG739">
        <f>IFERROR(INDEX(PP_Grid[#Data],$DD739,57),0)</f>
        <v/>
      </c>
      <c r="BH739">
        <f>IFERROR(INDEX(PP_Grid[#Data],$DD739,58),0)</f>
        <v/>
      </c>
      <c r="BI739">
        <f>IFERROR(INDEX(PP_Grid[#Data],$DD739,59),0)</f>
        <v/>
      </c>
      <c r="BJ739">
        <f>IFERROR(INDEX(PP_Grid[#Data],$DD739,60),0)</f>
        <v/>
      </c>
      <c r="BK739">
        <f>IFERROR(INDEX(PP_Grid[#Data],$DD739,61),0)</f>
        <v/>
      </c>
      <c r="BL739">
        <f>IFERROR(INDEX(PP_Grid[#Data],$DD739,62),0)</f>
        <v/>
      </c>
      <c r="BM739">
        <f>IFERROR(INDEX(PP_Grid[#Data],$DD739,63),0)</f>
        <v/>
      </c>
      <c r="BN739">
        <f>IFERROR(INDEX(PP_Grid[#Data],$DD739,64),0)</f>
        <v/>
      </c>
      <c r="BO739">
        <f>IFERROR(INDEX(PP_Grid[#Data],$DD739,65),0)</f>
        <v/>
      </c>
      <c r="BP739">
        <f>IFERROR(INDEX(PP_Grid[#Data],$DD739,66),0)</f>
        <v/>
      </c>
      <c r="BQ739">
        <f>IFERROR(INDEX(PP_Grid[#Data],$DD739,67),0)</f>
        <v/>
      </c>
      <c r="BR739">
        <f>IFERROR(INDEX(PP_Grid[#Data],$DD739,68),0)</f>
        <v/>
      </c>
      <c r="BS739">
        <f>IFERROR(INDEX(PP_Grid[#Data],$DD739,69),0)</f>
        <v/>
      </c>
      <c r="BT739">
        <f>IFERROR(INDEX(PP_Grid[#Data],$DD739,70),0)</f>
        <v/>
      </c>
      <c r="BU739">
        <f>IFERROR(INDEX(PP_Grid[#Data],$DD739,71),0)</f>
        <v/>
      </c>
      <c r="BV739">
        <f>IFERROR(INDEX(PP_Grid[#Data],$DD739,72),0)</f>
        <v/>
      </c>
      <c r="BW739">
        <f>IFERROR(INDEX(PP_Grid[#Data],$DD739,73),0)</f>
        <v/>
      </c>
      <c r="BX739">
        <f>IFERROR(INDEX(PP_Grid[#Data],$DD739,74),0)</f>
        <v/>
      </c>
      <c r="BY739">
        <f>IFERROR(INDEX(PP_Grid[#Data],$DD739,75),0)</f>
        <v/>
      </c>
      <c r="BZ739">
        <f>IFERROR(INDEX(PP_Grid[#Data],$DD739,76),0)</f>
        <v/>
      </c>
      <c r="CA739">
        <f>IFERROR(INDEX(PP_Grid[#Data],$DD739,77),0)</f>
        <v/>
      </c>
      <c r="CB739">
        <f>IFERROR(INDEX(PP_Grid[#Data],$DD739,78),0)</f>
        <v/>
      </c>
      <c r="CC739">
        <f>IFERROR(INDEX(PP_Grid[#Data],$DD739,79),0)</f>
        <v/>
      </c>
      <c r="CD739">
        <f>IFERROR(INDEX(PP_Grid[#Data],$DD739,80),0)</f>
        <v/>
      </c>
      <c r="CE739">
        <f>IFERROR(INDEX(PP_Grid[#Data],$DD739,81),0)</f>
        <v/>
      </c>
      <c r="CF739">
        <f>IFERROR(INDEX(PP_Grid[#Data],$DD739,82),0)</f>
        <v/>
      </c>
      <c r="CG739">
        <f>IFERROR(INDEX(PP_Grid[#Data],$DD739,83),0)</f>
        <v/>
      </c>
      <c r="CH739">
        <f>IFERROR(INDEX(PP_Grid[#Data],$DD739,84),0)</f>
        <v/>
      </c>
      <c r="CI739">
        <f>IFERROR(INDEX(PP_Grid[#Data],$DD739,85),0)</f>
        <v/>
      </c>
      <c r="CJ739">
        <f>IFERROR(INDEX(PP_Grid[#Data],$DD739,86),0)</f>
        <v/>
      </c>
      <c r="CK739">
        <f>IFERROR(INDEX(PP_Grid[#Data],$DD739,87),0)</f>
        <v/>
      </c>
      <c r="CL739">
        <f>IFERROR(INDEX(PP_Grid[#Data],$DD739,88),0)</f>
        <v/>
      </c>
      <c r="CM739">
        <f>IFERROR(INDEX(PP_Grid[#Data],$DD739,89),0)</f>
        <v/>
      </c>
      <c r="CN739">
        <f>IFERROR(INDEX(PP_Grid[#Data],$DD739,90),0)</f>
        <v/>
      </c>
      <c r="CO739">
        <f>IFERROR(INDEX(PP_Grid[#Data],$DD739,91),0)</f>
        <v/>
      </c>
      <c r="CP739">
        <f>IFERROR(INDEX(PP_Grid[#Data],$DD739,92),0)</f>
        <v/>
      </c>
      <c r="CQ739">
        <f>IFERROR(INDEX(PP_Grid[#Data],$DD739,93),0)</f>
        <v/>
      </c>
      <c r="CR739">
        <f>IFERROR(INDEX(PP_Grid[#Data],$DD739,94),0)</f>
        <v/>
      </c>
      <c r="CS739">
        <f>IFERROR(INDEX(PP_Grid[#Data],$DD739,95),0)</f>
        <v/>
      </c>
      <c r="CT739">
        <f>IFERROR(INDEX(PP_Grid[#Data],$DD739,96),0)</f>
        <v/>
      </c>
      <c r="CU739">
        <f>IFERROR(INDEX(PP_Grid[#Data],$DD739,97),0)</f>
        <v/>
      </c>
      <c r="CV739">
        <f>IFERROR(INDEX(PP_Grid[#Data],$DD739,98),0)</f>
        <v/>
      </c>
      <c r="CW739">
        <f>IFERROR(INDEX(PP_Grid[#Data],$DD739,99),0)</f>
        <v/>
      </c>
      <c r="CX739">
        <f>IFERROR(INDEX(PP_Grid[#Data],$DD739,100),0)</f>
        <v/>
      </c>
      <c r="CY739">
        <f>IFERROR(INDEX(PP_Grid[#Data],$DD739,101),0)</f>
        <v/>
      </c>
      <c r="CZ739">
        <f>IFERROR(INDEX(PP_Grid[#Data],$DD739,102),0)</f>
        <v/>
      </c>
      <c r="DA739">
        <f>IFERROR(INDEX(PP_Grid[#Data],$DD739,103),0)</f>
        <v/>
      </c>
      <c r="DB739">
        <f>IFERROR(INDEX(PP_Grid[#Data],$DD739,104),0)</f>
        <v/>
      </c>
      <c r="DC739">
        <f>IFERROR(INDEX(PP_Grid[#Data],$DD739,105),0)</f>
        <v/>
      </c>
      <c r="DD739" s="7">
        <f>IFERROR(MATCH($B739,PP_Grid[Intermediate],0),99999)</f>
        <v/>
      </c>
    </row>
    <row r="740">
      <c r="B740" t="inlineStr">
        <is>
          <t>使用量(kg)</t>
        </is>
      </c>
      <c r="C740">
        <f>SUMIFS(M_BOM[RM_Qty_Per_Batch],M_BOM[Intermediate],$B739,M_BOM[Part Name],$A710)</f>
        <v/>
      </c>
      <c r="D740">
        <f>$C740*D739</f>
        <v/>
      </c>
      <c r="E740">
        <f>$C740*E739</f>
        <v/>
      </c>
      <c r="F740">
        <f>$C740*F739</f>
        <v/>
      </c>
      <c r="G740">
        <f>$C740*G739</f>
        <v/>
      </c>
      <c r="H740">
        <f>$C740*H739</f>
        <v/>
      </c>
      <c r="I740">
        <f>$C740*I739</f>
        <v/>
      </c>
      <c r="J740">
        <f>$C740*J739</f>
        <v/>
      </c>
      <c r="K740">
        <f>$C740*K739</f>
        <v/>
      </c>
      <c r="L740">
        <f>$C740*L739</f>
        <v/>
      </c>
      <c r="M740">
        <f>$C740*M739</f>
        <v/>
      </c>
      <c r="N740">
        <f>$C740*N739</f>
        <v/>
      </c>
      <c r="O740">
        <f>$C740*O739</f>
        <v/>
      </c>
      <c r="P740">
        <f>$C740*P739</f>
        <v/>
      </c>
      <c r="Q740">
        <f>$C740*Q739</f>
        <v/>
      </c>
      <c r="R740">
        <f>$C740*R739</f>
        <v/>
      </c>
      <c r="S740">
        <f>$C740*S739</f>
        <v/>
      </c>
      <c r="T740">
        <f>$C740*T739</f>
        <v/>
      </c>
      <c r="U740">
        <f>$C740*U739</f>
        <v/>
      </c>
      <c r="V740">
        <f>$C740*V739</f>
        <v/>
      </c>
      <c r="W740">
        <f>$C740*W739</f>
        <v/>
      </c>
      <c r="X740">
        <f>$C740*X739</f>
        <v/>
      </c>
      <c r="Y740">
        <f>$C740*Y739</f>
        <v/>
      </c>
      <c r="Z740">
        <f>$C740*Z739</f>
        <v/>
      </c>
      <c r="AA740">
        <f>$C740*AA739</f>
        <v/>
      </c>
      <c r="AB740">
        <f>$C740*AB739</f>
        <v/>
      </c>
      <c r="AC740">
        <f>$C740*AC739</f>
        <v/>
      </c>
      <c r="AD740">
        <f>$C740*AD739</f>
        <v/>
      </c>
      <c r="AE740">
        <f>$C740*AE739</f>
        <v/>
      </c>
      <c r="AF740">
        <f>$C740*AF739</f>
        <v/>
      </c>
      <c r="AG740">
        <f>$C740*AG739</f>
        <v/>
      </c>
      <c r="AH740">
        <f>$C740*AH739</f>
        <v/>
      </c>
      <c r="AI740">
        <f>$C740*AI739</f>
        <v/>
      </c>
      <c r="AJ740">
        <f>$C740*AJ739</f>
        <v/>
      </c>
      <c r="AK740">
        <f>$C740*AK739</f>
        <v/>
      </c>
      <c r="AL740">
        <f>$C740*AL739</f>
        <v/>
      </c>
      <c r="AM740">
        <f>$C740*AM739</f>
        <v/>
      </c>
      <c r="AN740">
        <f>$C740*AN739</f>
        <v/>
      </c>
      <c r="AO740">
        <f>$C740*AO739</f>
        <v/>
      </c>
      <c r="AP740">
        <f>$C740*AP739</f>
        <v/>
      </c>
      <c r="AQ740">
        <f>$C740*AQ739</f>
        <v/>
      </c>
      <c r="AR740">
        <f>$C740*AR739</f>
        <v/>
      </c>
      <c r="AS740">
        <f>$C740*AS739</f>
        <v/>
      </c>
      <c r="AT740">
        <f>$C740*AT739</f>
        <v/>
      </c>
      <c r="AU740">
        <f>$C740*AU739</f>
        <v/>
      </c>
      <c r="AV740">
        <f>$C740*AV739</f>
        <v/>
      </c>
      <c r="AW740">
        <f>$C740*AW739</f>
        <v/>
      </c>
      <c r="AX740">
        <f>$C740*AX739</f>
        <v/>
      </c>
      <c r="AY740">
        <f>$C740*AY739</f>
        <v/>
      </c>
      <c r="AZ740">
        <f>$C740*AZ739</f>
        <v/>
      </c>
      <c r="BA740">
        <f>$C740*BA739</f>
        <v/>
      </c>
      <c r="BB740">
        <f>$C740*BB739</f>
        <v/>
      </c>
      <c r="BC740">
        <f>$C740*BC739</f>
        <v/>
      </c>
      <c r="BD740">
        <f>$C740*BD739</f>
        <v/>
      </c>
      <c r="BE740">
        <f>$C740*BE739</f>
        <v/>
      </c>
      <c r="BF740">
        <f>$C740*BF739</f>
        <v/>
      </c>
      <c r="BG740">
        <f>$C740*BG739</f>
        <v/>
      </c>
      <c r="BH740">
        <f>$C740*BH739</f>
        <v/>
      </c>
      <c r="BI740">
        <f>$C740*BI739</f>
        <v/>
      </c>
      <c r="BJ740">
        <f>$C740*BJ739</f>
        <v/>
      </c>
      <c r="BK740">
        <f>$C740*BK739</f>
        <v/>
      </c>
      <c r="BL740">
        <f>$C740*BL739</f>
        <v/>
      </c>
      <c r="BM740">
        <f>$C740*BM739</f>
        <v/>
      </c>
      <c r="BN740">
        <f>$C740*BN739</f>
        <v/>
      </c>
      <c r="BO740">
        <f>$C740*BO739</f>
        <v/>
      </c>
      <c r="BP740">
        <f>$C740*BP739</f>
        <v/>
      </c>
      <c r="BQ740">
        <f>$C740*BQ739</f>
        <v/>
      </c>
      <c r="BR740">
        <f>$C740*BR739</f>
        <v/>
      </c>
      <c r="BS740">
        <f>$C740*BS739</f>
        <v/>
      </c>
      <c r="BT740">
        <f>$C740*BT739</f>
        <v/>
      </c>
      <c r="BU740">
        <f>$C740*BU739</f>
        <v/>
      </c>
      <c r="BV740">
        <f>$C740*BV739</f>
        <v/>
      </c>
      <c r="BW740">
        <f>$C740*BW739</f>
        <v/>
      </c>
      <c r="BX740">
        <f>$C740*BX739</f>
        <v/>
      </c>
      <c r="BY740">
        <f>$C740*BY739</f>
        <v/>
      </c>
      <c r="BZ740">
        <f>$C740*BZ739</f>
        <v/>
      </c>
      <c r="CA740">
        <f>$C740*CA739</f>
        <v/>
      </c>
      <c r="CB740">
        <f>$C740*CB739</f>
        <v/>
      </c>
      <c r="CC740">
        <f>$C740*CC739</f>
        <v/>
      </c>
      <c r="CD740">
        <f>$C740*CD739</f>
        <v/>
      </c>
      <c r="CE740">
        <f>$C740*CE739</f>
        <v/>
      </c>
      <c r="CF740">
        <f>$C740*CF739</f>
        <v/>
      </c>
      <c r="CG740">
        <f>$C740*CG739</f>
        <v/>
      </c>
      <c r="CH740">
        <f>$C740*CH739</f>
        <v/>
      </c>
      <c r="CI740">
        <f>$C740*CI739</f>
        <v/>
      </c>
      <c r="CJ740">
        <f>$C740*CJ739</f>
        <v/>
      </c>
      <c r="CK740">
        <f>$C740*CK739</f>
        <v/>
      </c>
      <c r="CL740">
        <f>$C740*CL739</f>
        <v/>
      </c>
      <c r="CM740">
        <f>$C740*CM739</f>
        <v/>
      </c>
      <c r="CN740">
        <f>$C740*CN739</f>
        <v/>
      </c>
      <c r="CO740">
        <f>$C740*CO739</f>
        <v/>
      </c>
      <c r="CP740">
        <f>$C740*CP739</f>
        <v/>
      </c>
      <c r="CQ740">
        <f>$C740*CQ739</f>
        <v/>
      </c>
      <c r="CR740">
        <f>$C740*CR739</f>
        <v/>
      </c>
      <c r="CS740">
        <f>$C740*CS739</f>
        <v/>
      </c>
      <c r="CT740">
        <f>$C740*CT739</f>
        <v/>
      </c>
      <c r="CU740">
        <f>$C740*CU739</f>
        <v/>
      </c>
      <c r="CV740">
        <f>$C740*CV739</f>
        <v/>
      </c>
      <c r="CW740">
        <f>$C740*CW739</f>
        <v/>
      </c>
      <c r="CX740">
        <f>$C740*CX739</f>
        <v/>
      </c>
      <c r="CY740">
        <f>$C740*CY739</f>
        <v/>
      </c>
      <c r="CZ740">
        <f>$C740*CZ739</f>
        <v/>
      </c>
      <c r="DA740">
        <f>$C740*DA739</f>
        <v/>
      </c>
      <c r="DB740">
        <f>$C740*DB739</f>
        <v/>
      </c>
      <c r="DC740">
        <f>$C740*DC739</f>
        <v/>
      </c>
    </row>
    <row r="741">
      <c r="B741" t="inlineStr">
        <is>
          <t>VSP-910</t>
        </is>
      </c>
      <c r="C741" t="inlineStr">
        <is>
          <t>No. of batches</t>
        </is>
      </c>
      <c r="D741">
        <f>IFERROR(INDEX(PP_Grid[#Data],$DD741,2),0)</f>
        <v/>
      </c>
      <c r="E741">
        <f>IFERROR(INDEX(PP_Grid[#Data],$DD741,3),0)</f>
        <v/>
      </c>
      <c r="F741">
        <f>IFERROR(INDEX(PP_Grid[#Data],$DD741,4),0)</f>
        <v/>
      </c>
      <c r="G741">
        <f>IFERROR(INDEX(PP_Grid[#Data],$DD741,5),0)</f>
        <v/>
      </c>
      <c r="H741">
        <f>IFERROR(INDEX(PP_Grid[#Data],$DD741,6),0)</f>
        <v/>
      </c>
      <c r="I741">
        <f>IFERROR(INDEX(PP_Grid[#Data],$DD741,7),0)</f>
        <v/>
      </c>
      <c r="J741">
        <f>IFERROR(INDEX(PP_Grid[#Data],$DD741,8),0)</f>
        <v/>
      </c>
      <c r="K741">
        <f>IFERROR(INDEX(PP_Grid[#Data],$DD741,9),0)</f>
        <v/>
      </c>
      <c r="L741">
        <f>IFERROR(INDEX(PP_Grid[#Data],$DD741,10),0)</f>
        <v/>
      </c>
      <c r="M741">
        <f>IFERROR(INDEX(PP_Grid[#Data],$DD741,11),0)</f>
        <v/>
      </c>
      <c r="N741">
        <f>IFERROR(INDEX(PP_Grid[#Data],$DD741,12),0)</f>
        <v/>
      </c>
      <c r="O741">
        <f>IFERROR(INDEX(PP_Grid[#Data],$DD741,13),0)</f>
        <v/>
      </c>
      <c r="P741">
        <f>IFERROR(INDEX(PP_Grid[#Data],$DD741,14),0)</f>
        <v/>
      </c>
      <c r="Q741">
        <f>IFERROR(INDEX(PP_Grid[#Data],$DD741,15),0)</f>
        <v/>
      </c>
      <c r="R741">
        <f>IFERROR(INDEX(PP_Grid[#Data],$DD741,16),0)</f>
        <v/>
      </c>
      <c r="S741">
        <f>IFERROR(INDEX(PP_Grid[#Data],$DD741,17),0)</f>
        <v/>
      </c>
      <c r="T741">
        <f>IFERROR(INDEX(PP_Grid[#Data],$DD741,18),0)</f>
        <v/>
      </c>
      <c r="U741">
        <f>IFERROR(INDEX(PP_Grid[#Data],$DD741,19),0)</f>
        <v/>
      </c>
      <c r="V741">
        <f>IFERROR(INDEX(PP_Grid[#Data],$DD741,20),0)</f>
        <v/>
      </c>
      <c r="W741">
        <f>IFERROR(INDEX(PP_Grid[#Data],$DD741,21),0)</f>
        <v/>
      </c>
      <c r="X741">
        <f>IFERROR(INDEX(PP_Grid[#Data],$DD741,22),0)</f>
        <v/>
      </c>
      <c r="Y741">
        <f>IFERROR(INDEX(PP_Grid[#Data],$DD741,23),0)</f>
        <v/>
      </c>
      <c r="Z741">
        <f>IFERROR(INDEX(PP_Grid[#Data],$DD741,24),0)</f>
        <v/>
      </c>
      <c r="AA741">
        <f>IFERROR(INDEX(PP_Grid[#Data],$DD741,25),0)</f>
        <v/>
      </c>
      <c r="AB741">
        <f>IFERROR(INDEX(PP_Grid[#Data],$DD741,26),0)</f>
        <v/>
      </c>
      <c r="AC741">
        <f>IFERROR(INDEX(PP_Grid[#Data],$DD741,27),0)</f>
        <v/>
      </c>
      <c r="AD741">
        <f>IFERROR(INDEX(PP_Grid[#Data],$DD741,28),0)</f>
        <v/>
      </c>
      <c r="AE741">
        <f>IFERROR(INDEX(PP_Grid[#Data],$DD741,29),0)</f>
        <v/>
      </c>
      <c r="AF741">
        <f>IFERROR(INDEX(PP_Grid[#Data],$DD741,30),0)</f>
        <v/>
      </c>
      <c r="AG741">
        <f>IFERROR(INDEX(PP_Grid[#Data],$DD741,31),0)</f>
        <v/>
      </c>
      <c r="AH741">
        <f>IFERROR(INDEX(PP_Grid[#Data],$DD741,32),0)</f>
        <v/>
      </c>
      <c r="AI741">
        <f>IFERROR(INDEX(PP_Grid[#Data],$DD741,33),0)</f>
        <v/>
      </c>
      <c r="AJ741">
        <f>IFERROR(INDEX(PP_Grid[#Data],$DD741,34),0)</f>
        <v/>
      </c>
      <c r="AK741">
        <f>IFERROR(INDEX(PP_Grid[#Data],$DD741,35),0)</f>
        <v/>
      </c>
      <c r="AL741">
        <f>IFERROR(INDEX(PP_Grid[#Data],$DD741,36),0)</f>
        <v/>
      </c>
      <c r="AM741">
        <f>IFERROR(INDEX(PP_Grid[#Data],$DD741,37),0)</f>
        <v/>
      </c>
      <c r="AN741">
        <f>IFERROR(INDEX(PP_Grid[#Data],$DD741,38),0)</f>
        <v/>
      </c>
      <c r="AO741">
        <f>IFERROR(INDEX(PP_Grid[#Data],$DD741,39),0)</f>
        <v/>
      </c>
      <c r="AP741">
        <f>IFERROR(INDEX(PP_Grid[#Data],$DD741,40),0)</f>
        <v/>
      </c>
      <c r="AQ741">
        <f>IFERROR(INDEX(PP_Grid[#Data],$DD741,41),0)</f>
        <v/>
      </c>
      <c r="AR741">
        <f>IFERROR(INDEX(PP_Grid[#Data],$DD741,42),0)</f>
        <v/>
      </c>
      <c r="AS741">
        <f>IFERROR(INDEX(PP_Grid[#Data],$DD741,43),0)</f>
        <v/>
      </c>
      <c r="AT741">
        <f>IFERROR(INDEX(PP_Grid[#Data],$DD741,44),0)</f>
        <v/>
      </c>
      <c r="AU741">
        <f>IFERROR(INDEX(PP_Grid[#Data],$DD741,45),0)</f>
        <v/>
      </c>
      <c r="AV741">
        <f>IFERROR(INDEX(PP_Grid[#Data],$DD741,46),0)</f>
        <v/>
      </c>
      <c r="AW741">
        <f>IFERROR(INDEX(PP_Grid[#Data],$DD741,47),0)</f>
        <v/>
      </c>
      <c r="AX741">
        <f>IFERROR(INDEX(PP_Grid[#Data],$DD741,48),0)</f>
        <v/>
      </c>
      <c r="AY741">
        <f>IFERROR(INDEX(PP_Grid[#Data],$DD741,49),0)</f>
        <v/>
      </c>
      <c r="AZ741">
        <f>IFERROR(INDEX(PP_Grid[#Data],$DD741,50),0)</f>
        <v/>
      </c>
      <c r="BA741">
        <f>IFERROR(INDEX(PP_Grid[#Data],$DD741,51),0)</f>
        <v/>
      </c>
      <c r="BB741">
        <f>IFERROR(INDEX(PP_Grid[#Data],$DD741,52),0)</f>
        <v/>
      </c>
      <c r="BC741">
        <f>IFERROR(INDEX(PP_Grid[#Data],$DD741,53),0)</f>
        <v/>
      </c>
      <c r="BD741">
        <f>IFERROR(INDEX(PP_Grid[#Data],$DD741,54),0)</f>
        <v/>
      </c>
      <c r="BE741">
        <f>IFERROR(INDEX(PP_Grid[#Data],$DD741,55),0)</f>
        <v/>
      </c>
      <c r="BF741">
        <f>IFERROR(INDEX(PP_Grid[#Data],$DD741,56),0)</f>
        <v/>
      </c>
      <c r="BG741">
        <f>IFERROR(INDEX(PP_Grid[#Data],$DD741,57),0)</f>
        <v/>
      </c>
      <c r="BH741">
        <f>IFERROR(INDEX(PP_Grid[#Data],$DD741,58),0)</f>
        <v/>
      </c>
      <c r="BI741">
        <f>IFERROR(INDEX(PP_Grid[#Data],$DD741,59),0)</f>
        <v/>
      </c>
      <c r="BJ741">
        <f>IFERROR(INDEX(PP_Grid[#Data],$DD741,60),0)</f>
        <v/>
      </c>
      <c r="BK741">
        <f>IFERROR(INDEX(PP_Grid[#Data],$DD741,61),0)</f>
        <v/>
      </c>
      <c r="BL741">
        <f>IFERROR(INDEX(PP_Grid[#Data],$DD741,62),0)</f>
        <v/>
      </c>
      <c r="BM741">
        <f>IFERROR(INDEX(PP_Grid[#Data],$DD741,63),0)</f>
        <v/>
      </c>
      <c r="BN741">
        <f>IFERROR(INDEX(PP_Grid[#Data],$DD741,64),0)</f>
        <v/>
      </c>
      <c r="BO741">
        <f>IFERROR(INDEX(PP_Grid[#Data],$DD741,65),0)</f>
        <v/>
      </c>
      <c r="BP741">
        <f>IFERROR(INDEX(PP_Grid[#Data],$DD741,66),0)</f>
        <v/>
      </c>
      <c r="BQ741">
        <f>IFERROR(INDEX(PP_Grid[#Data],$DD741,67),0)</f>
        <v/>
      </c>
      <c r="BR741">
        <f>IFERROR(INDEX(PP_Grid[#Data],$DD741,68),0)</f>
        <v/>
      </c>
      <c r="BS741">
        <f>IFERROR(INDEX(PP_Grid[#Data],$DD741,69),0)</f>
        <v/>
      </c>
      <c r="BT741">
        <f>IFERROR(INDEX(PP_Grid[#Data],$DD741,70),0)</f>
        <v/>
      </c>
      <c r="BU741">
        <f>IFERROR(INDEX(PP_Grid[#Data],$DD741,71),0)</f>
        <v/>
      </c>
      <c r="BV741">
        <f>IFERROR(INDEX(PP_Grid[#Data],$DD741,72),0)</f>
        <v/>
      </c>
      <c r="BW741">
        <f>IFERROR(INDEX(PP_Grid[#Data],$DD741,73),0)</f>
        <v/>
      </c>
      <c r="BX741">
        <f>IFERROR(INDEX(PP_Grid[#Data],$DD741,74),0)</f>
        <v/>
      </c>
      <c r="BY741">
        <f>IFERROR(INDEX(PP_Grid[#Data],$DD741,75),0)</f>
        <v/>
      </c>
      <c r="BZ741">
        <f>IFERROR(INDEX(PP_Grid[#Data],$DD741,76),0)</f>
        <v/>
      </c>
      <c r="CA741">
        <f>IFERROR(INDEX(PP_Grid[#Data],$DD741,77),0)</f>
        <v/>
      </c>
      <c r="CB741">
        <f>IFERROR(INDEX(PP_Grid[#Data],$DD741,78),0)</f>
        <v/>
      </c>
      <c r="CC741">
        <f>IFERROR(INDEX(PP_Grid[#Data],$DD741,79),0)</f>
        <v/>
      </c>
      <c r="CD741">
        <f>IFERROR(INDEX(PP_Grid[#Data],$DD741,80),0)</f>
        <v/>
      </c>
      <c r="CE741">
        <f>IFERROR(INDEX(PP_Grid[#Data],$DD741,81),0)</f>
        <v/>
      </c>
      <c r="CF741">
        <f>IFERROR(INDEX(PP_Grid[#Data],$DD741,82),0)</f>
        <v/>
      </c>
      <c r="CG741">
        <f>IFERROR(INDEX(PP_Grid[#Data],$DD741,83),0)</f>
        <v/>
      </c>
      <c r="CH741">
        <f>IFERROR(INDEX(PP_Grid[#Data],$DD741,84),0)</f>
        <v/>
      </c>
      <c r="CI741">
        <f>IFERROR(INDEX(PP_Grid[#Data],$DD741,85),0)</f>
        <v/>
      </c>
      <c r="CJ741">
        <f>IFERROR(INDEX(PP_Grid[#Data],$DD741,86),0)</f>
        <v/>
      </c>
      <c r="CK741">
        <f>IFERROR(INDEX(PP_Grid[#Data],$DD741,87),0)</f>
        <v/>
      </c>
      <c r="CL741">
        <f>IFERROR(INDEX(PP_Grid[#Data],$DD741,88),0)</f>
        <v/>
      </c>
      <c r="CM741">
        <f>IFERROR(INDEX(PP_Grid[#Data],$DD741,89),0)</f>
        <v/>
      </c>
      <c r="CN741">
        <f>IFERROR(INDEX(PP_Grid[#Data],$DD741,90),0)</f>
        <v/>
      </c>
      <c r="CO741">
        <f>IFERROR(INDEX(PP_Grid[#Data],$DD741,91),0)</f>
        <v/>
      </c>
      <c r="CP741">
        <f>IFERROR(INDEX(PP_Grid[#Data],$DD741,92),0)</f>
        <v/>
      </c>
      <c r="CQ741">
        <f>IFERROR(INDEX(PP_Grid[#Data],$DD741,93),0)</f>
        <v/>
      </c>
      <c r="CR741">
        <f>IFERROR(INDEX(PP_Grid[#Data],$DD741,94),0)</f>
        <v/>
      </c>
      <c r="CS741">
        <f>IFERROR(INDEX(PP_Grid[#Data],$DD741,95),0)</f>
        <v/>
      </c>
      <c r="CT741">
        <f>IFERROR(INDEX(PP_Grid[#Data],$DD741,96),0)</f>
        <v/>
      </c>
      <c r="CU741">
        <f>IFERROR(INDEX(PP_Grid[#Data],$DD741,97),0)</f>
        <v/>
      </c>
      <c r="CV741">
        <f>IFERROR(INDEX(PP_Grid[#Data],$DD741,98),0)</f>
        <v/>
      </c>
      <c r="CW741">
        <f>IFERROR(INDEX(PP_Grid[#Data],$DD741,99),0)</f>
        <v/>
      </c>
      <c r="CX741">
        <f>IFERROR(INDEX(PP_Grid[#Data],$DD741,100),0)</f>
        <v/>
      </c>
      <c r="CY741">
        <f>IFERROR(INDEX(PP_Grid[#Data],$DD741,101),0)</f>
        <v/>
      </c>
      <c r="CZ741">
        <f>IFERROR(INDEX(PP_Grid[#Data],$DD741,102),0)</f>
        <v/>
      </c>
      <c r="DA741">
        <f>IFERROR(INDEX(PP_Grid[#Data],$DD741,103),0)</f>
        <v/>
      </c>
      <c r="DB741">
        <f>IFERROR(INDEX(PP_Grid[#Data],$DD741,104),0)</f>
        <v/>
      </c>
      <c r="DC741">
        <f>IFERROR(INDEX(PP_Grid[#Data],$DD741,105),0)</f>
        <v/>
      </c>
      <c r="DD741" s="7">
        <f>IFERROR(MATCH($B741,PP_Grid[Intermediate],0),99999)</f>
        <v/>
      </c>
    </row>
    <row r="742">
      <c r="B742" t="inlineStr">
        <is>
          <t>使用量(kg)</t>
        </is>
      </c>
      <c r="C742">
        <f>SUMIFS(M_BOM[RM_Qty_Per_Batch],M_BOM[Intermediate],$B741,M_BOM[Part Name],$A710)</f>
        <v/>
      </c>
      <c r="D742">
        <f>$C742*D741</f>
        <v/>
      </c>
      <c r="E742">
        <f>$C742*E741</f>
        <v/>
      </c>
      <c r="F742">
        <f>$C742*F741</f>
        <v/>
      </c>
      <c r="G742">
        <f>$C742*G741</f>
        <v/>
      </c>
      <c r="H742">
        <f>$C742*H741</f>
        <v/>
      </c>
      <c r="I742">
        <f>$C742*I741</f>
        <v/>
      </c>
      <c r="J742">
        <f>$C742*J741</f>
        <v/>
      </c>
      <c r="K742">
        <f>$C742*K741</f>
        <v/>
      </c>
      <c r="L742">
        <f>$C742*L741</f>
        <v/>
      </c>
      <c r="M742">
        <f>$C742*M741</f>
        <v/>
      </c>
      <c r="N742">
        <f>$C742*N741</f>
        <v/>
      </c>
      <c r="O742">
        <f>$C742*O741</f>
        <v/>
      </c>
      <c r="P742">
        <f>$C742*P741</f>
        <v/>
      </c>
      <c r="Q742">
        <f>$C742*Q741</f>
        <v/>
      </c>
      <c r="R742">
        <f>$C742*R741</f>
        <v/>
      </c>
      <c r="S742">
        <f>$C742*S741</f>
        <v/>
      </c>
      <c r="T742">
        <f>$C742*T741</f>
        <v/>
      </c>
      <c r="U742">
        <f>$C742*U741</f>
        <v/>
      </c>
      <c r="V742">
        <f>$C742*V741</f>
        <v/>
      </c>
      <c r="W742">
        <f>$C742*W741</f>
        <v/>
      </c>
      <c r="X742">
        <f>$C742*X741</f>
        <v/>
      </c>
      <c r="Y742">
        <f>$C742*Y741</f>
        <v/>
      </c>
      <c r="Z742">
        <f>$C742*Z741</f>
        <v/>
      </c>
      <c r="AA742">
        <f>$C742*AA741</f>
        <v/>
      </c>
      <c r="AB742">
        <f>$C742*AB741</f>
        <v/>
      </c>
      <c r="AC742">
        <f>$C742*AC741</f>
        <v/>
      </c>
      <c r="AD742">
        <f>$C742*AD741</f>
        <v/>
      </c>
      <c r="AE742">
        <f>$C742*AE741</f>
        <v/>
      </c>
      <c r="AF742">
        <f>$C742*AF741</f>
        <v/>
      </c>
      <c r="AG742">
        <f>$C742*AG741</f>
        <v/>
      </c>
      <c r="AH742">
        <f>$C742*AH741</f>
        <v/>
      </c>
      <c r="AI742">
        <f>$C742*AI741</f>
        <v/>
      </c>
      <c r="AJ742">
        <f>$C742*AJ741</f>
        <v/>
      </c>
      <c r="AK742">
        <f>$C742*AK741</f>
        <v/>
      </c>
      <c r="AL742">
        <f>$C742*AL741</f>
        <v/>
      </c>
      <c r="AM742">
        <f>$C742*AM741</f>
        <v/>
      </c>
      <c r="AN742">
        <f>$C742*AN741</f>
        <v/>
      </c>
      <c r="AO742">
        <f>$C742*AO741</f>
        <v/>
      </c>
      <c r="AP742">
        <f>$C742*AP741</f>
        <v/>
      </c>
      <c r="AQ742">
        <f>$C742*AQ741</f>
        <v/>
      </c>
      <c r="AR742">
        <f>$C742*AR741</f>
        <v/>
      </c>
      <c r="AS742">
        <f>$C742*AS741</f>
        <v/>
      </c>
      <c r="AT742">
        <f>$C742*AT741</f>
        <v/>
      </c>
      <c r="AU742">
        <f>$C742*AU741</f>
        <v/>
      </c>
      <c r="AV742">
        <f>$C742*AV741</f>
        <v/>
      </c>
      <c r="AW742">
        <f>$C742*AW741</f>
        <v/>
      </c>
      <c r="AX742">
        <f>$C742*AX741</f>
        <v/>
      </c>
      <c r="AY742">
        <f>$C742*AY741</f>
        <v/>
      </c>
      <c r="AZ742">
        <f>$C742*AZ741</f>
        <v/>
      </c>
      <c r="BA742">
        <f>$C742*BA741</f>
        <v/>
      </c>
      <c r="BB742">
        <f>$C742*BB741</f>
        <v/>
      </c>
      <c r="BC742">
        <f>$C742*BC741</f>
        <v/>
      </c>
      <c r="BD742">
        <f>$C742*BD741</f>
        <v/>
      </c>
      <c r="BE742">
        <f>$C742*BE741</f>
        <v/>
      </c>
      <c r="BF742">
        <f>$C742*BF741</f>
        <v/>
      </c>
      <c r="BG742">
        <f>$C742*BG741</f>
        <v/>
      </c>
      <c r="BH742">
        <f>$C742*BH741</f>
        <v/>
      </c>
      <c r="BI742">
        <f>$C742*BI741</f>
        <v/>
      </c>
      <c r="BJ742">
        <f>$C742*BJ741</f>
        <v/>
      </c>
      <c r="BK742">
        <f>$C742*BK741</f>
        <v/>
      </c>
      <c r="BL742">
        <f>$C742*BL741</f>
        <v/>
      </c>
      <c r="BM742">
        <f>$C742*BM741</f>
        <v/>
      </c>
      <c r="BN742">
        <f>$C742*BN741</f>
        <v/>
      </c>
      <c r="BO742">
        <f>$C742*BO741</f>
        <v/>
      </c>
      <c r="BP742">
        <f>$C742*BP741</f>
        <v/>
      </c>
      <c r="BQ742">
        <f>$C742*BQ741</f>
        <v/>
      </c>
      <c r="BR742">
        <f>$C742*BR741</f>
        <v/>
      </c>
      <c r="BS742">
        <f>$C742*BS741</f>
        <v/>
      </c>
      <c r="BT742">
        <f>$C742*BT741</f>
        <v/>
      </c>
      <c r="BU742">
        <f>$C742*BU741</f>
        <v/>
      </c>
      <c r="BV742">
        <f>$C742*BV741</f>
        <v/>
      </c>
      <c r="BW742">
        <f>$C742*BW741</f>
        <v/>
      </c>
      <c r="BX742">
        <f>$C742*BX741</f>
        <v/>
      </c>
      <c r="BY742">
        <f>$C742*BY741</f>
        <v/>
      </c>
      <c r="BZ742">
        <f>$C742*BZ741</f>
        <v/>
      </c>
      <c r="CA742">
        <f>$C742*CA741</f>
        <v/>
      </c>
      <c r="CB742">
        <f>$C742*CB741</f>
        <v/>
      </c>
      <c r="CC742">
        <f>$C742*CC741</f>
        <v/>
      </c>
      <c r="CD742">
        <f>$C742*CD741</f>
        <v/>
      </c>
      <c r="CE742">
        <f>$C742*CE741</f>
        <v/>
      </c>
      <c r="CF742">
        <f>$C742*CF741</f>
        <v/>
      </c>
      <c r="CG742">
        <f>$C742*CG741</f>
        <v/>
      </c>
      <c r="CH742">
        <f>$C742*CH741</f>
        <v/>
      </c>
      <c r="CI742">
        <f>$C742*CI741</f>
        <v/>
      </c>
      <c r="CJ742">
        <f>$C742*CJ741</f>
        <v/>
      </c>
      <c r="CK742">
        <f>$C742*CK741</f>
        <v/>
      </c>
      <c r="CL742">
        <f>$C742*CL741</f>
        <v/>
      </c>
      <c r="CM742">
        <f>$C742*CM741</f>
        <v/>
      </c>
      <c r="CN742">
        <f>$C742*CN741</f>
        <v/>
      </c>
      <c r="CO742">
        <f>$C742*CO741</f>
        <v/>
      </c>
      <c r="CP742">
        <f>$C742*CP741</f>
        <v/>
      </c>
      <c r="CQ742">
        <f>$C742*CQ741</f>
        <v/>
      </c>
      <c r="CR742">
        <f>$C742*CR741</f>
        <v/>
      </c>
      <c r="CS742">
        <f>$C742*CS741</f>
        <v/>
      </c>
      <c r="CT742">
        <f>$C742*CT741</f>
        <v/>
      </c>
      <c r="CU742">
        <f>$C742*CU741</f>
        <v/>
      </c>
      <c r="CV742">
        <f>$C742*CV741</f>
        <v/>
      </c>
      <c r="CW742">
        <f>$C742*CW741</f>
        <v/>
      </c>
      <c r="CX742">
        <f>$C742*CX741</f>
        <v/>
      </c>
      <c r="CY742">
        <f>$C742*CY741</f>
        <v/>
      </c>
      <c r="CZ742">
        <f>$C742*CZ741</f>
        <v/>
      </c>
      <c r="DA742">
        <f>$C742*DA741</f>
        <v/>
      </c>
      <c r="DB742">
        <f>$C742*DB741</f>
        <v/>
      </c>
      <c r="DC742">
        <f>$C742*DC741</f>
        <v/>
      </c>
    </row>
    <row r="743">
      <c r="B743" t="inlineStr">
        <is>
          <t>VSP-990</t>
        </is>
      </c>
      <c r="C743" t="inlineStr">
        <is>
          <t>No. of batches</t>
        </is>
      </c>
      <c r="D743">
        <f>IFERROR(INDEX(PP_Grid[#Data],$DD743,2),0)</f>
        <v/>
      </c>
      <c r="E743">
        <f>IFERROR(INDEX(PP_Grid[#Data],$DD743,3),0)</f>
        <v/>
      </c>
      <c r="F743">
        <f>IFERROR(INDEX(PP_Grid[#Data],$DD743,4),0)</f>
        <v/>
      </c>
      <c r="G743">
        <f>IFERROR(INDEX(PP_Grid[#Data],$DD743,5),0)</f>
        <v/>
      </c>
      <c r="H743">
        <f>IFERROR(INDEX(PP_Grid[#Data],$DD743,6),0)</f>
        <v/>
      </c>
      <c r="I743">
        <f>IFERROR(INDEX(PP_Grid[#Data],$DD743,7),0)</f>
        <v/>
      </c>
      <c r="J743">
        <f>IFERROR(INDEX(PP_Grid[#Data],$DD743,8),0)</f>
        <v/>
      </c>
      <c r="K743">
        <f>IFERROR(INDEX(PP_Grid[#Data],$DD743,9),0)</f>
        <v/>
      </c>
      <c r="L743">
        <f>IFERROR(INDEX(PP_Grid[#Data],$DD743,10),0)</f>
        <v/>
      </c>
      <c r="M743">
        <f>IFERROR(INDEX(PP_Grid[#Data],$DD743,11),0)</f>
        <v/>
      </c>
      <c r="N743">
        <f>IFERROR(INDEX(PP_Grid[#Data],$DD743,12),0)</f>
        <v/>
      </c>
      <c r="O743">
        <f>IFERROR(INDEX(PP_Grid[#Data],$DD743,13),0)</f>
        <v/>
      </c>
      <c r="P743">
        <f>IFERROR(INDEX(PP_Grid[#Data],$DD743,14),0)</f>
        <v/>
      </c>
      <c r="Q743">
        <f>IFERROR(INDEX(PP_Grid[#Data],$DD743,15),0)</f>
        <v/>
      </c>
      <c r="R743">
        <f>IFERROR(INDEX(PP_Grid[#Data],$DD743,16),0)</f>
        <v/>
      </c>
      <c r="S743">
        <f>IFERROR(INDEX(PP_Grid[#Data],$DD743,17),0)</f>
        <v/>
      </c>
      <c r="T743">
        <f>IFERROR(INDEX(PP_Grid[#Data],$DD743,18),0)</f>
        <v/>
      </c>
      <c r="U743">
        <f>IFERROR(INDEX(PP_Grid[#Data],$DD743,19),0)</f>
        <v/>
      </c>
      <c r="V743">
        <f>IFERROR(INDEX(PP_Grid[#Data],$DD743,20),0)</f>
        <v/>
      </c>
      <c r="W743">
        <f>IFERROR(INDEX(PP_Grid[#Data],$DD743,21),0)</f>
        <v/>
      </c>
      <c r="X743">
        <f>IFERROR(INDEX(PP_Grid[#Data],$DD743,22),0)</f>
        <v/>
      </c>
      <c r="Y743">
        <f>IFERROR(INDEX(PP_Grid[#Data],$DD743,23),0)</f>
        <v/>
      </c>
      <c r="Z743">
        <f>IFERROR(INDEX(PP_Grid[#Data],$DD743,24),0)</f>
        <v/>
      </c>
      <c r="AA743">
        <f>IFERROR(INDEX(PP_Grid[#Data],$DD743,25),0)</f>
        <v/>
      </c>
      <c r="AB743">
        <f>IFERROR(INDEX(PP_Grid[#Data],$DD743,26),0)</f>
        <v/>
      </c>
      <c r="AC743">
        <f>IFERROR(INDEX(PP_Grid[#Data],$DD743,27),0)</f>
        <v/>
      </c>
      <c r="AD743">
        <f>IFERROR(INDEX(PP_Grid[#Data],$DD743,28),0)</f>
        <v/>
      </c>
      <c r="AE743">
        <f>IFERROR(INDEX(PP_Grid[#Data],$DD743,29),0)</f>
        <v/>
      </c>
      <c r="AF743">
        <f>IFERROR(INDEX(PP_Grid[#Data],$DD743,30),0)</f>
        <v/>
      </c>
      <c r="AG743">
        <f>IFERROR(INDEX(PP_Grid[#Data],$DD743,31),0)</f>
        <v/>
      </c>
      <c r="AH743">
        <f>IFERROR(INDEX(PP_Grid[#Data],$DD743,32),0)</f>
        <v/>
      </c>
      <c r="AI743">
        <f>IFERROR(INDEX(PP_Grid[#Data],$DD743,33),0)</f>
        <v/>
      </c>
      <c r="AJ743">
        <f>IFERROR(INDEX(PP_Grid[#Data],$DD743,34),0)</f>
        <v/>
      </c>
      <c r="AK743">
        <f>IFERROR(INDEX(PP_Grid[#Data],$DD743,35),0)</f>
        <v/>
      </c>
      <c r="AL743">
        <f>IFERROR(INDEX(PP_Grid[#Data],$DD743,36),0)</f>
        <v/>
      </c>
      <c r="AM743">
        <f>IFERROR(INDEX(PP_Grid[#Data],$DD743,37),0)</f>
        <v/>
      </c>
      <c r="AN743">
        <f>IFERROR(INDEX(PP_Grid[#Data],$DD743,38),0)</f>
        <v/>
      </c>
      <c r="AO743">
        <f>IFERROR(INDEX(PP_Grid[#Data],$DD743,39),0)</f>
        <v/>
      </c>
      <c r="AP743">
        <f>IFERROR(INDEX(PP_Grid[#Data],$DD743,40),0)</f>
        <v/>
      </c>
      <c r="AQ743">
        <f>IFERROR(INDEX(PP_Grid[#Data],$DD743,41),0)</f>
        <v/>
      </c>
      <c r="AR743">
        <f>IFERROR(INDEX(PP_Grid[#Data],$DD743,42),0)</f>
        <v/>
      </c>
      <c r="AS743">
        <f>IFERROR(INDEX(PP_Grid[#Data],$DD743,43),0)</f>
        <v/>
      </c>
      <c r="AT743">
        <f>IFERROR(INDEX(PP_Grid[#Data],$DD743,44),0)</f>
        <v/>
      </c>
      <c r="AU743">
        <f>IFERROR(INDEX(PP_Grid[#Data],$DD743,45),0)</f>
        <v/>
      </c>
      <c r="AV743">
        <f>IFERROR(INDEX(PP_Grid[#Data],$DD743,46),0)</f>
        <v/>
      </c>
      <c r="AW743">
        <f>IFERROR(INDEX(PP_Grid[#Data],$DD743,47),0)</f>
        <v/>
      </c>
      <c r="AX743">
        <f>IFERROR(INDEX(PP_Grid[#Data],$DD743,48),0)</f>
        <v/>
      </c>
      <c r="AY743">
        <f>IFERROR(INDEX(PP_Grid[#Data],$DD743,49),0)</f>
        <v/>
      </c>
      <c r="AZ743">
        <f>IFERROR(INDEX(PP_Grid[#Data],$DD743,50),0)</f>
        <v/>
      </c>
      <c r="BA743">
        <f>IFERROR(INDEX(PP_Grid[#Data],$DD743,51),0)</f>
        <v/>
      </c>
      <c r="BB743">
        <f>IFERROR(INDEX(PP_Grid[#Data],$DD743,52),0)</f>
        <v/>
      </c>
      <c r="BC743">
        <f>IFERROR(INDEX(PP_Grid[#Data],$DD743,53),0)</f>
        <v/>
      </c>
      <c r="BD743">
        <f>IFERROR(INDEX(PP_Grid[#Data],$DD743,54),0)</f>
        <v/>
      </c>
      <c r="BE743">
        <f>IFERROR(INDEX(PP_Grid[#Data],$DD743,55),0)</f>
        <v/>
      </c>
      <c r="BF743">
        <f>IFERROR(INDEX(PP_Grid[#Data],$DD743,56),0)</f>
        <v/>
      </c>
      <c r="BG743">
        <f>IFERROR(INDEX(PP_Grid[#Data],$DD743,57),0)</f>
        <v/>
      </c>
      <c r="BH743">
        <f>IFERROR(INDEX(PP_Grid[#Data],$DD743,58),0)</f>
        <v/>
      </c>
      <c r="BI743">
        <f>IFERROR(INDEX(PP_Grid[#Data],$DD743,59),0)</f>
        <v/>
      </c>
      <c r="BJ743">
        <f>IFERROR(INDEX(PP_Grid[#Data],$DD743,60),0)</f>
        <v/>
      </c>
      <c r="BK743">
        <f>IFERROR(INDEX(PP_Grid[#Data],$DD743,61),0)</f>
        <v/>
      </c>
      <c r="BL743">
        <f>IFERROR(INDEX(PP_Grid[#Data],$DD743,62),0)</f>
        <v/>
      </c>
      <c r="BM743">
        <f>IFERROR(INDEX(PP_Grid[#Data],$DD743,63),0)</f>
        <v/>
      </c>
      <c r="BN743">
        <f>IFERROR(INDEX(PP_Grid[#Data],$DD743,64),0)</f>
        <v/>
      </c>
      <c r="BO743">
        <f>IFERROR(INDEX(PP_Grid[#Data],$DD743,65),0)</f>
        <v/>
      </c>
      <c r="BP743">
        <f>IFERROR(INDEX(PP_Grid[#Data],$DD743,66),0)</f>
        <v/>
      </c>
      <c r="BQ743">
        <f>IFERROR(INDEX(PP_Grid[#Data],$DD743,67),0)</f>
        <v/>
      </c>
      <c r="BR743">
        <f>IFERROR(INDEX(PP_Grid[#Data],$DD743,68),0)</f>
        <v/>
      </c>
      <c r="BS743">
        <f>IFERROR(INDEX(PP_Grid[#Data],$DD743,69),0)</f>
        <v/>
      </c>
      <c r="BT743">
        <f>IFERROR(INDEX(PP_Grid[#Data],$DD743,70),0)</f>
        <v/>
      </c>
      <c r="BU743">
        <f>IFERROR(INDEX(PP_Grid[#Data],$DD743,71),0)</f>
        <v/>
      </c>
      <c r="BV743">
        <f>IFERROR(INDEX(PP_Grid[#Data],$DD743,72),0)</f>
        <v/>
      </c>
      <c r="BW743">
        <f>IFERROR(INDEX(PP_Grid[#Data],$DD743,73),0)</f>
        <v/>
      </c>
      <c r="BX743">
        <f>IFERROR(INDEX(PP_Grid[#Data],$DD743,74),0)</f>
        <v/>
      </c>
      <c r="BY743">
        <f>IFERROR(INDEX(PP_Grid[#Data],$DD743,75),0)</f>
        <v/>
      </c>
      <c r="BZ743">
        <f>IFERROR(INDEX(PP_Grid[#Data],$DD743,76),0)</f>
        <v/>
      </c>
      <c r="CA743">
        <f>IFERROR(INDEX(PP_Grid[#Data],$DD743,77),0)</f>
        <v/>
      </c>
      <c r="CB743">
        <f>IFERROR(INDEX(PP_Grid[#Data],$DD743,78),0)</f>
        <v/>
      </c>
      <c r="CC743">
        <f>IFERROR(INDEX(PP_Grid[#Data],$DD743,79),0)</f>
        <v/>
      </c>
      <c r="CD743">
        <f>IFERROR(INDEX(PP_Grid[#Data],$DD743,80),0)</f>
        <v/>
      </c>
      <c r="CE743">
        <f>IFERROR(INDEX(PP_Grid[#Data],$DD743,81),0)</f>
        <v/>
      </c>
      <c r="CF743">
        <f>IFERROR(INDEX(PP_Grid[#Data],$DD743,82),0)</f>
        <v/>
      </c>
      <c r="CG743">
        <f>IFERROR(INDEX(PP_Grid[#Data],$DD743,83),0)</f>
        <v/>
      </c>
      <c r="CH743">
        <f>IFERROR(INDEX(PP_Grid[#Data],$DD743,84),0)</f>
        <v/>
      </c>
      <c r="CI743">
        <f>IFERROR(INDEX(PP_Grid[#Data],$DD743,85),0)</f>
        <v/>
      </c>
      <c r="CJ743">
        <f>IFERROR(INDEX(PP_Grid[#Data],$DD743,86),0)</f>
        <v/>
      </c>
      <c r="CK743">
        <f>IFERROR(INDEX(PP_Grid[#Data],$DD743,87),0)</f>
        <v/>
      </c>
      <c r="CL743">
        <f>IFERROR(INDEX(PP_Grid[#Data],$DD743,88),0)</f>
        <v/>
      </c>
      <c r="CM743">
        <f>IFERROR(INDEX(PP_Grid[#Data],$DD743,89),0)</f>
        <v/>
      </c>
      <c r="CN743">
        <f>IFERROR(INDEX(PP_Grid[#Data],$DD743,90),0)</f>
        <v/>
      </c>
      <c r="CO743">
        <f>IFERROR(INDEX(PP_Grid[#Data],$DD743,91),0)</f>
        <v/>
      </c>
      <c r="CP743">
        <f>IFERROR(INDEX(PP_Grid[#Data],$DD743,92),0)</f>
        <v/>
      </c>
      <c r="CQ743">
        <f>IFERROR(INDEX(PP_Grid[#Data],$DD743,93),0)</f>
        <v/>
      </c>
      <c r="CR743">
        <f>IFERROR(INDEX(PP_Grid[#Data],$DD743,94),0)</f>
        <v/>
      </c>
      <c r="CS743">
        <f>IFERROR(INDEX(PP_Grid[#Data],$DD743,95),0)</f>
        <v/>
      </c>
      <c r="CT743">
        <f>IFERROR(INDEX(PP_Grid[#Data],$DD743,96),0)</f>
        <v/>
      </c>
      <c r="CU743">
        <f>IFERROR(INDEX(PP_Grid[#Data],$DD743,97),0)</f>
        <v/>
      </c>
      <c r="CV743">
        <f>IFERROR(INDEX(PP_Grid[#Data],$DD743,98),0)</f>
        <v/>
      </c>
      <c r="CW743">
        <f>IFERROR(INDEX(PP_Grid[#Data],$DD743,99),0)</f>
        <v/>
      </c>
      <c r="CX743">
        <f>IFERROR(INDEX(PP_Grid[#Data],$DD743,100),0)</f>
        <v/>
      </c>
      <c r="CY743">
        <f>IFERROR(INDEX(PP_Grid[#Data],$DD743,101),0)</f>
        <v/>
      </c>
      <c r="CZ743">
        <f>IFERROR(INDEX(PP_Grid[#Data],$DD743,102),0)</f>
        <v/>
      </c>
      <c r="DA743">
        <f>IFERROR(INDEX(PP_Grid[#Data],$DD743,103),0)</f>
        <v/>
      </c>
      <c r="DB743">
        <f>IFERROR(INDEX(PP_Grid[#Data],$DD743,104),0)</f>
        <v/>
      </c>
      <c r="DC743">
        <f>IFERROR(INDEX(PP_Grid[#Data],$DD743,105),0)</f>
        <v/>
      </c>
      <c r="DD743" s="7">
        <f>IFERROR(MATCH($B743,PP_Grid[Intermediate],0),99999)</f>
        <v/>
      </c>
    </row>
    <row r="744">
      <c r="B744" t="inlineStr">
        <is>
          <t>使用量(kg)</t>
        </is>
      </c>
      <c r="C744">
        <f>SUMIFS(M_BOM[RM_Qty_Per_Batch],M_BOM[Intermediate],$B743,M_BOM[Part Name],$A710)</f>
        <v/>
      </c>
      <c r="D744">
        <f>$C744*D743</f>
        <v/>
      </c>
      <c r="E744">
        <f>$C744*E743</f>
        <v/>
      </c>
      <c r="F744">
        <f>$C744*F743</f>
        <v/>
      </c>
      <c r="G744">
        <f>$C744*G743</f>
        <v/>
      </c>
      <c r="H744">
        <f>$C744*H743</f>
        <v/>
      </c>
      <c r="I744">
        <f>$C744*I743</f>
        <v/>
      </c>
      <c r="J744">
        <f>$C744*J743</f>
        <v/>
      </c>
      <c r="K744">
        <f>$C744*K743</f>
        <v/>
      </c>
      <c r="L744">
        <f>$C744*L743</f>
        <v/>
      </c>
      <c r="M744">
        <f>$C744*M743</f>
        <v/>
      </c>
      <c r="N744">
        <f>$C744*N743</f>
        <v/>
      </c>
      <c r="O744">
        <f>$C744*O743</f>
        <v/>
      </c>
      <c r="P744">
        <f>$C744*P743</f>
        <v/>
      </c>
      <c r="Q744">
        <f>$C744*Q743</f>
        <v/>
      </c>
      <c r="R744">
        <f>$C744*R743</f>
        <v/>
      </c>
      <c r="S744">
        <f>$C744*S743</f>
        <v/>
      </c>
      <c r="T744">
        <f>$C744*T743</f>
        <v/>
      </c>
      <c r="U744">
        <f>$C744*U743</f>
        <v/>
      </c>
      <c r="V744">
        <f>$C744*V743</f>
        <v/>
      </c>
      <c r="W744">
        <f>$C744*W743</f>
        <v/>
      </c>
      <c r="X744">
        <f>$C744*X743</f>
        <v/>
      </c>
      <c r="Y744">
        <f>$C744*Y743</f>
        <v/>
      </c>
      <c r="Z744">
        <f>$C744*Z743</f>
        <v/>
      </c>
      <c r="AA744">
        <f>$C744*AA743</f>
        <v/>
      </c>
      <c r="AB744">
        <f>$C744*AB743</f>
        <v/>
      </c>
      <c r="AC744">
        <f>$C744*AC743</f>
        <v/>
      </c>
      <c r="AD744">
        <f>$C744*AD743</f>
        <v/>
      </c>
      <c r="AE744">
        <f>$C744*AE743</f>
        <v/>
      </c>
      <c r="AF744">
        <f>$C744*AF743</f>
        <v/>
      </c>
      <c r="AG744">
        <f>$C744*AG743</f>
        <v/>
      </c>
      <c r="AH744">
        <f>$C744*AH743</f>
        <v/>
      </c>
      <c r="AI744">
        <f>$C744*AI743</f>
        <v/>
      </c>
      <c r="AJ744">
        <f>$C744*AJ743</f>
        <v/>
      </c>
      <c r="AK744">
        <f>$C744*AK743</f>
        <v/>
      </c>
      <c r="AL744">
        <f>$C744*AL743</f>
        <v/>
      </c>
      <c r="AM744">
        <f>$C744*AM743</f>
        <v/>
      </c>
      <c r="AN744">
        <f>$C744*AN743</f>
        <v/>
      </c>
      <c r="AO744">
        <f>$C744*AO743</f>
        <v/>
      </c>
      <c r="AP744">
        <f>$C744*AP743</f>
        <v/>
      </c>
      <c r="AQ744">
        <f>$C744*AQ743</f>
        <v/>
      </c>
      <c r="AR744">
        <f>$C744*AR743</f>
        <v/>
      </c>
      <c r="AS744">
        <f>$C744*AS743</f>
        <v/>
      </c>
      <c r="AT744">
        <f>$C744*AT743</f>
        <v/>
      </c>
      <c r="AU744">
        <f>$C744*AU743</f>
        <v/>
      </c>
      <c r="AV744">
        <f>$C744*AV743</f>
        <v/>
      </c>
      <c r="AW744">
        <f>$C744*AW743</f>
        <v/>
      </c>
      <c r="AX744">
        <f>$C744*AX743</f>
        <v/>
      </c>
      <c r="AY744">
        <f>$C744*AY743</f>
        <v/>
      </c>
      <c r="AZ744">
        <f>$C744*AZ743</f>
        <v/>
      </c>
      <c r="BA744">
        <f>$C744*BA743</f>
        <v/>
      </c>
      <c r="BB744">
        <f>$C744*BB743</f>
        <v/>
      </c>
      <c r="BC744">
        <f>$C744*BC743</f>
        <v/>
      </c>
      <c r="BD744">
        <f>$C744*BD743</f>
        <v/>
      </c>
      <c r="BE744">
        <f>$C744*BE743</f>
        <v/>
      </c>
      <c r="BF744">
        <f>$C744*BF743</f>
        <v/>
      </c>
      <c r="BG744">
        <f>$C744*BG743</f>
        <v/>
      </c>
      <c r="BH744">
        <f>$C744*BH743</f>
        <v/>
      </c>
      <c r="BI744">
        <f>$C744*BI743</f>
        <v/>
      </c>
      <c r="BJ744">
        <f>$C744*BJ743</f>
        <v/>
      </c>
      <c r="BK744">
        <f>$C744*BK743</f>
        <v/>
      </c>
      <c r="BL744">
        <f>$C744*BL743</f>
        <v/>
      </c>
      <c r="BM744">
        <f>$C744*BM743</f>
        <v/>
      </c>
      <c r="BN744">
        <f>$C744*BN743</f>
        <v/>
      </c>
      <c r="BO744">
        <f>$C744*BO743</f>
        <v/>
      </c>
      <c r="BP744">
        <f>$C744*BP743</f>
        <v/>
      </c>
      <c r="BQ744">
        <f>$C744*BQ743</f>
        <v/>
      </c>
      <c r="BR744">
        <f>$C744*BR743</f>
        <v/>
      </c>
      <c r="BS744">
        <f>$C744*BS743</f>
        <v/>
      </c>
      <c r="BT744">
        <f>$C744*BT743</f>
        <v/>
      </c>
      <c r="BU744">
        <f>$C744*BU743</f>
        <v/>
      </c>
      <c r="BV744">
        <f>$C744*BV743</f>
        <v/>
      </c>
      <c r="BW744">
        <f>$C744*BW743</f>
        <v/>
      </c>
      <c r="BX744">
        <f>$C744*BX743</f>
        <v/>
      </c>
      <c r="BY744">
        <f>$C744*BY743</f>
        <v/>
      </c>
      <c r="BZ744">
        <f>$C744*BZ743</f>
        <v/>
      </c>
      <c r="CA744">
        <f>$C744*CA743</f>
        <v/>
      </c>
      <c r="CB744">
        <f>$C744*CB743</f>
        <v/>
      </c>
      <c r="CC744">
        <f>$C744*CC743</f>
        <v/>
      </c>
      <c r="CD744">
        <f>$C744*CD743</f>
        <v/>
      </c>
      <c r="CE744">
        <f>$C744*CE743</f>
        <v/>
      </c>
      <c r="CF744">
        <f>$C744*CF743</f>
        <v/>
      </c>
      <c r="CG744">
        <f>$C744*CG743</f>
        <v/>
      </c>
      <c r="CH744">
        <f>$C744*CH743</f>
        <v/>
      </c>
      <c r="CI744">
        <f>$C744*CI743</f>
        <v/>
      </c>
      <c r="CJ744">
        <f>$C744*CJ743</f>
        <v/>
      </c>
      <c r="CK744">
        <f>$C744*CK743</f>
        <v/>
      </c>
      <c r="CL744">
        <f>$C744*CL743</f>
        <v/>
      </c>
      <c r="CM744">
        <f>$C744*CM743</f>
        <v/>
      </c>
      <c r="CN744">
        <f>$C744*CN743</f>
        <v/>
      </c>
      <c r="CO744">
        <f>$C744*CO743</f>
        <v/>
      </c>
      <c r="CP744">
        <f>$C744*CP743</f>
        <v/>
      </c>
      <c r="CQ744">
        <f>$C744*CQ743</f>
        <v/>
      </c>
      <c r="CR744">
        <f>$C744*CR743</f>
        <v/>
      </c>
      <c r="CS744">
        <f>$C744*CS743</f>
        <v/>
      </c>
      <c r="CT744">
        <f>$C744*CT743</f>
        <v/>
      </c>
      <c r="CU744">
        <f>$C744*CU743</f>
        <v/>
      </c>
      <c r="CV744">
        <f>$C744*CV743</f>
        <v/>
      </c>
      <c r="CW744">
        <f>$C744*CW743</f>
        <v/>
      </c>
      <c r="CX744">
        <f>$C744*CX743</f>
        <v/>
      </c>
      <c r="CY744">
        <f>$C744*CY743</f>
        <v/>
      </c>
      <c r="CZ744">
        <f>$C744*CZ743</f>
        <v/>
      </c>
      <c r="DA744">
        <f>$C744*DA743</f>
        <v/>
      </c>
      <c r="DB744">
        <f>$C744*DB743</f>
        <v/>
      </c>
      <c r="DC744">
        <f>$C744*DC743</f>
        <v/>
      </c>
    </row>
    <row r="745">
      <c r="B745" t="inlineStr">
        <is>
          <t>VSZ-745</t>
        </is>
      </c>
      <c r="C745" t="inlineStr">
        <is>
          <t>No. of batches</t>
        </is>
      </c>
      <c r="D745">
        <f>IFERROR(INDEX(PP_Grid[#Data],$DD745,2),0)</f>
        <v/>
      </c>
      <c r="E745">
        <f>IFERROR(INDEX(PP_Grid[#Data],$DD745,3),0)</f>
        <v/>
      </c>
      <c r="F745">
        <f>IFERROR(INDEX(PP_Grid[#Data],$DD745,4),0)</f>
        <v/>
      </c>
      <c r="G745">
        <f>IFERROR(INDEX(PP_Grid[#Data],$DD745,5),0)</f>
        <v/>
      </c>
      <c r="H745">
        <f>IFERROR(INDEX(PP_Grid[#Data],$DD745,6),0)</f>
        <v/>
      </c>
      <c r="I745">
        <f>IFERROR(INDEX(PP_Grid[#Data],$DD745,7),0)</f>
        <v/>
      </c>
      <c r="J745">
        <f>IFERROR(INDEX(PP_Grid[#Data],$DD745,8),0)</f>
        <v/>
      </c>
      <c r="K745">
        <f>IFERROR(INDEX(PP_Grid[#Data],$DD745,9),0)</f>
        <v/>
      </c>
      <c r="L745">
        <f>IFERROR(INDEX(PP_Grid[#Data],$DD745,10),0)</f>
        <v/>
      </c>
      <c r="M745">
        <f>IFERROR(INDEX(PP_Grid[#Data],$DD745,11),0)</f>
        <v/>
      </c>
      <c r="N745">
        <f>IFERROR(INDEX(PP_Grid[#Data],$DD745,12),0)</f>
        <v/>
      </c>
      <c r="O745">
        <f>IFERROR(INDEX(PP_Grid[#Data],$DD745,13),0)</f>
        <v/>
      </c>
      <c r="P745">
        <f>IFERROR(INDEX(PP_Grid[#Data],$DD745,14),0)</f>
        <v/>
      </c>
      <c r="Q745">
        <f>IFERROR(INDEX(PP_Grid[#Data],$DD745,15),0)</f>
        <v/>
      </c>
      <c r="R745">
        <f>IFERROR(INDEX(PP_Grid[#Data],$DD745,16),0)</f>
        <v/>
      </c>
      <c r="S745">
        <f>IFERROR(INDEX(PP_Grid[#Data],$DD745,17),0)</f>
        <v/>
      </c>
      <c r="T745">
        <f>IFERROR(INDEX(PP_Grid[#Data],$DD745,18),0)</f>
        <v/>
      </c>
      <c r="U745">
        <f>IFERROR(INDEX(PP_Grid[#Data],$DD745,19),0)</f>
        <v/>
      </c>
      <c r="V745">
        <f>IFERROR(INDEX(PP_Grid[#Data],$DD745,20),0)</f>
        <v/>
      </c>
      <c r="W745">
        <f>IFERROR(INDEX(PP_Grid[#Data],$DD745,21),0)</f>
        <v/>
      </c>
      <c r="X745">
        <f>IFERROR(INDEX(PP_Grid[#Data],$DD745,22),0)</f>
        <v/>
      </c>
      <c r="Y745">
        <f>IFERROR(INDEX(PP_Grid[#Data],$DD745,23),0)</f>
        <v/>
      </c>
      <c r="Z745">
        <f>IFERROR(INDEX(PP_Grid[#Data],$DD745,24),0)</f>
        <v/>
      </c>
      <c r="AA745">
        <f>IFERROR(INDEX(PP_Grid[#Data],$DD745,25),0)</f>
        <v/>
      </c>
      <c r="AB745">
        <f>IFERROR(INDEX(PP_Grid[#Data],$DD745,26),0)</f>
        <v/>
      </c>
      <c r="AC745">
        <f>IFERROR(INDEX(PP_Grid[#Data],$DD745,27),0)</f>
        <v/>
      </c>
      <c r="AD745">
        <f>IFERROR(INDEX(PP_Grid[#Data],$DD745,28),0)</f>
        <v/>
      </c>
      <c r="AE745">
        <f>IFERROR(INDEX(PP_Grid[#Data],$DD745,29),0)</f>
        <v/>
      </c>
      <c r="AF745">
        <f>IFERROR(INDEX(PP_Grid[#Data],$DD745,30),0)</f>
        <v/>
      </c>
      <c r="AG745">
        <f>IFERROR(INDEX(PP_Grid[#Data],$DD745,31),0)</f>
        <v/>
      </c>
      <c r="AH745">
        <f>IFERROR(INDEX(PP_Grid[#Data],$DD745,32),0)</f>
        <v/>
      </c>
      <c r="AI745">
        <f>IFERROR(INDEX(PP_Grid[#Data],$DD745,33),0)</f>
        <v/>
      </c>
      <c r="AJ745">
        <f>IFERROR(INDEX(PP_Grid[#Data],$DD745,34),0)</f>
        <v/>
      </c>
      <c r="AK745">
        <f>IFERROR(INDEX(PP_Grid[#Data],$DD745,35),0)</f>
        <v/>
      </c>
      <c r="AL745">
        <f>IFERROR(INDEX(PP_Grid[#Data],$DD745,36),0)</f>
        <v/>
      </c>
      <c r="AM745">
        <f>IFERROR(INDEX(PP_Grid[#Data],$DD745,37),0)</f>
        <v/>
      </c>
      <c r="AN745">
        <f>IFERROR(INDEX(PP_Grid[#Data],$DD745,38),0)</f>
        <v/>
      </c>
      <c r="AO745">
        <f>IFERROR(INDEX(PP_Grid[#Data],$DD745,39),0)</f>
        <v/>
      </c>
      <c r="AP745">
        <f>IFERROR(INDEX(PP_Grid[#Data],$DD745,40),0)</f>
        <v/>
      </c>
      <c r="AQ745">
        <f>IFERROR(INDEX(PP_Grid[#Data],$DD745,41),0)</f>
        <v/>
      </c>
      <c r="AR745">
        <f>IFERROR(INDEX(PP_Grid[#Data],$DD745,42),0)</f>
        <v/>
      </c>
      <c r="AS745">
        <f>IFERROR(INDEX(PP_Grid[#Data],$DD745,43),0)</f>
        <v/>
      </c>
      <c r="AT745">
        <f>IFERROR(INDEX(PP_Grid[#Data],$DD745,44),0)</f>
        <v/>
      </c>
      <c r="AU745">
        <f>IFERROR(INDEX(PP_Grid[#Data],$DD745,45),0)</f>
        <v/>
      </c>
      <c r="AV745">
        <f>IFERROR(INDEX(PP_Grid[#Data],$DD745,46),0)</f>
        <v/>
      </c>
      <c r="AW745">
        <f>IFERROR(INDEX(PP_Grid[#Data],$DD745,47),0)</f>
        <v/>
      </c>
      <c r="AX745">
        <f>IFERROR(INDEX(PP_Grid[#Data],$DD745,48),0)</f>
        <v/>
      </c>
      <c r="AY745">
        <f>IFERROR(INDEX(PP_Grid[#Data],$DD745,49),0)</f>
        <v/>
      </c>
      <c r="AZ745">
        <f>IFERROR(INDEX(PP_Grid[#Data],$DD745,50),0)</f>
        <v/>
      </c>
      <c r="BA745">
        <f>IFERROR(INDEX(PP_Grid[#Data],$DD745,51),0)</f>
        <v/>
      </c>
      <c r="BB745">
        <f>IFERROR(INDEX(PP_Grid[#Data],$DD745,52),0)</f>
        <v/>
      </c>
      <c r="BC745">
        <f>IFERROR(INDEX(PP_Grid[#Data],$DD745,53),0)</f>
        <v/>
      </c>
      <c r="BD745">
        <f>IFERROR(INDEX(PP_Grid[#Data],$DD745,54),0)</f>
        <v/>
      </c>
      <c r="BE745">
        <f>IFERROR(INDEX(PP_Grid[#Data],$DD745,55),0)</f>
        <v/>
      </c>
      <c r="BF745">
        <f>IFERROR(INDEX(PP_Grid[#Data],$DD745,56),0)</f>
        <v/>
      </c>
      <c r="BG745">
        <f>IFERROR(INDEX(PP_Grid[#Data],$DD745,57),0)</f>
        <v/>
      </c>
      <c r="BH745">
        <f>IFERROR(INDEX(PP_Grid[#Data],$DD745,58),0)</f>
        <v/>
      </c>
      <c r="BI745">
        <f>IFERROR(INDEX(PP_Grid[#Data],$DD745,59),0)</f>
        <v/>
      </c>
      <c r="BJ745">
        <f>IFERROR(INDEX(PP_Grid[#Data],$DD745,60),0)</f>
        <v/>
      </c>
      <c r="BK745">
        <f>IFERROR(INDEX(PP_Grid[#Data],$DD745,61),0)</f>
        <v/>
      </c>
      <c r="BL745">
        <f>IFERROR(INDEX(PP_Grid[#Data],$DD745,62),0)</f>
        <v/>
      </c>
      <c r="BM745">
        <f>IFERROR(INDEX(PP_Grid[#Data],$DD745,63),0)</f>
        <v/>
      </c>
      <c r="BN745">
        <f>IFERROR(INDEX(PP_Grid[#Data],$DD745,64),0)</f>
        <v/>
      </c>
      <c r="BO745">
        <f>IFERROR(INDEX(PP_Grid[#Data],$DD745,65),0)</f>
        <v/>
      </c>
      <c r="BP745">
        <f>IFERROR(INDEX(PP_Grid[#Data],$DD745,66),0)</f>
        <v/>
      </c>
      <c r="BQ745">
        <f>IFERROR(INDEX(PP_Grid[#Data],$DD745,67),0)</f>
        <v/>
      </c>
      <c r="BR745">
        <f>IFERROR(INDEX(PP_Grid[#Data],$DD745,68),0)</f>
        <v/>
      </c>
      <c r="BS745">
        <f>IFERROR(INDEX(PP_Grid[#Data],$DD745,69),0)</f>
        <v/>
      </c>
      <c r="BT745">
        <f>IFERROR(INDEX(PP_Grid[#Data],$DD745,70),0)</f>
        <v/>
      </c>
      <c r="BU745">
        <f>IFERROR(INDEX(PP_Grid[#Data],$DD745,71),0)</f>
        <v/>
      </c>
      <c r="BV745">
        <f>IFERROR(INDEX(PP_Grid[#Data],$DD745,72),0)</f>
        <v/>
      </c>
      <c r="BW745">
        <f>IFERROR(INDEX(PP_Grid[#Data],$DD745,73),0)</f>
        <v/>
      </c>
      <c r="BX745">
        <f>IFERROR(INDEX(PP_Grid[#Data],$DD745,74),0)</f>
        <v/>
      </c>
      <c r="BY745">
        <f>IFERROR(INDEX(PP_Grid[#Data],$DD745,75),0)</f>
        <v/>
      </c>
      <c r="BZ745">
        <f>IFERROR(INDEX(PP_Grid[#Data],$DD745,76),0)</f>
        <v/>
      </c>
      <c r="CA745">
        <f>IFERROR(INDEX(PP_Grid[#Data],$DD745,77),0)</f>
        <v/>
      </c>
      <c r="CB745">
        <f>IFERROR(INDEX(PP_Grid[#Data],$DD745,78),0)</f>
        <v/>
      </c>
      <c r="CC745">
        <f>IFERROR(INDEX(PP_Grid[#Data],$DD745,79),0)</f>
        <v/>
      </c>
      <c r="CD745">
        <f>IFERROR(INDEX(PP_Grid[#Data],$DD745,80),0)</f>
        <v/>
      </c>
      <c r="CE745">
        <f>IFERROR(INDEX(PP_Grid[#Data],$DD745,81),0)</f>
        <v/>
      </c>
      <c r="CF745">
        <f>IFERROR(INDEX(PP_Grid[#Data],$DD745,82),0)</f>
        <v/>
      </c>
      <c r="CG745">
        <f>IFERROR(INDEX(PP_Grid[#Data],$DD745,83),0)</f>
        <v/>
      </c>
      <c r="CH745">
        <f>IFERROR(INDEX(PP_Grid[#Data],$DD745,84),0)</f>
        <v/>
      </c>
      <c r="CI745">
        <f>IFERROR(INDEX(PP_Grid[#Data],$DD745,85),0)</f>
        <v/>
      </c>
      <c r="CJ745">
        <f>IFERROR(INDEX(PP_Grid[#Data],$DD745,86),0)</f>
        <v/>
      </c>
      <c r="CK745">
        <f>IFERROR(INDEX(PP_Grid[#Data],$DD745,87),0)</f>
        <v/>
      </c>
      <c r="CL745">
        <f>IFERROR(INDEX(PP_Grid[#Data],$DD745,88),0)</f>
        <v/>
      </c>
      <c r="CM745">
        <f>IFERROR(INDEX(PP_Grid[#Data],$DD745,89),0)</f>
        <v/>
      </c>
      <c r="CN745">
        <f>IFERROR(INDEX(PP_Grid[#Data],$DD745,90),0)</f>
        <v/>
      </c>
      <c r="CO745">
        <f>IFERROR(INDEX(PP_Grid[#Data],$DD745,91),0)</f>
        <v/>
      </c>
      <c r="CP745">
        <f>IFERROR(INDEX(PP_Grid[#Data],$DD745,92),0)</f>
        <v/>
      </c>
      <c r="CQ745">
        <f>IFERROR(INDEX(PP_Grid[#Data],$DD745,93),0)</f>
        <v/>
      </c>
      <c r="CR745">
        <f>IFERROR(INDEX(PP_Grid[#Data],$DD745,94),0)</f>
        <v/>
      </c>
      <c r="CS745">
        <f>IFERROR(INDEX(PP_Grid[#Data],$DD745,95),0)</f>
        <v/>
      </c>
      <c r="CT745">
        <f>IFERROR(INDEX(PP_Grid[#Data],$DD745,96),0)</f>
        <v/>
      </c>
      <c r="CU745">
        <f>IFERROR(INDEX(PP_Grid[#Data],$DD745,97),0)</f>
        <v/>
      </c>
      <c r="CV745">
        <f>IFERROR(INDEX(PP_Grid[#Data],$DD745,98),0)</f>
        <v/>
      </c>
      <c r="CW745">
        <f>IFERROR(INDEX(PP_Grid[#Data],$DD745,99),0)</f>
        <v/>
      </c>
      <c r="CX745">
        <f>IFERROR(INDEX(PP_Grid[#Data],$DD745,100),0)</f>
        <v/>
      </c>
      <c r="CY745">
        <f>IFERROR(INDEX(PP_Grid[#Data],$DD745,101),0)</f>
        <v/>
      </c>
      <c r="CZ745">
        <f>IFERROR(INDEX(PP_Grid[#Data],$DD745,102),0)</f>
        <v/>
      </c>
      <c r="DA745">
        <f>IFERROR(INDEX(PP_Grid[#Data],$DD745,103),0)</f>
        <v/>
      </c>
      <c r="DB745">
        <f>IFERROR(INDEX(PP_Grid[#Data],$DD745,104),0)</f>
        <v/>
      </c>
      <c r="DC745">
        <f>IFERROR(INDEX(PP_Grid[#Data],$DD745,105),0)</f>
        <v/>
      </c>
      <c r="DD745" s="7">
        <f>IFERROR(MATCH($B745,PP_Grid[Intermediate],0),99999)</f>
        <v/>
      </c>
    </row>
    <row r="746">
      <c r="B746" t="inlineStr">
        <is>
          <t>使用量(kg)</t>
        </is>
      </c>
      <c r="C746">
        <f>SUMIFS(M_BOM[RM_Qty_Per_Batch],M_BOM[Intermediate],$B745,M_BOM[Part Name],$A710)</f>
        <v/>
      </c>
      <c r="D746">
        <f>$C746*D745</f>
        <v/>
      </c>
      <c r="E746">
        <f>$C746*E745</f>
        <v/>
      </c>
      <c r="F746">
        <f>$C746*F745</f>
        <v/>
      </c>
      <c r="G746">
        <f>$C746*G745</f>
        <v/>
      </c>
      <c r="H746">
        <f>$C746*H745</f>
        <v/>
      </c>
      <c r="I746">
        <f>$C746*I745</f>
        <v/>
      </c>
      <c r="J746">
        <f>$C746*J745</f>
        <v/>
      </c>
      <c r="K746">
        <f>$C746*K745</f>
        <v/>
      </c>
      <c r="L746">
        <f>$C746*L745</f>
        <v/>
      </c>
      <c r="M746">
        <f>$C746*M745</f>
        <v/>
      </c>
      <c r="N746">
        <f>$C746*N745</f>
        <v/>
      </c>
      <c r="O746">
        <f>$C746*O745</f>
        <v/>
      </c>
      <c r="P746">
        <f>$C746*P745</f>
        <v/>
      </c>
      <c r="Q746">
        <f>$C746*Q745</f>
        <v/>
      </c>
      <c r="R746">
        <f>$C746*R745</f>
        <v/>
      </c>
      <c r="S746">
        <f>$C746*S745</f>
        <v/>
      </c>
      <c r="T746">
        <f>$C746*T745</f>
        <v/>
      </c>
      <c r="U746">
        <f>$C746*U745</f>
        <v/>
      </c>
      <c r="V746">
        <f>$C746*V745</f>
        <v/>
      </c>
      <c r="W746">
        <f>$C746*W745</f>
        <v/>
      </c>
      <c r="X746">
        <f>$C746*X745</f>
        <v/>
      </c>
      <c r="Y746">
        <f>$C746*Y745</f>
        <v/>
      </c>
      <c r="Z746">
        <f>$C746*Z745</f>
        <v/>
      </c>
      <c r="AA746">
        <f>$C746*AA745</f>
        <v/>
      </c>
      <c r="AB746">
        <f>$C746*AB745</f>
        <v/>
      </c>
      <c r="AC746">
        <f>$C746*AC745</f>
        <v/>
      </c>
      <c r="AD746">
        <f>$C746*AD745</f>
        <v/>
      </c>
      <c r="AE746">
        <f>$C746*AE745</f>
        <v/>
      </c>
      <c r="AF746">
        <f>$C746*AF745</f>
        <v/>
      </c>
      <c r="AG746">
        <f>$C746*AG745</f>
        <v/>
      </c>
      <c r="AH746">
        <f>$C746*AH745</f>
        <v/>
      </c>
      <c r="AI746">
        <f>$C746*AI745</f>
        <v/>
      </c>
      <c r="AJ746">
        <f>$C746*AJ745</f>
        <v/>
      </c>
      <c r="AK746">
        <f>$C746*AK745</f>
        <v/>
      </c>
      <c r="AL746">
        <f>$C746*AL745</f>
        <v/>
      </c>
      <c r="AM746">
        <f>$C746*AM745</f>
        <v/>
      </c>
      <c r="AN746">
        <f>$C746*AN745</f>
        <v/>
      </c>
      <c r="AO746">
        <f>$C746*AO745</f>
        <v/>
      </c>
      <c r="AP746">
        <f>$C746*AP745</f>
        <v/>
      </c>
      <c r="AQ746">
        <f>$C746*AQ745</f>
        <v/>
      </c>
      <c r="AR746">
        <f>$C746*AR745</f>
        <v/>
      </c>
      <c r="AS746">
        <f>$C746*AS745</f>
        <v/>
      </c>
      <c r="AT746">
        <f>$C746*AT745</f>
        <v/>
      </c>
      <c r="AU746">
        <f>$C746*AU745</f>
        <v/>
      </c>
      <c r="AV746">
        <f>$C746*AV745</f>
        <v/>
      </c>
      <c r="AW746">
        <f>$C746*AW745</f>
        <v/>
      </c>
      <c r="AX746">
        <f>$C746*AX745</f>
        <v/>
      </c>
      <c r="AY746">
        <f>$C746*AY745</f>
        <v/>
      </c>
      <c r="AZ746">
        <f>$C746*AZ745</f>
        <v/>
      </c>
      <c r="BA746">
        <f>$C746*BA745</f>
        <v/>
      </c>
      <c r="BB746">
        <f>$C746*BB745</f>
        <v/>
      </c>
      <c r="BC746">
        <f>$C746*BC745</f>
        <v/>
      </c>
      <c r="BD746">
        <f>$C746*BD745</f>
        <v/>
      </c>
      <c r="BE746">
        <f>$C746*BE745</f>
        <v/>
      </c>
      <c r="BF746">
        <f>$C746*BF745</f>
        <v/>
      </c>
      <c r="BG746">
        <f>$C746*BG745</f>
        <v/>
      </c>
      <c r="BH746">
        <f>$C746*BH745</f>
        <v/>
      </c>
      <c r="BI746">
        <f>$C746*BI745</f>
        <v/>
      </c>
      <c r="BJ746">
        <f>$C746*BJ745</f>
        <v/>
      </c>
      <c r="BK746">
        <f>$C746*BK745</f>
        <v/>
      </c>
      <c r="BL746">
        <f>$C746*BL745</f>
        <v/>
      </c>
      <c r="BM746">
        <f>$C746*BM745</f>
        <v/>
      </c>
      <c r="BN746">
        <f>$C746*BN745</f>
        <v/>
      </c>
      <c r="BO746">
        <f>$C746*BO745</f>
        <v/>
      </c>
      <c r="BP746">
        <f>$C746*BP745</f>
        <v/>
      </c>
      <c r="BQ746">
        <f>$C746*BQ745</f>
        <v/>
      </c>
      <c r="BR746">
        <f>$C746*BR745</f>
        <v/>
      </c>
      <c r="BS746">
        <f>$C746*BS745</f>
        <v/>
      </c>
      <c r="BT746">
        <f>$C746*BT745</f>
        <v/>
      </c>
      <c r="BU746">
        <f>$C746*BU745</f>
        <v/>
      </c>
      <c r="BV746">
        <f>$C746*BV745</f>
        <v/>
      </c>
      <c r="BW746">
        <f>$C746*BW745</f>
        <v/>
      </c>
      <c r="BX746">
        <f>$C746*BX745</f>
        <v/>
      </c>
      <c r="BY746">
        <f>$C746*BY745</f>
        <v/>
      </c>
      <c r="BZ746">
        <f>$C746*BZ745</f>
        <v/>
      </c>
      <c r="CA746">
        <f>$C746*CA745</f>
        <v/>
      </c>
      <c r="CB746">
        <f>$C746*CB745</f>
        <v/>
      </c>
      <c r="CC746">
        <f>$C746*CC745</f>
        <v/>
      </c>
      <c r="CD746">
        <f>$C746*CD745</f>
        <v/>
      </c>
      <c r="CE746">
        <f>$C746*CE745</f>
        <v/>
      </c>
      <c r="CF746">
        <f>$C746*CF745</f>
        <v/>
      </c>
      <c r="CG746">
        <f>$C746*CG745</f>
        <v/>
      </c>
      <c r="CH746">
        <f>$C746*CH745</f>
        <v/>
      </c>
      <c r="CI746">
        <f>$C746*CI745</f>
        <v/>
      </c>
      <c r="CJ746">
        <f>$C746*CJ745</f>
        <v/>
      </c>
      <c r="CK746">
        <f>$C746*CK745</f>
        <v/>
      </c>
      <c r="CL746">
        <f>$C746*CL745</f>
        <v/>
      </c>
      <c r="CM746">
        <f>$C746*CM745</f>
        <v/>
      </c>
      <c r="CN746">
        <f>$C746*CN745</f>
        <v/>
      </c>
      <c r="CO746">
        <f>$C746*CO745</f>
        <v/>
      </c>
      <c r="CP746">
        <f>$C746*CP745</f>
        <v/>
      </c>
      <c r="CQ746">
        <f>$C746*CQ745</f>
        <v/>
      </c>
      <c r="CR746">
        <f>$C746*CR745</f>
        <v/>
      </c>
      <c r="CS746">
        <f>$C746*CS745</f>
        <v/>
      </c>
      <c r="CT746">
        <f>$C746*CT745</f>
        <v/>
      </c>
      <c r="CU746">
        <f>$C746*CU745</f>
        <v/>
      </c>
      <c r="CV746">
        <f>$C746*CV745</f>
        <v/>
      </c>
      <c r="CW746">
        <f>$C746*CW745</f>
        <v/>
      </c>
      <c r="CX746">
        <f>$C746*CX745</f>
        <v/>
      </c>
      <c r="CY746">
        <f>$C746*CY745</f>
        <v/>
      </c>
      <c r="CZ746">
        <f>$C746*CZ745</f>
        <v/>
      </c>
      <c r="DA746">
        <f>$C746*DA745</f>
        <v/>
      </c>
      <c r="DB746">
        <f>$C746*DB745</f>
        <v/>
      </c>
      <c r="DC746">
        <f>$C746*DC745</f>
        <v/>
      </c>
    </row>
    <row r="747">
      <c r="B747" t="inlineStr">
        <is>
          <t>TPP-650</t>
        </is>
      </c>
      <c r="C747" t="inlineStr">
        <is>
          <t>No. of batches</t>
        </is>
      </c>
      <c r="D747">
        <f>IFERROR(INDEX(PP_Grid[#Data],$DD747,2),0)</f>
        <v/>
      </c>
      <c r="E747">
        <f>IFERROR(INDEX(PP_Grid[#Data],$DD747,3),0)</f>
        <v/>
      </c>
      <c r="F747">
        <f>IFERROR(INDEX(PP_Grid[#Data],$DD747,4),0)</f>
        <v/>
      </c>
      <c r="G747">
        <f>IFERROR(INDEX(PP_Grid[#Data],$DD747,5),0)</f>
        <v/>
      </c>
      <c r="H747">
        <f>IFERROR(INDEX(PP_Grid[#Data],$DD747,6),0)</f>
        <v/>
      </c>
      <c r="I747">
        <f>IFERROR(INDEX(PP_Grid[#Data],$DD747,7),0)</f>
        <v/>
      </c>
      <c r="J747">
        <f>IFERROR(INDEX(PP_Grid[#Data],$DD747,8),0)</f>
        <v/>
      </c>
      <c r="K747">
        <f>IFERROR(INDEX(PP_Grid[#Data],$DD747,9),0)</f>
        <v/>
      </c>
      <c r="L747">
        <f>IFERROR(INDEX(PP_Grid[#Data],$DD747,10),0)</f>
        <v/>
      </c>
      <c r="M747">
        <f>IFERROR(INDEX(PP_Grid[#Data],$DD747,11),0)</f>
        <v/>
      </c>
      <c r="N747">
        <f>IFERROR(INDEX(PP_Grid[#Data],$DD747,12),0)</f>
        <v/>
      </c>
      <c r="O747">
        <f>IFERROR(INDEX(PP_Grid[#Data],$DD747,13),0)</f>
        <v/>
      </c>
      <c r="P747">
        <f>IFERROR(INDEX(PP_Grid[#Data],$DD747,14),0)</f>
        <v/>
      </c>
      <c r="Q747">
        <f>IFERROR(INDEX(PP_Grid[#Data],$DD747,15),0)</f>
        <v/>
      </c>
      <c r="R747">
        <f>IFERROR(INDEX(PP_Grid[#Data],$DD747,16),0)</f>
        <v/>
      </c>
      <c r="S747">
        <f>IFERROR(INDEX(PP_Grid[#Data],$DD747,17),0)</f>
        <v/>
      </c>
      <c r="T747">
        <f>IFERROR(INDEX(PP_Grid[#Data],$DD747,18),0)</f>
        <v/>
      </c>
      <c r="U747">
        <f>IFERROR(INDEX(PP_Grid[#Data],$DD747,19),0)</f>
        <v/>
      </c>
      <c r="V747">
        <f>IFERROR(INDEX(PP_Grid[#Data],$DD747,20),0)</f>
        <v/>
      </c>
      <c r="W747">
        <f>IFERROR(INDEX(PP_Grid[#Data],$DD747,21),0)</f>
        <v/>
      </c>
      <c r="X747">
        <f>IFERROR(INDEX(PP_Grid[#Data],$DD747,22),0)</f>
        <v/>
      </c>
      <c r="Y747">
        <f>IFERROR(INDEX(PP_Grid[#Data],$DD747,23),0)</f>
        <v/>
      </c>
      <c r="Z747">
        <f>IFERROR(INDEX(PP_Grid[#Data],$DD747,24),0)</f>
        <v/>
      </c>
      <c r="AA747">
        <f>IFERROR(INDEX(PP_Grid[#Data],$DD747,25),0)</f>
        <v/>
      </c>
      <c r="AB747">
        <f>IFERROR(INDEX(PP_Grid[#Data],$DD747,26),0)</f>
        <v/>
      </c>
      <c r="AC747">
        <f>IFERROR(INDEX(PP_Grid[#Data],$DD747,27),0)</f>
        <v/>
      </c>
      <c r="AD747">
        <f>IFERROR(INDEX(PP_Grid[#Data],$DD747,28),0)</f>
        <v/>
      </c>
      <c r="AE747">
        <f>IFERROR(INDEX(PP_Grid[#Data],$DD747,29),0)</f>
        <v/>
      </c>
      <c r="AF747">
        <f>IFERROR(INDEX(PP_Grid[#Data],$DD747,30),0)</f>
        <v/>
      </c>
      <c r="AG747">
        <f>IFERROR(INDEX(PP_Grid[#Data],$DD747,31),0)</f>
        <v/>
      </c>
      <c r="AH747">
        <f>IFERROR(INDEX(PP_Grid[#Data],$DD747,32),0)</f>
        <v/>
      </c>
      <c r="AI747">
        <f>IFERROR(INDEX(PP_Grid[#Data],$DD747,33),0)</f>
        <v/>
      </c>
      <c r="AJ747">
        <f>IFERROR(INDEX(PP_Grid[#Data],$DD747,34),0)</f>
        <v/>
      </c>
      <c r="AK747">
        <f>IFERROR(INDEX(PP_Grid[#Data],$DD747,35),0)</f>
        <v/>
      </c>
      <c r="AL747">
        <f>IFERROR(INDEX(PP_Grid[#Data],$DD747,36),0)</f>
        <v/>
      </c>
      <c r="AM747">
        <f>IFERROR(INDEX(PP_Grid[#Data],$DD747,37),0)</f>
        <v/>
      </c>
      <c r="AN747">
        <f>IFERROR(INDEX(PP_Grid[#Data],$DD747,38),0)</f>
        <v/>
      </c>
      <c r="AO747">
        <f>IFERROR(INDEX(PP_Grid[#Data],$DD747,39),0)</f>
        <v/>
      </c>
      <c r="AP747">
        <f>IFERROR(INDEX(PP_Grid[#Data],$DD747,40),0)</f>
        <v/>
      </c>
      <c r="AQ747">
        <f>IFERROR(INDEX(PP_Grid[#Data],$DD747,41),0)</f>
        <v/>
      </c>
      <c r="AR747">
        <f>IFERROR(INDEX(PP_Grid[#Data],$DD747,42),0)</f>
        <v/>
      </c>
      <c r="AS747">
        <f>IFERROR(INDEX(PP_Grid[#Data],$DD747,43),0)</f>
        <v/>
      </c>
      <c r="AT747">
        <f>IFERROR(INDEX(PP_Grid[#Data],$DD747,44),0)</f>
        <v/>
      </c>
      <c r="AU747">
        <f>IFERROR(INDEX(PP_Grid[#Data],$DD747,45),0)</f>
        <v/>
      </c>
      <c r="AV747">
        <f>IFERROR(INDEX(PP_Grid[#Data],$DD747,46),0)</f>
        <v/>
      </c>
      <c r="AW747">
        <f>IFERROR(INDEX(PP_Grid[#Data],$DD747,47),0)</f>
        <v/>
      </c>
      <c r="AX747">
        <f>IFERROR(INDEX(PP_Grid[#Data],$DD747,48),0)</f>
        <v/>
      </c>
      <c r="AY747">
        <f>IFERROR(INDEX(PP_Grid[#Data],$DD747,49),0)</f>
        <v/>
      </c>
      <c r="AZ747">
        <f>IFERROR(INDEX(PP_Grid[#Data],$DD747,50),0)</f>
        <v/>
      </c>
      <c r="BA747">
        <f>IFERROR(INDEX(PP_Grid[#Data],$DD747,51),0)</f>
        <v/>
      </c>
      <c r="BB747">
        <f>IFERROR(INDEX(PP_Grid[#Data],$DD747,52),0)</f>
        <v/>
      </c>
      <c r="BC747">
        <f>IFERROR(INDEX(PP_Grid[#Data],$DD747,53),0)</f>
        <v/>
      </c>
      <c r="BD747">
        <f>IFERROR(INDEX(PP_Grid[#Data],$DD747,54),0)</f>
        <v/>
      </c>
      <c r="BE747">
        <f>IFERROR(INDEX(PP_Grid[#Data],$DD747,55),0)</f>
        <v/>
      </c>
      <c r="BF747">
        <f>IFERROR(INDEX(PP_Grid[#Data],$DD747,56),0)</f>
        <v/>
      </c>
      <c r="BG747">
        <f>IFERROR(INDEX(PP_Grid[#Data],$DD747,57),0)</f>
        <v/>
      </c>
      <c r="BH747">
        <f>IFERROR(INDEX(PP_Grid[#Data],$DD747,58),0)</f>
        <v/>
      </c>
      <c r="BI747">
        <f>IFERROR(INDEX(PP_Grid[#Data],$DD747,59),0)</f>
        <v/>
      </c>
      <c r="BJ747">
        <f>IFERROR(INDEX(PP_Grid[#Data],$DD747,60),0)</f>
        <v/>
      </c>
      <c r="BK747">
        <f>IFERROR(INDEX(PP_Grid[#Data],$DD747,61),0)</f>
        <v/>
      </c>
      <c r="BL747">
        <f>IFERROR(INDEX(PP_Grid[#Data],$DD747,62),0)</f>
        <v/>
      </c>
      <c r="BM747">
        <f>IFERROR(INDEX(PP_Grid[#Data],$DD747,63),0)</f>
        <v/>
      </c>
      <c r="BN747">
        <f>IFERROR(INDEX(PP_Grid[#Data],$DD747,64),0)</f>
        <v/>
      </c>
      <c r="BO747">
        <f>IFERROR(INDEX(PP_Grid[#Data],$DD747,65),0)</f>
        <v/>
      </c>
      <c r="BP747">
        <f>IFERROR(INDEX(PP_Grid[#Data],$DD747,66),0)</f>
        <v/>
      </c>
      <c r="BQ747">
        <f>IFERROR(INDEX(PP_Grid[#Data],$DD747,67),0)</f>
        <v/>
      </c>
      <c r="BR747">
        <f>IFERROR(INDEX(PP_Grid[#Data],$DD747,68),0)</f>
        <v/>
      </c>
      <c r="BS747">
        <f>IFERROR(INDEX(PP_Grid[#Data],$DD747,69),0)</f>
        <v/>
      </c>
      <c r="BT747">
        <f>IFERROR(INDEX(PP_Grid[#Data],$DD747,70),0)</f>
        <v/>
      </c>
      <c r="BU747">
        <f>IFERROR(INDEX(PP_Grid[#Data],$DD747,71),0)</f>
        <v/>
      </c>
      <c r="BV747">
        <f>IFERROR(INDEX(PP_Grid[#Data],$DD747,72),0)</f>
        <v/>
      </c>
      <c r="BW747">
        <f>IFERROR(INDEX(PP_Grid[#Data],$DD747,73),0)</f>
        <v/>
      </c>
      <c r="BX747">
        <f>IFERROR(INDEX(PP_Grid[#Data],$DD747,74),0)</f>
        <v/>
      </c>
      <c r="BY747">
        <f>IFERROR(INDEX(PP_Grid[#Data],$DD747,75),0)</f>
        <v/>
      </c>
      <c r="BZ747">
        <f>IFERROR(INDEX(PP_Grid[#Data],$DD747,76),0)</f>
        <v/>
      </c>
      <c r="CA747">
        <f>IFERROR(INDEX(PP_Grid[#Data],$DD747,77),0)</f>
        <v/>
      </c>
      <c r="CB747">
        <f>IFERROR(INDEX(PP_Grid[#Data],$DD747,78),0)</f>
        <v/>
      </c>
      <c r="CC747">
        <f>IFERROR(INDEX(PP_Grid[#Data],$DD747,79),0)</f>
        <v/>
      </c>
      <c r="CD747">
        <f>IFERROR(INDEX(PP_Grid[#Data],$DD747,80),0)</f>
        <v/>
      </c>
      <c r="CE747">
        <f>IFERROR(INDEX(PP_Grid[#Data],$DD747,81),0)</f>
        <v/>
      </c>
      <c r="CF747">
        <f>IFERROR(INDEX(PP_Grid[#Data],$DD747,82),0)</f>
        <v/>
      </c>
      <c r="CG747">
        <f>IFERROR(INDEX(PP_Grid[#Data],$DD747,83),0)</f>
        <v/>
      </c>
      <c r="CH747">
        <f>IFERROR(INDEX(PP_Grid[#Data],$DD747,84),0)</f>
        <v/>
      </c>
      <c r="CI747">
        <f>IFERROR(INDEX(PP_Grid[#Data],$DD747,85),0)</f>
        <v/>
      </c>
      <c r="CJ747">
        <f>IFERROR(INDEX(PP_Grid[#Data],$DD747,86),0)</f>
        <v/>
      </c>
      <c r="CK747">
        <f>IFERROR(INDEX(PP_Grid[#Data],$DD747,87),0)</f>
        <v/>
      </c>
      <c r="CL747">
        <f>IFERROR(INDEX(PP_Grid[#Data],$DD747,88),0)</f>
        <v/>
      </c>
      <c r="CM747">
        <f>IFERROR(INDEX(PP_Grid[#Data],$DD747,89),0)</f>
        <v/>
      </c>
      <c r="CN747">
        <f>IFERROR(INDEX(PP_Grid[#Data],$DD747,90),0)</f>
        <v/>
      </c>
      <c r="CO747">
        <f>IFERROR(INDEX(PP_Grid[#Data],$DD747,91),0)</f>
        <v/>
      </c>
      <c r="CP747">
        <f>IFERROR(INDEX(PP_Grid[#Data],$DD747,92),0)</f>
        <v/>
      </c>
      <c r="CQ747">
        <f>IFERROR(INDEX(PP_Grid[#Data],$DD747,93),0)</f>
        <v/>
      </c>
      <c r="CR747">
        <f>IFERROR(INDEX(PP_Grid[#Data],$DD747,94),0)</f>
        <v/>
      </c>
      <c r="CS747">
        <f>IFERROR(INDEX(PP_Grid[#Data],$DD747,95),0)</f>
        <v/>
      </c>
      <c r="CT747">
        <f>IFERROR(INDEX(PP_Grid[#Data],$DD747,96),0)</f>
        <v/>
      </c>
      <c r="CU747">
        <f>IFERROR(INDEX(PP_Grid[#Data],$DD747,97),0)</f>
        <v/>
      </c>
      <c r="CV747">
        <f>IFERROR(INDEX(PP_Grid[#Data],$DD747,98),0)</f>
        <v/>
      </c>
      <c r="CW747">
        <f>IFERROR(INDEX(PP_Grid[#Data],$DD747,99),0)</f>
        <v/>
      </c>
      <c r="CX747">
        <f>IFERROR(INDEX(PP_Grid[#Data],$DD747,100),0)</f>
        <v/>
      </c>
      <c r="CY747">
        <f>IFERROR(INDEX(PP_Grid[#Data],$DD747,101),0)</f>
        <v/>
      </c>
      <c r="CZ747">
        <f>IFERROR(INDEX(PP_Grid[#Data],$DD747,102),0)</f>
        <v/>
      </c>
      <c r="DA747">
        <f>IFERROR(INDEX(PP_Grid[#Data],$DD747,103),0)</f>
        <v/>
      </c>
      <c r="DB747">
        <f>IFERROR(INDEX(PP_Grid[#Data],$DD747,104),0)</f>
        <v/>
      </c>
      <c r="DC747">
        <f>IFERROR(INDEX(PP_Grid[#Data],$DD747,105),0)</f>
        <v/>
      </c>
      <c r="DD747" s="7">
        <f>IFERROR(MATCH($B747,PP_Grid[Intermediate],0),99999)</f>
        <v/>
      </c>
    </row>
    <row r="748">
      <c r="B748" t="inlineStr">
        <is>
          <t>使用量(kg)</t>
        </is>
      </c>
      <c r="C748">
        <f>SUMIFS(M_BOM[RM_Qty_Per_Batch],M_BOM[Intermediate],$B747,M_BOM[Part Name],$A710)</f>
        <v/>
      </c>
      <c r="D748">
        <f>$C748*D747</f>
        <v/>
      </c>
      <c r="E748">
        <f>$C748*E747</f>
        <v/>
      </c>
      <c r="F748">
        <f>$C748*F747</f>
        <v/>
      </c>
      <c r="G748">
        <f>$C748*G747</f>
        <v/>
      </c>
      <c r="H748">
        <f>$C748*H747</f>
        <v/>
      </c>
      <c r="I748">
        <f>$C748*I747</f>
        <v/>
      </c>
      <c r="J748">
        <f>$C748*J747</f>
        <v/>
      </c>
      <c r="K748">
        <f>$C748*K747</f>
        <v/>
      </c>
      <c r="L748">
        <f>$C748*L747</f>
        <v/>
      </c>
      <c r="M748">
        <f>$C748*M747</f>
        <v/>
      </c>
      <c r="N748">
        <f>$C748*N747</f>
        <v/>
      </c>
      <c r="O748">
        <f>$C748*O747</f>
        <v/>
      </c>
      <c r="P748">
        <f>$C748*P747</f>
        <v/>
      </c>
      <c r="Q748">
        <f>$C748*Q747</f>
        <v/>
      </c>
      <c r="R748">
        <f>$C748*R747</f>
        <v/>
      </c>
      <c r="S748">
        <f>$C748*S747</f>
        <v/>
      </c>
      <c r="T748">
        <f>$C748*T747</f>
        <v/>
      </c>
      <c r="U748">
        <f>$C748*U747</f>
        <v/>
      </c>
      <c r="V748">
        <f>$C748*V747</f>
        <v/>
      </c>
      <c r="W748">
        <f>$C748*W747</f>
        <v/>
      </c>
      <c r="X748">
        <f>$C748*X747</f>
        <v/>
      </c>
      <c r="Y748">
        <f>$C748*Y747</f>
        <v/>
      </c>
      <c r="Z748">
        <f>$C748*Z747</f>
        <v/>
      </c>
      <c r="AA748">
        <f>$C748*AA747</f>
        <v/>
      </c>
      <c r="AB748">
        <f>$C748*AB747</f>
        <v/>
      </c>
      <c r="AC748">
        <f>$C748*AC747</f>
        <v/>
      </c>
      <c r="AD748">
        <f>$C748*AD747</f>
        <v/>
      </c>
      <c r="AE748">
        <f>$C748*AE747</f>
        <v/>
      </c>
      <c r="AF748">
        <f>$C748*AF747</f>
        <v/>
      </c>
      <c r="AG748">
        <f>$C748*AG747</f>
        <v/>
      </c>
      <c r="AH748">
        <f>$C748*AH747</f>
        <v/>
      </c>
      <c r="AI748">
        <f>$C748*AI747</f>
        <v/>
      </c>
      <c r="AJ748">
        <f>$C748*AJ747</f>
        <v/>
      </c>
      <c r="AK748">
        <f>$C748*AK747</f>
        <v/>
      </c>
      <c r="AL748">
        <f>$C748*AL747</f>
        <v/>
      </c>
      <c r="AM748">
        <f>$C748*AM747</f>
        <v/>
      </c>
      <c r="AN748">
        <f>$C748*AN747</f>
        <v/>
      </c>
      <c r="AO748">
        <f>$C748*AO747</f>
        <v/>
      </c>
      <c r="AP748">
        <f>$C748*AP747</f>
        <v/>
      </c>
      <c r="AQ748">
        <f>$C748*AQ747</f>
        <v/>
      </c>
      <c r="AR748">
        <f>$C748*AR747</f>
        <v/>
      </c>
      <c r="AS748">
        <f>$C748*AS747</f>
        <v/>
      </c>
      <c r="AT748">
        <f>$C748*AT747</f>
        <v/>
      </c>
      <c r="AU748">
        <f>$C748*AU747</f>
        <v/>
      </c>
      <c r="AV748">
        <f>$C748*AV747</f>
        <v/>
      </c>
      <c r="AW748">
        <f>$C748*AW747</f>
        <v/>
      </c>
      <c r="AX748">
        <f>$C748*AX747</f>
        <v/>
      </c>
      <c r="AY748">
        <f>$C748*AY747</f>
        <v/>
      </c>
      <c r="AZ748">
        <f>$C748*AZ747</f>
        <v/>
      </c>
      <c r="BA748">
        <f>$C748*BA747</f>
        <v/>
      </c>
      <c r="BB748">
        <f>$C748*BB747</f>
        <v/>
      </c>
      <c r="BC748">
        <f>$C748*BC747</f>
        <v/>
      </c>
      <c r="BD748">
        <f>$C748*BD747</f>
        <v/>
      </c>
      <c r="BE748">
        <f>$C748*BE747</f>
        <v/>
      </c>
      <c r="BF748">
        <f>$C748*BF747</f>
        <v/>
      </c>
      <c r="BG748">
        <f>$C748*BG747</f>
        <v/>
      </c>
      <c r="BH748">
        <f>$C748*BH747</f>
        <v/>
      </c>
      <c r="BI748">
        <f>$C748*BI747</f>
        <v/>
      </c>
      <c r="BJ748">
        <f>$C748*BJ747</f>
        <v/>
      </c>
      <c r="BK748">
        <f>$C748*BK747</f>
        <v/>
      </c>
      <c r="BL748">
        <f>$C748*BL747</f>
        <v/>
      </c>
      <c r="BM748">
        <f>$C748*BM747</f>
        <v/>
      </c>
      <c r="BN748">
        <f>$C748*BN747</f>
        <v/>
      </c>
      <c r="BO748">
        <f>$C748*BO747</f>
        <v/>
      </c>
      <c r="BP748">
        <f>$C748*BP747</f>
        <v/>
      </c>
      <c r="BQ748">
        <f>$C748*BQ747</f>
        <v/>
      </c>
      <c r="BR748">
        <f>$C748*BR747</f>
        <v/>
      </c>
      <c r="BS748">
        <f>$C748*BS747</f>
        <v/>
      </c>
      <c r="BT748">
        <f>$C748*BT747</f>
        <v/>
      </c>
      <c r="BU748">
        <f>$C748*BU747</f>
        <v/>
      </c>
      <c r="BV748">
        <f>$C748*BV747</f>
        <v/>
      </c>
      <c r="BW748">
        <f>$C748*BW747</f>
        <v/>
      </c>
      <c r="BX748">
        <f>$C748*BX747</f>
        <v/>
      </c>
      <c r="BY748">
        <f>$C748*BY747</f>
        <v/>
      </c>
      <c r="BZ748">
        <f>$C748*BZ747</f>
        <v/>
      </c>
      <c r="CA748">
        <f>$C748*CA747</f>
        <v/>
      </c>
      <c r="CB748">
        <f>$C748*CB747</f>
        <v/>
      </c>
      <c r="CC748">
        <f>$C748*CC747</f>
        <v/>
      </c>
      <c r="CD748">
        <f>$C748*CD747</f>
        <v/>
      </c>
      <c r="CE748">
        <f>$C748*CE747</f>
        <v/>
      </c>
      <c r="CF748">
        <f>$C748*CF747</f>
        <v/>
      </c>
      <c r="CG748">
        <f>$C748*CG747</f>
        <v/>
      </c>
      <c r="CH748">
        <f>$C748*CH747</f>
        <v/>
      </c>
      <c r="CI748">
        <f>$C748*CI747</f>
        <v/>
      </c>
      <c r="CJ748">
        <f>$C748*CJ747</f>
        <v/>
      </c>
      <c r="CK748">
        <f>$C748*CK747</f>
        <v/>
      </c>
      <c r="CL748">
        <f>$C748*CL747</f>
        <v/>
      </c>
      <c r="CM748">
        <f>$C748*CM747</f>
        <v/>
      </c>
      <c r="CN748">
        <f>$C748*CN747</f>
        <v/>
      </c>
      <c r="CO748">
        <f>$C748*CO747</f>
        <v/>
      </c>
      <c r="CP748">
        <f>$C748*CP747</f>
        <v/>
      </c>
      <c r="CQ748">
        <f>$C748*CQ747</f>
        <v/>
      </c>
      <c r="CR748">
        <f>$C748*CR747</f>
        <v/>
      </c>
      <c r="CS748">
        <f>$C748*CS747</f>
        <v/>
      </c>
      <c r="CT748">
        <f>$C748*CT747</f>
        <v/>
      </c>
      <c r="CU748">
        <f>$C748*CU747</f>
        <v/>
      </c>
      <c r="CV748">
        <f>$C748*CV747</f>
        <v/>
      </c>
      <c r="CW748">
        <f>$C748*CW747</f>
        <v/>
      </c>
      <c r="CX748">
        <f>$C748*CX747</f>
        <v/>
      </c>
      <c r="CY748">
        <f>$C748*CY747</f>
        <v/>
      </c>
      <c r="CZ748">
        <f>$C748*CZ747</f>
        <v/>
      </c>
      <c r="DA748">
        <f>$C748*DA747</f>
        <v/>
      </c>
      <c r="DB748">
        <f>$C748*DB747</f>
        <v/>
      </c>
      <c r="DC748">
        <f>$C748*DC747</f>
        <v/>
      </c>
    </row>
    <row r="749">
      <c r="B749" t="inlineStr">
        <is>
          <t>No of times used</t>
        </is>
      </c>
      <c r="C749" t="inlineStr">
        <is>
          <t>No. of batches</t>
        </is>
      </c>
      <c r="D749">
        <f>IFERROR(INDEX(PP_Grid[#Data],$DD749,2),0)</f>
        <v/>
      </c>
      <c r="E749">
        <f>IFERROR(INDEX(PP_Grid[#Data],$DD749,3),0)</f>
        <v/>
      </c>
      <c r="F749">
        <f>IFERROR(INDEX(PP_Grid[#Data],$DD749,4),0)</f>
        <v/>
      </c>
      <c r="G749">
        <f>IFERROR(INDEX(PP_Grid[#Data],$DD749,5),0)</f>
        <v/>
      </c>
      <c r="H749">
        <f>IFERROR(INDEX(PP_Grid[#Data],$DD749,6),0)</f>
        <v/>
      </c>
      <c r="I749">
        <f>IFERROR(INDEX(PP_Grid[#Data],$DD749,7),0)</f>
        <v/>
      </c>
      <c r="J749">
        <f>IFERROR(INDEX(PP_Grid[#Data],$DD749,8),0)</f>
        <v/>
      </c>
      <c r="K749">
        <f>IFERROR(INDEX(PP_Grid[#Data],$DD749,9),0)</f>
        <v/>
      </c>
      <c r="L749">
        <f>IFERROR(INDEX(PP_Grid[#Data],$DD749,10),0)</f>
        <v/>
      </c>
      <c r="M749">
        <f>IFERROR(INDEX(PP_Grid[#Data],$DD749,11),0)</f>
        <v/>
      </c>
      <c r="N749">
        <f>IFERROR(INDEX(PP_Grid[#Data],$DD749,12),0)</f>
        <v/>
      </c>
      <c r="O749">
        <f>IFERROR(INDEX(PP_Grid[#Data],$DD749,13),0)</f>
        <v/>
      </c>
      <c r="P749">
        <f>IFERROR(INDEX(PP_Grid[#Data],$DD749,14),0)</f>
        <v/>
      </c>
      <c r="Q749">
        <f>IFERROR(INDEX(PP_Grid[#Data],$DD749,15),0)</f>
        <v/>
      </c>
      <c r="R749">
        <f>IFERROR(INDEX(PP_Grid[#Data],$DD749,16),0)</f>
        <v/>
      </c>
      <c r="S749">
        <f>IFERROR(INDEX(PP_Grid[#Data],$DD749,17),0)</f>
        <v/>
      </c>
      <c r="T749">
        <f>IFERROR(INDEX(PP_Grid[#Data],$DD749,18),0)</f>
        <v/>
      </c>
      <c r="U749">
        <f>IFERROR(INDEX(PP_Grid[#Data],$DD749,19),0)</f>
        <v/>
      </c>
      <c r="V749">
        <f>IFERROR(INDEX(PP_Grid[#Data],$DD749,20),0)</f>
        <v/>
      </c>
      <c r="W749">
        <f>IFERROR(INDEX(PP_Grid[#Data],$DD749,21),0)</f>
        <v/>
      </c>
      <c r="X749">
        <f>IFERROR(INDEX(PP_Grid[#Data],$DD749,22),0)</f>
        <v/>
      </c>
      <c r="Y749">
        <f>IFERROR(INDEX(PP_Grid[#Data],$DD749,23),0)</f>
        <v/>
      </c>
      <c r="Z749">
        <f>IFERROR(INDEX(PP_Grid[#Data],$DD749,24),0)</f>
        <v/>
      </c>
      <c r="AA749">
        <f>IFERROR(INDEX(PP_Grid[#Data],$DD749,25),0)</f>
        <v/>
      </c>
      <c r="AB749">
        <f>IFERROR(INDEX(PP_Grid[#Data],$DD749,26),0)</f>
        <v/>
      </c>
      <c r="AC749">
        <f>IFERROR(INDEX(PP_Grid[#Data],$DD749,27),0)</f>
        <v/>
      </c>
      <c r="AD749">
        <f>IFERROR(INDEX(PP_Grid[#Data],$DD749,28),0)</f>
        <v/>
      </c>
      <c r="AE749">
        <f>IFERROR(INDEX(PP_Grid[#Data],$DD749,29),0)</f>
        <v/>
      </c>
      <c r="AF749">
        <f>IFERROR(INDEX(PP_Grid[#Data],$DD749,30),0)</f>
        <v/>
      </c>
      <c r="AG749">
        <f>IFERROR(INDEX(PP_Grid[#Data],$DD749,31),0)</f>
        <v/>
      </c>
      <c r="AH749">
        <f>IFERROR(INDEX(PP_Grid[#Data],$DD749,32),0)</f>
        <v/>
      </c>
      <c r="AI749">
        <f>IFERROR(INDEX(PP_Grid[#Data],$DD749,33),0)</f>
        <v/>
      </c>
      <c r="AJ749">
        <f>IFERROR(INDEX(PP_Grid[#Data],$DD749,34),0)</f>
        <v/>
      </c>
      <c r="AK749">
        <f>IFERROR(INDEX(PP_Grid[#Data],$DD749,35),0)</f>
        <v/>
      </c>
      <c r="AL749">
        <f>IFERROR(INDEX(PP_Grid[#Data],$DD749,36),0)</f>
        <v/>
      </c>
      <c r="AM749">
        <f>IFERROR(INDEX(PP_Grid[#Data],$DD749,37),0)</f>
        <v/>
      </c>
      <c r="AN749">
        <f>IFERROR(INDEX(PP_Grid[#Data],$DD749,38),0)</f>
        <v/>
      </c>
      <c r="AO749">
        <f>IFERROR(INDEX(PP_Grid[#Data],$DD749,39),0)</f>
        <v/>
      </c>
      <c r="AP749">
        <f>IFERROR(INDEX(PP_Grid[#Data],$DD749,40),0)</f>
        <v/>
      </c>
      <c r="AQ749">
        <f>IFERROR(INDEX(PP_Grid[#Data],$DD749,41),0)</f>
        <v/>
      </c>
      <c r="AR749">
        <f>IFERROR(INDEX(PP_Grid[#Data],$DD749,42),0)</f>
        <v/>
      </c>
      <c r="AS749">
        <f>IFERROR(INDEX(PP_Grid[#Data],$DD749,43),0)</f>
        <v/>
      </c>
      <c r="AT749">
        <f>IFERROR(INDEX(PP_Grid[#Data],$DD749,44),0)</f>
        <v/>
      </c>
      <c r="AU749">
        <f>IFERROR(INDEX(PP_Grid[#Data],$DD749,45),0)</f>
        <v/>
      </c>
      <c r="AV749">
        <f>IFERROR(INDEX(PP_Grid[#Data],$DD749,46),0)</f>
        <v/>
      </c>
      <c r="AW749">
        <f>IFERROR(INDEX(PP_Grid[#Data],$DD749,47),0)</f>
        <v/>
      </c>
      <c r="AX749">
        <f>IFERROR(INDEX(PP_Grid[#Data],$DD749,48),0)</f>
        <v/>
      </c>
      <c r="AY749">
        <f>IFERROR(INDEX(PP_Grid[#Data],$DD749,49),0)</f>
        <v/>
      </c>
      <c r="AZ749">
        <f>IFERROR(INDEX(PP_Grid[#Data],$DD749,50),0)</f>
        <v/>
      </c>
      <c r="BA749">
        <f>IFERROR(INDEX(PP_Grid[#Data],$DD749,51),0)</f>
        <v/>
      </c>
      <c r="BB749">
        <f>IFERROR(INDEX(PP_Grid[#Data],$DD749,52),0)</f>
        <v/>
      </c>
      <c r="BC749">
        <f>IFERROR(INDEX(PP_Grid[#Data],$DD749,53),0)</f>
        <v/>
      </c>
      <c r="BD749">
        <f>IFERROR(INDEX(PP_Grid[#Data],$DD749,54),0)</f>
        <v/>
      </c>
      <c r="BE749">
        <f>IFERROR(INDEX(PP_Grid[#Data],$DD749,55),0)</f>
        <v/>
      </c>
      <c r="BF749">
        <f>IFERROR(INDEX(PP_Grid[#Data],$DD749,56),0)</f>
        <v/>
      </c>
      <c r="BG749">
        <f>IFERROR(INDEX(PP_Grid[#Data],$DD749,57),0)</f>
        <v/>
      </c>
      <c r="BH749">
        <f>IFERROR(INDEX(PP_Grid[#Data],$DD749,58),0)</f>
        <v/>
      </c>
      <c r="BI749">
        <f>IFERROR(INDEX(PP_Grid[#Data],$DD749,59),0)</f>
        <v/>
      </c>
      <c r="BJ749">
        <f>IFERROR(INDEX(PP_Grid[#Data],$DD749,60),0)</f>
        <v/>
      </c>
      <c r="BK749">
        <f>IFERROR(INDEX(PP_Grid[#Data],$DD749,61),0)</f>
        <v/>
      </c>
      <c r="BL749">
        <f>IFERROR(INDEX(PP_Grid[#Data],$DD749,62),0)</f>
        <v/>
      </c>
      <c r="BM749">
        <f>IFERROR(INDEX(PP_Grid[#Data],$DD749,63),0)</f>
        <v/>
      </c>
      <c r="BN749">
        <f>IFERROR(INDEX(PP_Grid[#Data],$DD749,64),0)</f>
        <v/>
      </c>
      <c r="BO749">
        <f>IFERROR(INDEX(PP_Grid[#Data],$DD749,65),0)</f>
        <v/>
      </c>
      <c r="BP749">
        <f>IFERROR(INDEX(PP_Grid[#Data],$DD749,66),0)</f>
        <v/>
      </c>
      <c r="BQ749">
        <f>IFERROR(INDEX(PP_Grid[#Data],$DD749,67),0)</f>
        <v/>
      </c>
      <c r="BR749">
        <f>IFERROR(INDEX(PP_Grid[#Data],$DD749,68),0)</f>
        <v/>
      </c>
      <c r="BS749">
        <f>IFERROR(INDEX(PP_Grid[#Data],$DD749,69),0)</f>
        <v/>
      </c>
      <c r="BT749">
        <f>IFERROR(INDEX(PP_Grid[#Data],$DD749,70),0)</f>
        <v/>
      </c>
      <c r="BU749">
        <f>IFERROR(INDEX(PP_Grid[#Data],$DD749,71),0)</f>
        <v/>
      </c>
      <c r="BV749">
        <f>IFERROR(INDEX(PP_Grid[#Data],$DD749,72),0)</f>
        <v/>
      </c>
      <c r="BW749">
        <f>IFERROR(INDEX(PP_Grid[#Data],$DD749,73),0)</f>
        <v/>
      </c>
      <c r="BX749">
        <f>IFERROR(INDEX(PP_Grid[#Data],$DD749,74),0)</f>
        <v/>
      </c>
      <c r="BY749">
        <f>IFERROR(INDEX(PP_Grid[#Data],$DD749,75),0)</f>
        <v/>
      </c>
      <c r="BZ749">
        <f>IFERROR(INDEX(PP_Grid[#Data],$DD749,76),0)</f>
        <v/>
      </c>
      <c r="CA749">
        <f>IFERROR(INDEX(PP_Grid[#Data],$DD749,77),0)</f>
        <v/>
      </c>
      <c r="CB749">
        <f>IFERROR(INDEX(PP_Grid[#Data],$DD749,78),0)</f>
        <v/>
      </c>
      <c r="CC749">
        <f>IFERROR(INDEX(PP_Grid[#Data],$DD749,79),0)</f>
        <v/>
      </c>
      <c r="CD749">
        <f>IFERROR(INDEX(PP_Grid[#Data],$DD749,80),0)</f>
        <v/>
      </c>
      <c r="CE749">
        <f>IFERROR(INDEX(PP_Grid[#Data],$DD749,81),0)</f>
        <v/>
      </c>
      <c r="CF749">
        <f>IFERROR(INDEX(PP_Grid[#Data],$DD749,82),0)</f>
        <v/>
      </c>
      <c r="CG749">
        <f>IFERROR(INDEX(PP_Grid[#Data],$DD749,83),0)</f>
        <v/>
      </c>
      <c r="CH749">
        <f>IFERROR(INDEX(PP_Grid[#Data],$DD749,84),0)</f>
        <v/>
      </c>
      <c r="CI749">
        <f>IFERROR(INDEX(PP_Grid[#Data],$DD749,85),0)</f>
        <v/>
      </c>
      <c r="CJ749">
        <f>IFERROR(INDEX(PP_Grid[#Data],$DD749,86),0)</f>
        <v/>
      </c>
      <c r="CK749">
        <f>IFERROR(INDEX(PP_Grid[#Data],$DD749,87),0)</f>
        <v/>
      </c>
      <c r="CL749">
        <f>IFERROR(INDEX(PP_Grid[#Data],$DD749,88),0)</f>
        <v/>
      </c>
      <c r="CM749">
        <f>IFERROR(INDEX(PP_Grid[#Data],$DD749,89),0)</f>
        <v/>
      </c>
      <c r="CN749">
        <f>IFERROR(INDEX(PP_Grid[#Data],$DD749,90),0)</f>
        <v/>
      </c>
      <c r="CO749">
        <f>IFERROR(INDEX(PP_Grid[#Data],$DD749,91),0)</f>
        <v/>
      </c>
      <c r="CP749">
        <f>IFERROR(INDEX(PP_Grid[#Data],$DD749,92),0)</f>
        <v/>
      </c>
      <c r="CQ749">
        <f>IFERROR(INDEX(PP_Grid[#Data],$DD749,93),0)</f>
        <v/>
      </c>
      <c r="CR749">
        <f>IFERROR(INDEX(PP_Grid[#Data],$DD749,94),0)</f>
        <v/>
      </c>
      <c r="CS749">
        <f>IFERROR(INDEX(PP_Grid[#Data],$DD749,95),0)</f>
        <v/>
      </c>
      <c r="CT749">
        <f>IFERROR(INDEX(PP_Grid[#Data],$DD749,96),0)</f>
        <v/>
      </c>
      <c r="CU749">
        <f>IFERROR(INDEX(PP_Grid[#Data],$DD749,97),0)</f>
        <v/>
      </c>
      <c r="CV749">
        <f>IFERROR(INDEX(PP_Grid[#Data],$DD749,98),0)</f>
        <v/>
      </c>
      <c r="CW749">
        <f>IFERROR(INDEX(PP_Grid[#Data],$DD749,99),0)</f>
        <v/>
      </c>
      <c r="CX749">
        <f>IFERROR(INDEX(PP_Grid[#Data],$DD749,100),0)</f>
        <v/>
      </c>
      <c r="CY749">
        <f>IFERROR(INDEX(PP_Grid[#Data],$DD749,101),0)</f>
        <v/>
      </c>
      <c r="CZ749">
        <f>IFERROR(INDEX(PP_Grid[#Data],$DD749,102),0)</f>
        <v/>
      </c>
      <c r="DA749">
        <f>IFERROR(INDEX(PP_Grid[#Data],$DD749,103),0)</f>
        <v/>
      </c>
      <c r="DB749">
        <f>IFERROR(INDEX(PP_Grid[#Data],$DD749,104),0)</f>
        <v/>
      </c>
      <c r="DC749">
        <f>IFERROR(INDEX(PP_Grid[#Data],$DD749,105),0)</f>
        <v/>
      </c>
      <c r="DD749" s="7">
        <f>IFERROR(MATCH($B749,PP_Grid[Intermediate],0),99999)</f>
        <v/>
      </c>
    </row>
    <row r="750">
      <c r="B750" t="inlineStr">
        <is>
          <t>使用量(kg)</t>
        </is>
      </c>
      <c r="C750">
        <f>SUMIFS(M_BOM[RM_Qty_Per_Batch],M_BOM[Intermediate],$B749,M_BOM[Part Name],$A710)</f>
        <v/>
      </c>
      <c r="D750">
        <f>$C750*D749</f>
        <v/>
      </c>
      <c r="E750">
        <f>$C750*E749</f>
        <v/>
      </c>
      <c r="F750">
        <f>$C750*F749</f>
        <v/>
      </c>
      <c r="G750">
        <f>$C750*G749</f>
        <v/>
      </c>
      <c r="H750">
        <f>$C750*H749</f>
        <v/>
      </c>
      <c r="I750">
        <f>$C750*I749</f>
        <v/>
      </c>
      <c r="J750">
        <f>$C750*J749</f>
        <v/>
      </c>
      <c r="K750">
        <f>$C750*K749</f>
        <v/>
      </c>
      <c r="L750">
        <f>$C750*L749</f>
        <v/>
      </c>
      <c r="M750">
        <f>$C750*M749</f>
        <v/>
      </c>
      <c r="N750">
        <f>$C750*N749</f>
        <v/>
      </c>
      <c r="O750">
        <f>$C750*O749</f>
        <v/>
      </c>
      <c r="P750">
        <f>$C750*P749</f>
        <v/>
      </c>
      <c r="Q750">
        <f>$C750*Q749</f>
        <v/>
      </c>
      <c r="R750">
        <f>$C750*R749</f>
        <v/>
      </c>
      <c r="S750">
        <f>$C750*S749</f>
        <v/>
      </c>
      <c r="T750">
        <f>$C750*T749</f>
        <v/>
      </c>
      <c r="U750">
        <f>$C750*U749</f>
        <v/>
      </c>
      <c r="V750">
        <f>$C750*V749</f>
        <v/>
      </c>
      <c r="W750">
        <f>$C750*W749</f>
        <v/>
      </c>
      <c r="X750">
        <f>$C750*X749</f>
        <v/>
      </c>
      <c r="Y750">
        <f>$C750*Y749</f>
        <v/>
      </c>
      <c r="Z750">
        <f>$C750*Z749</f>
        <v/>
      </c>
      <c r="AA750">
        <f>$C750*AA749</f>
        <v/>
      </c>
      <c r="AB750">
        <f>$C750*AB749</f>
        <v/>
      </c>
      <c r="AC750">
        <f>$C750*AC749</f>
        <v/>
      </c>
      <c r="AD750">
        <f>$C750*AD749</f>
        <v/>
      </c>
      <c r="AE750">
        <f>$C750*AE749</f>
        <v/>
      </c>
      <c r="AF750">
        <f>$C750*AF749</f>
        <v/>
      </c>
      <c r="AG750">
        <f>$C750*AG749</f>
        <v/>
      </c>
      <c r="AH750">
        <f>$C750*AH749</f>
        <v/>
      </c>
      <c r="AI750">
        <f>$C750*AI749</f>
        <v/>
      </c>
      <c r="AJ750">
        <f>$C750*AJ749</f>
        <v/>
      </c>
      <c r="AK750">
        <f>$C750*AK749</f>
        <v/>
      </c>
      <c r="AL750">
        <f>$C750*AL749</f>
        <v/>
      </c>
      <c r="AM750">
        <f>$C750*AM749</f>
        <v/>
      </c>
      <c r="AN750">
        <f>$C750*AN749</f>
        <v/>
      </c>
      <c r="AO750">
        <f>$C750*AO749</f>
        <v/>
      </c>
      <c r="AP750">
        <f>$C750*AP749</f>
        <v/>
      </c>
      <c r="AQ750">
        <f>$C750*AQ749</f>
        <v/>
      </c>
      <c r="AR750">
        <f>$C750*AR749</f>
        <v/>
      </c>
      <c r="AS750">
        <f>$C750*AS749</f>
        <v/>
      </c>
      <c r="AT750">
        <f>$C750*AT749</f>
        <v/>
      </c>
      <c r="AU750">
        <f>$C750*AU749</f>
        <v/>
      </c>
      <c r="AV750">
        <f>$C750*AV749</f>
        <v/>
      </c>
      <c r="AW750">
        <f>$C750*AW749</f>
        <v/>
      </c>
      <c r="AX750">
        <f>$C750*AX749</f>
        <v/>
      </c>
      <c r="AY750">
        <f>$C750*AY749</f>
        <v/>
      </c>
      <c r="AZ750">
        <f>$C750*AZ749</f>
        <v/>
      </c>
      <c r="BA750">
        <f>$C750*BA749</f>
        <v/>
      </c>
      <c r="BB750">
        <f>$C750*BB749</f>
        <v/>
      </c>
      <c r="BC750">
        <f>$C750*BC749</f>
        <v/>
      </c>
      <c r="BD750">
        <f>$C750*BD749</f>
        <v/>
      </c>
      <c r="BE750">
        <f>$C750*BE749</f>
        <v/>
      </c>
      <c r="BF750">
        <f>$C750*BF749</f>
        <v/>
      </c>
      <c r="BG750">
        <f>$C750*BG749</f>
        <v/>
      </c>
      <c r="BH750">
        <f>$C750*BH749</f>
        <v/>
      </c>
      <c r="BI750">
        <f>$C750*BI749</f>
        <v/>
      </c>
      <c r="BJ750">
        <f>$C750*BJ749</f>
        <v/>
      </c>
      <c r="BK750">
        <f>$C750*BK749</f>
        <v/>
      </c>
      <c r="BL750">
        <f>$C750*BL749</f>
        <v/>
      </c>
      <c r="BM750">
        <f>$C750*BM749</f>
        <v/>
      </c>
      <c r="BN750">
        <f>$C750*BN749</f>
        <v/>
      </c>
      <c r="BO750">
        <f>$C750*BO749</f>
        <v/>
      </c>
      <c r="BP750">
        <f>$C750*BP749</f>
        <v/>
      </c>
      <c r="BQ750">
        <f>$C750*BQ749</f>
        <v/>
      </c>
      <c r="BR750">
        <f>$C750*BR749</f>
        <v/>
      </c>
      <c r="BS750">
        <f>$C750*BS749</f>
        <v/>
      </c>
      <c r="BT750">
        <f>$C750*BT749</f>
        <v/>
      </c>
      <c r="BU750">
        <f>$C750*BU749</f>
        <v/>
      </c>
      <c r="BV750">
        <f>$C750*BV749</f>
        <v/>
      </c>
      <c r="BW750">
        <f>$C750*BW749</f>
        <v/>
      </c>
      <c r="BX750">
        <f>$C750*BX749</f>
        <v/>
      </c>
      <c r="BY750">
        <f>$C750*BY749</f>
        <v/>
      </c>
      <c r="BZ750">
        <f>$C750*BZ749</f>
        <v/>
      </c>
      <c r="CA750">
        <f>$C750*CA749</f>
        <v/>
      </c>
      <c r="CB750">
        <f>$C750*CB749</f>
        <v/>
      </c>
      <c r="CC750">
        <f>$C750*CC749</f>
        <v/>
      </c>
      <c r="CD750">
        <f>$C750*CD749</f>
        <v/>
      </c>
      <c r="CE750">
        <f>$C750*CE749</f>
        <v/>
      </c>
      <c r="CF750">
        <f>$C750*CF749</f>
        <v/>
      </c>
      <c r="CG750">
        <f>$C750*CG749</f>
        <v/>
      </c>
      <c r="CH750">
        <f>$C750*CH749</f>
        <v/>
      </c>
      <c r="CI750">
        <f>$C750*CI749</f>
        <v/>
      </c>
      <c r="CJ750">
        <f>$C750*CJ749</f>
        <v/>
      </c>
      <c r="CK750">
        <f>$C750*CK749</f>
        <v/>
      </c>
      <c r="CL750">
        <f>$C750*CL749</f>
        <v/>
      </c>
      <c r="CM750">
        <f>$C750*CM749</f>
        <v/>
      </c>
      <c r="CN750">
        <f>$C750*CN749</f>
        <v/>
      </c>
      <c r="CO750">
        <f>$C750*CO749</f>
        <v/>
      </c>
      <c r="CP750">
        <f>$C750*CP749</f>
        <v/>
      </c>
      <c r="CQ750">
        <f>$C750*CQ749</f>
        <v/>
      </c>
      <c r="CR750">
        <f>$C750*CR749</f>
        <v/>
      </c>
      <c r="CS750">
        <f>$C750*CS749</f>
        <v/>
      </c>
      <c r="CT750">
        <f>$C750*CT749</f>
        <v/>
      </c>
      <c r="CU750">
        <f>$C750*CU749</f>
        <v/>
      </c>
      <c r="CV750">
        <f>$C750*CV749</f>
        <v/>
      </c>
      <c r="CW750">
        <f>$C750*CW749</f>
        <v/>
      </c>
      <c r="CX750">
        <f>$C750*CX749</f>
        <v/>
      </c>
      <c r="CY750">
        <f>$C750*CY749</f>
        <v/>
      </c>
      <c r="CZ750">
        <f>$C750*CZ749</f>
        <v/>
      </c>
      <c r="DA750">
        <f>$C750*DA749</f>
        <v/>
      </c>
      <c r="DB750">
        <f>$C750*DB749</f>
        <v/>
      </c>
      <c r="DC750">
        <f>$C750*DC749</f>
        <v/>
      </c>
    </row>
    <row r="751">
      <c r="B751" t="inlineStr">
        <is>
          <t>TSP-1499</t>
        </is>
      </c>
      <c r="C751" t="inlineStr">
        <is>
          <t>No. of batches</t>
        </is>
      </c>
      <c r="D751">
        <f>IFERROR(INDEX(PP_Grid[#Data],$DD751,2),0)</f>
        <v/>
      </c>
      <c r="E751">
        <f>IFERROR(INDEX(PP_Grid[#Data],$DD751,3),0)</f>
        <v/>
      </c>
      <c r="F751">
        <f>IFERROR(INDEX(PP_Grid[#Data],$DD751,4),0)</f>
        <v/>
      </c>
      <c r="G751">
        <f>IFERROR(INDEX(PP_Grid[#Data],$DD751,5),0)</f>
        <v/>
      </c>
      <c r="H751">
        <f>IFERROR(INDEX(PP_Grid[#Data],$DD751,6),0)</f>
        <v/>
      </c>
      <c r="I751">
        <f>IFERROR(INDEX(PP_Grid[#Data],$DD751,7),0)</f>
        <v/>
      </c>
      <c r="J751">
        <f>IFERROR(INDEX(PP_Grid[#Data],$DD751,8),0)</f>
        <v/>
      </c>
      <c r="K751">
        <f>IFERROR(INDEX(PP_Grid[#Data],$DD751,9),0)</f>
        <v/>
      </c>
      <c r="L751">
        <f>IFERROR(INDEX(PP_Grid[#Data],$DD751,10),0)</f>
        <v/>
      </c>
      <c r="M751">
        <f>IFERROR(INDEX(PP_Grid[#Data],$DD751,11),0)</f>
        <v/>
      </c>
      <c r="N751">
        <f>IFERROR(INDEX(PP_Grid[#Data],$DD751,12),0)</f>
        <v/>
      </c>
      <c r="O751">
        <f>IFERROR(INDEX(PP_Grid[#Data],$DD751,13),0)</f>
        <v/>
      </c>
      <c r="P751">
        <f>IFERROR(INDEX(PP_Grid[#Data],$DD751,14),0)</f>
        <v/>
      </c>
      <c r="Q751">
        <f>IFERROR(INDEX(PP_Grid[#Data],$DD751,15),0)</f>
        <v/>
      </c>
      <c r="R751">
        <f>IFERROR(INDEX(PP_Grid[#Data],$DD751,16),0)</f>
        <v/>
      </c>
      <c r="S751">
        <f>IFERROR(INDEX(PP_Grid[#Data],$DD751,17),0)</f>
        <v/>
      </c>
      <c r="T751">
        <f>IFERROR(INDEX(PP_Grid[#Data],$DD751,18),0)</f>
        <v/>
      </c>
      <c r="U751">
        <f>IFERROR(INDEX(PP_Grid[#Data],$DD751,19),0)</f>
        <v/>
      </c>
      <c r="V751">
        <f>IFERROR(INDEX(PP_Grid[#Data],$DD751,20),0)</f>
        <v/>
      </c>
      <c r="W751">
        <f>IFERROR(INDEX(PP_Grid[#Data],$DD751,21),0)</f>
        <v/>
      </c>
      <c r="X751">
        <f>IFERROR(INDEX(PP_Grid[#Data],$DD751,22),0)</f>
        <v/>
      </c>
      <c r="Y751">
        <f>IFERROR(INDEX(PP_Grid[#Data],$DD751,23),0)</f>
        <v/>
      </c>
      <c r="Z751">
        <f>IFERROR(INDEX(PP_Grid[#Data],$DD751,24),0)</f>
        <v/>
      </c>
      <c r="AA751">
        <f>IFERROR(INDEX(PP_Grid[#Data],$DD751,25),0)</f>
        <v/>
      </c>
      <c r="AB751">
        <f>IFERROR(INDEX(PP_Grid[#Data],$DD751,26),0)</f>
        <v/>
      </c>
      <c r="AC751">
        <f>IFERROR(INDEX(PP_Grid[#Data],$DD751,27),0)</f>
        <v/>
      </c>
      <c r="AD751">
        <f>IFERROR(INDEX(PP_Grid[#Data],$DD751,28),0)</f>
        <v/>
      </c>
      <c r="AE751">
        <f>IFERROR(INDEX(PP_Grid[#Data],$DD751,29),0)</f>
        <v/>
      </c>
      <c r="AF751">
        <f>IFERROR(INDEX(PP_Grid[#Data],$DD751,30),0)</f>
        <v/>
      </c>
      <c r="AG751">
        <f>IFERROR(INDEX(PP_Grid[#Data],$DD751,31),0)</f>
        <v/>
      </c>
      <c r="AH751">
        <f>IFERROR(INDEX(PP_Grid[#Data],$DD751,32),0)</f>
        <v/>
      </c>
      <c r="AI751">
        <f>IFERROR(INDEX(PP_Grid[#Data],$DD751,33),0)</f>
        <v/>
      </c>
      <c r="AJ751">
        <f>IFERROR(INDEX(PP_Grid[#Data],$DD751,34),0)</f>
        <v/>
      </c>
      <c r="AK751">
        <f>IFERROR(INDEX(PP_Grid[#Data],$DD751,35),0)</f>
        <v/>
      </c>
      <c r="AL751">
        <f>IFERROR(INDEX(PP_Grid[#Data],$DD751,36),0)</f>
        <v/>
      </c>
      <c r="AM751">
        <f>IFERROR(INDEX(PP_Grid[#Data],$DD751,37),0)</f>
        <v/>
      </c>
      <c r="AN751">
        <f>IFERROR(INDEX(PP_Grid[#Data],$DD751,38),0)</f>
        <v/>
      </c>
      <c r="AO751">
        <f>IFERROR(INDEX(PP_Grid[#Data],$DD751,39),0)</f>
        <v/>
      </c>
      <c r="AP751">
        <f>IFERROR(INDEX(PP_Grid[#Data],$DD751,40),0)</f>
        <v/>
      </c>
      <c r="AQ751">
        <f>IFERROR(INDEX(PP_Grid[#Data],$DD751,41),0)</f>
        <v/>
      </c>
      <c r="AR751">
        <f>IFERROR(INDEX(PP_Grid[#Data],$DD751,42),0)</f>
        <v/>
      </c>
      <c r="AS751">
        <f>IFERROR(INDEX(PP_Grid[#Data],$DD751,43),0)</f>
        <v/>
      </c>
      <c r="AT751">
        <f>IFERROR(INDEX(PP_Grid[#Data],$DD751,44),0)</f>
        <v/>
      </c>
      <c r="AU751">
        <f>IFERROR(INDEX(PP_Grid[#Data],$DD751,45),0)</f>
        <v/>
      </c>
      <c r="AV751">
        <f>IFERROR(INDEX(PP_Grid[#Data],$DD751,46),0)</f>
        <v/>
      </c>
      <c r="AW751">
        <f>IFERROR(INDEX(PP_Grid[#Data],$DD751,47),0)</f>
        <v/>
      </c>
      <c r="AX751">
        <f>IFERROR(INDEX(PP_Grid[#Data],$DD751,48),0)</f>
        <v/>
      </c>
      <c r="AY751">
        <f>IFERROR(INDEX(PP_Grid[#Data],$DD751,49),0)</f>
        <v/>
      </c>
      <c r="AZ751">
        <f>IFERROR(INDEX(PP_Grid[#Data],$DD751,50),0)</f>
        <v/>
      </c>
      <c r="BA751">
        <f>IFERROR(INDEX(PP_Grid[#Data],$DD751,51),0)</f>
        <v/>
      </c>
      <c r="BB751">
        <f>IFERROR(INDEX(PP_Grid[#Data],$DD751,52),0)</f>
        <v/>
      </c>
      <c r="BC751">
        <f>IFERROR(INDEX(PP_Grid[#Data],$DD751,53),0)</f>
        <v/>
      </c>
      <c r="BD751">
        <f>IFERROR(INDEX(PP_Grid[#Data],$DD751,54),0)</f>
        <v/>
      </c>
      <c r="BE751">
        <f>IFERROR(INDEX(PP_Grid[#Data],$DD751,55),0)</f>
        <v/>
      </c>
      <c r="BF751">
        <f>IFERROR(INDEX(PP_Grid[#Data],$DD751,56),0)</f>
        <v/>
      </c>
      <c r="BG751">
        <f>IFERROR(INDEX(PP_Grid[#Data],$DD751,57),0)</f>
        <v/>
      </c>
      <c r="BH751">
        <f>IFERROR(INDEX(PP_Grid[#Data],$DD751,58),0)</f>
        <v/>
      </c>
      <c r="BI751">
        <f>IFERROR(INDEX(PP_Grid[#Data],$DD751,59),0)</f>
        <v/>
      </c>
      <c r="BJ751">
        <f>IFERROR(INDEX(PP_Grid[#Data],$DD751,60),0)</f>
        <v/>
      </c>
      <c r="BK751">
        <f>IFERROR(INDEX(PP_Grid[#Data],$DD751,61),0)</f>
        <v/>
      </c>
      <c r="BL751">
        <f>IFERROR(INDEX(PP_Grid[#Data],$DD751,62),0)</f>
        <v/>
      </c>
      <c r="BM751">
        <f>IFERROR(INDEX(PP_Grid[#Data],$DD751,63),0)</f>
        <v/>
      </c>
      <c r="BN751">
        <f>IFERROR(INDEX(PP_Grid[#Data],$DD751,64),0)</f>
        <v/>
      </c>
      <c r="BO751">
        <f>IFERROR(INDEX(PP_Grid[#Data],$DD751,65),0)</f>
        <v/>
      </c>
      <c r="BP751">
        <f>IFERROR(INDEX(PP_Grid[#Data],$DD751,66),0)</f>
        <v/>
      </c>
      <c r="BQ751">
        <f>IFERROR(INDEX(PP_Grid[#Data],$DD751,67),0)</f>
        <v/>
      </c>
      <c r="BR751">
        <f>IFERROR(INDEX(PP_Grid[#Data],$DD751,68),0)</f>
        <v/>
      </c>
      <c r="BS751">
        <f>IFERROR(INDEX(PP_Grid[#Data],$DD751,69),0)</f>
        <v/>
      </c>
      <c r="BT751">
        <f>IFERROR(INDEX(PP_Grid[#Data],$DD751,70),0)</f>
        <v/>
      </c>
      <c r="BU751">
        <f>IFERROR(INDEX(PP_Grid[#Data],$DD751,71),0)</f>
        <v/>
      </c>
      <c r="BV751">
        <f>IFERROR(INDEX(PP_Grid[#Data],$DD751,72),0)</f>
        <v/>
      </c>
      <c r="BW751">
        <f>IFERROR(INDEX(PP_Grid[#Data],$DD751,73),0)</f>
        <v/>
      </c>
      <c r="BX751">
        <f>IFERROR(INDEX(PP_Grid[#Data],$DD751,74),0)</f>
        <v/>
      </c>
      <c r="BY751">
        <f>IFERROR(INDEX(PP_Grid[#Data],$DD751,75),0)</f>
        <v/>
      </c>
      <c r="BZ751">
        <f>IFERROR(INDEX(PP_Grid[#Data],$DD751,76),0)</f>
        <v/>
      </c>
      <c r="CA751">
        <f>IFERROR(INDEX(PP_Grid[#Data],$DD751,77),0)</f>
        <v/>
      </c>
      <c r="CB751">
        <f>IFERROR(INDEX(PP_Grid[#Data],$DD751,78),0)</f>
        <v/>
      </c>
      <c r="CC751">
        <f>IFERROR(INDEX(PP_Grid[#Data],$DD751,79),0)</f>
        <v/>
      </c>
      <c r="CD751">
        <f>IFERROR(INDEX(PP_Grid[#Data],$DD751,80),0)</f>
        <v/>
      </c>
      <c r="CE751">
        <f>IFERROR(INDEX(PP_Grid[#Data],$DD751,81),0)</f>
        <v/>
      </c>
      <c r="CF751">
        <f>IFERROR(INDEX(PP_Grid[#Data],$DD751,82),0)</f>
        <v/>
      </c>
      <c r="CG751">
        <f>IFERROR(INDEX(PP_Grid[#Data],$DD751,83),0)</f>
        <v/>
      </c>
      <c r="CH751">
        <f>IFERROR(INDEX(PP_Grid[#Data],$DD751,84),0)</f>
        <v/>
      </c>
      <c r="CI751">
        <f>IFERROR(INDEX(PP_Grid[#Data],$DD751,85),0)</f>
        <v/>
      </c>
      <c r="CJ751">
        <f>IFERROR(INDEX(PP_Grid[#Data],$DD751,86),0)</f>
        <v/>
      </c>
      <c r="CK751">
        <f>IFERROR(INDEX(PP_Grid[#Data],$DD751,87),0)</f>
        <v/>
      </c>
      <c r="CL751">
        <f>IFERROR(INDEX(PP_Grid[#Data],$DD751,88),0)</f>
        <v/>
      </c>
      <c r="CM751">
        <f>IFERROR(INDEX(PP_Grid[#Data],$DD751,89),0)</f>
        <v/>
      </c>
      <c r="CN751">
        <f>IFERROR(INDEX(PP_Grid[#Data],$DD751,90),0)</f>
        <v/>
      </c>
      <c r="CO751">
        <f>IFERROR(INDEX(PP_Grid[#Data],$DD751,91),0)</f>
        <v/>
      </c>
      <c r="CP751">
        <f>IFERROR(INDEX(PP_Grid[#Data],$DD751,92),0)</f>
        <v/>
      </c>
      <c r="CQ751">
        <f>IFERROR(INDEX(PP_Grid[#Data],$DD751,93),0)</f>
        <v/>
      </c>
      <c r="CR751">
        <f>IFERROR(INDEX(PP_Grid[#Data],$DD751,94),0)</f>
        <v/>
      </c>
      <c r="CS751">
        <f>IFERROR(INDEX(PP_Grid[#Data],$DD751,95),0)</f>
        <v/>
      </c>
      <c r="CT751">
        <f>IFERROR(INDEX(PP_Grid[#Data],$DD751,96),0)</f>
        <v/>
      </c>
      <c r="CU751">
        <f>IFERROR(INDEX(PP_Grid[#Data],$DD751,97),0)</f>
        <v/>
      </c>
      <c r="CV751">
        <f>IFERROR(INDEX(PP_Grid[#Data],$DD751,98),0)</f>
        <v/>
      </c>
      <c r="CW751">
        <f>IFERROR(INDEX(PP_Grid[#Data],$DD751,99),0)</f>
        <v/>
      </c>
      <c r="CX751">
        <f>IFERROR(INDEX(PP_Grid[#Data],$DD751,100),0)</f>
        <v/>
      </c>
      <c r="CY751">
        <f>IFERROR(INDEX(PP_Grid[#Data],$DD751,101),0)</f>
        <v/>
      </c>
      <c r="CZ751">
        <f>IFERROR(INDEX(PP_Grid[#Data],$DD751,102),0)</f>
        <v/>
      </c>
      <c r="DA751">
        <f>IFERROR(INDEX(PP_Grid[#Data],$DD751,103),0)</f>
        <v/>
      </c>
      <c r="DB751">
        <f>IFERROR(INDEX(PP_Grid[#Data],$DD751,104),0)</f>
        <v/>
      </c>
      <c r="DC751">
        <f>IFERROR(INDEX(PP_Grid[#Data],$DD751,105),0)</f>
        <v/>
      </c>
      <c r="DD751" s="7">
        <f>IFERROR(MATCH($B751,PP_Grid[Intermediate],0),99999)</f>
        <v/>
      </c>
    </row>
    <row r="752">
      <c r="B752" t="inlineStr">
        <is>
          <t>使用量(kg)</t>
        </is>
      </c>
      <c r="C752">
        <f>SUMIFS(M_BOM[RM_Qty_Per_Batch],M_BOM[Intermediate],$B751,M_BOM[Part Name],$A710)</f>
        <v/>
      </c>
      <c r="D752">
        <f>$C752*D751</f>
        <v/>
      </c>
      <c r="E752">
        <f>$C752*E751</f>
        <v/>
      </c>
      <c r="F752">
        <f>$C752*F751</f>
        <v/>
      </c>
      <c r="G752">
        <f>$C752*G751</f>
        <v/>
      </c>
      <c r="H752">
        <f>$C752*H751</f>
        <v/>
      </c>
      <c r="I752">
        <f>$C752*I751</f>
        <v/>
      </c>
      <c r="J752">
        <f>$C752*J751</f>
        <v/>
      </c>
      <c r="K752">
        <f>$C752*K751</f>
        <v/>
      </c>
      <c r="L752">
        <f>$C752*L751</f>
        <v/>
      </c>
      <c r="M752">
        <f>$C752*M751</f>
        <v/>
      </c>
      <c r="N752">
        <f>$C752*N751</f>
        <v/>
      </c>
      <c r="O752">
        <f>$C752*O751</f>
        <v/>
      </c>
      <c r="P752">
        <f>$C752*P751</f>
        <v/>
      </c>
      <c r="Q752">
        <f>$C752*Q751</f>
        <v/>
      </c>
      <c r="R752">
        <f>$C752*R751</f>
        <v/>
      </c>
      <c r="S752">
        <f>$C752*S751</f>
        <v/>
      </c>
      <c r="T752">
        <f>$C752*T751</f>
        <v/>
      </c>
      <c r="U752">
        <f>$C752*U751</f>
        <v/>
      </c>
      <c r="V752">
        <f>$C752*V751</f>
        <v/>
      </c>
      <c r="W752">
        <f>$C752*W751</f>
        <v/>
      </c>
      <c r="X752">
        <f>$C752*X751</f>
        <v/>
      </c>
      <c r="Y752">
        <f>$C752*Y751</f>
        <v/>
      </c>
      <c r="Z752">
        <f>$C752*Z751</f>
        <v/>
      </c>
      <c r="AA752">
        <f>$C752*AA751</f>
        <v/>
      </c>
      <c r="AB752">
        <f>$C752*AB751</f>
        <v/>
      </c>
      <c r="AC752">
        <f>$C752*AC751</f>
        <v/>
      </c>
      <c r="AD752">
        <f>$C752*AD751</f>
        <v/>
      </c>
      <c r="AE752">
        <f>$C752*AE751</f>
        <v/>
      </c>
      <c r="AF752">
        <f>$C752*AF751</f>
        <v/>
      </c>
      <c r="AG752">
        <f>$C752*AG751</f>
        <v/>
      </c>
      <c r="AH752">
        <f>$C752*AH751</f>
        <v/>
      </c>
      <c r="AI752">
        <f>$C752*AI751</f>
        <v/>
      </c>
      <c r="AJ752">
        <f>$C752*AJ751</f>
        <v/>
      </c>
      <c r="AK752">
        <f>$C752*AK751</f>
        <v/>
      </c>
      <c r="AL752">
        <f>$C752*AL751</f>
        <v/>
      </c>
      <c r="AM752">
        <f>$C752*AM751</f>
        <v/>
      </c>
      <c r="AN752">
        <f>$C752*AN751</f>
        <v/>
      </c>
      <c r="AO752">
        <f>$C752*AO751</f>
        <v/>
      </c>
      <c r="AP752">
        <f>$C752*AP751</f>
        <v/>
      </c>
      <c r="AQ752">
        <f>$C752*AQ751</f>
        <v/>
      </c>
      <c r="AR752">
        <f>$C752*AR751</f>
        <v/>
      </c>
      <c r="AS752">
        <f>$C752*AS751</f>
        <v/>
      </c>
      <c r="AT752">
        <f>$C752*AT751</f>
        <v/>
      </c>
      <c r="AU752">
        <f>$C752*AU751</f>
        <v/>
      </c>
      <c r="AV752">
        <f>$C752*AV751</f>
        <v/>
      </c>
      <c r="AW752">
        <f>$C752*AW751</f>
        <v/>
      </c>
      <c r="AX752">
        <f>$C752*AX751</f>
        <v/>
      </c>
      <c r="AY752">
        <f>$C752*AY751</f>
        <v/>
      </c>
      <c r="AZ752">
        <f>$C752*AZ751</f>
        <v/>
      </c>
      <c r="BA752">
        <f>$C752*BA751</f>
        <v/>
      </c>
      <c r="BB752">
        <f>$C752*BB751</f>
        <v/>
      </c>
      <c r="BC752">
        <f>$C752*BC751</f>
        <v/>
      </c>
      <c r="BD752">
        <f>$C752*BD751</f>
        <v/>
      </c>
      <c r="BE752">
        <f>$C752*BE751</f>
        <v/>
      </c>
      <c r="BF752">
        <f>$C752*BF751</f>
        <v/>
      </c>
      <c r="BG752">
        <f>$C752*BG751</f>
        <v/>
      </c>
      <c r="BH752">
        <f>$C752*BH751</f>
        <v/>
      </c>
      <c r="BI752">
        <f>$C752*BI751</f>
        <v/>
      </c>
      <c r="BJ752">
        <f>$C752*BJ751</f>
        <v/>
      </c>
      <c r="BK752">
        <f>$C752*BK751</f>
        <v/>
      </c>
      <c r="BL752">
        <f>$C752*BL751</f>
        <v/>
      </c>
      <c r="BM752">
        <f>$C752*BM751</f>
        <v/>
      </c>
      <c r="BN752">
        <f>$C752*BN751</f>
        <v/>
      </c>
      <c r="BO752">
        <f>$C752*BO751</f>
        <v/>
      </c>
      <c r="BP752">
        <f>$C752*BP751</f>
        <v/>
      </c>
      <c r="BQ752">
        <f>$C752*BQ751</f>
        <v/>
      </c>
      <c r="BR752">
        <f>$C752*BR751</f>
        <v/>
      </c>
      <c r="BS752">
        <f>$C752*BS751</f>
        <v/>
      </c>
      <c r="BT752">
        <f>$C752*BT751</f>
        <v/>
      </c>
      <c r="BU752">
        <f>$C752*BU751</f>
        <v/>
      </c>
      <c r="BV752">
        <f>$C752*BV751</f>
        <v/>
      </c>
      <c r="BW752">
        <f>$C752*BW751</f>
        <v/>
      </c>
      <c r="BX752">
        <f>$C752*BX751</f>
        <v/>
      </c>
      <c r="BY752">
        <f>$C752*BY751</f>
        <v/>
      </c>
      <c r="BZ752">
        <f>$C752*BZ751</f>
        <v/>
      </c>
      <c r="CA752">
        <f>$C752*CA751</f>
        <v/>
      </c>
      <c r="CB752">
        <f>$C752*CB751</f>
        <v/>
      </c>
      <c r="CC752">
        <f>$C752*CC751</f>
        <v/>
      </c>
      <c r="CD752">
        <f>$C752*CD751</f>
        <v/>
      </c>
      <c r="CE752">
        <f>$C752*CE751</f>
        <v/>
      </c>
      <c r="CF752">
        <f>$C752*CF751</f>
        <v/>
      </c>
      <c r="CG752">
        <f>$C752*CG751</f>
        <v/>
      </c>
      <c r="CH752">
        <f>$C752*CH751</f>
        <v/>
      </c>
      <c r="CI752">
        <f>$C752*CI751</f>
        <v/>
      </c>
      <c r="CJ752">
        <f>$C752*CJ751</f>
        <v/>
      </c>
      <c r="CK752">
        <f>$C752*CK751</f>
        <v/>
      </c>
      <c r="CL752">
        <f>$C752*CL751</f>
        <v/>
      </c>
      <c r="CM752">
        <f>$C752*CM751</f>
        <v/>
      </c>
      <c r="CN752">
        <f>$C752*CN751</f>
        <v/>
      </c>
      <c r="CO752">
        <f>$C752*CO751</f>
        <v/>
      </c>
      <c r="CP752">
        <f>$C752*CP751</f>
        <v/>
      </c>
      <c r="CQ752">
        <f>$C752*CQ751</f>
        <v/>
      </c>
      <c r="CR752">
        <f>$C752*CR751</f>
        <v/>
      </c>
      <c r="CS752">
        <f>$C752*CS751</f>
        <v/>
      </c>
      <c r="CT752">
        <f>$C752*CT751</f>
        <v/>
      </c>
      <c r="CU752">
        <f>$C752*CU751</f>
        <v/>
      </c>
      <c r="CV752">
        <f>$C752*CV751</f>
        <v/>
      </c>
      <c r="CW752">
        <f>$C752*CW751</f>
        <v/>
      </c>
      <c r="CX752">
        <f>$C752*CX751</f>
        <v/>
      </c>
      <c r="CY752">
        <f>$C752*CY751</f>
        <v/>
      </c>
      <c r="CZ752">
        <f>$C752*CZ751</f>
        <v/>
      </c>
      <c r="DA752">
        <f>$C752*DA751</f>
        <v/>
      </c>
      <c r="DB752">
        <f>$C752*DB751</f>
        <v/>
      </c>
      <c r="DC752">
        <f>$C752*DC751</f>
        <v/>
      </c>
    </row>
    <row r="753">
      <c r="B753" s="4" t="inlineStr">
        <is>
          <t>合計使用量(kg)/週</t>
        </is>
      </c>
      <c r="D753">
        <f>'Grid_Requirement'!B6</f>
        <v/>
      </c>
      <c r="E753">
        <f>'Grid_Requirement'!C6</f>
        <v/>
      </c>
      <c r="F753">
        <f>'Grid_Requirement'!D6</f>
        <v/>
      </c>
      <c r="G753">
        <f>'Grid_Requirement'!E6</f>
        <v/>
      </c>
      <c r="H753">
        <f>'Grid_Requirement'!F6</f>
        <v/>
      </c>
      <c r="I753">
        <f>'Grid_Requirement'!G6</f>
        <v/>
      </c>
      <c r="J753">
        <f>'Grid_Requirement'!H6</f>
        <v/>
      </c>
      <c r="K753">
        <f>'Grid_Requirement'!I6</f>
        <v/>
      </c>
      <c r="L753">
        <f>'Grid_Requirement'!J6</f>
        <v/>
      </c>
      <c r="M753">
        <f>'Grid_Requirement'!K6</f>
        <v/>
      </c>
      <c r="N753">
        <f>'Grid_Requirement'!L6</f>
        <v/>
      </c>
      <c r="O753">
        <f>'Grid_Requirement'!M6</f>
        <v/>
      </c>
      <c r="P753">
        <f>'Grid_Requirement'!N6</f>
        <v/>
      </c>
      <c r="Q753">
        <f>'Grid_Requirement'!O6</f>
        <v/>
      </c>
      <c r="R753">
        <f>'Grid_Requirement'!P6</f>
        <v/>
      </c>
      <c r="S753">
        <f>'Grid_Requirement'!Q6</f>
        <v/>
      </c>
      <c r="T753">
        <f>'Grid_Requirement'!R6</f>
        <v/>
      </c>
      <c r="U753">
        <f>'Grid_Requirement'!S6</f>
        <v/>
      </c>
      <c r="V753">
        <f>'Grid_Requirement'!T6</f>
        <v/>
      </c>
      <c r="W753">
        <f>'Grid_Requirement'!U6</f>
        <v/>
      </c>
      <c r="X753">
        <f>'Grid_Requirement'!V6</f>
        <v/>
      </c>
      <c r="Y753">
        <f>'Grid_Requirement'!W6</f>
        <v/>
      </c>
      <c r="Z753">
        <f>'Grid_Requirement'!X6</f>
        <v/>
      </c>
      <c r="AA753">
        <f>'Grid_Requirement'!Y6</f>
        <v/>
      </c>
      <c r="AB753">
        <f>'Grid_Requirement'!Z6</f>
        <v/>
      </c>
      <c r="AC753">
        <f>'Grid_Requirement'!AA6</f>
        <v/>
      </c>
      <c r="AD753">
        <f>'Grid_Requirement'!AB6</f>
        <v/>
      </c>
      <c r="AE753">
        <f>'Grid_Requirement'!AC6</f>
        <v/>
      </c>
      <c r="AF753">
        <f>'Grid_Requirement'!AD6</f>
        <v/>
      </c>
      <c r="AG753">
        <f>'Grid_Requirement'!AE6</f>
        <v/>
      </c>
      <c r="AH753">
        <f>'Grid_Requirement'!AF6</f>
        <v/>
      </c>
      <c r="AI753">
        <f>'Grid_Requirement'!AG6</f>
        <v/>
      </c>
      <c r="AJ753">
        <f>'Grid_Requirement'!AH6</f>
        <v/>
      </c>
      <c r="AK753">
        <f>'Grid_Requirement'!AI6</f>
        <v/>
      </c>
      <c r="AL753">
        <f>'Grid_Requirement'!AJ6</f>
        <v/>
      </c>
      <c r="AM753">
        <f>'Grid_Requirement'!AK6</f>
        <v/>
      </c>
      <c r="AN753">
        <f>'Grid_Requirement'!AL6</f>
        <v/>
      </c>
      <c r="AO753">
        <f>'Grid_Requirement'!AM6</f>
        <v/>
      </c>
      <c r="AP753">
        <f>'Grid_Requirement'!AN6</f>
        <v/>
      </c>
      <c r="AQ753">
        <f>'Grid_Requirement'!AO6</f>
        <v/>
      </c>
      <c r="AR753">
        <f>'Grid_Requirement'!AP6</f>
        <v/>
      </c>
      <c r="AS753">
        <f>'Grid_Requirement'!AQ6</f>
        <v/>
      </c>
      <c r="AT753">
        <f>'Grid_Requirement'!AR6</f>
        <v/>
      </c>
      <c r="AU753">
        <f>'Grid_Requirement'!AS6</f>
        <v/>
      </c>
      <c r="AV753">
        <f>'Grid_Requirement'!AT6</f>
        <v/>
      </c>
      <c r="AW753">
        <f>'Grid_Requirement'!AU6</f>
        <v/>
      </c>
      <c r="AX753">
        <f>'Grid_Requirement'!AV6</f>
        <v/>
      </c>
      <c r="AY753">
        <f>'Grid_Requirement'!AW6</f>
        <v/>
      </c>
      <c r="AZ753">
        <f>'Grid_Requirement'!AX6</f>
        <v/>
      </c>
      <c r="BA753">
        <f>'Grid_Requirement'!AY6</f>
        <v/>
      </c>
      <c r="BB753">
        <f>'Grid_Requirement'!AZ6</f>
        <v/>
      </c>
      <c r="BC753">
        <f>'Grid_Requirement'!BA6</f>
        <v/>
      </c>
      <c r="BD753">
        <f>'Grid_Requirement'!BB6</f>
        <v/>
      </c>
      <c r="BE753">
        <f>'Grid_Requirement'!BC6</f>
        <v/>
      </c>
      <c r="BF753">
        <f>'Grid_Requirement'!BD6</f>
        <v/>
      </c>
      <c r="BG753">
        <f>'Grid_Requirement'!BE6</f>
        <v/>
      </c>
      <c r="BH753">
        <f>'Grid_Requirement'!BF6</f>
        <v/>
      </c>
      <c r="BI753">
        <f>'Grid_Requirement'!BG6</f>
        <v/>
      </c>
      <c r="BJ753">
        <f>'Grid_Requirement'!BH6</f>
        <v/>
      </c>
      <c r="BK753">
        <f>'Grid_Requirement'!BI6</f>
        <v/>
      </c>
      <c r="BL753">
        <f>'Grid_Requirement'!BJ6</f>
        <v/>
      </c>
      <c r="BM753">
        <f>'Grid_Requirement'!BK6</f>
        <v/>
      </c>
      <c r="BN753">
        <f>'Grid_Requirement'!BL6</f>
        <v/>
      </c>
      <c r="BO753">
        <f>'Grid_Requirement'!BM6</f>
        <v/>
      </c>
      <c r="BP753">
        <f>'Grid_Requirement'!BN6</f>
        <v/>
      </c>
      <c r="BQ753">
        <f>'Grid_Requirement'!BO6</f>
        <v/>
      </c>
      <c r="BR753">
        <f>'Grid_Requirement'!BP6</f>
        <v/>
      </c>
      <c r="BS753">
        <f>'Grid_Requirement'!BQ6</f>
        <v/>
      </c>
      <c r="BT753">
        <f>'Grid_Requirement'!BR6</f>
        <v/>
      </c>
      <c r="BU753">
        <f>'Grid_Requirement'!BS6</f>
        <v/>
      </c>
      <c r="BV753">
        <f>'Grid_Requirement'!BT6</f>
        <v/>
      </c>
      <c r="BW753">
        <f>'Grid_Requirement'!BU6</f>
        <v/>
      </c>
      <c r="BX753">
        <f>'Grid_Requirement'!BV6</f>
        <v/>
      </c>
      <c r="BY753">
        <f>'Grid_Requirement'!BW6</f>
        <v/>
      </c>
      <c r="BZ753">
        <f>'Grid_Requirement'!BX6</f>
        <v/>
      </c>
      <c r="CA753">
        <f>'Grid_Requirement'!BY6</f>
        <v/>
      </c>
      <c r="CB753">
        <f>'Grid_Requirement'!BZ6</f>
        <v/>
      </c>
      <c r="CC753">
        <f>'Grid_Requirement'!CA6</f>
        <v/>
      </c>
      <c r="CD753">
        <f>'Grid_Requirement'!CB6</f>
        <v/>
      </c>
      <c r="CE753">
        <f>'Grid_Requirement'!CC6</f>
        <v/>
      </c>
      <c r="CF753">
        <f>'Grid_Requirement'!CD6</f>
        <v/>
      </c>
      <c r="CG753">
        <f>'Grid_Requirement'!CE6</f>
        <v/>
      </c>
      <c r="CH753">
        <f>'Grid_Requirement'!CF6</f>
        <v/>
      </c>
      <c r="CI753">
        <f>'Grid_Requirement'!CG6</f>
        <v/>
      </c>
      <c r="CJ753">
        <f>'Grid_Requirement'!CH6</f>
        <v/>
      </c>
      <c r="CK753">
        <f>'Grid_Requirement'!CI6</f>
        <v/>
      </c>
      <c r="CL753">
        <f>'Grid_Requirement'!CJ6</f>
        <v/>
      </c>
      <c r="CM753">
        <f>'Grid_Requirement'!CK6</f>
        <v/>
      </c>
      <c r="CN753">
        <f>'Grid_Requirement'!CL6</f>
        <v/>
      </c>
      <c r="CO753">
        <f>'Grid_Requirement'!CM6</f>
        <v/>
      </c>
      <c r="CP753">
        <f>'Grid_Requirement'!CN6</f>
        <v/>
      </c>
      <c r="CQ753">
        <f>'Grid_Requirement'!CO6</f>
        <v/>
      </c>
      <c r="CR753">
        <f>'Grid_Requirement'!CP6</f>
        <v/>
      </c>
      <c r="CS753">
        <f>'Grid_Requirement'!CQ6</f>
        <v/>
      </c>
      <c r="CT753">
        <f>'Grid_Requirement'!CR6</f>
        <v/>
      </c>
      <c r="CU753">
        <f>'Grid_Requirement'!CS6</f>
        <v/>
      </c>
      <c r="CV753">
        <f>'Grid_Requirement'!CT6</f>
        <v/>
      </c>
      <c r="CW753">
        <f>'Grid_Requirement'!CU6</f>
        <v/>
      </c>
      <c r="CX753">
        <f>'Grid_Requirement'!CV6</f>
        <v/>
      </c>
      <c r="CY753">
        <f>'Grid_Requirement'!CW6</f>
        <v/>
      </c>
      <c r="CZ753">
        <f>'Grid_Requirement'!CX6</f>
        <v/>
      </c>
      <c r="DA753">
        <f>'Grid_Requirement'!CY6</f>
        <v/>
      </c>
      <c r="DB753">
        <f>'Grid_Requirement'!CZ6</f>
        <v/>
      </c>
      <c r="DC753">
        <f>'Grid_Requirement'!DA6</f>
        <v/>
      </c>
    </row>
    <row r="754">
      <c r="B754" t="inlineStr">
        <is>
          <t>TTAF在庫(実績,kg)</t>
        </is>
      </c>
      <c r="D754">
        <f>'T_TTAFStock'!B10</f>
        <v/>
      </c>
      <c r="E754">
        <f>'T_TTAFStock'!C10</f>
        <v/>
      </c>
      <c r="F754">
        <f>'T_TTAFStock'!D10</f>
        <v/>
      </c>
      <c r="G754">
        <f>'T_TTAFStock'!E10</f>
        <v/>
      </c>
      <c r="H754">
        <f>'T_TTAFStock'!F10</f>
        <v/>
      </c>
      <c r="I754">
        <f>'T_TTAFStock'!G10</f>
        <v/>
      </c>
      <c r="J754">
        <f>'T_TTAFStock'!H10</f>
        <v/>
      </c>
      <c r="K754">
        <f>'T_TTAFStock'!I10</f>
        <v/>
      </c>
      <c r="L754">
        <f>'T_TTAFStock'!J10</f>
        <v/>
      </c>
      <c r="M754">
        <f>'T_TTAFStock'!K10</f>
        <v/>
      </c>
      <c r="N754">
        <f>'T_TTAFStock'!L10</f>
        <v/>
      </c>
      <c r="O754">
        <f>'T_TTAFStock'!M10</f>
        <v/>
      </c>
      <c r="P754">
        <f>'T_TTAFStock'!N10</f>
        <v/>
      </c>
      <c r="Q754">
        <f>'T_TTAFStock'!O10</f>
        <v/>
      </c>
      <c r="R754">
        <f>'T_TTAFStock'!P10</f>
        <v/>
      </c>
      <c r="S754">
        <f>'T_TTAFStock'!Q10</f>
        <v/>
      </c>
      <c r="T754">
        <f>'T_TTAFStock'!R10</f>
        <v/>
      </c>
      <c r="U754">
        <f>'T_TTAFStock'!S10</f>
        <v/>
      </c>
      <c r="V754">
        <f>'T_TTAFStock'!T10</f>
        <v/>
      </c>
      <c r="W754">
        <f>'T_TTAFStock'!U10</f>
        <v/>
      </c>
      <c r="X754">
        <f>'T_TTAFStock'!V10</f>
        <v/>
      </c>
      <c r="Y754">
        <f>'T_TTAFStock'!W10</f>
        <v/>
      </c>
      <c r="Z754">
        <f>'T_TTAFStock'!X10</f>
        <v/>
      </c>
      <c r="AA754">
        <f>'T_TTAFStock'!Y10</f>
        <v/>
      </c>
      <c r="AB754">
        <f>'T_TTAFStock'!Z10</f>
        <v/>
      </c>
      <c r="AC754">
        <f>'T_TTAFStock'!AA10</f>
        <v/>
      </c>
      <c r="AD754">
        <f>'T_TTAFStock'!AB10</f>
        <v/>
      </c>
      <c r="AE754">
        <f>'T_TTAFStock'!AC10</f>
        <v/>
      </c>
      <c r="AF754">
        <f>'T_TTAFStock'!AD10</f>
        <v/>
      </c>
      <c r="AG754">
        <f>'T_TTAFStock'!AE10</f>
        <v/>
      </c>
      <c r="AH754">
        <f>'T_TTAFStock'!AF10</f>
        <v/>
      </c>
      <c r="AI754">
        <f>'T_TTAFStock'!AG10</f>
        <v/>
      </c>
      <c r="AJ754">
        <f>'T_TTAFStock'!AH10</f>
        <v/>
      </c>
      <c r="AK754">
        <f>'T_TTAFStock'!AI10</f>
        <v/>
      </c>
      <c r="AL754">
        <f>'T_TTAFStock'!AJ10</f>
        <v/>
      </c>
      <c r="AM754">
        <f>'T_TTAFStock'!AK10</f>
        <v/>
      </c>
      <c r="AN754">
        <f>'T_TTAFStock'!AL10</f>
        <v/>
      </c>
      <c r="AO754">
        <f>'T_TTAFStock'!AM10</f>
        <v/>
      </c>
      <c r="AP754">
        <f>'T_TTAFStock'!AN10</f>
        <v/>
      </c>
      <c r="AQ754">
        <f>'T_TTAFStock'!AO10</f>
        <v/>
      </c>
      <c r="AR754">
        <f>'T_TTAFStock'!AP10</f>
        <v/>
      </c>
      <c r="AS754">
        <f>'T_TTAFStock'!AQ10</f>
        <v/>
      </c>
      <c r="AT754">
        <f>'T_TTAFStock'!AR10</f>
        <v/>
      </c>
      <c r="AU754">
        <f>'T_TTAFStock'!AS10</f>
        <v/>
      </c>
      <c r="AV754">
        <f>'T_TTAFStock'!AT10</f>
        <v/>
      </c>
      <c r="AW754">
        <f>'T_TTAFStock'!AU10</f>
        <v/>
      </c>
      <c r="AX754">
        <f>'T_TTAFStock'!AV10</f>
        <v/>
      </c>
      <c r="AY754">
        <f>'T_TTAFStock'!AW10</f>
        <v/>
      </c>
      <c r="AZ754">
        <f>'T_TTAFStock'!AX10</f>
        <v/>
      </c>
      <c r="BA754">
        <f>'T_TTAFStock'!AY10</f>
        <v/>
      </c>
      <c r="BB754">
        <f>'T_TTAFStock'!AZ10</f>
        <v/>
      </c>
      <c r="BC754">
        <f>'T_TTAFStock'!BA10</f>
        <v/>
      </c>
      <c r="BD754">
        <f>'T_TTAFStock'!BB10</f>
        <v/>
      </c>
      <c r="BE754">
        <f>'T_TTAFStock'!BC10</f>
        <v/>
      </c>
      <c r="BF754">
        <f>'T_TTAFStock'!BD10</f>
        <v/>
      </c>
      <c r="BG754">
        <f>'T_TTAFStock'!BE10</f>
        <v/>
      </c>
      <c r="BH754">
        <f>'T_TTAFStock'!BF10</f>
        <v/>
      </c>
      <c r="BI754">
        <f>'T_TTAFStock'!BG10</f>
        <v/>
      </c>
      <c r="BJ754">
        <f>'T_TTAFStock'!BH10</f>
        <v/>
      </c>
      <c r="BK754">
        <f>'T_TTAFStock'!BI10</f>
        <v/>
      </c>
      <c r="BL754">
        <f>'T_TTAFStock'!BJ10</f>
        <v/>
      </c>
      <c r="BM754">
        <f>'T_TTAFStock'!BK10</f>
        <v/>
      </c>
      <c r="BN754">
        <f>'T_TTAFStock'!BL10</f>
        <v/>
      </c>
      <c r="BO754">
        <f>'T_TTAFStock'!BM10</f>
        <v/>
      </c>
      <c r="BP754">
        <f>'T_TTAFStock'!BN10</f>
        <v/>
      </c>
      <c r="BQ754">
        <f>'T_TTAFStock'!BO10</f>
        <v/>
      </c>
      <c r="BR754">
        <f>'T_TTAFStock'!BP10</f>
        <v/>
      </c>
      <c r="BS754">
        <f>'T_TTAFStock'!BQ10</f>
        <v/>
      </c>
      <c r="BT754">
        <f>'T_TTAFStock'!BR10</f>
        <v/>
      </c>
      <c r="BU754">
        <f>'T_TTAFStock'!BS10</f>
        <v/>
      </c>
      <c r="BV754">
        <f>'T_TTAFStock'!BT10</f>
        <v/>
      </c>
      <c r="BW754">
        <f>'T_TTAFStock'!BU10</f>
        <v/>
      </c>
      <c r="BX754">
        <f>'T_TTAFStock'!BV10</f>
        <v/>
      </c>
      <c r="BY754">
        <f>'T_TTAFStock'!BW10</f>
        <v/>
      </c>
      <c r="BZ754">
        <f>'T_TTAFStock'!BX10</f>
        <v/>
      </c>
      <c r="CA754">
        <f>'T_TTAFStock'!BY10</f>
        <v/>
      </c>
      <c r="CB754">
        <f>'T_TTAFStock'!BZ10</f>
        <v/>
      </c>
      <c r="CC754">
        <f>'T_TTAFStock'!CA10</f>
        <v/>
      </c>
      <c r="CD754">
        <f>'T_TTAFStock'!CB10</f>
        <v/>
      </c>
      <c r="CE754">
        <f>'T_TTAFStock'!CC10</f>
        <v/>
      </c>
      <c r="CF754">
        <f>'T_TTAFStock'!CD10</f>
        <v/>
      </c>
      <c r="CG754">
        <f>'T_TTAFStock'!CE10</f>
        <v/>
      </c>
      <c r="CH754">
        <f>'T_TTAFStock'!CF10</f>
        <v/>
      </c>
      <c r="CI754">
        <f>'T_TTAFStock'!CG10</f>
        <v/>
      </c>
      <c r="CJ754">
        <f>'T_TTAFStock'!CH10</f>
        <v/>
      </c>
      <c r="CK754">
        <f>'T_TTAFStock'!CI10</f>
        <v/>
      </c>
      <c r="CL754">
        <f>'T_TTAFStock'!CJ10</f>
        <v/>
      </c>
      <c r="CM754">
        <f>'T_TTAFStock'!CK10</f>
        <v/>
      </c>
      <c r="CN754">
        <f>'T_TTAFStock'!CL10</f>
        <v/>
      </c>
      <c r="CO754">
        <f>'T_TTAFStock'!CM10</f>
        <v/>
      </c>
      <c r="CP754">
        <f>'T_TTAFStock'!CN10</f>
        <v/>
      </c>
      <c r="CQ754">
        <f>'T_TTAFStock'!CO10</f>
        <v/>
      </c>
      <c r="CR754">
        <f>'T_TTAFStock'!CP10</f>
        <v/>
      </c>
      <c r="CS754">
        <f>'T_TTAFStock'!CQ10</f>
        <v/>
      </c>
      <c r="CT754">
        <f>'T_TTAFStock'!CR10</f>
        <v/>
      </c>
      <c r="CU754">
        <f>'T_TTAFStock'!CS10</f>
        <v/>
      </c>
      <c r="CV754">
        <f>'T_TTAFStock'!CT10</f>
        <v/>
      </c>
      <c r="CW754">
        <f>'T_TTAFStock'!CU10</f>
        <v/>
      </c>
      <c r="CX754">
        <f>'T_TTAFStock'!CV10</f>
        <v/>
      </c>
      <c r="CY754">
        <f>'T_TTAFStock'!CW10</f>
        <v/>
      </c>
      <c r="CZ754">
        <f>'T_TTAFStock'!CX10</f>
        <v/>
      </c>
      <c r="DA754">
        <f>'T_TTAFStock'!CY10</f>
        <v/>
      </c>
      <c r="DB754">
        <f>'T_TTAFStock'!CZ10</f>
        <v/>
      </c>
      <c r="DC754">
        <f>'T_TTAFStock'!DA10</f>
        <v/>
      </c>
    </row>
    <row r="755">
      <c r="B755" t="inlineStr">
        <is>
          <t>自社在庫(実績,kg)</t>
        </is>
      </c>
      <c r="D755">
        <f>'T_SelfStock'!B10</f>
        <v/>
      </c>
      <c r="E755">
        <f>'T_SelfStock'!C10</f>
        <v/>
      </c>
      <c r="F755">
        <f>'T_SelfStock'!D10</f>
        <v/>
      </c>
      <c r="G755">
        <f>'T_SelfStock'!E10</f>
        <v/>
      </c>
      <c r="H755">
        <f>'T_SelfStock'!F10</f>
        <v/>
      </c>
      <c r="I755">
        <f>'T_SelfStock'!G10</f>
        <v/>
      </c>
      <c r="J755">
        <f>'T_SelfStock'!H10</f>
        <v/>
      </c>
      <c r="K755">
        <f>'T_SelfStock'!I10</f>
        <v/>
      </c>
      <c r="L755">
        <f>'T_SelfStock'!J10</f>
        <v/>
      </c>
      <c r="M755">
        <f>'T_SelfStock'!K10</f>
        <v/>
      </c>
      <c r="N755">
        <f>'T_SelfStock'!L10</f>
        <v/>
      </c>
      <c r="O755">
        <f>'T_SelfStock'!M10</f>
        <v/>
      </c>
      <c r="P755">
        <f>'T_SelfStock'!N10</f>
        <v/>
      </c>
      <c r="Q755">
        <f>'T_SelfStock'!O10</f>
        <v/>
      </c>
      <c r="R755">
        <f>'T_SelfStock'!P10</f>
        <v/>
      </c>
      <c r="S755">
        <f>'T_SelfStock'!Q10</f>
        <v/>
      </c>
      <c r="T755">
        <f>'T_SelfStock'!R10</f>
        <v/>
      </c>
      <c r="U755">
        <f>'T_SelfStock'!S10</f>
        <v/>
      </c>
      <c r="V755">
        <f>'T_SelfStock'!T10</f>
        <v/>
      </c>
      <c r="W755">
        <f>'T_SelfStock'!U10</f>
        <v/>
      </c>
      <c r="X755">
        <f>'T_SelfStock'!V10</f>
        <v/>
      </c>
      <c r="Y755">
        <f>'T_SelfStock'!W10</f>
        <v/>
      </c>
      <c r="Z755">
        <f>'T_SelfStock'!X10</f>
        <v/>
      </c>
      <c r="AA755">
        <f>'T_SelfStock'!Y10</f>
        <v/>
      </c>
      <c r="AB755">
        <f>'T_SelfStock'!Z10</f>
        <v/>
      </c>
      <c r="AC755">
        <f>'T_SelfStock'!AA10</f>
        <v/>
      </c>
      <c r="AD755">
        <f>'T_SelfStock'!AB10</f>
        <v/>
      </c>
      <c r="AE755">
        <f>'T_SelfStock'!AC10</f>
        <v/>
      </c>
      <c r="AF755">
        <f>'T_SelfStock'!AD10</f>
        <v/>
      </c>
      <c r="AG755">
        <f>'T_SelfStock'!AE10</f>
        <v/>
      </c>
      <c r="AH755">
        <f>'T_SelfStock'!AF10</f>
        <v/>
      </c>
      <c r="AI755">
        <f>'T_SelfStock'!AG10</f>
        <v/>
      </c>
      <c r="AJ755">
        <f>'T_SelfStock'!AH10</f>
        <v/>
      </c>
      <c r="AK755">
        <f>'T_SelfStock'!AI10</f>
        <v/>
      </c>
      <c r="AL755">
        <f>'T_SelfStock'!AJ10</f>
        <v/>
      </c>
      <c r="AM755">
        <f>'T_SelfStock'!AK10</f>
        <v/>
      </c>
      <c r="AN755">
        <f>'T_SelfStock'!AL10</f>
        <v/>
      </c>
      <c r="AO755">
        <f>'T_SelfStock'!AM10</f>
        <v/>
      </c>
      <c r="AP755">
        <f>'T_SelfStock'!AN10</f>
        <v/>
      </c>
      <c r="AQ755">
        <f>'T_SelfStock'!AO10</f>
        <v/>
      </c>
      <c r="AR755">
        <f>'T_SelfStock'!AP10</f>
        <v/>
      </c>
      <c r="AS755">
        <f>'T_SelfStock'!AQ10</f>
        <v/>
      </c>
      <c r="AT755">
        <f>'T_SelfStock'!AR10</f>
        <v/>
      </c>
      <c r="AU755">
        <f>'T_SelfStock'!AS10</f>
        <v/>
      </c>
      <c r="AV755">
        <f>'T_SelfStock'!AT10</f>
        <v/>
      </c>
      <c r="AW755">
        <f>'T_SelfStock'!AU10</f>
        <v/>
      </c>
      <c r="AX755">
        <f>'T_SelfStock'!AV10</f>
        <v/>
      </c>
      <c r="AY755">
        <f>'T_SelfStock'!AW10</f>
        <v/>
      </c>
      <c r="AZ755">
        <f>'T_SelfStock'!AX10</f>
        <v/>
      </c>
      <c r="BA755">
        <f>'T_SelfStock'!AY10</f>
        <v/>
      </c>
      <c r="BB755">
        <f>'T_SelfStock'!AZ10</f>
        <v/>
      </c>
      <c r="BC755">
        <f>'T_SelfStock'!BA10</f>
        <v/>
      </c>
      <c r="BD755">
        <f>'T_SelfStock'!BB10</f>
        <v/>
      </c>
      <c r="BE755">
        <f>'T_SelfStock'!BC10</f>
        <v/>
      </c>
      <c r="BF755">
        <f>'T_SelfStock'!BD10</f>
        <v/>
      </c>
      <c r="BG755">
        <f>'T_SelfStock'!BE10</f>
        <v/>
      </c>
      <c r="BH755">
        <f>'T_SelfStock'!BF10</f>
        <v/>
      </c>
      <c r="BI755">
        <f>'T_SelfStock'!BG10</f>
        <v/>
      </c>
      <c r="BJ755">
        <f>'T_SelfStock'!BH10</f>
        <v/>
      </c>
      <c r="BK755">
        <f>'T_SelfStock'!BI10</f>
        <v/>
      </c>
      <c r="BL755">
        <f>'T_SelfStock'!BJ10</f>
        <v/>
      </c>
      <c r="BM755">
        <f>'T_SelfStock'!BK10</f>
        <v/>
      </c>
      <c r="BN755">
        <f>'T_SelfStock'!BL10</f>
        <v/>
      </c>
      <c r="BO755">
        <f>'T_SelfStock'!BM10</f>
        <v/>
      </c>
      <c r="BP755">
        <f>'T_SelfStock'!BN10</f>
        <v/>
      </c>
      <c r="BQ755">
        <f>'T_SelfStock'!BO10</f>
        <v/>
      </c>
      <c r="BR755">
        <f>'T_SelfStock'!BP10</f>
        <v/>
      </c>
      <c r="BS755">
        <f>'T_SelfStock'!BQ10</f>
        <v/>
      </c>
      <c r="BT755">
        <f>'T_SelfStock'!BR10</f>
        <v/>
      </c>
      <c r="BU755">
        <f>'T_SelfStock'!BS10</f>
        <v/>
      </c>
      <c r="BV755">
        <f>'T_SelfStock'!BT10</f>
        <v/>
      </c>
      <c r="BW755">
        <f>'T_SelfStock'!BU10</f>
        <v/>
      </c>
      <c r="BX755">
        <f>'T_SelfStock'!BV10</f>
        <v/>
      </c>
      <c r="BY755">
        <f>'T_SelfStock'!BW10</f>
        <v/>
      </c>
      <c r="BZ755">
        <f>'T_SelfStock'!BX10</f>
        <v/>
      </c>
      <c r="CA755">
        <f>'T_SelfStock'!BY10</f>
        <v/>
      </c>
      <c r="CB755">
        <f>'T_SelfStock'!BZ10</f>
        <v/>
      </c>
      <c r="CC755">
        <f>'T_SelfStock'!CA10</f>
        <v/>
      </c>
      <c r="CD755">
        <f>'T_SelfStock'!CB10</f>
        <v/>
      </c>
      <c r="CE755">
        <f>'T_SelfStock'!CC10</f>
        <v/>
      </c>
      <c r="CF755">
        <f>'T_SelfStock'!CD10</f>
        <v/>
      </c>
      <c r="CG755">
        <f>'T_SelfStock'!CE10</f>
        <v/>
      </c>
      <c r="CH755">
        <f>'T_SelfStock'!CF10</f>
        <v/>
      </c>
      <c r="CI755">
        <f>'T_SelfStock'!CG10</f>
        <v/>
      </c>
      <c r="CJ755">
        <f>'T_SelfStock'!CH10</f>
        <v/>
      </c>
      <c r="CK755">
        <f>'T_SelfStock'!CI10</f>
        <v/>
      </c>
      <c r="CL755">
        <f>'T_SelfStock'!CJ10</f>
        <v/>
      </c>
      <c r="CM755">
        <f>'T_SelfStock'!CK10</f>
        <v/>
      </c>
      <c r="CN755">
        <f>'T_SelfStock'!CL10</f>
        <v/>
      </c>
      <c r="CO755">
        <f>'T_SelfStock'!CM10</f>
        <v/>
      </c>
      <c r="CP755">
        <f>'T_SelfStock'!CN10</f>
        <v/>
      </c>
      <c r="CQ755">
        <f>'T_SelfStock'!CO10</f>
        <v/>
      </c>
      <c r="CR755">
        <f>'T_SelfStock'!CP10</f>
        <v/>
      </c>
      <c r="CS755">
        <f>'T_SelfStock'!CQ10</f>
        <v/>
      </c>
      <c r="CT755">
        <f>'T_SelfStock'!CR10</f>
        <v/>
      </c>
      <c r="CU755">
        <f>'T_SelfStock'!CS10</f>
        <v/>
      </c>
      <c r="CV755">
        <f>'T_SelfStock'!CT10</f>
        <v/>
      </c>
      <c r="CW755">
        <f>'T_SelfStock'!CU10</f>
        <v/>
      </c>
      <c r="CX755">
        <f>'T_SelfStock'!CV10</f>
        <v/>
      </c>
      <c r="CY755">
        <f>'T_SelfStock'!CW10</f>
        <v/>
      </c>
      <c r="CZ755">
        <f>'T_SelfStock'!CX10</f>
        <v/>
      </c>
      <c r="DA755">
        <f>'T_SelfStock'!CY10</f>
        <v/>
      </c>
      <c r="DB755">
        <f>'T_SelfStock'!CZ10</f>
        <v/>
      </c>
      <c r="DC755">
        <f>'T_SelfStock'!DA10</f>
        <v/>
      </c>
    </row>
    <row r="756">
      <c r="B756" s="4" t="inlineStr">
        <is>
          <t>合計在庫(週末時点,kg)</t>
        </is>
      </c>
      <c r="D756">
        <f>'Grid_Stock'!B6</f>
        <v/>
      </c>
      <c r="E756">
        <f>'Grid_Stock'!C6</f>
        <v/>
      </c>
      <c r="F756">
        <f>'Grid_Stock'!D6</f>
        <v/>
      </c>
      <c r="G756">
        <f>'Grid_Stock'!E6</f>
        <v/>
      </c>
      <c r="H756">
        <f>'Grid_Stock'!F6</f>
        <v/>
      </c>
      <c r="I756">
        <f>'Grid_Stock'!G6</f>
        <v/>
      </c>
      <c r="J756">
        <f>'Grid_Stock'!H6</f>
        <v/>
      </c>
      <c r="K756">
        <f>'Grid_Stock'!I6</f>
        <v/>
      </c>
      <c r="L756">
        <f>'Grid_Stock'!J6</f>
        <v/>
      </c>
      <c r="M756">
        <f>'Grid_Stock'!K6</f>
        <v/>
      </c>
      <c r="N756">
        <f>'Grid_Stock'!L6</f>
        <v/>
      </c>
      <c r="O756">
        <f>'Grid_Stock'!M6</f>
        <v/>
      </c>
      <c r="P756">
        <f>'Grid_Stock'!N6</f>
        <v/>
      </c>
      <c r="Q756">
        <f>'Grid_Stock'!O6</f>
        <v/>
      </c>
      <c r="R756">
        <f>'Grid_Stock'!P6</f>
        <v/>
      </c>
      <c r="S756">
        <f>'Grid_Stock'!Q6</f>
        <v/>
      </c>
      <c r="T756">
        <f>'Grid_Stock'!R6</f>
        <v/>
      </c>
      <c r="U756">
        <f>'Grid_Stock'!S6</f>
        <v/>
      </c>
      <c r="V756">
        <f>'Grid_Stock'!T6</f>
        <v/>
      </c>
      <c r="W756">
        <f>'Grid_Stock'!U6</f>
        <v/>
      </c>
      <c r="X756">
        <f>'Grid_Stock'!V6</f>
        <v/>
      </c>
      <c r="Y756">
        <f>'Grid_Stock'!W6</f>
        <v/>
      </c>
      <c r="Z756">
        <f>'Grid_Stock'!X6</f>
        <v/>
      </c>
      <c r="AA756">
        <f>'Grid_Stock'!Y6</f>
        <v/>
      </c>
      <c r="AB756">
        <f>'Grid_Stock'!Z6</f>
        <v/>
      </c>
      <c r="AC756">
        <f>'Grid_Stock'!AA6</f>
        <v/>
      </c>
      <c r="AD756">
        <f>'Grid_Stock'!AB6</f>
        <v/>
      </c>
      <c r="AE756">
        <f>'Grid_Stock'!AC6</f>
        <v/>
      </c>
      <c r="AF756">
        <f>'Grid_Stock'!AD6</f>
        <v/>
      </c>
      <c r="AG756">
        <f>'Grid_Stock'!AE6</f>
        <v/>
      </c>
      <c r="AH756">
        <f>'Grid_Stock'!AF6</f>
        <v/>
      </c>
      <c r="AI756">
        <f>'Grid_Stock'!AG6</f>
        <v/>
      </c>
      <c r="AJ756">
        <f>'Grid_Stock'!AH6</f>
        <v/>
      </c>
      <c r="AK756">
        <f>'Grid_Stock'!AI6</f>
        <v/>
      </c>
      <c r="AL756">
        <f>'Grid_Stock'!AJ6</f>
        <v/>
      </c>
      <c r="AM756">
        <f>'Grid_Stock'!AK6</f>
        <v/>
      </c>
      <c r="AN756">
        <f>'Grid_Stock'!AL6</f>
        <v/>
      </c>
      <c r="AO756">
        <f>'Grid_Stock'!AM6</f>
        <v/>
      </c>
      <c r="AP756">
        <f>'Grid_Stock'!AN6</f>
        <v/>
      </c>
      <c r="AQ756">
        <f>'Grid_Stock'!AO6</f>
        <v/>
      </c>
      <c r="AR756">
        <f>'Grid_Stock'!AP6</f>
        <v/>
      </c>
      <c r="AS756">
        <f>'Grid_Stock'!AQ6</f>
        <v/>
      </c>
      <c r="AT756">
        <f>'Grid_Stock'!AR6</f>
        <v/>
      </c>
      <c r="AU756">
        <f>'Grid_Stock'!AS6</f>
        <v/>
      </c>
      <c r="AV756">
        <f>'Grid_Stock'!AT6</f>
        <v/>
      </c>
      <c r="AW756">
        <f>'Grid_Stock'!AU6</f>
        <v/>
      </c>
      <c r="AX756">
        <f>'Grid_Stock'!AV6</f>
        <v/>
      </c>
      <c r="AY756">
        <f>'Grid_Stock'!AW6</f>
        <v/>
      </c>
      <c r="AZ756">
        <f>'Grid_Stock'!AX6</f>
        <v/>
      </c>
      <c r="BA756">
        <f>'Grid_Stock'!AY6</f>
        <v/>
      </c>
      <c r="BB756">
        <f>'Grid_Stock'!AZ6</f>
        <v/>
      </c>
      <c r="BC756">
        <f>'Grid_Stock'!BA6</f>
        <v/>
      </c>
      <c r="BD756">
        <f>'Grid_Stock'!BB6</f>
        <v/>
      </c>
      <c r="BE756">
        <f>'Grid_Stock'!BC6</f>
        <v/>
      </c>
      <c r="BF756">
        <f>'Grid_Stock'!BD6</f>
        <v/>
      </c>
      <c r="BG756">
        <f>'Grid_Stock'!BE6</f>
        <v/>
      </c>
      <c r="BH756">
        <f>'Grid_Stock'!BF6</f>
        <v/>
      </c>
      <c r="BI756">
        <f>'Grid_Stock'!BG6</f>
        <v/>
      </c>
      <c r="BJ756">
        <f>'Grid_Stock'!BH6</f>
        <v/>
      </c>
      <c r="BK756">
        <f>'Grid_Stock'!BI6</f>
        <v/>
      </c>
      <c r="BL756">
        <f>'Grid_Stock'!BJ6</f>
        <v/>
      </c>
      <c r="BM756">
        <f>'Grid_Stock'!BK6</f>
        <v/>
      </c>
      <c r="BN756">
        <f>'Grid_Stock'!BL6</f>
        <v/>
      </c>
      <c r="BO756">
        <f>'Grid_Stock'!BM6</f>
        <v/>
      </c>
      <c r="BP756">
        <f>'Grid_Stock'!BN6</f>
        <v/>
      </c>
      <c r="BQ756">
        <f>'Grid_Stock'!BO6</f>
        <v/>
      </c>
      <c r="BR756">
        <f>'Grid_Stock'!BP6</f>
        <v/>
      </c>
      <c r="BS756">
        <f>'Grid_Stock'!BQ6</f>
        <v/>
      </c>
      <c r="BT756">
        <f>'Grid_Stock'!BR6</f>
        <v/>
      </c>
      <c r="BU756">
        <f>'Grid_Stock'!BS6</f>
        <v/>
      </c>
      <c r="BV756">
        <f>'Grid_Stock'!BT6</f>
        <v/>
      </c>
      <c r="BW756">
        <f>'Grid_Stock'!BU6</f>
        <v/>
      </c>
      <c r="BX756">
        <f>'Grid_Stock'!BV6</f>
        <v/>
      </c>
      <c r="BY756">
        <f>'Grid_Stock'!BW6</f>
        <v/>
      </c>
      <c r="BZ756">
        <f>'Grid_Stock'!BX6</f>
        <v/>
      </c>
      <c r="CA756">
        <f>'Grid_Stock'!BY6</f>
        <v/>
      </c>
      <c r="CB756">
        <f>'Grid_Stock'!BZ6</f>
        <v/>
      </c>
      <c r="CC756">
        <f>'Grid_Stock'!CA6</f>
        <v/>
      </c>
      <c r="CD756">
        <f>'Grid_Stock'!CB6</f>
        <v/>
      </c>
      <c r="CE756">
        <f>'Grid_Stock'!CC6</f>
        <v/>
      </c>
      <c r="CF756">
        <f>'Grid_Stock'!CD6</f>
        <v/>
      </c>
      <c r="CG756">
        <f>'Grid_Stock'!CE6</f>
        <v/>
      </c>
      <c r="CH756">
        <f>'Grid_Stock'!CF6</f>
        <v/>
      </c>
      <c r="CI756">
        <f>'Grid_Stock'!CG6</f>
        <v/>
      </c>
      <c r="CJ756">
        <f>'Grid_Stock'!CH6</f>
        <v/>
      </c>
      <c r="CK756">
        <f>'Grid_Stock'!CI6</f>
        <v/>
      </c>
      <c r="CL756">
        <f>'Grid_Stock'!CJ6</f>
        <v/>
      </c>
      <c r="CM756">
        <f>'Grid_Stock'!CK6</f>
        <v/>
      </c>
      <c r="CN756">
        <f>'Grid_Stock'!CL6</f>
        <v/>
      </c>
      <c r="CO756">
        <f>'Grid_Stock'!CM6</f>
        <v/>
      </c>
      <c r="CP756">
        <f>'Grid_Stock'!CN6</f>
        <v/>
      </c>
      <c r="CQ756">
        <f>'Grid_Stock'!CO6</f>
        <v/>
      </c>
      <c r="CR756">
        <f>'Grid_Stock'!CP6</f>
        <v/>
      </c>
      <c r="CS756">
        <f>'Grid_Stock'!CQ6</f>
        <v/>
      </c>
      <c r="CT756">
        <f>'Grid_Stock'!CR6</f>
        <v/>
      </c>
      <c r="CU756">
        <f>'Grid_Stock'!CS6</f>
        <v/>
      </c>
      <c r="CV756">
        <f>'Grid_Stock'!CT6</f>
        <v/>
      </c>
      <c r="CW756">
        <f>'Grid_Stock'!CU6</f>
        <v/>
      </c>
      <c r="CX756">
        <f>'Grid_Stock'!CV6</f>
        <v/>
      </c>
      <c r="CY756">
        <f>'Grid_Stock'!CW6</f>
        <v/>
      </c>
      <c r="CZ756">
        <f>'Grid_Stock'!CX6</f>
        <v/>
      </c>
      <c r="DA756">
        <f>'Grid_Stock'!CY6</f>
        <v/>
      </c>
      <c r="DB756">
        <f>'Grid_Stock'!CZ6</f>
        <v/>
      </c>
      <c r="DC756">
        <f>'Grid_Stock'!DA6</f>
        <v/>
      </c>
    </row>
    <row r="757">
      <c r="B757" s="16" t="inlineStr">
        <is>
          <t>（発注の目安はDashboardの基準在庫[下限/上限]と色分けを参照）</t>
        </is>
      </c>
    </row>
    <row r="759">
      <c r="A759" s="14" t="inlineStr">
        <is>
          <t>CHEM-1650</t>
        </is>
      </c>
      <c r="B759" s="14" t="inlineStr">
        <is>
          <t>DUASYN ACID BLUE AE-SF 30 LIQUID-SN</t>
        </is>
      </c>
      <c r="C759" s="15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  <c r="AA759" s="14" t="n"/>
      <c r="AB759" s="14" t="n"/>
      <c r="AC759" s="14" t="n"/>
      <c r="AD759" s="14" t="n"/>
      <c r="AE759" s="14" t="n"/>
      <c r="AF759" s="14" t="n"/>
      <c r="AG759" s="14" t="n"/>
      <c r="AH759" s="14" t="n"/>
      <c r="AI759" s="14" t="n"/>
      <c r="AJ759" s="14" t="n"/>
      <c r="AK759" s="14" t="n"/>
      <c r="AL759" s="14" t="n"/>
      <c r="AM759" s="14" t="n"/>
      <c r="AN759" s="14" t="n"/>
      <c r="AO759" s="14" t="n"/>
      <c r="AP759" s="14" t="n"/>
      <c r="AQ759" s="14" t="n"/>
      <c r="AR759" s="14" t="n"/>
      <c r="AS759" s="14" t="n"/>
      <c r="AT759" s="14" t="n"/>
      <c r="AU759" s="14" t="n"/>
      <c r="AV759" s="14" t="n"/>
      <c r="AW759" s="14" t="n"/>
      <c r="AX759" s="14" t="n"/>
      <c r="AY759" s="14" t="n"/>
      <c r="AZ759" s="14" t="n"/>
      <c r="BA759" s="14" t="n"/>
      <c r="BB759" s="14" t="n"/>
      <c r="BC759" s="14" t="n"/>
      <c r="BD759" s="14" t="n"/>
      <c r="BE759" s="14" t="n"/>
      <c r="BF759" s="14" t="n"/>
      <c r="BG759" s="14" t="n"/>
      <c r="BH759" s="14" t="n"/>
      <c r="BI759" s="14" t="n"/>
      <c r="BJ759" s="14" t="n"/>
      <c r="BK759" s="14" t="n"/>
      <c r="BL759" s="14" t="n"/>
      <c r="BM759" s="14" t="n"/>
      <c r="BN759" s="14" t="n"/>
      <c r="BO759" s="14" t="n"/>
      <c r="BP759" s="14" t="n"/>
      <c r="BQ759" s="14" t="n"/>
      <c r="BR759" s="14" t="n"/>
      <c r="BS759" s="14" t="n"/>
      <c r="BT759" s="14" t="n"/>
      <c r="BU759" s="14" t="n"/>
      <c r="BV759" s="14" t="n"/>
      <c r="BW759" s="14" t="n"/>
      <c r="BX759" s="14" t="n"/>
      <c r="BY759" s="14" t="n"/>
      <c r="BZ759" s="14" t="n"/>
      <c r="CA759" s="14" t="n"/>
      <c r="CB759" s="14" t="n"/>
      <c r="CC759" s="14" t="n"/>
      <c r="CD759" s="14" t="n"/>
      <c r="CE759" s="14" t="n"/>
      <c r="CF759" s="14" t="n"/>
      <c r="CG759" s="14" t="n"/>
      <c r="CH759" s="14" t="n"/>
      <c r="CI759" s="14" t="n"/>
      <c r="CJ759" s="14" t="n"/>
      <c r="CK759" s="14" t="n"/>
      <c r="CL759" s="14" t="n"/>
      <c r="CM759" s="14" t="n"/>
      <c r="CN759" s="14" t="n"/>
      <c r="CO759" s="14" t="n"/>
      <c r="CP759" s="14" t="n"/>
      <c r="CQ759" s="14" t="n"/>
      <c r="CR759" s="14" t="n"/>
      <c r="CS759" s="14" t="n"/>
      <c r="CT759" s="14" t="n"/>
      <c r="CU759" s="14" t="n"/>
      <c r="CV759" s="14" t="n"/>
      <c r="CW759" s="14" t="n"/>
      <c r="CX759" s="14" t="n"/>
      <c r="CY759" s="14" t="n"/>
      <c r="CZ759" s="14" t="n"/>
      <c r="DA759" s="14" t="n"/>
      <c r="DB759" s="14" t="n"/>
      <c r="DC759" s="14" t="n"/>
    </row>
    <row r="760">
      <c r="B760" t="inlineStr">
        <is>
          <t>TSP-402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Name],$A759)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TSP-403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Name],$A759)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TSP-404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Name],$A759)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TSP-405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7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Name],$A759)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TSP-620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7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Name],$A759)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TSP-623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7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Name],$A759)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TSP-655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7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Name],$A759)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TSP-903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Name],$A759)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TSP-934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Name],$A759)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TSP-935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Name],$A759)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TSP-936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Name],$A759)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TSP-937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Name],$A759)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TSP-959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Name],$A759)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TSP-1388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Name],$A759)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TSP-1448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Name],$A759)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VSP-567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Name],$A759)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Name],$A759)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VSP-605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Name],$A759)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VSP-607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Name],$A759)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VSP-738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Name],$A759)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VSP-740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Name],$A759)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VSP-746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Name],$A759)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VSP-822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Name],$A759)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VSP-870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Name],$A759)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VSP-990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Name],$A759)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VSZ-745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Name],$A759)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VSP-600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Name],$A759)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4" t="inlineStr">
        <is>
          <t>合計使用量(kg)/週</t>
        </is>
      </c>
      <c r="D814">
        <f>'Grid_Requirement'!B17</f>
        <v/>
      </c>
      <c r="E814">
        <f>'Grid_Requirement'!C17</f>
        <v/>
      </c>
      <c r="F814">
        <f>'Grid_Requirement'!D17</f>
        <v/>
      </c>
      <c r="G814">
        <f>'Grid_Requirement'!E17</f>
        <v/>
      </c>
      <c r="H814">
        <f>'Grid_Requirement'!F17</f>
        <v/>
      </c>
      <c r="I814">
        <f>'Grid_Requirement'!G17</f>
        <v/>
      </c>
      <c r="J814">
        <f>'Grid_Requirement'!H17</f>
        <v/>
      </c>
      <c r="K814">
        <f>'Grid_Requirement'!I17</f>
        <v/>
      </c>
      <c r="L814">
        <f>'Grid_Requirement'!J17</f>
        <v/>
      </c>
      <c r="M814">
        <f>'Grid_Requirement'!K17</f>
        <v/>
      </c>
      <c r="N814">
        <f>'Grid_Requirement'!L17</f>
        <v/>
      </c>
      <c r="O814">
        <f>'Grid_Requirement'!M17</f>
        <v/>
      </c>
      <c r="P814">
        <f>'Grid_Requirement'!N17</f>
        <v/>
      </c>
      <c r="Q814">
        <f>'Grid_Requirement'!O17</f>
        <v/>
      </c>
      <c r="R814">
        <f>'Grid_Requirement'!P17</f>
        <v/>
      </c>
      <c r="S814">
        <f>'Grid_Requirement'!Q17</f>
        <v/>
      </c>
      <c r="T814">
        <f>'Grid_Requirement'!R17</f>
        <v/>
      </c>
      <c r="U814">
        <f>'Grid_Requirement'!S17</f>
        <v/>
      </c>
      <c r="V814">
        <f>'Grid_Requirement'!T17</f>
        <v/>
      </c>
      <c r="W814">
        <f>'Grid_Requirement'!U17</f>
        <v/>
      </c>
      <c r="X814">
        <f>'Grid_Requirement'!V17</f>
        <v/>
      </c>
      <c r="Y814">
        <f>'Grid_Requirement'!W17</f>
        <v/>
      </c>
      <c r="Z814">
        <f>'Grid_Requirement'!X17</f>
        <v/>
      </c>
      <c r="AA814">
        <f>'Grid_Requirement'!Y17</f>
        <v/>
      </c>
      <c r="AB814">
        <f>'Grid_Requirement'!Z17</f>
        <v/>
      </c>
      <c r="AC814">
        <f>'Grid_Requirement'!AA17</f>
        <v/>
      </c>
      <c r="AD814">
        <f>'Grid_Requirement'!AB17</f>
        <v/>
      </c>
      <c r="AE814">
        <f>'Grid_Requirement'!AC17</f>
        <v/>
      </c>
      <c r="AF814">
        <f>'Grid_Requirement'!AD17</f>
        <v/>
      </c>
      <c r="AG814">
        <f>'Grid_Requirement'!AE17</f>
        <v/>
      </c>
      <c r="AH814">
        <f>'Grid_Requirement'!AF17</f>
        <v/>
      </c>
      <c r="AI814">
        <f>'Grid_Requirement'!AG17</f>
        <v/>
      </c>
      <c r="AJ814">
        <f>'Grid_Requirement'!AH17</f>
        <v/>
      </c>
      <c r="AK814">
        <f>'Grid_Requirement'!AI17</f>
        <v/>
      </c>
      <c r="AL814">
        <f>'Grid_Requirement'!AJ17</f>
        <v/>
      </c>
      <c r="AM814">
        <f>'Grid_Requirement'!AK17</f>
        <v/>
      </c>
      <c r="AN814">
        <f>'Grid_Requirement'!AL17</f>
        <v/>
      </c>
      <c r="AO814">
        <f>'Grid_Requirement'!AM17</f>
        <v/>
      </c>
      <c r="AP814">
        <f>'Grid_Requirement'!AN17</f>
        <v/>
      </c>
      <c r="AQ814">
        <f>'Grid_Requirement'!AO17</f>
        <v/>
      </c>
      <c r="AR814">
        <f>'Grid_Requirement'!AP17</f>
        <v/>
      </c>
      <c r="AS814">
        <f>'Grid_Requirement'!AQ17</f>
        <v/>
      </c>
      <c r="AT814">
        <f>'Grid_Requirement'!AR17</f>
        <v/>
      </c>
      <c r="AU814">
        <f>'Grid_Requirement'!AS17</f>
        <v/>
      </c>
      <c r="AV814">
        <f>'Grid_Requirement'!AT17</f>
        <v/>
      </c>
      <c r="AW814">
        <f>'Grid_Requirement'!AU17</f>
        <v/>
      </c>
      <c r="AX814">
        <f>'Grid_Requirement'!AV17</f>
        <v/>
      </c>
      <c r="AY814">
        <f>'Grid_Requirement'!AW17</f>
        <v/>
      </c>
      <c r="AZ814">
        <f>'Grid_Requirement'!AX17</f>
        <v/>
      </c>
      <c r="BA814">
        <f>'Grid_Requirement'!AY17</f>
        <v/>
      </c>
      <c r="BB814">
        <f>'Grid_Requirement'!AZ17</f>
        <v/>
      </c>
      <c r="BC814">
        <f>'Grid_Requirement'!BA17</f>
        <v/>
      </c>
      <c r="BD814">
        <f>'Grid_Requirement'!BB17</f>
        <v/>
      </c>
      <c r="BE814">
        <f>'Grid_Requirement'!BC17</f>
        <v/>
      </c>
      <c r="BF814">
        <f>'Grid_Requirement'!BD17</f>
        <v/>
      </c>
      <c r="BG814">
        <f>'Grid_Requirement'!BE17</f>
        <v/>
      </c>
      <c r="BH814">
        <f>'Grid_Requirement'!BF17</f>
        <v/>
      </c>
      <c r="BI814">
        <f>'Grid_Requirement'!BG17</f>
        <v/>
      </c>
      <c r="BJ814">
        <f>'Grid_Requirement'!BH17</f>
        <v/>
      </c>
      <c r="BK814">
        <f>'Grid_Requirement'!BI17</f>
        <v/>
      </c>
      <c r="BL814">
        <f>'Grid_Requirement'!BJ17</f>
        <v/>
      </c>
      <c r="BM814">
        <f>'Grid_Requirement'!BK17</f>
        <v/>
      </c>
      <c r="BN814">
        <f>'Grid_Requirement'!BL17</f>
        <v/>
      </c>
      <c r="BO814">
        <f>'Grid_Requirement'!BM17</f>
        <v/>
      </c>
      <c r="BP814">
        <f>'Grid_Requirement'!BN17</f>
        <v/>
      </c>
      <c r="BQ814">
        <f>'Grid_Requirement'!BO17</f>
        <v/>
      </c>
      <c r="BR814">
        <f>'Grid_Requirement'!BP17</f>
        <v/>
      </c>
      <c r="BS814">
        <f>'Grid_Requirement'!BQ17</f>
        <v/>
      </c>
      <c r="BT814">
        <f>'Grid_Requirement'!BR17</f>
        <v/>
      </c>
      <c r="BU814">
        <f>'Grid_Requirement'!BS17</f>
        <v/>
      </c>
      <c r="BV814">
        <f>'Grid_Requirement'!BT17</f>
        <v/>
      </c>
      <c r="BW814">
        <f>'Grid_Requirement'!BU17</f>
        <v/>
      </c>
      <c r="BX814">
        <f>'Grid_Requirement'!BV17</f>
        <v/>
      </c>
      <c r="BY814">
        <f>'Grid_Requirement'!BW17</f>
        <v/>
      </c>
      <c r="BZ814">
        <f>'Grid_Requirement'!BX17</f>
        <v/>
      </c>
      <c r="CA814">
        <f>'Grid_Requirement'!BY17</f>
        <v/>
      </c>
      <c r="CB814">
        <f>'Grid_Requirement'!BZ17</f>
        <v/>
      </c>
      <c r="CC814">
        <f>'Grid_Requirement'!CA17</f>
        <v/>
      </c>
      <c r="CD814">
        <f>'Grid_Requirement'!CB17</f>
        <v/>
      </c>
      <c r="CE814">
        <f>'Grid_Requirement'!CC17</f>
        <v/>
      </c>
      <c r="CF814">
        <f>'Grid_Requirement'!CD17</f>
        <v/>
      </c>
      <c r="CG814">
        <f>'Grid_Requirement'!CE17</f>
        <v/>
      </c>
      <c r="CH814">
        <f>'Grid_Requirement'!CF17</f>
        <v/>
      </c>
      <c r="CI814">
        <f>'Grid_Requirement'!CG17</f>
        <v/>
      </c>
      <c r="CJ814">
        <f>'Grid_Requirement'!CH17</f>
        <v/>
      </c>
      <c r="CK814">
        <f>'Grid_Requirement'!CI17</f>
        <v/>
      </c>
      <c r="CL814">
        <f>'Grid_Requirement'!CJ17</f>
        <v/>
      </c>
      <c r="CM814">
        <f>'Grid_Requirement'!CK17</f>
        <v/>
      </c>
      <c r="CN814">
        <f>'Grid_Requirement'!CL17</f>
        <v/>
      </c>
      <c r="CO814">
        <f>'Grid_Requirement'!CM17</f>
        <v/>
      </c>
      <c r="CP814">
        <f>'Grid_Requirement'!CN17</f>
        <v/>
      </c>
      <c r="CQ814">
        <f>'Grid_Requirement'!CO17</f>
        <v/>
      </c>
      <c r="CR814">
        <f>'Grid_Requirement'!CP17</f>
        <v/>
      </c>
      <c r="CS814">
        <f>'Grid_Requirement'!CQ17</f>
        <v/>
      </c>
      <c r="CT814">
        <f>'Grid_Requirement'!CR17</f>
        <v/>
      </c>
      <c r="CU814">
        <f>'Grid_Requirement'!CS17</f>
        <v/>
      </c>
      <c r="CV814">
        <f>'Grid_Requirement'!CT17</f>
        <v/>
      </c>
      <c r="CW814">
        <f>'Grid_Requirement'!CU17</f>
        <v/>
      </c>
      <c r="CX814">
        <f>'Grid_Requirement'!CV17</f>
        <v/>
      </c>
      <c r="CY814">
        <f>'Grid_Requirement'!CW17</f>
        <v/>
      </c>
      <c r="CZ814">
        <f>'Grid_Requirement'!CX17</f>
        <v/>
      </c>
      <c r="DA814">
        <f>'Grid_Requirement'!CY17</f>
        <v/>
      </c>
      <c r="DB814">
        <f>'Grid_Requirement'!CZ17</f>
        <v/>
      </c>
      <c r="DC814">
        <f>'Grid_Requirement'!DA17</f>
        <v/>
      </c>
    </row>
    <row r="815">
      <c r="B815" t="inlineStr">
        <is>
          <t>TTAF在庫(実績,kg)</t>
        </is>
      </c>
      <c r="D815">
        <f>'T_TTAFStock'!B21</f>
        <v/>
      </c>
      <c r="E815">
        <f>'T_TTAFStock'!C21</f>
        <v/>
      </c>
      <c r="F815">
        <f>'T_TTAFStock'!D21</f>
        <v/>
      </c>
      <c r="G815">
        <f>'T_TTAFStock'!E21</f>
        <v/>
      </c>
      <c r="H815">
        <f>'T_TTAFStock'!F21</f>
        <v/>
      </c>
      <c r="I815">
        <f>'T_TTAFStock'!G21</f>
        <v/>
      </c>
      <c r="J815">
        <f>'T_TTAFStock'!H21</f>
        <v/>
      </c>
      <c r="K815">
        <f>'T_TTAFStock'!I21</f>
        <v/>
      </c>
      <c r="L815">
        <f>'T_TTAFStock'!J21</f>
        <v/>
      </c>
      <c r="M815">
        <f>'T_TTAFStock'!K21</f>
        <v/>
      </c>
      <c r="N815">
        <f>'T_TTAFStock'!L21</f>
        <v/>
      </c>
      <c r="O815">
        <f>'T_TTAFStock'!M21</f>
        <v/>
      </c>
      <c r="P815">
        <f>'T_TTAFStock'!N21</f>
        <v/>
      </c>
      <c r="Q815">
        <f>'T_TTAFStock'!O21</f>
        <v/>
      </c>
      <c r="R815">
        <f>'T_TTAFStock'!P21</f>
        <v/>
      </c>
      <c r="S815">
        <f>'T_TTAFStock'!Q21</f>
        <v/>
      </c>
      <c r="T815">
        <f>'T_TTAFStock'!R21</f>
        <v/>
      </c>
      <c r="U815">
        <f>'T_TTAFStock'!S21</f>
        <v/>
      </c>
      <c r="V815">
        <f>'T_TTAFStock'!T21</f>
        <v/>
      </c>
      <c r="W815">
        <f>'T_TTAFStock'!U21</f>
        <v/>
      </c>
      <c r="X815">
        <f>'T_TTAFStock'!V21</f>
        <v/>
      </c>
      <c r="Y815">
        <f>'T_TTAFStock'!W21</f>
        <v/>
      </c>
      <c r="Z815">
        <f>'T_TTAFStock'!X21</f>
        <v/>
      </c>
      <c r="AA815">
        <f>'T_TTAFStock'!Y21</f>
        <v/>
      </c>
      <c r="AB815">
        <f>'T_TTAFStock'!Z21</f>
        <v/>
      </c>
      <c r="AC815">
        <f>'T_TTAFStock'!AA21</f>
        <v/>
      </c>
      <c r="AD815">
        <f>'T_TTAFStock'!AB21</f>
        <v/>
      </c>
      <c r="AE815">
        <f>'T_TTAFStock'!AC21</f>
        <v/>
      </c>
      <c r="AF815">
        <f>'T_TTAFStock'!AD21</f>
        <v/>
      </c>
      <c r="AG815">
        <f>'T_TTAFStock'!AE21</f>
        <v/>
      </c>
      <c r="AH815">
        <f>'T_TTAFStock'!AF21</f>
        <v/>
      </c>
      <c r="AI815">
        <f>'T_TTAFStock'!AG21</f>
        <v/>
      </c>
      <c r="AJ815">
        <f>'T_TTAFStock'!AH21</f>
        <v/>
      </c>
      <c r="AK815">
        <f>'T_TTAFStock'!AI21</f>
        <v/>
      </c>
      <c r="AL815">
        <f>'T_TTAFStock'!AJ21</f>
        <v/>
      </c>
      <c r="AM815">
        <f>'T_TTAFStock'!AK21</f>
        <v/>
      </c>
      <c r="AN815">
        <f>'T_TTAFStock'!AL21</f>
        <v/>
      </c>
      <c r="AO815">
        <f>'T_TTAFStock'!AM21</f>
        <v/>
      </c>
      <c r="AP815">
        <f>'T_TTAFStock'!AN21</f>
        <v/>
      </c>
      <c r="AQ815">
        <f>'T_TTAFStock'!AO21</f>
        <v/>
      </c>
      <c r="AR815">
        <f>'T_TTAFStock'!AP21</f>
        <v/>
      </c>
      <c r="AS815">
        <f>'T_TTAFStock'!AQ21</f>
        <v/>
      </c>
      <c r="AT815">
        <f>'T_TTAFStock'!AR21</f>
        <v/>
      </c>
      <c r="AU815">
        <f>'T_TTAFStock'!AS21</f>
        <v/>
      </c>
      <c r="AV815">
        <f>'T_TTAFStock'!AT21</f>
        <v/>
      </c>
      <c r="AW815">
        <f>'T_TTAFStock'!AU21</f>
        <v/>
      </c>
      <c r="AX815">
        <f>'T_TTAFStock'!AV21</f>
        <v/>
      </c>
      <c r="AY815">
        <f>'T_TTAFStock'!AW21</f>
        <v/>
      </c>
      <c r="AZ815">
        <f>'T_TTAFStock'!AX21</f>
        <v/>
      </c>
      <c r="BA815">
        <f>'T_TTAFStock'!AY21</f>
        <v/>
      </c>
      <c r="BB815">
        <f>'T_TTAFStock'!AZ21</f>
        <v/>
      </c>
      <c r="BC815">
        <f>'T_TTAFStock'!BA21</f>
        <v/>
      </c>
      <c r="BD815">
        <f>'T_TTAFStock'!BB21</f>
        <v/>
      </c>
      <c r="BE815">
        <f>'T_TTAFStock'!BC21</f>
        <v/>
      </c>
      <c r="BF815">
        <f>'T_TTAFStock'!BD21</f>
        <v/>
      </c>
      <c r="BG815">
        <f>'T_TTAFStock'!BE21</f>
        <v/>
      </c>
      <c r="BH815">
        <f>'T_TTAFStock'!BF21</f>
        <v/>
      </c>
      <c r="BI815">
        <f>'T_TTAFStock'!BG21</f>
        <v/>
      </c>
      <c r="BJ815">
        <f>'T_TTAFStock'!BH21</f>
        <v/>
      </c>
      <c r="BK815">
        <f>'T_TTAFStock'!BI21</f>
        <v/>
      </c>
      <c r="BL815">
        <f>'T_TTAFStock'!BJ21</f>
        <v/>
      </c>
      <c r="BM815">
        <f>'T_TTAFStock'!BK21</f>
        <v/>
      </c>
      <c r="BN815">
        <f>'T_TTAFStock'!BL21</f>
        <v/>
      </c>
      <c r="BO815">
        <f>'T_TTAFStock'!BM21</f>
        <v/>
      </c>
      <c r="BP815">
        <f>'T_TTAFStock'!BN21</f>
        <v/>
      </c>
      <c r="BQ815">
        <f>'T_TTAFStock'!BO21</f>
        <v/>
      </c>
      <c r="BR815">
        <f>'T_TTAFStock'!BP21</f>
        <v/>
      </c>
      <c r="BS815">
        <f>'T_TTAFStock'!BQ21</f>
        <v/>
      </c>
      <c r="BT815">
        <f>'T_TTAFStock'!BR21</f>
        <v/>
      </c>
      <c r="BU815">
        <f>'T_TTAFStock'!BS21</f>
        <v/>
      </c>
      <c r="BV815">
        <f>'T_TTAFStock'!BT21</f>
        <v/>
      </c>
      <c r="BW815">
        <f>'T_TTAFStock'!BU21</f>
        <v/>
      </c>
      <c r="BX815">
        <f>'T_TTAFStock'!BV21</f>
        <v/>
      </c>
      <c r="BY815">
        <f>'T_TTAFStock'!BW21</f>
        <v/>
      </c>
      <c r="BZ815">
        <f>'T_TTAFStock'!BX21</f>
        <v/>
      </c>
      <c r="CA815">
        <f>'T_TTAFStock'!BY21</f>
        <v/>
      </c>
      <c r="CB815">
        <f>'T_TTAFStock'!BZ21</f>
        <v/>
      </c>
      <c r="CC815">
        <f>'T_TTAFStock'!CA21</f>
        <v/>
      </c>
      <c r="CD815">
        <f>'T_TTAFStock'!CB21</f>
        <v/>
      </c>
      <c r="CE815">
        <f>'T_TTAFStock'!CC21</f>
        <v/>
      </c>
      <c r="CF815">
        <f>'T_TTAFStock'!CD21</f>
        <v/>
      </c>
      <c r="CG815">
        <f>'T_TTAFStock'!CE21</f>
        <v/>
      </c>
      <c r="CH815">
        <f>'T_TTAFStock'!CF21</f>
        <v/>
      </c>
      <c r="CI815">
        <f>'T_TTAFStock'!CG21</f>
        <v/>
      </c>
      <c r="CJ815">
        <f>'T_TTAFStock'!CH21</f>
        <v/>
      </c>
      <c r="CK815">
        <f>'T_TTAFStock'!CI21</f>
        <v/>
      </c>
      <c r="CL815">
        <f>'T_TTAFStock'!CJ21</f>
        <v/>
      </c>
      <c r="CM815">
        <f>'T_TTAFStock'!CK21</f>
        <v/>
      </c>
      <c r="CN815">
        <f>'T_TTAFStock'!CL21</f>
        <v/>
      </c>
      <c r="CO815">
        <f>'T_TTAFStock'!CM21</f>
        <v/>
      </c>
      <c r="CP815">
        <f>'T_TTAFStock'!CN21</f>
        <v/>
      </c>
      <c r="CQ815">
        <f>'T_TTAFStock'!CO21</f>
        <v/>
      </c>
      <c r="CR815">
        <f>'T_TTAFStock'!CP21</f>
        <v/>
      </c>
      <c r="CS815">
        <f>'T_TTAFStock'!CQ21</f>
        <v/>
      </c>
      <c r="CT815">
        <f>'T_TTAFStock'!CR21</f>
        <v/>
      </c>
      <c r="CU815">
        <f>'T_TTAFStock'!CS21</f>
        <v/>
      </c>
      <c r="CV815">
        <f>'T_TTAFStock'!CT21</f>
        <v/>
      </c>
      <c r="CW815">
        <f>'T_TTAFStock'!CU21</f>
        <v/>
      </c>
      <c r="CX815">
        <f>'T_TTAFStock'!CV21</f>
        <v/>
      </c>
      <c r="CY815">
        <f>'T_TTAFStock'!CW21</f>
        <v/>
      </c>
      <c r="CZ815">
        <f>'T_TTAFStock'!CX21</f>
        <v/>
      </c>
      <c r="DA815">
        <f>'T_TTAFStock'!CY21</f>
        <v/>
      </c>
      <c r="DB815">
        <f>'T_TTAFStock'!CZ21</f>
        <v/>
      </c>
      <c r="DC815">
        <f>'T_TTAFStock'!DA21</f>
        <v/>
      </c>
    </row>
    <row r="816">
      <c r="B816" t="inlineStr">
        <is>
          <t>自社在庫(実績,kg)</t>
        </is>
      </c>
      <c r="D816">
        <f>'T_SelfStock'!B21</f>
        <v/>
      </c>
      <c r="E816">
        <f>'T_SelfStock'!C21</f>
        <v/>
      </c>
      <c r="F816">
        <f>'T_SelfStock'!D21</f>
        <v/>
      </c>
      <c r="G816">
        <f>'T_SelfStock'!E21</f>
        <v/>
      </c>
      <c r="H816">
        <f>'T_SelfStock'!F21</f>
        <v/>
      </c>
      <c r="I816">
        <f>'T_SelfStock'!G21</f>
        <v/>
      </c>
      <c r="J816">
        <f>'T_SelfStock'!H21</f>
        <v/>
      </c>
      <c r="K816">
        <f>'T_SelfStock'!I21</f>
        <v/>
      </c>
      <c r="L816">
        <f>'T_SelfStock'!J21</f>
        <v/>
      </c>
      <c r="M816">
        <f>'T_SelfStock'!K21</f>
        <v/>
      </c>
      <c r="N816">
        <f>'T_SelfStock'!L21</f>
        <v/>
      </c>
      <c r="O816">
        <f>'T_SelfStock'!M21</f>
        <v/>
      </c>
      <c r="P816">
        <f>'T_SelfStock'!N21</f>
        <v/>
      </c>
      <c r="Q816">
        <f>'T_SelfStock'!O21</f>
        <v/>
      </c>
      <c r="R816">
        <f>'T_SelfStock'!P21</f>
        <v/>
      </c>
      <c r="S816">
        <f>'T_SelfStock'!Q21</f>
        <v/>
      </c>
      <c r="T816">
        <f>'T_SelfStock'!R21</f>
        <v/>
      </c>
      <c r="U816">
        <f>'T_SelfStock'!S21</f>
        <v/>
      </c>
      <c r="V816">
        <f>'T_SelfStock'!T21</f>
        <v/>
      </c>
      <c r="W816">
        <f>'T_SelfStock'!U21</f>
        <v/>
      </c>
      <c r="X816">
        <f>'T_SelfStock'!V21</f>
        <v/>
      </c>
      <c r="Y816">
        <f>'T_SelfStock'!W21</f>
        <v/>
      </c>
      <c r="Z816">
        <f>'T_SelfStock'!X21</f>
        <v/>
      </c>
      <c r="AA816">
        <f>'T_SelfStock'!Y21</f>
        <v/>
      </c>
      <c r="AB816">
        <f>'T_SelfStock'!Z21</f>
        <v/>
      </c>
      <c r="AC816">
        <f>'T_SelfStock'!AA21</f>
        <v/>
      </c>
      <c r="AD816">
        <f>'T_SelfStock'!AB21</f>
        <v/>
      </c>
      <c r="AE816">
        <f>'T_SelfStock'!AC21</f>
        <v/>
      </c>
      <c r="AF816">
        <f>'T_SelfStock'!AD21</f>
        <v/>
      </c>
      <c r="AG816">
        <f>'T_SelfStock'!AE21</f>
        <v/>
      </c>
      <c r="AH816">
        <f>'T_SelfStock'!AF21</f>
        <v/>
      </c>
      <c r="AI816">
        <f>'T_SelfStock'!AG21</f>
        <v/>
      </c>
      <c r="AJ816">
        <f>'T_SelfStock'!AH21</f>
        <v/>
      </c>
      <c r="AK816">
        <f>'T_SelfStock'!AI21</f>
        <v/>
      </c>
      <c r="AL816">
        <f>'T_SelfStock'!AJ21</f>
        <v/>
      </c>
      <c r="AM816">
        <f>'T_SelfStock'!AK21</f>
        <v/>
      </c>
      <c r="AN816">
        <f>'T_SelfStock'!AL21</f>
        <v/>
      </c>
      <c r="AO816">
        <f>'T_SelfStock'!AM21</f>
        <v/>
      </c>
      <c r="AP816">
        <f>'T_SelfStock'!AN21</f>
        <v/>
      </c>
      <c r="AQ816">
        <f>'T_SelfStock'!AO21</f>
        <v/>
      </c>
      <c r="AR816">
        <f>'T_SelfStock'!AP21</f>
        <v/>
      </c>
      <c r="AS816">
        <f>'T_SelfStock'!AQ21</f>
        <v/>
      </c>
      <c r="AT816">
        <f>'T_SelfStock'!AR21</f>
        <v/>
      </c>
      <c r="AU816">
        <f>'T_SelfStock'!AS21</f>
        <v/>
      </c>
      <c r="AV816">
        <f>'T_SelfStock'!AT21</f>
        <v/>
      </c>
      <c r="AW816">
        <f>'T_SelfStock'!AU21</f>
        <v/>
      </c>
      <c r="AX816">
        <f>'T_SelfStock'!AV21</f>
        <v/>
      </c>
      <c r="AY816">
        <f>'T_SelfStock'!AW21</f>
        <v/>
      </c>
      <c r="AZ816">
        <f>'T_SelfStock'!AX21</f>
        <v/>
      </c>
      <c r="BA816">
        <f>'T_SelfStock'!AY21</f>
        <v/>
      </c>
      <c r="BB816">
        <f>'T_SelfStock'!AZ21</f>
        <v/>
      </c>
      <c r="BC816">
        <f>'T_SelfStock'!BA21</f>
        <v/>
      </c>
      <c r="BD816">
        <f>'T_SelfStock'!BB21</f>
        <v/>
      </c>
      <c r="BE816">
        <f>'T_SelfStock'!BC21</f>
        <v/>
      </c>
      <c r="BF816">
        <f>'T_SelfStock'!BD21</f>
        <v/>
      </c>
      <c r="BG816">
        <f>'T_SelfStock'!BE21</f>
        <v/>
      </c>
      <c r="BH816">
        <f>'T_SelfStock'!BF21</f>
        <v/>
      </c>
      <c r="BI816">
        <f>'T_SelfStock'!BG21</f>
        <v/>
      </c>
      <c r="BJ816">
        <f>'T_SelfStock'!BH21</f>
        <v/>
      </c>
      <c r="BK816">
        <f>'T_SelfStock'!BI21</f>
        <v/>
      </c>
      <c r="BL816">
        <f>'T_SelfStock'!BJ21</f>
        <v/>
      </c>
      <c r="BM816">
        <f>'T_SelfStock'!BK21</f>
        <v/>
      </c>
      <c r="BN816">
        <f>'T_SelfStock'!BL21</f>
        <v/>
      </c>
      <c r="BO816">
        <f>'T_SelfStock'!BM21</f>
        <v/>
      </c>
      <c r="BP816">
        <f>'T_SelfStock'!BN21</f>
        <v/>
      </c>
      <c r="BQ816">
        <f>'T_SelfStock'!BO21</f>
        <v/>
      </c>
      <c r="BR816">
        <f>'T_SelfStock'!BP21</f>
        <v/>
      </c>
      <c r="BS816">
        <f>'T_SelfStock'!BQ21</f>
        <v/>
      </c>
      <c r="BT816">
        <f>'T_SelfStock'!BR21</f>
        <v/>
      </c>
      <c r="BU816">
        <f>'T_SelfStock'!BS21</f>
        <v/>
      </c>
      <c r="BV816">
        <f>'T_SelfStock'!BT21</f>
        <v/>
      </c>
      <c r="BW816">
        <f>'T_SelfStock'!BU21</f>
        <v/>
      </c>
      <c r="BX816">
        <f>'T_SelfStock'!BV21</f>
        <v/>
      </c>
      <c r="BY816">
        <f>'T_SelfStock'!BW21</f>
        <v/>
      </c>
      <c r="BZ816">
        <f>'T_SelfStock'!BX21</f>
        <v/>
      </c>
      <c r="CA816">
        <f>'T_SelfStock'!BY21</f>
        <v/>
      </c>
      <c r="CB816">
        <f>'T_SelfStock'!BZ21</f>
        <v/>
      </c>
      <c r="CC816">
        <f>'T_SelfStock'!CA21</f>
        <v/>
      </c>
      <c r="CD816">
        <f>'T_SelfStock'!CB21</f>
        <v/>
      </c>
      <c r="CE816">
        <f>'T_SelfStock'!CC21</f>
        <v/>
      </c>
      <c r="CF816">
        <f>'T_SelfStock'!CD21</f>
        <v/>
      </c>
      <c r="CG816">
        <f>'T_SelfStock'!CE21</f>
        <v/>
      </c>
      <c r="CH816">
        <f>'T_SelfStock'!CF21</f>
        <v/>
      </c>
      <c r="CI816">
        <f>'T_SelfStock'!CG21</f>
        <v/>
      </c>
      <c r="CJ816">
        <f>'T_SelfStock'!CH21</f>
        <v/>
      </c>
      <c r="CK816">
        <f>'T_SelfStock'!CI21</f>
        <v/>
      </c>
      <c r="CL816">
        <f>'T_SelfStock'!CJ21</f>
        <v/>
      </c>
      <c r="CM816">
        <f>'T_SelfStock'!CK21</f>
        <v/>
      </c>
      <c r="CN816">
        <f>'T_SelfStock'!CL21</f>
        <v/>
      </c>
      <c r="CO816">
        <f>'T_SelfStock'!CM21</f>
        <v/>
      </c>
      <c r="CP816">
        <f>'T_SelfStock'!CN21</f>
        <v/>
      </c>
      <c r="CQ816">
        <f>'T_SelfStock'!CO21</f>
        <v/>
      </c>
      <c r="CR816">
        <f>'T_SelfStock'!CP21</f>
        <v/>
      </c>
      <c r="CS816">
        <f>'T_SelfStock'!CQ21</f>
        <v/>
      </c>
      <c r="CT816">
        <f>'T_SelfStock'!CR21</f>
        <v/>
      </c>
      <c r="CU816">
        <f>'T_SelfStock'!CS21</f>
        <v/>
      </c>
      <c r="CV816">
        <f>'T_SelfStock'!CT21</f>
        <v/>
      </c>
      <c r="CW816">
        <f>'T_SelfStock'!CU21</f>
        <v/>
      </c>
      <c r="CX816">
        <f>'T_SelfStock'!CV21</f>
        <v/>
      </c>
      <c r="CY816">
        <f>'T_SelfStock'!CW21</f>
        <v/>
      </c>
      <c r="CZ816">
        <f>'T_SelfStock'!CX21</f>
        <v/>
      </c>
      <c r="DA816">
        <f>'T_SelfStock'!CY21</f>
        <v/>
      </c>
      <c r="DB816">
        <f>'T_SelfStock'!CZ21</f>
        <v/>
      </c>
      <c r="DC816">
        <f>'T_SelfStock'!DA21</f>
        <v/>
      </c>
    </row>
    <row r="817">
      <c r="B817" s="4" t="inlineStr">
        <is>
          <t>合計在庫(週末時点,kg)</t>
        </is>
      </c>
      <c r="D817">
        <f>'Grid_Stock'!B17</f>
        <v/>
      </c>
      <c r="E817">
        <f>'Grid_Stock'!C17</f>
        <v/>
      </c>
      <c r="F817">
        <f>'Grid_Stock'!D17</f>
        <v/>
      </c>
      <c r="G817">
        <f>'Grid_Stock'!E17</f>
        <v/>
      </c>
      <c r="H817">
        <f>'Grid_Stock'!F17</f>
        <v/>
      </c>
      <c r="I817">
        <f>'Grid_Stock'!G17</f>
        <v/>
      </c>
      <c r="J817">
        <f>'Grid_Stock'!H17</f>
        <v/>
      </c>
      <c r="K817">
        <f>'Grid_Stock'!I17</f>
        <v/>
      </c>
      <c r="L817">
        <f>'Grid_Stock'!J17</f>
        <v/>
      </c>
      <c r="M817">
        <f>'Grid_Stock'!K17</f>
        <v/>
      </c>
      <c r="N817">
        <f>'Grid_Stock'!L17</f>
        <v/>
      </c>
      <c r="O817">
        <f>'Grid_Stock'!M17</f>
        <v/>
      </c>
      <c r="P817">
        <f>'Grid_Stock'!N17</f>
        <v/>
      </c>
      <c r="Q817">
        <f>'Grid_Stock'!O17</f>
        <v/>
      </c>
      <c r="R817">
        <f>'Grid_Stock'!P17</f>
        <v/>
      </c>
      <c r="S817">
        <f>'Grid_Stock'!Q17</f>
        <v/>
      </c>
      <c r="T817">
        <f>'Grid_Stock'!R17</f>
        <v/>
      </c>
      <c r="U817">
        <f>'Grid_Stock'!S17</f>
        <v/>
      </c>
      <c r="V817">
        <f>'Grid_Stock'!T17</f>
        <v/>
      </c>
      <c r="W817">
        <f>'Grid_Stock'!U17</f>
        <v/>
      </c>
      <c r="X817">
        <f>'Grid_Stock'!V17</f>
        <v/>
      </c>
      <c r="Y817">
        <f>'Grid_Stock'!W17</f>
        <v/>
      </c>
      <c r="Z817">
        <f>'Grid_Stock'!X17</f>
        <v/>
      </c>
      <c r="AA817">
        <f>'Grid_Stock'!Y17</f>
        <v/>
      </c>
      <c r="AB817">
        <f>'Grid_Stock'!Z17</f>
        <v/>
      </c>
      <c r="AC817">
        <f>'Grid_Stock'!AA17</f>
        <v/>
      </c>
      <c r="AD817">
        <f>'Grid_Stock'!AB17</f>
        <v/>
      </c>
      <c r="AE817">
        <f>'Grid_Stock'!AC17</f>
        <v/>
      </c>
      <c r="AF817">
        <f>'Grid_Stock'!AD17</f>
        <v/>
      </c>
      <c r="AG817">
        <f>'Grid_Stock'!AE17</f>
        <v/>
      </c>
      <c r="AH817">
        <f>'Grid_Stock'!AF17</f>
        <v/>
      </c>
      <c r="AI817">
        <f>'Grid_Stock'!AG17</f>
        <v/>
      </c>
      <c r="AJ817">
        <f>'Grid_Stock'!AH17</f>
        <v/>
      </c>
      <c r="AK817">
        <f>'Grid_Stock'!AI17</f>
        <v/>
      </c>
      <c r="AL817">
        <f>'Grid_Stock'!AJ17</f>
        <v/>
      </c>
      <c r="AM817">
        <f>'Grid_Stock'!AK17</f>
        <v/>
      </c>
      <c r="AN817">
        <f>'Grid_Stock'!AL17</f>
        <v/>
      </c>
      <c r="AO817">
        <f>'Grid_Stock'!AM17</f>
        <v/>
      </c>
      <c r="AP817">
        <f>'Grid_Stock'!AN17</f>
        <v/>
      </c>
      <c r="AQ817">
        <f>'Grid_Stock'!AO17</f>
        <v/>
      </c>
      <c r="AR817">
        <f>'Grid_Stock'!AP17</f>
        <v/>
      </c>
      <c r="AS817">
        <f>'Grid_Stock'!AQ17</f>
        <v/>
      </c>
      <c r="AT817">
        <f>'Grid_Stock'!AR17</f>
        <v/>
      </c>
      <c r="AU817">
        <f>'Grid_Stock'!AS17</f>
        <v/>
      </c>
      <c r="AV817">
        <f>'Grid_Stock'!AT17</f>
        <v/>
      </c>
      <c r="AW817">
        <f>'Grid_Stock'!AU17</f>
        <v/>
      </c>
      <c r="AX817">
        <f>'Grid_Stock'!AV17</f>
        <v/>
      </c>
      <c r="AY817">
        <f>'Grid_Stock'!AW17</f>
        <v/>
      </c>
      <c r="AZ817">
        <f>'Grid_Stock'!AX17</f>
        <v/>
      </c>
      <c r="BA817">
        <f>'Grid_Stock'!AY17</f>
        <v/>
      </c>
      <c r="BB817">
        <f>'Grid_Stock'!AZ17</f>
        <v/>
      </c>
      <c r="BC817">
        <f>'Grid_Stock'!BA17</f>
        <v/>
      </c>
      <c r="BD817">
        <f>'Grid_Stock'!BB17</f>
        <v/>
      </c>
      <c r="BE817">
        <f>'Grid_Stock'!BC17</f>
        <v/>
      </c>
      <c r="BF817">
        <f>'Grid_Stock'!BD17</f>
        <v/>
      </c>
      <c r="BG817">
        <f>'Grid_Stock'!BE17</f>
        <v/>
      </c>
      <c r="BH817">
        <f>'Grid_Stock'!BF17</f>
        <v/>
      </c>
      <c r="BI817">
        <f>'Grid_Stock'!BG17</f>
        <v/>
      </c>
      <c r="BJ817">
        <f>'Grid_Stock'!BH17</f>
        <v/>
      </c>
      <c r="BK817">
        <f>'Grid_Stock'!BI17</f>
        <v/>
      </c>
      <c r="BL817">
        <f>'Grid_Stock'!BJ17</f>
        <v/>
      </c>
      <c r="BM817">
        <f>'Grid_Stock'!BK17</f>
        <v/>
      </c>
      <c r="BN817">
        <f>'Grid_Stock'!BL17</f>
        <v/>
      </c>
      <c r="BO817">
        <f>'Grid_Stock'!BM17</f>
        <v/>
      </c>
      <c r="BP817">
        <f>'Grid_Stock'!BN17</f>
        <v/>
      </c>
      <c r="BQ817">
        <f>'Grid_Stock'!BO17</f>
        <v/>
      </c>
      <c r="BR817">
        <f>'Grid_Stock'!BP17</f>
        <v/>
      </c>
      <c r="BS817">
        <f>'Grid_Stock'!BQ17</f>
        <v/>
      </c>
      <c r="BT817">
        <f>'Grid_Stock'!BR17</f>
        <v/>
      </c>
      <c r="BU817">
        <f>'Grid_Stock'!BS17</f>
        <v/>
      </c>
      <c r="BV817">
        <f>'Grid_Stock'!BT17</f>
        <v/>
      </c>
      <c r="BW817">
        <f>'Grid_Stock'!BU17</f>
        <v/>
      </c>
      <c r="BX817">
        <f>'Grid_Stock'!BV17</f>
        <v/>
      </c>
      <c r="BY817">
        <f>'Grid_Stock'!BW17</f>
        <v/>
      </c>
      <c r="BZ817">
        <f>'Grid_Stock'!BX17</f>
        <v/>
      </c>
      <c r="CA817">
        <f>'Grid_Stock'!BY17</f>
        <v/>
      </c>
      <c r="CB817">
        <f>'Grid_Stock'!BZ17</f>
        <v/>
      </c>
      <c r="CC817">
        <f>'Grid_Stock'!CA17</f>
        <v/>
      </c>
      <c r="CD817">
        <f>'Grid_Stock'!CB17</f>
        <v/>
      </c>
      <c r="CE817">
        <f>'Grid_Stock'!CC17</f>
        <v/>
      </c>
      <c r="CF817">
        <f>'Grid_Stock'!CD17</f>
        <v/>
      </c>
      <c r="CG817">
        <f>'Grid_Stock'!CE17</f>
        <v/>
      </c>
      <c r="CH817">
        <f>'Grid_Stock'!CF17</f>
        <v/>
      </c>
      <c r="CI817">
        <f>'Grid_Stock'!CG17</f>
        <v/>
      </c>
      <c r="CJ817">
        <f>'Grid_Stock'!CH17</f>
        <v/>
      </c>
      <c r="CK817">
        <f>'Grid_Stock'!CI17</f>
        <v/>
      </c>
      <c r="CL817">
        <f>'Grid_Stock'!CJ17</f>
        <v/>
      </c>
      <c r="CM817">
        <f>'Grid_Stock'!CK17</f>
        <v/>
      </c>
      <c r="CN817">
        <f>'Grid_Stock'!CL17</f>
        <v/>
      </c>
      <c r="CO817">
        <f>'Grid_Stock'!CM17</f>
        <v/>
      </c>
      <c r="CP817">
        <f>'Grid_Stock'!CN17</f>
        <v/>
      </c>
      <c r="CQ817">
        <f>'Grid_Stock'!CO17</f>
        <v/>
      </c>
      <c r="CR817">
        <f>'Grid_Stock'!CP17</f>
        <v/>
      </c>
      <c r="CS817">
        <f>'Grid_Stock'!CQ17</f>
        <v/>
      </c>
      <c r="CT817">
        <f>'Grid_Stock'!CR17</f>
        <v/>
      </c>
      <c r="CU817">
        <f>'Grid_Stock'!CS17</f>
        <v/>
      </c>
      <c r="CV817">
        <f>'Grid_Stock'!CT17</f>
        <v/>
      </c>
      <c r="CW817">
        <f>'Grid_Stock'!CU17</f>
        <v/>
      </c>
      <c r="CX817">
        <f>'Grid_Stock'!CV17</f>
        <v/>
      </c>
      <c r="CY817">
        <f>'Grid_Stock'!CW17</f>
        <v/>
      </c>
      <c r="CZ817">
        <f>'Grid_Stock'!CX17</f>
        <v/>
      </c>
      <c r="DA817">
        <f>'Grid_Stock'!CY17</f>
        <v/>
      </c>
      <c r="DB817">
        <f>'Grid_Stock'!CZ17</f>
        <v/>
      </c>
      <c r="DC817">
        <f>'Grid_Stock'!DA17</f>
        <v/>
      </c>
    </row>
    <row r="818">
      <c r="B818" s="16" t="inlineStr">
        <is>
          <t>（発注の目安はDashboardの基準在庫[下限/上限]と色分けを参照）</t>
        </is>
      </c>
    </row>
    <row r="820">
      <c r="A820" s="14" t="inlineStr">
        <is>
          <t>CHEM-1690</t>
        </is>
      </c>
      <c r="B820" s="14" t="inlineStr">
        <is>
          <t>TPZ-560</t>
        </is>
      </c>
      <c r="C820" s="15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  <c r="AA820" s="14" t="n"/>
      <c r="AB820" s="14" t="n"/>
      <c r="AC820" s="14" t="n"/>
      <c r="AD820" s="14" t="n"/>
      <c r="AE820" s="14" t="n"/>
      <c r="AF820" s="14" t="n"/>
      <c r="AG820" s="14" t="n"/>
      <c r="AH820" s="14" t="n"/>
      <c r="AI820" s="14" t="n"/>
      <c r="AJ820" s="14" t="n"/>
      <c r="AK820" s="14" t="n"/>
      <c r="AL820" s="14" t="n"/>
      <c r="AM820" s="14" t="n"/>
      <c r="AN820" s="14" t="n"/>
      <c r="AO820" s="14" t="n"/>
      <c r="AP820" s="14" t="n"/>
      <c r="AQ820" s="14" t="n"/>
      <c r="AR820" s="14" t="n"/>
      <c r="AS820" s="14" t="n"/>
      <c r="AT820" s="14" t="n"/>
      <c r="AU820" s="14" t="n"/>
      <c r="AV820" s="14" t="n"/>
      <c r="AW820" s="14" t="n"/>
      <c r="AX820" s="14" t="n"/>
      <c r="AY820" s="14" t="n"/>
      <c r="AZ820" s="14" t="n"/>
      <c r="BA820" s="14" t="n"/>
      <c r="BB820" s="14" t="n"/>
      <c r="BC820" s="14" t="n"/>
      <c r="BD820" s="14" t="n"/>
      <c r="BE820" s="14" t="n"/>
      <c r="BF820" s="14" t="n"/>
      <c r="BG820" s="14" t="n"/>
      <c r="BH820" s="14" t="n"/>
      <c r="BI820" s="14" t="n"/>
      <c r="BJ820" s="14" t="n"/>
      <c r="BK820" s="14" t="n"/>
      <c r="BL820" s="14" t="n"/>
      <c r="BM820" s="14" t="n"/>
      <c r="BN820" s="14" t="n"/>
      <c r="BO820" s="14" t="n"/>
      <c r="BP820" s="14" t="n"/>
      <c r="BQ820" s="14" t="n"/>
      <c r="BR820" s="14" t="n"/>
      <c r="BS820" s="14" t="n"/>
      <c r="BT820" s="14" t="n"/>
      <c r="BU820" s="14" t="n"/>
      <c r="BV820" s="14" t="n"/>
      <c r="BW820" s="14" t="n"/>
      <c r="BX820" s="14" t="n"/>
      <c r="BY820" s="14" t="n"/>
      <c r="BZ820" s="14" t="n"/>
      <c r="CA820" s="14" t="n"/>
      <c r="CB820" s="14" t="n"/>
      <c r="CC820" s="14" t="n"/>
      <c r="CD820" s="14" t="n"/>
      <c r="CE820" s="14" t="n"/>
      <c r="CF820" s="14" t="n"/>
      <c r="CG820" s="14" t="n"/>
      <c r="CH820" s="14" t="n"/>
      <c r="CI820" s="14" t="n"/>
      <c r="CJ820" s="14" t="n"/>
      <c r="CK820" s="14" t="n"/>
      <c r="CL820" s="14" t="n"/>
      <c r="CM820" s="14" t="n"/>
      <c r="CN820" s="14" t="n"/>
      <c r="CO820" s="14" t="n"/>
      <c r="CP820" s="14" t="n"/>
      <c r="CQ820" s="14" t="n"/>
      <c r="CR820" s="14" t="n"/>
      <c r="CS820" s="14" t="n"/>
      <c r="CT820" s="14" t="n"/>
      <c r="CU820" s="14" t="n"/>
      <c r="CV820" s="14" t="n"/>
      <c r="CW820" s="14" t="n"/>
      <c r="CX820" s="14" t="n"/>
      <c r="CY820" s="14" t="n"/>
      <c r="CZ820" s="14" t="n"/>
      <c r="DA820" s="14" t="n"/>
      <c r="DB820" s="14" t="n"/>
      <c r="DC820" s="14" t="n"/>
    </row>
    <row r="821">
      <c r="B821" t="inlineStr">
        <is>
          <t>TSP-618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7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Name],$A820)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TSP-903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7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Name],$A820)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TSP-966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7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Name],$A820)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s="4" t="inlineStr">
        <is>
          <t>合計使用量(kg)/週</t>
        </is>
      </c>
      <c r="D827">
        <f>'Grid_Requirement'!B8</f>
        <v/>
      </c>
      <c r="E827">
        <f>'Grid_Requirement'!C8</f>
        <v/>
      </c>
      <c r="F827">
        <f>'Grid_Requirement'!D8</f>
        <v/>
      </c>
      <c r="G827">
        <f>'Grid_Requirement'!E8</f>
        <v/>
      </c>
      <c r="H827">
        <f>'Grid_Requirement'!F8</f>
        <v/>
      </c>
      <c r="I827">
        <f>'Grid_Requirement'!G8</f>
        <v/>
      </c>
      <c r="J827">
        <f>'Grid_Requirement'!H8</f>
        <v/>
      </c>
      <c r="K827">
        <f>'Grid_Requirement'!I8</f>
        <v/>
      </c>
      <c r="L827">
        <f>'Grid_Requirement'!J8</f>
        <v/>
      </c>
      <c r="M827">
        <f>'Grid_Requirement'!K8</f>
        <v/>
      </c>
      <c r="N827">
        <f>'Grid_Requirement'!L8</f>
        <v/>
      </c>
      <c r="O827">
        <f>'Grid_Requirement'!M8</f>
        <v/>
      </c>
      <c r="P827">
        <f>'Grid_Requirement'!N8</f>
        <v/>
      </c>
      <c r="Q827">
        <f>'Grid_Requirement'!O8</f>
        <v/>
      </c>
      <c r="R827">
        <f>'Grid_Requirement'!P8</f>
        <v/>
      </c>
      <c r="S827">
        <f>'Grid_Requirement'!Q8</f>
        <v/>
      </c>
      <c r="T827">
        <f>'Grid_Requirement'!R8</f>
        <v/>
      </c>
      <c r="U827">
        <f>'Grid_Requirement'!S8</f>
        <v/>
      </c>
      <c r="V827">
        <f>'Grid_Requirement'!T8</f>
        <v/>
      </c>
      <c r="W827">
        <f>'Grid_Requirement'!U8</f>
        <v/>
      </c>
      <c r="X827">
        <f>'Grid_Requirement'!V8</f>
        <v/>
      </c>
      <c r="Y827">
        <f>'Grid_Requirement'!W8</f>
        <v/>
      </c>
      <c r="Z827">
        <f>'Grid_Requirement'!X8</f>
        <v/>
      </c>
      <c r="AA827">
        <f>'Grid_Requirement'!Y8</f>
        <v/>
      </c>
      <c r="AB827">
        <f>'Grid_Requirement'!Z8</f>
        <v/>
      </c>
      <c r="AC827">
        <f>'Grid_Requirement'!AA8</f>
        <v/>
      </c>
      <c r="AD827">
        <f>'Grid_Requirement'!AB8</f>
        <v/>
      </c>
      <c r="AE827">
        <f>'Grid_Requirement'!AC8</f>
        <v/>
      </c>
      <c r="AF827">
        <f>'Grid_Requirement'!AD8</f>
        <v/>
      </c>
      <c r="AG827">
        <f>'Grid_Requirement'!AE8</f>
        <v/>
      </c>
      <c r="AH827">
        <f>'Grid_Requirement'!AF8</f>
        <v/>
      </c>
      <c r="AI827">
        <f>'Grid_Requirement'!AG8</f>
        <v/>
      </c>
      <c r="AJ827">
        <f>'Grid_Requirement'!AH8</f>
        <v/>
      </c>
      <c r="AK827">
        <f>'Grid_Requirement'!AI8</f>
        <v/>
      </c>
      <c r="AL827">
        <f>'Grid_Requirement'!AJ8</f>
        <v/>
      </c>
      <c r="AM827">
        <f>'Grid_Requirement'!AK8</f>
        <v/>
      </c>
      <c r="AN827">
        <f>'Grid_Requirement'!AL8</f>
        <v/>
      </c>
      <c r="AO827">
        <f>'Grid_Requirement'!AM8</f>
        <v/>
      </c>
      <c r="AP827">
        <f>'Grid_Requirement'!AN8</f>
        <v/>
      </c>
      <c r="AQ827">
        <f>'Grid_Requirement'!AO8</f>
        <v/>
      </c>
      <c r="AR827">
        <f>'Grid_Requirement'!AP8</f>
        <v/>
      </c>
      <c r="AS827">
        <f>'Grid_Requirement'!AQ8</f>
        <v/>
      </c>
      <c r="AT827">
        <f>'Grid_Requirement'!AR8</f>
        <v/>
      </c>
      <c r="AU827">
        <f>'Grid_Requirement'!AS8</f>
        <v/>
      </c>
      <c r="AV827">
        <f>'Grid_Requirement'!AT8</f>
        <v/>
      </c>
      <c r="AW827">
        <f>'Grid_Requirement'!AU8</f>
        <v/>
      </c>
      <c r="AX827">
        <f>'Grid_Requirement'!AV8</f>
        <v/>
      </c>
      <c r="AY827">
        <f>'Grid_Requirement'!AW8</f>
        <v/>
      </c>
      <c r="AZ827">
        <f>'Grid_Requirement'!AX8</f>
        <v/>
      </c>
      <c r="BA827">
        <f>'Grid_Requirement'!AY8</f>
        <v/>
      </c>
      <c r="BB827">
        <f>'Grid_Requirement'!AZ8</f>
        <v/>
      </c>
      <c r="BC827">
        <f>'Grid_Requirement'!BA8</f>
        <v/>
      </c>
      <c r="BD827">
        <f>'Grid_Requirement'!BB8</f>
        <v/>
      </c>
      <c r="BE827">
        <f>'Grid_Requirement'!BC8</f>
        <v/>
      </c>
      <c r="BF827">
        <f>'Grid_Requirement'!BD8</f>
        <v/>
      </c>
      <c r="BG827">
        <f>'Grid_Requirement'!BE8</f>
        <v/>
      </c>
      <c r="BH827">
        <f>'Grid_Requirement'!BF8</f>
        <v/>
      </c>
      <c r="BI827">
        <f>'Grid_Requirement'!BG8</f>
        <v/>
      </c>
      <c r="BJ827">
        <f>'Grid_Requirement'!BH8</f>
        <v/>
      </c>
      <c r="BK827">
        <f>'Grid_Requirement'!BI8</f>
        <v/>
      </c>
      <c r="BL827">
        <f>'Grid_Requirement'!BJ8</f>
        <v/>
      </c>
      <c r="BM827">
        <f>'Grid_Requirement'!BK8</f>
        <v/>
      </c>
      <c r="BN827">
        <f>'Grid_Requirement'!BL8</f>
        <v/>
      </c>
      <c r="BO827">
        <f>'Grid_Requirement'!BM8</f>
        <v/>
      </c>
      <c r="BP827">
        <f>'Grid_Requirement'!BN8</f>
        <v/>
      </c>
      <c r="BQ827">
        <f>'Grid_Requirement'!BO8</f>
        <v/>
      </c>
      <c r="BR827">
        <f>'Grid_Requirement'!BP8</f>
        <v/>
      </c>
      <c r="BS827">
        <f>'Grid_Requirement'!BQ8</f>
        <v/>
      </c>
      <c r="BT827">
        <f>'Grid_Requirement'!BR8</f>
        <v/>
      </c>
      <c r="BU827">
        <f>'Grid_Requirement'!BS8</f>
        <v/>
      </c>
      <c r="BV827">
        <f>'Grid_Requirement'!BT8</f>
        <v/>
      </c>
      <c r="BW827">
        <f>'Grid_Requirement'!BU8</f>
        <v/>
      </c>
      <c r="BX827">
        <f>'Grid_Requirement'!BV8</f>
        <v/>
      </c>
      <c r="BY827">
        <f>'Grid_Requirement'!BW8</f>
        <v/>
      </c>
      <c r="BZ827">
        <f>'Grid_Requirement'!BX8</f>
        <v/>
      </c>
      <c r="CA827">
        <f>'Grid_Requirement'!BY8</f>
        <v/>
      </c>
      <c r="CB827">
        <f>'Grid_Requirement'!BZ8</f>
        <v/>
      </c>
      <c r="CC827">
        <f>'Grid_Requirement'!CA8</f>
        <v/>
      </c>
      <c r="CD827">
        <f>'Grid_Requirement'!CB8</f>
        <v/>
      </c>
      <c r="CE827">
        <f>'Grid_Requirement'!CC8</f>
        <v/>
      </c>
      <c r="CF827">
        <f>'Grid_Requirement'!CD8</f>
        <v/>
      </c>
      <c r="CG827">
        <f>'Grid_Requirement'!CE8</f>
        <v/>
      </c>
      <c r="CH827">
        <f>'Grid_Requirement'!CF8</f>
        <v/>
      </c>
      <c r="CI827">
        <f>'Grid_Requirement'!CG8</f>
        <v/>
      </c>
      <c r="CJ827">
        <f>'Grid_Requirement'!CH8</f>
        <v/>
      </c>
      <c r="CK827">
        <f>'Grid_Requirement'!CI8</f>
        <v/>
      </c>
      <c r="CL827">
        <f>'Grid_Requirement'!CJ8</f>
        <v/>
      </c>
      <c r="CM827">
        <f>'Grid_Requirement'!CK8</f>
        <v/>
      </c>
      <c r="CN827">
        <f>'Grid_Requirement'!CL8</f>
        <v/>
      </c>
      <c r="CO827">
        <f>'Grid_Requirement'!CM8</f>
        <v/>
      </c>
      <c r="CP827">
        <f>'Grid_Requirement'!CN8</f>
        <v/>
      </c>
      <c r="CQ827">
        <f>'Grid_Requirement'!CO8</f>
        <v/>
      </c>
      <c r="CR827">
        <f>'Grid_Requirement'!CP8</f>
        <v/>
      </c>
      <c r="CS827">
        <f>'Grid_Requirement'!CQ8</f>
        <v/>
      </c>
      <c r="CT827">
        <f>'Grid_Requirement'!CR8</f>
        <v/>
      </c>
      <c r="CU827">
        <f>'Grid_Requirement'!CS8</f>
        <v/>
      </c>
      <c r="CV827">
        <f>'Grid_Requirement'!CT8</f>
        <v/>
      </c>
      <c r="CW827">
        <f>'Grid_Requirement'!CU8</f>
        <v/>
      </c>
      <c r="CX827">
        <f>'Grid_Requirement'!CV8</f>
        <v/>
      </c>
      <c r="CY827">
        <f>'Grid_Requirement'!CW8</f>
        <v/>
      </c>
      <c r="CZ827">
        <f>'Grid_Requirement'!CX8</f>
        <v/>
      </c>
      <c r="DA827">
        <f>'Grid_Requirement'!CY8</f>
        <v/>
      </c>
      <c r="DB827">
        <f>'Grid_Requirement'!CZ8</f>
        <v/>
      </c>
      <c r="DC827">
        <f>'Grid_Requirement'!DA8</f>
        <v/>
      </c>
    </row>
    <row r="828">
      <c r="B828" t="inlineStr">
        <is>
          <t>TTAF在庫(実績,kg)</t>
        </is>
      </c>
      <c r="D828">
        <f>'T_TTAFStock'!B12</f>
        <v/>
      </c>
      <c r="E828">
        <f>'T_TTAFStock'!C12</f>
        <v/>
      </c>
      <c r="F828">
        <f>'T_TTAFStock'!D12</f>
        <v/>
      </c>
      <c r="G828">
        <f>'T_TTAFStock'!E12</f>
        <v/>
      </c>
      <c r="H828">
        <f>'T_TTAFStock'!F12</f>
        <v/>
      </c>
      <c r="I828">
        <f>'T_TTAFStock'!G12</f>
        <v/>
      </c>
      <c r="J828">
        <f>'T_TTAFStock'!H12</f>
        <v/>
      </c>
      <c r="K828">
        <f>'T_TTAFStock'!I12</f>
        <v/>
      </c>
      <c r="L828">
        <f>'T_TTAFStock'!J12</f>
        <v/>
      </c>
      <c r="M828">
        <f>'T_TTAFStock'!K12</f>
        <v/>
      </c>
      <c r="N828">
        <f>'T_TTAFStock'!L12</f>
        <v/>
      </c>
      <c r="O828">
        <f>'T_TTAFStock'!M12</f>
        <v/>
      </c>
      <c r="P828">
        <f>'T_TTAFStock'!N12</f>
        <v/>
      </c>
      <c r="Q828">
        <f>'T_TTAFStock'!O12</f>
        <v/>
      </c>
      <c r="R828">
        <f>'T_TTAFStock'!P12</f>
        <v/>
      </c>
      <c r="S828">
        <f>'T_TTAFStock'!Q12</f>
        <v/>
      </c>
      <c r="T828">
        <f>'T_TTAFStock'!R12</f>
        <v/>
      </c>
      <c r="U828">
        <f>'T_TTAFStock'!S12</f>
        <v/>
      </c>
      <c r="V828">
        <f>'T_TTAFStock'!T12</f>
        <v/>
      </c>
      <c r="W828">
        <f>'T_TTAFStock'!U12</f>
        <v/>
      </c>
      <c r="X828">
        <f>'T_TTAFStock'!V12</f>
        <v/>
      </c>
      <c r="Y828">
        <f>'T_TTAFStock'!W12</f>
        <v/>
      </c>
      <c r="Z828">
        <f>'T_TTAFStock'!X12</f>
        <v/>
      </c>
      <c r="AA828">
        <f>'T_TTAFStock'!Y12</f>
        <v/>
      </c>
      <c r="AB828">
        <f>'T_TTAFStock'!Z12</f>
        <v/>
      </c>
      <c r="AC828">
        <f>'T_TTAFStock'!AA12</f>
        <v/>
      </c>
      <c r="AD828">
        <f>'T_TTAFStock'!AB12</f>
        <v/>
      </c>
      <c r="AE828">
        <f>'T_TTAFStock'!AC12</f>
        <v/>
      </c>
      <c r="AF828">
        <f>'T_TTAFStock'!AD12</f>
        <v/>
      </c>
      <c r="AG828">
        <f>'T_TTAFStock'!AE12</f>
        <v/>
      </c>
      <c r="AH828">
        <f>'T_TTAFStock'!AF12</f>
        <v/>
      </c>
      <c r="AI828">
        <f>'T_TTAFStock'!AG12</f>
        <v/>
      </c>
      <c r="AJ828">
        <f>'T_TTAFStock'!AH12</f>
        <v/>
      </c>
      <c r="AK828">
        <f>'T_TTAFStock'!AI12</f>
        <v/>
      </c>
      <c r="AL828">
        <f>'T_TTAFStock'!AJ12</f>
        <v/>
      </c>
      <c r="AM828">
        <f>'T_TTAFStock'!AK12</f>
        <v/>
      </c>
      <c r="AN828">
        <f>'T_TTAFStock'!AL12</f>
        <v/>
      </c>
      <c r="AO828">
        <f>'T_TTAFStock'!AM12</f>
        <v/>
      </c>
      <c r="AP828">
        <f>'T_TTAFStock'!AN12</f>
        <v/>
      </c>
      <c r="AQ828">
        <f>'T_TTAFStock'!AO12</f>
        <v/>
      </c>
      <c r="AR828">
        <f>'T_TTAFStock'!AP12</f>
        <v/>
      </c>
      <c r="AS828">
        <f>'T_TTAFStock'!AQ12</f>
        <v/>
      </c>
      <c r="AT828">
        <f>'T_TTAFStock'!AR12</f>
        <v/>
      </c>
      <c r="AU828">
        <f>'T_TTAFStock'!AS12</f>
        <v/>
      </c>
      <c r="AV828">
        <f>'T_TTAFStock'!AT12</f>
        <v/>
      </c>
      <c r="AW828">
        <f>'T_TTAFStock'!AU12</f>
        <v/>
      </c>
      <c r="AX828">
        <f>'T_TTAFStock'!AV12</f>
        <v/>
      </c>
      <c r="AY828">
        <f>'T_TTAFStock'!AW12</f>
        <v/>
      </c>
      <c r="AZ828">
        <f>'T_TTAFStock'!AX12</f>
        <v/>
      </c>
      <c r="BA828">
        <f>'T_TTAFStock'!AY12</f>
        <v/>
      </c>
      <c r="BB828">
        <f>'T_TTAFStock'!AZ12</f>
        <v/>
      </c>
      <c r="BC828">
        <f>'T_TTAFStock'!BA12</f>
        <v/>
      </c>
      <c r="BD828">
        <f>'T_TTAFStock'!BB12</f>
        <v/>
      </c>
      <c r="BE828">
        <f>'T_TTAFStock'!BC12</f>
        <v/>
      </c>
      <c r="BF828">
        <f>'T_TTAFStock'!BD12</f>
        <v/>
      </c>
      <c r="BG828">
        <f>'T_TTAFStock'!BE12</f>
        <v/>
      </c>
      <c r="BH828">
        <f>'T_TTAFStock'!BF12</f>
        <v/>
      </c>
      <c r="BI828">
        <f>'T_TTAFStock'!BG12</f>
        <v/>
      </c>
      <c r="BJ828">
        <f>'T_TTAFStock'!BH12</f>
        <v/>
      </c>
      <c r="BK828">
        <f>'T_TTAFStock'!BI12</f>
        <v/>
      </c>
      <c r="BL828">
        <f>'T_TTAFStock'!BJ12</f>
        <v/>
      </c>
      <c r="BM828">
        <f>'T_TTAFStock'!BK12</f>
        <v/>
      </c>
      <c r="BN828">
        <f>'T_TTAFStock'!BL12</f>
        <v/>
      </c>
      <c r="BO828">
        <f>'T_TTAFStock'!BM12</f>
        <v/>
      </c>
      <c r="BP828">
        <f>'T_TTAFStock'!BN12</f>
        <v/>
      </c>
      <c r="BQ828">
        <f>'T_TTAFStock'!BO12</f>
        <v/>
      </c>
      <c r="BR828">
        <f>'T_TTAFStock'!BP12</f>
        <v/>
      </c>
      <c r="BS828">
        <f>'T_TTAFStock'!BQ12</f>
        <v/>
      </c>
      <c r="BT828">
        <f>'T_TTAFStock'!BR12</f>
        <v/>
      </c>
      <c r="BU828">
        <f>'T_TTAFStock'!BS12</f>
        <v/>
      </c>
      <c r="BV828">
        <f>'T_TTAFStock'!BT12</f>
        <v/>
      </c>
      <c r="BW828">
        <f>'T_TTAFStock'!BU12</f>
        <v/>
      </c>
      <c r="BX828">
        <f>'T_TTAFStock'!BV12</f>
        <v/>
      </c>
      <c r="BY828">
        <f>'T_TTAFStock'!BW12</f>
        <v/>
      </c>
      <c r="BZ828">
        <f>'T_TTAFStock'!BX12</f>
        <v/>
      </c>
      <c r="CA828">
        <f>'T_TTAFStock'!BY12</f>
        <v/>
      </c>
      <c r="CB828">
        <f>'T_TTAFStock'!BZ12</f>
        <v/>
      </c>
      <c r="CC828">
        <f>'T_TTAFStock'!CA12</f>
        <v/>
      </c>
      <c r="CD828">
        <f>'T_TTAFStock'!CB12</f>
        <v/>
      </c>
      <c r="CE828">
        <f>'T_TTAFStock'!CC12</f>
        <v/>
      </c>
      <c r="CF828">
        <f>'T_TTAFStock'!CD12</f>
        <v/>
      </c>
      <c r="CG828">
        <f>'T_TTAFStock'!CE12</f>
        <v/>
      </c>
      <c r="CH828">
        <f>'T_TTAFStock'!CF12</f>
        <v/>
      </c>
      <c r="CI828">
        <f>'T_TTAFStock'!CG12</f>
        <v/>
      </c>
      <c r="CJ828">
        <f>'T_TTAFStock'!CH12</f>
        <v/>
      </c>
      <c r="CK828">
        <f>'T_TTAFStock'!CI12</f>
        <v/>
      </c>
      <c r="CL828">
        <f>'T_TTAFStock'!CJ12</f>
        <v/>
      </c>
      <c r="CM828">
        <f>'T_TTAFStock'!CK12</f>
        <v/>
      </c>
      <c r="CN828">
        <f>'T_TTAFStock'!CL12</f>
        <v/>
      </c>
      <c r="CO828">
        <f>'T_TTAFStock'!CM12</f>
        <v/>
      </c>
      <c r="CP828">
        <f>'T_TTAFStock'!CN12</f>
        <v/>
      </c>
      <c r="CQ828">
        <f>'T_TTAFStock'!CO12</f>
        <v/>
      </c>
      <c r="CR828">
        <f>'T_TTAFStock'!CP12</f>
        <v/>
      </c>
      <c r="CS828">
        <f>'T_TTAFStock'!CQ12</f>
        <v/>
      </c>
      <c r="CT828">
        <f>'T_TTAFStock'!CR12</f>
        <v/>
      </c>
      <c r="CU828">
        <f>'T_TTAFStock'!CS12</f>
        <v/>
      </c>
      <c r="CV828">
        <f>'T_TTAFStock'!CT12</f>
        <v/>
      </c>
      <c r="CW828">
        <f>'T_TTAFStock'!CU12</f>
        <v/>
      </c>
      <c r="CX828">
        <f>'T_TTAFStock'!CV12</f>
        <v/>
      </c>
      <c r="CY828">
        <f>'T_TTAFStock'!CW12</f>
        <v/>
      </c>
      <c r="CZ828">
        <f>'T_TTAFStock'!CX12</f>
        <v/>
      </c>
      <c r="DA828">
        <f>'T_TTAFStock'!CY12</f>
        <v/>
      </c>
      <c r="DB828">
        <f>'T_TTAFStock'!CZ12</f>
        <v/>
      </c>
      <c r="DC828">
        <f>'T_TTAFStock'!DA12</f>
        <v/>
      </c>
    </row>
    <row r="829">
      <c r="B829" t="inlineStr">
        <is>
          <t>自社在庫(実績,kg)</t>
        </is>
      </c>
      <c r="D829">
        <f>'T_SelfStock'!B12</f>
        <v/>
      </c>
      <c r="E829">
        <f>'T_SelfStock'!C12</f>
        <v/>
      </c>
      <c r="F829">
        <f>'T_SelfStock'!D12</f>
        <v/>
      </c>
      <c r="G829">
        <f>'T_SelfStock'!E12</f>
        <v/>
      </c>
      <c r="H829">
        <f>'T_SelfStock'!F12</f>
        <v/>
      </c>
      <c r="I829">
        <f>'T_SelfStock'!G12</f>
        <v/>
      </c>
      <c r="J829">
        <f>'T_SelfStock'!H12</f>
        <v/>
      </c>
      <c r="K829">
        <f>'T_SelfStock'!I12</f>
        <v/>
      </c>
      <c r="L829">
        <f>'T_SelfStock'!J12</f>
        <v/>
      </c>
      <c r="M829">
        <f>'T_SelfStock'!K12</f>
        <v/>
      </c>
      <c r="N829">
        <f>'T_SelfStock'!L12</f>
        <v/>
      </c>
      <c r="O829">
        <f>'T_SelfStock'!M12</f>
        <v/>
      </c>
      <c r="P829">
        <f>'T_SelfStock'!N12</f>
        <v/>
      </c>
      <c r="Q829">
        <f>'T_SelfStock'!O12</f>
        <v/>
      </c>
      <c r="R829">
        <f>'T_SelfStock'!P12</f>
        <v/>
      </c>
      <c r="S829">
        <f>'T_SelfStock'!Q12</f>
        <v/>
      </c>
      <c r="T829">
        <f>'T_SelfStock'!R12</f>
        <v/>
      </c>
      <c r="U829">
        <f>'T_SelfStock'!S12</f>
        <v/>
      </c>
      <c r="V829">
        <f>'T_SelfStock'!T12</f>
        <v/>
      </c>
      <c r="W829">
        <f>'T_SelfStock'!U12</f>
        <v/>
      </c>
      <c r="X829">
        <f>'T_SelfStock'!V12</f>
        <v/>
      </c>
      <c r="Y829">
        <f>'T_SelfStock'!W12</f>
        <v/>
      </c>
      <c r="Z829">
        <f>'T_SelfStock'!X12</f>
        <v/>
      </c>
      <c r="AA829">
        <f>'T_SelfStock'!Y12</f>
        <v/>
      </c>
      <c r="AB829">
        <f>'T_SelfStock'!Z12</f>
        <v/>
      </c>
      <c r="AC829">
        <f>'T_SelfStock'!AA12</f>
        <v/>
      </c>
      <c r="AD829">
        <f>'T_SelfStock'!AB12</f>
        <v/>
      </c>
      <c r="AE829">
        <f>'T_SelfStock'!AC12</f>
        <v/>
      </c>
      <c r="AF829">
        <f>'T_SelfStock'!AD12</f>
        <v/>
      </c>
      <c r="AG829">
        <f>'T_SelfStock'!AE12</f>
        <v/>
      </c>
      <c r="AH829">
        <f>'T_SelfStock'!AF12</f>
        <v/>
      </c>
      <c r="AI829">
        <f>'T_SelfStock'!AG12</f>
        <v/>
      </c>
      <c r="AJ829">
        <f>'T_SelfStock'!AH12</f>
        <v/>
      </c>
      <c r="AK829">
        <f>'T_SelfStock'!AI12</f>
        <v/>
      </c>
      <c r="AL829">
        <f>'T_SelfStock'!AJ12</f>
        <v/>
      </c>
      <c r="AM829">
        <f>'T_SelfStock'!AK12</f>
        <v/>
      </c>
      <c r="AN829">
        <f>'T_SelfStock'!AL12</f>
        <v/>
      </c>
      <c r="AO829">
        <f>'T_SelfStock'!AM12</f>
        <v/>
      </c>
      <c r="AP829">
        <f>'T_SelfStock'!AN12</f>
        <v/>
      </c>
      <c r="AQ829">
        <f>'T_SelfStock'!AO12</f>
        <v/>
      </c>
      <c r="AR829">
        <f>'T_SelfStock'!AP12</f>
        <v/>
      </c>
      <c r="AS829">
        <f>'T_SelfStock'!AQ12</f>
        <v/>
      </c>
      <c r="AT829">
        <f>'T_SelfStock'!AR12</f>
        <v/>
      </c>
      <c r="AU829">
        <f>'T_SelfStock'!AS12</f>
        <v/>
      </c>
      <c r="AV829">
        <f>'T_SelfStock'!AT12</f>
        <v/>
      </c>
      <c r="AW829">
        <f>'T_SelfStock'!AU12</f>
        <v/>
      </c>
      <c r="AX829">
        <f>'T_SelfStock'!AV12</f>
        <v/>
      </c>
      <c r="AY829">
        <f>'T_SelfStock'!AW12</f>
        <v/>
      </c>
      <c r="AZ829">
        <f>'T_SelfStock'!AX12</f>
        <v/>
      </c>
      <c r="BA829">
        <f>'T_SelfStock'!AY12</f>
        <v/>
      </c>
      <c r="BB829">
        <f>'T_SelfStock'!AZ12</f>
        <v/>
      </c>
      <c r="BC829">
        <f>'T_SelfStock'!BA12</f>
        <v/>
      </c>
      <c r="BD829">
        <f>'T_SelfStock'!BB12</f>
        <v/>
      </c>
      <c r="BE829">
        <f>'T_SelfStock'!BC12</f>
        <v/>
      </c>
      <c r="BF829">
        <f>'T_SelfStock'!BD12</f>
        <v/>
      </c>
      <c r="BG829">
        <f>'T_SelfStock'!BE12</f>
        <v/>
      </c>
      <c r="BH829">
        <f>'T_SelfStock'!BF12</f>
        <v/>
      </c>
      <c r="BI829">
        <f>'T_SelfStock'!BG12</f>
        <v/>
      </c>
      <c r="BJ829">
        <f>'T_SelfStock'!BH12</f>
        <v/>
      </c>
      <c r="BK829">
        <f>'T_SelfStock'!BI12</f>
        <v/>
      </c>
      <c r="BL829">
        <f>'T_SelfStock'!BJ12</f>
        <v/>
      </c>
      <c r="BM829">
        <f>'T_SelfStock'!BK12</f>
        <v/>
      </c>
      <c r="BN829">
        <f>'T_SelfStock'!BL12</f>
        <v/>
      </c>
      <c r="BO829">
        <f>'T_SelfStock'!BM12</f>
        <v/>
      </c>
      <c r="BP829">
        <f>'T_SelfStock'!BN12</f>
        <v/>
      </c>
      <c r="BQ829">
        <f>'T_SelfStock'!BO12</f>
        <v/>
      </c>
      <c r="BR829">
        <f>'T_SelfStock'!BP12</f>
        <v/>
      </c>
      <c r="BS829">
        <f>'T_SelfStock'!BQ12</f>
        <v/>
      </c>
      <c r="BT829">
        <f>'T_SelfStock'!BR12</f>
        <v/>
      </c>
      <c r="BU829">
        <f>'T_SelfStock'!BS12</f>
        <v/>
      </c>
      <c r="BV829">
        <f>'T_SelfStock'!BT12</f>
        <v/>
      </c>
      <c r="BW829">
        <f>'T_SelfStock'!BU12</f>
        <v/>
      </c>
      <c r="BX829">
        <f>'T_SelfStock'!BV12</f>
        <v/>
      </c>
      <c r="BY829">
        <f>'T_SelfStock'!BW12</f>
        <v/>
      </c>
      <c r="BZ829">
        <f>'T_SelfStock'!BX12</f>
        <v/>
      </c>
      <c r="CA829">
        <f>'T_SelfStock'!BY12</f>
        <v/>
      </c>
      <c r="CB829">
        <f>'T_SelfStock'!BZ12</f>
        <v/>
      </c>
      <c r="CC829">
        <f>'T_SelfStock'!CA12</f>
        <v/>
      </c>
      <c r="CD829">
        <f>'T_SelfStock'!CB12</f>
        <v/>
      </c>
      <c r="CE829">
        <f>'T_SelfStock'!CC12</f>
        <v/>
      </c>
      <c r="CF829">
        <f>'T_SelfStock'!CD12</f>
        <v/>
      </c>
      <c r="CG829">
        <f>'T_SelfStock'!CE12</f>
        <v/>
      </c>
      <c r="CH829">
        <f>'T_SelfStock'!CF12</f>
        <v/>
      </c>
      <c r="CI829">
        <f>'T_SelfStock'!CG12</f>
        <v/>
      </c>
      <c r="CJ829">
        <f>'T_SelfStock'!CH12</f>
        <v/>
      </c>
      <c r="CK829">
        <f>'T_SelfStock'!CI12</f>
        <v/>
      </c>
      <c r="CL829">
        <f>'T_SelfStock'!CJ12</f>
        <v/>
      </c>
      <c r="CM829">
        <f>'T_SelfStock'!CK12</f>
        <v/>
      </c>
      <c r="CN829">
        <f>'T_SelfStock'!CL12</f>
        <v/>
      </c>
      <c r="CO829">
        <f>'T_SelfStock'!CM12</f>
        <v/>
      </c>
      <c r="CP829">
        <f>'T_SelfStock'!CN12</f>
        <v/>
      </c>
      <c r="CQ829">
        <f>'T_SelfStock'!CO12</f>
        <v/>
      </c>
      <c r="CR829">
        <f>'T_SelfStock'!CP12</f>
        <v/>
      </c>
      <c r="CS829">
        <f>'T_SelfStock'!CQ12</f>
        <v/>
      </c>
      <c r="CT829">
        <f>'T_SelfStock'!CR12</f>
        <v/>
      </c>
      <c r="CU829">
        <f>'T_SelfStock'!CS12</f>
        <v/>
      </c>
      <c r="CV829">
        <f>'T_SelfStock'!CT12</f>
        <v/>
      </c>
      <c r="CW829">
        <f>'T_SelfStock'!CU12</f>
        <v/>
      </c>
      <c r="CX829">
        <f>'T_SelfStock'!CV12</f>
        <v/>
      </c>
      <c r="CY829">
        <f>'T_SelfStock'!CW12</f>
        <v/>
      </c>
      <c r="CZ829">
        <f>'T_SelfStock'!CX12</f>
        <v/>
      </c>
      <c r="DA829">
        <f>'T_SelfStock'!CY12</f>
        <v/>
      </c>
      <c r="DB829">
        <f>'T_SelfStock'!CZ12</f>
        <v/>
      </c>
      <c r="DC829">
        <f>'T_SelfStock'!DA12</f>
        <v/>
      </c>
    </row>
    <row r="830">
      <c r="B830" s="4" t="inlineStr">
        <is>
          <t>合計在庫(週末時点,kg)</t>
        </is>
      </c>
      <c r="D830">
        <f>'Grid_Stock'!B8</f>
        <v/>
      </c>
      <c r="E830">
        <f>'Grid_Stock'!C8</f>
        <v/>
      </c>
      <c r="F830">
        <f>'Grid_Stock'!D8</f>
        <v/>
      </c>
      <c r="G830">
        <f>'Grid_Stock'!E8</f>
        <v/>
      </c>
      <c r="H830">
        <f>'Grid_Stock'!F8</f>
        <v/>
      </c>
      <c r="I830">
        <f>'Grid_Stock'!G8</f>
        <v/>
      </c>
      <c r="J830">
        <f>'Grid_Stock'!H8</f>
        <v/>
      </c>
      <c r="K830">
        <f>'Grid_Stock'!I8</f>
        <v/>
      </c>
      <c r="L830">
        <f>'Grid_Stock'!J8</f>
        <v/>
      </c>
      <c r="M830">
        <f>'Grid_Stock'!K8</f>
        <v/>
      </c>
      <c r="N830">
        <f>'Grid_Stock'!L8</f>
        <v/>
      </c>
      <c r="O830">
        <f>'Grid_Stock'!M8</f>
        <v/>
      </c>
      <c r="P830">
        <f>'Grid_Stock'!N8</f>
        <v/>
      </c>
      <c r="Q830">
        <f>'Grid_Stock'!O8</f>
        <v/>
      </c>
      <c r="R830">
        <f>'Grid_Stock'!P8</f>
        <v/>
      </c>
      <c r="S830">
        <f>'Grid_Stock'!Q8</f>
        <v/>
      </c>
      <c r="T830">
        <f>'Grid_Stock'!R8</f>
        <v/>
      </c>
      <c r="U830">
        <f>'Grid_Stock'!S8</f>
        <v/>
      </c>
      <c r="V830">
        <f>'Grid_Stock'!T8</f>
        <v/>
      </c>
      <c r="W830">
        <f>'Grid_Stock'!U8</f>
        <v/>
      </c>
      <c r="X830">
        <f>'Grid_Stock'!V8</f>
        <v/>
      </c>
      <c r="Y830">
        <f>'Grid_Stock'!W8</f>
        <v/>
      </c>
      <c r="Z830">
        <f>'Grid_Stock'!X8</f>
        <v/>
      </c>
      <c r="AA830">
        <f>'Grid_Stock'!Y8</f>
        <v/>
      </c>
      <c r="AB830">
        <f>'Grid_Stock'!Z8</f>
        <v/>
      </c>
      <c r="AC830">
        <f>'Grid_Stock'!AA8</f>
        <v/>
      </c>
      <c r="AD830">
        <f>'Grid_Stock'!AB8</f>
        <v/>
      </c>
      <c r="AE830">
        <f>'Grid_Stock'!AC8</f>
        <v/>
      </c>
      <c r="AF830">
        <f>'Grid_Stock'!AD8</f>
        <v/>
      </c>
      <c r="AG830">
        <f>'Grid_Stock'!AE8</f>
        <v/>
      </c>
      <c r="AH830">
        <f>'Grid_Stock'!AF8</f>
        <v/>
      </c>
      <c r="AI830">
        <f>'Grid_Stock'!AG8</f>
        <v/>
      </c>
      <c r="AJ830">
        <f>'Grid_Stock'!AH8</f>
        <v/>
      </c>
      <c r="AK830">
        <f>'Grid_Stock'!AI8</f>
        <v/>
      </c>
      <c r="AL830">
        <f>'Grid_Stock'!AJ8</f>
        <v/>
      </c>
      <c r="AM830">
        <f>'Grid_Stock'!AK8</f>
        <v/>
      </c>
      <c r="AN830">
        <f>'Grid_Stock'!AL8</f>
        <v/>
      </c>
      <c r="AO830">
        <f>'Grid_Stock'!AM8</f>
        <v/>
      </c>
      <c r="AP830">
        <f>'Grid_Stock'!AN8</f>
        <v/>
      </c>
      <c r="AQ830">
        <f>'Grid_Stock'!AO8</f>
        <v/>
      </c>
      <c r="AR830">
        <f>'Grid_Stock'!AP8</f>
        <v/>
      </c>
      <c r="AS830">
        <f>'Grid_Stock'!AQ8</f>
        <v/>
      </c>
      <c r="AT830">
        <f>'Grid_Stock'!AR8</f>
        <v/>
      </c>
      <c r="AU830">
        <f>'Grid_Stock'!AS8</f>
        <v/>
      </c>
      <c r="AV830">
        <f>'Grid_Stock'!AT8</f>
        <v/>
      </c>
      <c r="AW830">
        <f>'Grid_Stock'!AU8</f>
        <v/>
      </c>
      <c r="AX830">
        <f>'Grid_Stock'!AV8</f>
        <v/>
      </c>
      <c r="AY830">
        <f>'Grid_Stock'!AW8</f>
        <v/>
      </c>
      <c r="AZ830">
        <f>'Grid_Stock'!AX8</f>
        <v/>
      </c>
      <c r="BA830">
        <f>'Grid_Stock'!AY8</f>
        <v/>
      </c>
      <c r="BB830">
        <f>'Grid_Stock'!AZ8</f>
        <v/>
      </c>
      <c r="BC830">
        <f>'Grid_Stock'!BA8</f>
        <v/>
      </c>
      <c r="BD830">
        <f>'Grid_Stock'!BB8</f>
        <v/>
      </c>
      <c r="BE830">
        <f>'Grid_Stock'!BC8</f>
        <v/>
      </c>
      <c r="BF830">
        <f>'Grid_Stock'!BD8</f>
        <v/>
      </c>
      <c r="BG830">
        <f>'Grid_Stock'!BE8</f>
        <v/>
      </c>
      <c r="BH830">
        <f>'Grid_Stock'!BF8</f>
        <v/>
      </c>
      <c r="BI830">
        <f>'Grid_Stock'!BG8</f>
        <v/>
      </c>
      <c r="BJ830">
        <f>'Grid_Stock'!BH8</f>
        <v/>
      </c>
      <c r="BK830">
        <f>'Grid_Stock'!BI8</f>
        <v/>
      </c>
      <c r="BL830">
        <f>'Grid_Stock'!BJ8</f>
        <v/>
      </c>
      <c r="BM830">
        <f>'Grid_Stock'!BK8</f>
        <v/>
      </c>
      <c r="BN830">
        <f>'Grid_Stock'!BL8</f>
        <v/>
      </c>
      <c r="BO830">
        <f>'Grid_Stock'!BM8</f>
        <v/>
      </c>
      <c r="BP830">
        <f>'Grid_Stock'!BN8</f>
        <v/>
      </c>
      <c r="BQ830">
        <f>'Grid_Stock'!BO8</f>
        <v/>
      </c>
      <c r="BR830">
        <f>'Grid_Stock'!BP8</f>
        <v/>
      </c>
      <c r="BS830">
        <f>'Grid_Stock'!BQ8</f>
        <v/>
      </c>
      <c r="BT830">
        <f>'Grid_Stock'!BR8</f>
        <v/>
      </c>
      <c r="BU830">
        <f>'Grid_Stock'!BS8</f>
        <v/>
      </c>
      <c r="BV830">
        <f>'Grid_Stock'!BT8</f>
        <v/>
      </c>
      <c r="BW830">
        <f>'Grid_Stock'!BU8</f>
        <v/>
      </c>
      <c r="BX830">
        <f>'Grid_Stock'!BV8</f>
        <v/>
      </c>
      <c r="BY830">
        <f>'Grid_Stock'!BW8</f>
        <v/>
      </c>
      <c r="BZ830">
        <f>'Grid_Stock'!BX8</f>
        <v/>
      </c>
      <c r="CA830">
        <f>'Grid_Stock'!BY8</f>
        <v/>
      </c>
      <c r="CB830">
        <f>'Grid_Stock'!BZ8</f>
        <v/>
      </c>
      <c r="CC830">
        <f>'Grid_Stock'!CA8</f>
        <v/>
      </c>
      <c r="CD830">
        <f>'Grid_Stock'!CB8</f>
        <v/>
      </c>
      <c r="CE830">
        <f>'Grid_Stock'!CC8</f>
        <v/>
      </c>
      <c r="CF830">
        <f>'Grid_Stock'!CD8</f>
        <v/>
      </c>
      <c r="CG830">
        <f>'Grid_Stock'!CE8</f>
        <v/>
      </c>
      <c r="CH830">
        <f>'Grid_Stock'!CF8</f>
        <v/>
      </c>
      <c r="CI830">
        <f>'Grid_Stock'!CG8</f>
        <v/>
      </c>
      <c r="CJ830">
        <f>'Grid_Stock'!CH8</f>
        <v/>
      </c>
      <c r="CK830">
        <f>'Grid_Stock'!CI8</f>
        <v/>
      </c>
      <c r="CL830">
        <f>'Grid_Stock'!CJ8</f>
        <v/>
      </c>
      <c r="CM830">
        <f>'Grid_Stock'!CK8</f>
        <v/>
      </c>
      <c r="CN830">
        <f>'Grid_Stock'!CL8</f>
        <v/>
      </c>
      <c r="CO830">
        <f>'Grid_Stock'!CM8</f>
        <v/>
      </c>
      <c r="CP830">
        <f>'Grid_Stock'!CN8</f>
        <v/>
      </c>
      <c r="CQ830">
        <f>'Grid_Stock'!CO8</f>
        <v/>
      </c>
      <c r="CR830">
        <f>'Grid_Stock'!CP8</f>
        <v/>
      </c>
      <c r="CS830">
        <f>'Grid_Stock'!CQ8</f>
        <v/>
      </c>
      <c r="CT830">
        <f>'Grid_Stock'!CR8</f>
        <v/>
      </c>
      <c r="CU830">
        <f>'Grid_Stock'!CS8</f>
        <v/>
      </c>
      <c r="CV830">
        <f>'Grid_Stock'!CT8</f>
        <v/>
      </c>
      <c r="CW830">
        <f>'Grid_Stock'!CU8</f>
        <v/>
      </c>
      <c r="CX830">
        <f>'Grid_Stock'!CV8</f>
        <v/>
      </c>
      <c r="CY830">
        <f>'Grid_Stock'!CW8</f>
        <v/>
      </c>
      <c r="CZ830">
        <f>'Grid_Stock'!CX8</f>
        <v/>
      </c>
      <c r="DA830">
        <f>'Grid_Stock'!CY8</f>
        <v/>
      </c>
      <c r="DB830">
        <f>'Grid_Stock'!CZ8</f>
        <v/>
      </c>
      <c r="DC830">
        <f>'Grid_Stock'!DA8</f>
        <v/>
      </c>
    </row>
    <row r="831">
      <c r="B831" s="16" t="inlineStr">
        <is>
          <t>（発注の目安はDashboardの基準在庫[下限/上限]と色分けを参照）</t>
        </is>
      </c>
    </row>
    <row r="833">
      <c r="A833" s="14" t="inlineStr">
        <is>
          <t>CHEM-1540</t>
        </is>
      </c>
      <c r="B833" s="14" t="inlineStr">
        <is>
          <t>NAT35</t>
        </is>
      </c>
      <c r="C833" s="15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  <c r="AA833" s="14" t="n"/>
      <c r="AB833" s="14" t="n"/>
      <c r="AC833" s="14" t="n"/>
      <c r="AD833" s="14" t="n"/>
      <c r="AE833" s="14" t="n"/>
      <c r="AF833" s="14" t="n"/>
      <c r="AG833" s="14" t="n"/>
      <c r="AH833" s="14" t="n"/>
      <c r="AI833" s="14" t="n"/>
      <c r="AJ833" s="14" t="n"/>
      <c r="AK833" s="14" t="n"/>
      <c r="AL833" s="14" t="n"/>
      <c r="AM833" s="14" t="n"/>
      <c r="AN833" s="14" t="n"/>
      <c r="AO833" s="14" t="n"/>
      <c r="AP833" s="14" t="n"/>
      <c r="AQ833" s="14" t="n"/>
      <c r="AR833" s="14" t="n"/>
      <c r="AS833" s="14" t="n"/>
      <c r="AT833" s="14" t="n"/>
      <c r="AU833" s="14" t="n"/>
      <c r="AV833" s="14" t="n"/>
      <c r="AW833" s="14" t="n"/>
      <c r="AX833" s="14" t="n"/>
      <c r="AY833" s="14" t="n"/>
      <c r="AZ833" s="14" t="n"/>
      <c r="BA833" s="14" t="n"/>
      <c r="BB833" s="14" t="n"/>
      <c r="BC833" s="14" t="n"/>
      <c r="BD833" s="14" t="n"/>
      <c r="BE833" s="14" t="n"/>
      <c r="BF833" s="14" t="n"/>
      <c r="BG833" s="14" t="n"/>
      <c r="BH833" s="14" t="n"/>
      <c r="BI833" s="14" t="n"/>
      <c r="BJ833" s="14" t="n"/>
      <c r="BK833" s="14" t="n"/>
      <c r="BL833" s="14" t="n"/>
      <c r="BM833" s="14" t="n"/>
      <c r="BN833" s="14" t="n"/>
      <c r="BO833" s="14" t="n"/>
      <c r="BP833" s="14" t="n"/>
      <c r="BQ833" s="14" t="n"/>
      <c r="BR833" s="14" t="n"/>
      <c r="BS833" s="14" t="n"/>
      <c r="BT833" s="14" t="n"/>
      <c r="BU833" s="14" t="n"/>
      <c r="BV833" s="14" t="n"/>
      <c r="BW833" s="14" t="n"/>
      <c r="BX833" s="14" t="n"/>
      <c r="BY833" s="14" t="n"/>
      <c r="BZ833" s="14" t="n"/>
      <c r="CA833" s="14" t="n"/>
      <c r="CB833" s="14" t="n"/>
      <c r="CC833" s="14" t="n"/>
      <c r="CD833" s="14" t="n"/>
      <c r="CE833" s="14" t="n"/>
      <c r="CF833" s="14" t="n"/>
      <c r="CG833" s="14" t="n"/>
      <c r="CH833" s="14" t="n"/>
      <c r="CI833" s="14" t="n"/>
      <c r="CJ833" s="14" t="n"/>
      <c r="CK833" s="14" t="n"/>
      <c r="CL833" s="14" t="n"/>
      <c r="CM833" s="14" t="n"/>
      <c r="CN833" s="14" t="n"/>
      <c r="CO833" s="14" t="n"/>
      <c r="CP833" s="14" t="n"/>
      <c r="CQ833" s="14" t="n"/>
      <c r="CR833" s="14" t="n"/>
      <c r="CS833" s="14" t="n"/>
      <c r="CT833" s="14" t="n"/>
      <c r="CU833" s="14" t="n"/>
      <c r="CV833" s="14" t="n"/>
      <c r="CW833" s="14" t="n"/>
      <c r="CX833" s="14" t="n"/>
      <c r="CY833" s="14" t="n"/>
      <c r="CZ833" s="14" t="n"/>
      <c r="DA833" s="14" t="n"/>
      <c r="DB833" s="14" t="n"/>
      <c r="DC833" s="14" t="n"/>
    </row>
    <row r="834">
      <c r="B834" t="inlineStr">
        <is>
          <t>TSP-620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7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Name],$A833)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TSP-623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Name],$A833)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TSP-927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Name],$A833)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TSP-928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Name],$A833)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TSP-929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7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Name],$A833)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TSP-930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7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Name],$A833)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TSP-934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7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Name],$A833)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TSP-935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7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Name],$A833)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TSP-936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Name],$A833)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TSP-937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Name],$A833)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TSP-1444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Name],$A833)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TSP-1448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Name],$A833)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TSP-1445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Name],$A833)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TSP-1446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Name],$A833)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TPP-358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Name],$A833)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TPP-533(98%)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Name],$A833)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TPP-533(A)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Name],$A833)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No of times used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Name],$A833)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TSP-1449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Name],$A833)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s="4" t="inlineStr">
        <is>
          <t>合計使用量(kg)/週</t>
        </is>
      </c>
      <c r="D872">
        <f>'Grid_Requirement'!B7</f>
        <v/>
      </c>
      <c r="E872">
        <f>'Grid_Requirement'!C7</f>
        <v/>
      </c>
      <c r="F872">
        <f>'Grid_Requirement'!D7</f>
        <v/>
      </c>
      <c r="G872">
        <f>'Grid_Requirement'!E7</f>
        <v/>
      </c>
      <c r="H872">
        <f>'Grid_Requirement'!F7</f>
        <v/>
      </c>
      <c r="I872">
        <f>'Grid_Requirement'!G7</f>
        <v/>
      </c>
      <c r="J872">
        <f>'Grid_Requirement'!H7</f>
        <v/>
      </c>
      <c r="K872">
        <f>'Grid_Requirement'!I7</f>
        <v/>
      </c>
      <c r="L872">
        <f>'Grid_Requirement'!J7</f>
        <v/>
      </c>
      <c r="M872">
        <f>'Grid_Requirement'!K7</f>
        <v/>
      </c>
      <c r="N872">
        <f>'Grid_Requirement'!L7</f>
        <v/>
      </c>
      <c r="O872">
        <f>'Grid_Requirement'!M7</f>
        <v/>
      </c>
      <c r="P872">
        <f>'Grid_Requirement'!N7</f>
        <v/>
      </c>
      <c r="Q872">
        <f>'Grid_Requirement'!O7</f>
        <v/>
      </c>
      <c r="R872">
        <f>'Grid_Requirement'!P7</f>
        <v/>
      </c>
      <c r="S872">
        <f>'Grid_Requirement'!Q7</f>
        <v/>
      </c>
      <c r="T872">
        <f>'Grid_Requirement'!R7</f>
        <v/>
      </c>
      <c r="U872">
        <f>'Grid_Requirement'!S7</f>
        <v/>
      </c>
      <c r="V872">
        <f>'Grid_Requirement'!T7</f>
        <v/>
      </c>
      <c r="W872">
        <f>'Grid_Requirement'!U7</f>
        <v/>
      </c>
      <c r="X872">
        <f>'Grid_Requirement'!V7</f>
        <v/>
      </c>
      <c r="Y872">
        <f>'Grid_Requirement'!W7</f>
        <v/>
      </c>
      <c r="Z872">
        <f>'Grid_Requirement'!X7</f>
        <v/>
      </c>
      <c r="AA872">
        <f>'Grid_Requirement'!Y7</f>
        <v/>
      </c>
      <c r="AB872">
        <f>'Grid_Requirement'!Z7</f>
        <v/>
      </c>
      <c r="AC872">
        <f>'Grid_Requirement'!AA7</f>
        <v/>
      </c>
      <c r="AD872">
        <f>'Grid_Requirement'!AB7</f>
        <v/>
      </c>
      <c r="AE872">
        <f>'Grid_Requirement'!AC7</f>
        <v/>
      </c>
      <c r="AF872">
        <f>'Grid_Requirement'!AD7</f>
        <v/>
      </c>
      <c r="AG872">
        <f>'Grid_Requirement'!AE7</f>
        <v/>
      </c>
      <c r="AH872">
        <f>'Grid_Requirement'!AF7</f>
        <v/>
      </c>
      <c r="AI872">
        <f>'Grid_Requirement'!AG7</f>
        <v/>
      </c>
      <c r="AJ872">
        <f>'Grid_Requirement'!AH7</f>
        <v/>
      </c>
      <c r="AK872">
        <f>'Grid_Requirement'!AI7</f>
        <v/>
      </c>
      <c r="AL872">
        <f>'Grid_Requirement'!AJ7</f>
        <v/>
      </c>
      <c r="AM872">
        <f>'Grid_Requirement'!AK7</f>
        <v/>
      </c>
      <c r="AN872">
        <f>'Grid_Requirement'!AL7</f>
        <v/>
      </c>
      <c r="AO872">
        <f>'Grid_Requirement'!AM7</f>
        <v/>
      </c>
      <c r="AP872">
        <f>'Grid_Requirement'!AN7</f>
        <v/>
      </c>
      <c r="AQ872">
        <f>'Grid_Requirement'!AO7</f>
        <v/>
      </c>
      <c r="AR872">
        <f>'Grid_Requirement'!AP7</f>
        <v/>
      </c>
      <c r="AS872">
        <f>'Grid_Requirement'!AQ7</f>
        <v/>
      </c>
      <c r="AT872">
        <f>'Grid_Requirement'!AR7</f>
        <v/>
      </c>
      <c r="AU872">
        <f>'Grid_Requirement'!AS7</f>
        <v/>
      </c>
      <c r="AV872">
        <f>'Grid_Requirement'!AT7</f>
        <v/>
      </c>
      <c r="AW872">
        <f>'Grid_Requirement'!AU7</f>
        <v/>
      </c>
      <c r="AX872">
        <f>'Grid_Requirement'!AV7</f>
        <v/>
      </c>
      <c r="AY872">
        <f>'Grid_Requirement'!AW7</f>
        <v/>
      </c>
      <c r="AZ872">
        <f>'Grid_Requirement'!AX7</f>
        <v/>
      </c>
      <c r="BA872">
        <f>'Grid_Requirement'!AY7</f>
        <v/>
      </c>
      <c r="BB872">
        <f>'Grid_Requirement'!AZ7</f>
        <v/>
      </c>
      <c r="BC872">
        <f>'Grid_Requirement'!BA7</f>
        <v/>
      </c>
      <c r="BD872">
        <f>'Grid_Requirement'!BB7</f>
        <v/>
      </c>
      <c r="BE872">
        <f>'Grid_Requirement'!BC7</f>
        <v/>
      </c>
      <c r="BF872">
        <f>'Grid_Requirement'!BD7</f>
        <v/>
      </c>
      <c r="BG872">
        <f>'Grid_Requirement'!BE7</f>
        <v/>
      </c>
      <c r="BH872">
        <f>'Grid_Requirement'!BF7</f>
        <v/>
      </c>
      <c r="BI872">
        <f>'Grid_Requirement'!BG7</f>
        <v/>
      </c>
      <c r="BJ872">
        <f>'Grid_Requirement'!BH7</f>
        <v/>
      </c>
      <c r="BK872">
        <f>'Grid_Requirement'!BI7</f>
        <v/>
      </c>
      <c r="BL872">
        <f>'Grid_Requirement'!BJ7</f>
        <v/>
      </c>
      <c r="BM872">
        <f>'Grid_Requirement'!BK7</f>
        <v/>
      </c>
      <c r="BN872">
        <f>'Grid_Requirement'!BL7</f>
        <v/>
      </c>
      <c r="BO872">
        <f>'Grid_Requirement'!BM7</f>
        <v/>
      </c>
      <c r="BP872">
        <f>'Grid_Requirement'!BN7</f>
        <v/>
      </c>
      <c r="BQ872">
        <f>'Grid_Requirement'!BO7</f>
        <v/>
      </c>
      <c r="BR872">
        <f>'Grid_Requirement'!BP7</f>
        <v/>
      </c>
      <c r="BS872">
        <f>'Grid_Requirement'!BQ7</f>
        <v/>
      </c>
      <c r="BT872">
        <f>'Grid_Requirement'!BR7</f>
        <v/>
      </c>
      <c r="BU872">
        <f>'Grid_Requirement'!BS7</f>
        <v/>
      </c>
      <c r="BV872">
        <f>'Grid_Requirement'!BT7</f>
        <v/>
      </c>
      <c r="BW872">
        <f>'Grid_Requirement'!BU7</f>
        <v/>
      </c>
      <c r="BX872">
        <f>'Grid_Requirement'!BV7</f>
        <v/>
      </c>
      <c r="BY872">
        <f>'Grid_Requirement'!BW7</f>
        <v/>
      </c>
      <c r="BZ872">
        <f>'Grid_Requirement'!BX7</f>
        <v/>
      </c>
      <c r="CA872">
        <f>'Grid_Requirement'!BY7</f>
        <v/>
      </c>
      <c r="CB872">
        <f>'Grid_Requirement'!BZ7</f>
        <v/>
      </c>
      <c r="CC872">
        <f>'Grid_Requirement'!CA7</f>
        <v/>
      </c>
      <c r="CD872">
        <f>'Grid_Requirement'!CB7</f>
        <v/>
      </c>
      <c r="CE872">
        <f>'Grid_Requirement'!CC7</f>
        <v/>
      </c>
      <c r="CF872">
        <f>'Grid_Requirement'!CD7</f>
        <v/>
      </c>
      <c r="CG872">
        <f>'Grid_Requirement'!CE7</f>
        <v/>
      </c>
      <c r="CH872">
        <f>'Grid_Requirement'!CF7</f>
        <v/>
      </c>
      <c r="CI872">
        <f>'Grid_Requirement'!CG7</f>
        <v/>
      </c>
      <c r="CJ872">
        <f>'Grid_Requirement'!CH7</f>
        <v/>
      </c>
      <c r="CK872">
        <f>'Grid_Requirement'!CI7</f>
        <v/>
      </c>
      <c r="CL872">
        <f>'Grid_Requirement'!CJ7</f>
        <v/>
      </c>
      <c r="CM872">
        <f>'Grid_Requirement'!CK7</f>
        <v/>
      </c>
      <c r="CN872">
        <f>'Grid_Requirement'!CL7</f>
        <v/>
      </c>
      <c r="CO872">
        <f>'Grid_Requirement'!CM7</f>
        <v/>
      </c>
      <c r="CP872">
        <f>'Grid_Requirement'!CN7</f>
        <v/>
      </c>
      <c r="CQ872">
        <f>'Grid_Requirement'!CO7</f>
        <v/>
      </c>
      <c r="CR872">
        <f>'Grid_Requirement'!CP7</f>
        <v/>
      </c>
      <c r="CS872">
        <f>'Grid_Requirement'!CQ7</f>
        <v/>
      </c>
      <c r="CT872">
        <f>'Grid_Requirement'!CR7</f>
        <v/>
      </c>
      <c r="CU872">
        <f>'Grid_Requirement'!CS7</f>
        <v/>
      </c>
      <c r="CV872">
        <f>'Grid_Requirement'!CT7</f>
        <v/>
      </c>
      <c r="CW872">
        <f>'Grid_Requirement'!CU7</f>
        <v/>
      </c>
      <c r="CX872">
        <f>'Grid_Requirement'!CV7</f>
        <v/>
      </c>
      <c r="CY872">
        <f>'Grid_Requirement'!CW7</f>
        <v/>
      </c>
      <c r="CZ872">
        <f>'Grid_Requirement'!CX7</f>
        <v/>
      </c>
      <c r="DA872">
        <f>'Grid_Requirement'!CY7</f>
        <v/>
      </c>
      <c r="DB872">
        <f>'Grid_Requirement'!CZ7</f>
        <v/>
      </c>
      <c r="DC872">
        <f>'Grid_Requirement'!DA7</f>
        <v/>
      </c>
    </row>
    <row r="873">
      <c r="B873" t="inlineStr">
        <is>
          <t>TTAF在庫(実績,kg)</t>
        </is>
      </c>
      <c r="D873">
        <f>'T_TTAFStock'!B11</f>
        <v/>
      </c>
      <c r="E873">
        <f>'T_TTAFStock'!C11</f>
        <v/>
      </c>
      <c r="F873">
        <f>'T_TTAFStock'!D11</f>
        <v/>
      </c>
      <c r="G873">
        <f>'T_TTAFStock'!E11</f>
        <v/>
      </c>
      <c r="H873">
        <f>'T_TTAFStock'!F11</f>
        <v/>
      </c>
      <c r="I873">
        <f>'T_TTAFStock'!G11</f>
        <v/>
      </c>
      <c r="J873">
        <f>'T_TTAFStock'!H11</f>
        <v/>
      </c>
      <c r="K873">
        <f>'T_TTAFStock'!I11</f>
        <v/>
      </c>
      <c r="L873">
        <f>'T_TTAFStock'!J11</f>
        <v/>
      </c>
      <c r="M873">
        <f>'T_TTAFStock'!K11</f>
        <v/>
      </c>
      <c r="N873">
        <f>'T_TTAFStock'!L11</f>
        <v/>
      </c>
      <c r="O873">
        <f>'T_TTAFStock'!M11</f>
        <v/>
      </c>
      <c r="P873">
        <f>'T_TTAFStock'!N11</f>
        <v/>
      </c>
      <c r="Q873">
        <f>'T_TTAFStock'!O11</f>
        <v/>
      </c>
      <c r="R873">
        <f>'T_TTAFStock'!P11</f>
        <v/>
      </c>
      <c r="S873">
        <f>'T_TTAFStock'!Q11</f>
        <v/>
      </c>
      <c r="T873">
        <f>'T_TTAFStock'!R11</f>
        <v/>
      </c>
      <c r="U873">
        <f>'T_TTAFStock'!S11</f>
        <v/>
      </c>
      <c r="V873">
        <f>'T_TTAFStock'!T11</f>
        <v/>
      </c>
      <c r="W873">
        <f>'T_TTAFStock'!U11</f>
        <v/>
      </c>
      <c r="X873">
        <f>'T_TTAFStock'!V11</f>
        <v/>
      </c>
      <c r="Y873">
        <f>'T_TTAFStock'!W11</f>
        <v/>
      </c>
      <c r="Z873">
        <f>'T_TTAFStock'!X11</f>
        <v/>
      </c>
      <c r="AA873">
        <f>'T_TTAFStock'!Y11</f>
        <v/>
      </c>
      <c r="AB873">
        <f>'T_TTAFStock'!Z11</f>
        <v/>
      </c>
      <c r="AC873">
        <f>'T_TTAFStock'!AA11</f>
        <v/>
      </c>
      <c r="AD873">
        <f>'T_TTAFStock'!AB11</f>
        <v/>
      </c>
      <c r="AE873">
        <f>'T_TTAFStock'!AC11</f>
        <v/>
      </c>
      <c r="AF873">
        <f>'T_TTAFStock'!AD11</f>
        <v/>
      </c>
      <c r="AG873">
        <f>'T_TTAFStock'!AE11</f>
        <v/>
      </c>
      <c r="AH873">
        <f>'T_TTAFStock'!AF11</f>
        <v/>
      </c>
      <c r="AI873">
        <f>'T_TTAFStock'!AG11</f>
        <v/>
      </c>
      <c r="AJ873">
        <f>'T_TTAFStock'!AH11</f>
        <v/>
      </c>
      <c r="AK873">
        <f>'T_TTAFStock'!AI11</f>
        <v/>
      </c>
      <c r="AL873">
        <f>'T_TTAFStock'!AJ11</f>
        <v/>
      </c>
      <c r="AM873">
        <f>'T_TTAFStock'!AK11</f>
        <v/>
      </c>
      <c r="AN873">
        <f>'T_TTAFStock'!AL11</f>
        <v/>
      </c>
      <c r="AO873">
        <f>'T_TTAFStock'!AM11</f>
        <v/>
      </c>
      <c r="AP873">
        <f>'T_TTAFStock'!AN11</f>
        <v/>
      </c>
      <c r="AQ873">
        <f>'T_TTAFStock'!AO11</f>
        <v/>
      </c>
      <c r="AR873">
        <f>'T_TTAFStock'!AP11</f>
        <v/>
      </c>
      <c r="AS873">
        <f>'T_TTAFStock'!AQ11</f>
        <v/>
      </c>
      <c r="AT873">
        <f>'T_TTAFStock'!AR11</f>
        <v/>
      </c>
      <c r="AU873">
        <f>'T_TTAFStock'!AS11</f>
        <v/>
      </c>
      <c r="AV873">
        <f>'T_TTAFStock'!AT11</f>
        <v/>
      </c>
      <c r="AW873">
        <f>'T_TTAFStock'!AU11</f>
        <v/>
      </c>
      <c r="AX873">
        <f>'T_TTAFStock'!AV11</f>
        <v/>
      </c>
      <c r="AY873">
        <f>'T_TTAFStock'!AW11</f>
        <v/>
      </c>
      <c r="AZ873">
        <f>'T_TTAFStock'!AX11</f>
        <v/>
      </c>
      <c r="BA873">
        <f>'T_TTAFStock'!AY11</f>
        <v/>
      </c>
      <c r="BB873">
        <f>'T_TTAFStock'!AZ11</f>
        <v/>
      </c>
      <c r="BC873">
        <f>'T_TTAFStock'!BA11</f>
        <v/>
      </c>
      <c r="BD873">
        <f>'T_TTAFStock'!BB11</f>
        <v/>
      </c>
      <c r="BE873">
        <f>'T_TTAFStock'!BC11</f>
        <v/>
      </c>
      <c r="BF873">
        <f>'T_TTAFStock'!BD11</f>
        <v/>
      </c>
      <c r="BG873">
        <f>'T_TTAFStock'!BE11</f>
        <v/>
      </c>
      <c r="BH873">
        <f>'T_TTAFStock'!BF11</f>
        <v/>
      </c>
      <c r="BI873">
        <f>'T_TTAFStock'!BG11</f>
        <v/>
      </c>
      <c r="BJ873">
        <f>'T_TTAFStock'!BH11</f>
        <v/>
      </c>
      <c r="BK873">
        <f>'T_TTAFStock'!BI11</f>
        <v/>
      </c>
      <c r="BL873">
        <f>'T_TTAFStock'!BJ11</f>
        <v/>
      </c>
      <c r="BM873">
        <f>'T_TTAFStock'!BK11</f>
        <v/>
      </c>
      <c r="BN873">
        <f>'T_TTAFStock'!BL11</f>
        <v/>
      </c>
      <c r="BO873">
        <f>'T_TTAFStock'!BM11</f>
        <v/>
      </c>
      <c r="BP873">
        <f>'T_TTAFStock'!BN11</f>
        <v/>
      </c>
      <c r="BQ873">
        <f>'T_TTAFStock'!BO11</f>
        <v/>
      </c>
      <c r="BR873">
        <f>'T_TTAFStock'!BP11</f>
        <v/>
      </c>
      <c r="BS873">
        <f>'T_TTAFStock'!BQ11</f>
        <v/>
      </c>
      <c r="BT873">
        <f>'T_TTAFStock'!BR11</f>
        <v/>
      </c>
      <c r="BU873">
        <f>'T_TTAFStock'!BS11</f>
        <v/>
      </c>
      <c r="BV873">
        <f>'T_TTAFStock'!BT11</f>
        <v/>
      </c>
      <c r="BW873">
        <f>'T_TTAFStock'!BU11</f>
        <v/>
      </c>
      <c r="BX873">
        <f>'T_TTAFStock'!BV11</f>
        <v/>
      </c>
      <c r="BY873">
        <f>'T_TTAFStock'!BW11</f>
        <v/>
      </c>
      <c r="BZ873">
        <f>'T_TTAFStock'!BX11</f>
        <v/>
      </c>
      <c r="CA873">
        <f>'T_TTAFStock'!BY11</f>
        <v/>
      </c>
      <c r="CB873">
        <f>'T_TTAFStock'!BZ11</f>
        <v/>
      </c>
      <c r="CC873">
        <f>'T_TTAFStock'!CA11</f>
        <v/>
      </c>
      <c r="CD873">
        <f>'T_TTAFStock'!CB11</f>
        <v/>
      </c>
      <c r="CE873">
        <f>'T_TTAFStock'!CC11</f>
        <v/>
      </c>
      <c r="CF873">
        <f>'T_TTAFStock'!CD11</f>
        <v/>
      </c>
      <c r="CG873">
        <f>'T_TTAFStock'!CE11</f>
        <v/>
      </c>
      <c r="CH873">
        <f>'T_TTAFStock'!CF11</f>
        <v/>
      </c>
      <c r="CI873">
        <f>'T_TTAFStock'!CG11</f>
        <v/>
      </c>
      <c r="CJ873">
        <f>'T_TTAFStock'!CH11</f>
        <v/>
      </c>
      <c r="CK873">
        <f>'T_TTAFStock'!CI11</f>
        <v/>
      </c>
      <c r="CL873">
        <f>'T_TTAFStock'!CJ11</f>
        <v/>
      </c>
      <c r="CM873">
        <f>'T_TTAFStock'!CK11</f>
        <v/>
      </c>
      <c r="CN873">
        <f>'T_TTAFStock'!CL11</f>
        <v/>
      </c>
      <c r="CO873">
        <f>'T_TTAFStock'!CM11</f>
        <v/>
      </c>
      <c r="CP873">
        <f>'T_TTAFStock'!CN11</f>
        <v/>
      </c>
      <c r="CQ873">
        <f>'T_TTAFStock'!CO11</f>
        <v/>
      </c>
      <c r="CR873">
        <f>'T_TTAFStock'!CP11</f>
        <v/>
      </c>
      <c r="CS873">
        <f>'T_TTAFStock'!CQ11</f>
        <v/>
      </c>
      <c r="CT873">
        <f>'T_TTAFStock'!CR11</f>
        <v/>
      </c>
      <c r="CU873">
        <f>'T_TTAFStock'!CS11</f>
        <v/>
      </c>
      <c r="CV873">
        <f>'T_TTAFStock'!CT11</f>
        <v/>
      </c>
      <c r="CW873">
        <f>'T_TTAFStock'!CU11</f>
        <v/>
      </c>
      <c r="CX873">
        <f>'T_TTAFStock'!CV11</f>
        <v/>
      </c>
      <c r="CY873">
        <f>'T_TTAFStock'!CW11</f>
        <v/>
      </c>
      <c r="CZ873">
        <f>'T_TTAFStock'!CX11</f>
        <v/>
      </c>
      <c r="DA873">
        <f>'T_TTAFStock'!CY11</f>
        <v/>
      </c>
      <c r="DB873">
        <f>'T_TTAFStock'!CZ11</f>
        <v/>
      </c>
      <c r="DC873">
        <f>'T_TTAFStock'!DA11</f>
        <v/>
      </c>
    </row>
    <row r="874">
      <c r="B874" t="inlineStr">
        <is>
          <t>自社在庫(実績,kg)</t>
        </is>
      </c>
      <c r="D874">
        <f>'T_SelfStock'!B11</f>
        <v/>
      </c>
      <c r="E874">
        <f>'T_SelfStock'!C11</f>
        <v/>
      </c>
      <c r="F874">
        <f>'T_SelfStock'!D11</f>
        <v/>
      </c>
      <c r="G874">
        <f>'T_SelfStock'!E11</f>
        <v/>
      </c>
      <c r="H874">
        <f>'T_SelfStock'!F11</f>
        <v/>
      </c>
      <c r="I874">
        <f>'T_SelfStock'!G11</f>
        <v/>
      </c>
      <c r="J874">
        <f>'T_SelfStock'!H11</f>
        <v/>
      </c>
      <c r="K874">
        <f>'T_SelfStock'!I11</f>
        <v/>
      </c>
      <c r="L874">
        <f>'T_SelfStock'!J11</f>
        <v/>
      </c>
      <c r="M874">
        <f>'T_SelfStock'!K11</f>
        <v/>
      </c>
      <c r="N874">
        <f>'T_SelfStock'!L11</f>
        <v/>
      </c>
      <c r="O874">
        <f>'T_SelfStock'!M11</f>
        <v/>
      </c>
      <c r="P874">
        <f>'T_SelfStock'!N11</f>
        <v/>
      </c>
      <c r="Q874">
        <f>'T_SelfStock'!O11</f>
        <v/>
      </c>
      <c r="R874">
        <f>'T_SelfStock'!P11</f>
        <v/>
      </c>
      <c r="S874">
        <f>'T_SelfStock'!Q11</f>
        <v/>
      </c>
      <c r="T874">
        <f>'T_SelfStock'!R11</f>
        <v/>
      </c>
      <c r="U874">
        <f>'T_SelfStock'!S11</f>
        <v/>
      </c>
      <c r="V874">
        <f>'T_SelfStock'!T11</f>
        <v/>
      </c>
      <c r="W874">
        <f>'T_SelfStock'!U11</f>
        <v/>
      </c>
      <c r="X874">
        <f>'T_SelfStock'!V11</f>
        <v/>
      </c>
      <c r="Y874">
        <f>'T_SelfStock'!W11</f>
        <v/>
      </c>
      <c r="Z874">
        <f>'T_SelfStock'!X11</f>
        <v/>
      </c>
      <c r="AA874">
        <f>'T_SelfStock'!Y11</f>
        <v/>
      </c>
      <c r="AB874">
        <f>'T_SelfStock'!Z11</f>
        <v/>
      </c>
      <c r="AC874">
        <f>'T_SelfStock'!AA11</f>
        <v/>
      </c>
      <c r="AD874">
        <f>'T_SelfStock'!AB11</f>
        <v/>
      </c>
      <c r="AE874">
        <f>'T_SelfStock'!AC11</f>
        <v/>
      </c>
      <c r="AF874">
        <f>'T_SelfStock'!AD11</f>
        <v/>
      </c>
      <c r="AG874">
        <f>'T_SelfStock'!AE11</f>
        <v/>
      </c>
      <c r="AH874">
        <f>'T_SelfStock'!AF11</f>
        <v/>
      </c>
      <c r="AI874">
        <f>'T_SelfStock'!AG11</f>
        <v/>
      </c>
      <c r="AJ874">
        <f>'T_SelfStock'!AH11</f>
        <v/>
      </c>
      <c r="AK874">
        <f>'T_SelfStock'!AI11</f>
        <v/>
      </c>
      <c r="AL874">
        <f>'T_SelfStock'!AJ11</f>
        <v/>
      </c>
      <c r="AM874">
        <f>'T_SelfStock'!AK11</f>
        <v/>
      </c>
      <c r="AN874">
        <f>'T_SelfStock'!AL11</f>
        <v/>
      </c>
      <c r="AO874">
        <f>'T_SelfStock'!AM11</f>
        <v/>
      </c>
      <c r="AP874">
        <f>'T_SelfStock'!AN11</f>
        <v/>
      </c>
      <c r="AQ874">
        <f>'T_SelfStock'!AO11</f>
        <v/>
      </c>
      <c r="AR874">
        <f>'T_SelfStock'!AP11</f>
        <v/>
      </c>
      <c r="AS874">
        <f>'T_SelfStock'!AQ11</f>
        <v/>
      </c>
      <c r="AT874">
        <f>'T_SelfStock'!AR11</f>
        <v/>
      </c>
      <c r="AU874">
        <f>'T_SelfStock'!AS11</f>
        <v/>
      </c>
      <c r="AV874">
        <f>'T_SelfStock'!AT11</f>
        <v/>
      </c>
      <c r="AW874">
        <f>'T_SelfStock'!AU11</f>
        <v/>
      </c>
      <c r="AX874">
        <f>'T_SelfStock'!AV11</f>
        <v/>
      </c>
      <c r="AY874">
        <f>'T_SelfStock'!AW11</f>
        <v/>
      </c>
      <c r="AZ874">
        <f>'T_SelfStock'!AX11</f>
        <v/>
      </c>
      <c r="BA874">
        <f>'T_SelfStock'!AY11</f>
        <v/>
      </c>
      <c r="BB874">
        <f>'T_SelfStock'!AZ11</f>
        <v/>
      </c>
      <c r="BC874">
        <f>'T_SelfStock'!BA11</f>
        <v/>
      </c>
      <c r="BD874">
        <f>'T_SelfStock'!BB11</f>
        <v/>
      </c>
      <c r="BE874">
        <f>'T_SelfStock'!BC11</f>
        <v/>
      </c>
      <c r="BF874">
        <f>'T_SelfStock'!BD11</f>
        <v/>
      </c>
      <c r="BG874">
        <f>'T_SelfStock'!BE11</f>
        <v/>
      </c>
      <c r="BH874">
        <f>'T_SelfStock'!BF11</f>
        <v/>
      </c>
      <c r="BI874">
        <f>'T_SelfStock'!BG11</f>
        <v/>
      </c>
      <c r="BJ874">
        <f>'T_SelfStock'!BH11</f>
        <v/>
      </c>
      <c r="BK874">
        <f>'T_SelfStock'!BI11</f>
        <v/>
      </c>
      <c r="BL874">
        <f>'T_SelfStock'!BJ11</f>
        <v/>
      </c>
      <c r="BM874">
        <f>'T_SelfStock'!BK11</f>
        <v/>
      </c>
      <c r="BN874">
        <f>'T_SelfStock'!BL11</f>
        <v/>
      </c>
      <c r="BO874">
        <f>'T_SelfStock'!BM11</f>
        <v/>
      </c>
      <c r="BP874">
        <f>'T_SelfStock'!BN11</f>
        <v/>
      </c>
      <c r="BQ874">
        <f>'T_SelfStock'!BO11</f>
        <v/>
      </c>
      <c r="BR874">
        <f>'T_SelfStock'!BP11</f>
        <v/>
      </c>
      <c r="BS874">
        <f>'T_SelfStock'!BQ11</f>
        <v/>
      </c>
      <c r="BT874">
        <f>'T_SelfStock'!BR11</f>
        <v/>
      </c>
      <c r="BU874">
        <f>'T_SelfStock'!BS11</f>
        <v/>
      </c>
      <c r="BV874">
        <f>'T_SelfStock'!BT11</f>
        <v/>
      </c>
      <c r="BW874">
        <f>'T_SelfStock'!BU11</f>
        <v/>
      </c>
      <c r="BX874">
        <f>'T_SelfStock'!BV11</f>
        <v/>
      </c>
      <c r="BY874">
        <f>'T_SelfStock'!BW11</f>
        <v/>
      </c>
      <c r="BZ874">
        <f>'T_SelfStock'!BX11</f>
        <v/>
      </c>
      <c r="CA874">
        <f>'T_SelfStock'!BY11</f>
        <v/>
      </c>
      <c r="CB874">
        <f>'T_SelfStock'!BZ11</f>
        <v/>
      </c>
      <c r="CC874">
        <f>'T_SelfStock'!CA11</f>
        <v/>
      </c>
      <c r="CD874">
        <f>'T_SelfStock'!CB11</f>
        <v/>
      </c>
      <c r="CE874">
        <f>'T_SelfStock'!CC11</f>
        <v/>
      </c>
      <c r="CF874">
        <f>'T_SelfStock'!CD11</f>
        <v/>
      </c>
      <c r="CG874">
        <f>'T_SelfStock'!CE11</f>
        <v/>
      </c>
      <c r="CH874">
        <f>'T_SelfStock'!CF11</f>
        <v/>
      </c>
      <c r="CI874">
        <f>'T_SelfStock'!CG11</f>
        <v/>
      </c>
      <c r="CJ874">
        <f>'T_SelfStock'!CH11</f>
        <v/>
      </c>
      <c r="CK874">
        <f>'T_SelfStock'!CI11</f>
        <v/>
      </c>
      <c r="CL874">
        <f>'T_SelfStock'!CJ11</f>
        <v/>
      </c>
      <c r="CM874">
        <f>'T_SelfStock'!CK11</f>
        <v/>
      </c>
      <c r="CN874">
        <f>'T_SelfStock'!CL11</f>
        <v/>
      </c>
      <c r="CO874">
        <f>'T_SelfStock'!CM11</f>
        <v/>
      </c>
      <c r="CP874">
        <f>'T_SelfStock'!CN11</f>
        <v/>
      </c>
      <c r="CQ874">
        <f>'T_SelfStock'!CO11</f>
        <v/>
      </c>
      <c r="CR874">
        <f>'T_SelfStock'!CP11</f>
        <v/>
      </c>
      <c r="CS874">
        <f>'T_SelfStock'!CQ11</f>
        <v/>
      </c>
      <c r="CT874">
        <f>'T_SelfStock'!CR11</f>
        <v/>
      </c>
      <c r="CU874">
        <f>'T_SelfStock'!CS11</f>
        <v/>
      </c>
      <c r="CV874">
        <f>'T_SelfStock'!CT11</f>
        <v/>
      </c>
      <c r="CW874">
        <f>'T_SelfStock'!CU11</f>
        <v/>
      </c>
      <c r="CX874">
        <f>'T_SelfStock'!CV11</f>
        <v/>
      </c>
      <c r="CY874">
        <f>'T_SelfStock'!CW11</f>
        <v/>
      </c>
      <c r="CZ874">
        <f>'T_SelfStock'!CX11</f>
        <v/>
      </c>
      <c r="DA874">
        <f>'T_SelfStock'!CY11</f>
        <v/>
      </c>
      <c r="DB874">
        <f>'T_SelfStock'!CZ11</f>
        <v/>
      </c>
      <c r="DC874">
        <f>'T_SelfStock'!DA11</f>
        <v/>
      </c>
    </row>
    <row r="875">
      <c r="B875" s="4" t="inlineStr">
        <is>
          <t>合計在庫(週末時点,kg)</t>
        </is>
      </c>
      <c r="D875">
        <f>'Grid_Stock'!B7</f>
        <v/>
      </c>
      <c r="E875">
        <f>'Grid_Stock'!C7</f>
        <v/>
      </c>
      <c r="F875">
        <f>'Grid_Stock'!D7</f>
        <v/>
      </c>
      <c r="G875">
        <f>'Grid_Stock'!E7</f>
        <v/>
      </c>
      <c r="H875">
        <f>'Grid_Stock'!F7</f>
        <v/>
      </c>
      <c r="I875">
        <f>'Grid_Stock'!G7</f>
        <v/>
      </c>
      <c r="J875">
        <f>'Grid_Stock'!H7</f>
        <v/>
      </c>
      <c r="K875">
        <f>'Grid_Stock'!I7</f>
        <v/>
      </c>
      <c r="L875">
        <f>'Grid_Stock'!J7</f>
        <v/>
      </c>
      <c r="M875">
        <f>'Grid_Stock'!K7</f>
        <v/>
      </c>
      <c r="N875">
        <f>'Grid_Stock'!L7</f>
        <v/>
      </c>
      <c r="O875">
        <f>'Grid_Stock'!M7</f>
        <v/>
      </c>
      <c r="P875">
        <f>'Grid_Stock'!N7</f>
        <v/>
      </c>
      <c r="Q875">
        <f>'Grid_Stock'!O7</f>
        <v/>
      </c>
      <c r="R875">
        <f>'Grid_Stock'!P7</f>
        <v/>
      </c>
      <c r="S875">
        <f>'Grid_Stock'!Q7</f>
        <v/>
      </c>
      <c r="T875">
        <f>'Grid_Stock'!R7</f>
        <v/>
      </c>
      <c r="U875">
        <f>'Grid_Stock'!S7</f>
        <v/>
      </c>
      <c r="V875">
        <f>'Grid_Stock'!T7</f>
        <v/>
      </c>
      <c r="W875">
        <f>'Grid_Stock'!U7</f>
        <v/>
      </c>
      <c r="X875">
        <f>'Grid_Stock'!V7</f>
        <v/>
      </c>
      <c r="Y875">
        <f>'Grid_Stock'!W7</f>
        <v/>
      </c>
      <c r="Z875">
        <f>'Grid_Stock'!X7</f>
        <v/>
      </c>
      <c r="AA875">
        <f>'Grid_Stock'!Y7</f>
        <v/>
      </c>
      <c r="AB875">
        <f>'Grid_Stock'!Z7</f>
        <v/>
      </c>
      <c r="AC875">
        <f>'Grid_Stock'!AA7</f>
        <v/>
      </c>
      <c r="AD875">
        <f>'Grid_Stock'!AB7</f>
        <v/>
      </c>
      <c r="AE875">
        <f>'Grid_Stock'!AC7</f>
        <v/>
      </c>
      <c r="AF875">
        <f>'Grid_Stock'!AD7</f>
        <v/>
      </c>
      <c r="AG875">
        <f>'Grid_Stock'!AE7</f>
        <v/>
      </c>
      <c r="AH875">
        <f>'Grid_Stock'!AF7</f>
        <v/>
      </c>
      <c r="AI875">
        <f>'Grid_Stock'!AG7</f>
        <v/>
      </c>
      <c r="AJ875">
        <f>'Grid_Stock'!AH7</f>
        <v/>
      </c>
      <c r="AK875">
        <f>'Grid_Stock'!AI7</f>
        <v/>
      </c>
      <c r="AL875">
        <f>'Grid_Stock'!AJ7</f>
        <v/>
      </c>
      <c r="AM875">
        <f>'Grid_Stock'!AK7</f>
        <v/>
      </c>
      <c r="AN875">
        <f>'Grid_Stock'!AL7</f>
        <v/>
      </c>
      <c r="AO875">
        <f>'Grid_Stock'!AM7</f>
        <v/>
      </c>
      <c r="AP875">
        <f>'Grid_Stock'!AN7</f>
        <v/>
      </c>
      <c r="AQ875">
        <f>'Grid_Stock'!AO7</f>
        <v/>
      </c>
      <c r="AR875">
        <f>'Grid_Stock'!AP7</f>
        <v/>
      </c>
      <c r="AS875">
        <f>'Grid_Stock'!AQ7</f>
        <v/>
      </c>
      <c r="AT875">
        <f>'Grid_Stock'!AR7</f>
        <v/>
      </c>
      <c r="AU875">
        <f>'Grid_Stock'!AS7</f>
        <v/>
      </c>
      <c r="AV875">
        <f>'Grid_Stock'!AT7</f>
        <v/>
      </c>
      <c r="AW875">
        <f>'Grid_Stock'!AU7</f>
        <v/>
      </c>
      <c r="AX875">
        <f>'Grid_Stock'!AV7</f>
        <v/>
      </c>
      <c r="AY875">
        <f>'Grid_Stock'!AW7</f>
        <v/>
      </c>
      <c r="AZ875">
        <f>'Grid_Stock'!AX7</f>
        <v/>
      </c>
      <c r="BA875">
        <f>'Grid_Stock'!AY7</f>
        <v/>
      </c>
      <c r="BB875">
        <f>'Grid_Stock'!AZ7</f>
        <v/>
      </c>
      <c r="BC875">
        <f>'Grid_Stock'!BA7</f>
        <v/>
      </c>
      <c r="BD875">
        <f>'Grid_Stock'!BB7</f>
        <v/>
      </c>
      <c r="BE875">
        <f>'Grid_Stock'!BC7</f>
        <v/>
      </c>
      <c r="BF875">
        <f>'Grid_Stock'!BD7</f>
        <v/>
      </c>
      <c r="BG875">
        <f>'Grid_Stock'!BE7</f>
        <v/>
      </c>
      <c r="BH875">
        <f>'Grid_Stock'!BF7</f>
        <v/>
      </c>
      <c r="BI875">
        <f>'Grid_Stock'!BG7</f>
        <v/>
      </c>
      <c r="BJ875">
        <f>'Grid_Stock'!BH7</f>
        <v/>
      </c>
      <c r="BK875">
        <f>'Grid_Stock'!BI7</f>
        <v/>
      </c>
      <c r="BL875">
        <f>'Grid_Stock'!BJ7</f>
        <v/>
      </c>
      <c r="BM875">
        <f>'Grid_Stock'!BK7</f>
        <v/>
      </c>
      <c r="BN875">
        <f>'Grid_Stock'!BL7</f>
        <v/>
      </c>
      <c r="BO875">
        <f>'Grid_Stock'!BM7</f>
        <v/>
      </c>
      <c r="BP875">
        <f>'Grid_Stock'!BN7</f>
        <v/>
      </c>
      <c r="BQ875">
        <f>'Grid_Stock'!BO7</f>
        <v/>
      </c>
      <c r="BR875">
        <f>'Grid_Stock'!BP7</f>
        <v/>
      </c>
      <c r="BS875">
        <f>'Grid_Stock'!BQ7</f>
        <v/>
      </c>
      <c r="BT875">
        <f>'Grid_Stock'!BR7</f>
        <v/>
      </c>
      <c r="BU875">
        <f>'Grid_Stock'!BS7</f>
        <v/>
      </c>
      <c r="BV875">
        <f>'Grid_Stock'!BT7</f>
        <v/>
      </c>
      <c r="BW875">
        <f>'Grid_Stock'!BU7</f>
        <v/>
      </c>
      <c r="BX875">
        <f>'Grid_Stock'!BV7</f>
        <v/>
      </c>
      <c r="BY875">
        <f>'Grid_Stock'!BW7</f>
        <v/>
      </c>
      <c r="BZ875">
        <f>'Grid_Stock'!BX7</f>
        <v/>
      </c>
      <c r="CA875">
        <f>'Grid_Stock'!BY7</f>
        <v/>
      </c>
      <c r="CB875">
        <f>'Grid_Stock'!BZ7</f>
        <v/>
      </c>
      <c r="CC875">
        <f>'Grid_Stock'!CA7</f>
        <v/>
      </c>
      <c r="CD875">
        <f>'Grid_Stock'!CB7</f>
        <v/>
      </c>
      <c r="CE875">
        <f>'Grid_Stock'!CC7</f>
        <v/>
      </c>
      <c r="CF875">
        <f>'Grid_Stock'!CD7</f>
        <v/>
      </c>
      <c r="CG875">
        <f>'Grid_Stock'!CE7</f>
        <v/>
      </c>
      <c r="CH875">
        <f>'Grid_Stock'!CF7</f>
        <v/>
      </c>
      <c r="CI875">
        <f>'Grid_Stock'!CG7</f>
        <v/>
      </c>
      <c r="CJ875">
        <f>'Grid_Stock'!CH7</f>
        <v/>
      </c>
      <c r="CK875">
        <f>'Grid_Stock'!CI7</f>
        <v/>
      </c>
      <c r="CL875">
        <f>'Grid_Stock'!CJ7</f>
        <v/>
      </c>
      <c r="CM875">
        <f>'Grid_Stock'!CK7</f>
        <v/>
      </c>
      <c r="CN875">
        <f>'Grid_Stock'!CL7</f>
        <v/>
      </c>
      <c r="CO875">
        <f>'Grid_Stock'!CM7</f>
        <v/>
      </c>
      <c r="CP875">
        <f>'Grid_Stock'!CN7</f>
        <v/>
      </c>
      <c r="CQ875">
        <f>'Grid_Stock'!CO7</f>
        <v/>
      </c>
      <c r="CR875">
        <f>'Grid_Stock'!CP7</f>
        <v/>
      </c>
      <c r="CS875">
        <f>'Grid_Stock'!CQ7</f>
        <v/>
      </c>
      <c r="CT875">
        <f>'Grid_Stock'!CR7</f>
        <v/>
      </c>
      <c r="CU875">
        <f>'Grid_Stock'!CS7</f>
        <v/>
      </c>
      <c r="CV875">
        <f>'Grid_Stock'!CT7</f>
        <v/>
      </c>
      <c r="CW875">
        <f>'Grid_Stock'!CU7</f>
        <v/>
      </c>
      <c r="CX875">
        <f>'Grid_Stock'!CV7</f>
        <v/>
      </c>
      <c r="CY875">
        <f>'Grid_Stock'!CW7</f>
        <v/>
      </c>
      <c r="CZ875">
        <f>'Grid_Stock'!CX7</f>
        <v/>
      </c>
      <c r="DA875">
        <f>'Grid_Stock'!CY7</f>
        <v/>
      </c>
      <c r="DB875">
        <f>'Grid_Stock'!CZ7</f>
        <v/>
      </c>
      <c r="DC875">
        <f>'Grid_Stock'!DA7</f>
        <v/>
      </c>
    </row>
    <row r="876">
      <c r="B876" s="16" t="inlineStr">
        <is>
          <t>（発注の目安はDashboardの基準在庫[下限/上限]と色分けを参照）</t>
        </is>
      </c>
    </row>
    <row r="878">
      <c r="A878" s="14" t="inlineStr">
        <is>
          <t>CHEM-1700</t>
        </is>
      </c>
      <c r="B878" s="14" t="inlineStr">
        <is>
          <t>TepyrusCT38</t>
        </is>
      </c>
      <c r="C878" s="15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  <c r="AA878" s="14" t="n"/>
      <c r="AB878" s="14" t="n"/>
      <c r="AC878" s="14" t="n"/>
      <c r="AD878" s="14" t="n"/>
      <c r="AE878" s="14" t="n"/>
      <c r="AF878" s="14" t="n"/>
      <c r="AG878" s="14" t="n"/>
      <c r="AH878" s="14" t="n"/>
      <c r="AI878" s="14" t="n"/>
      <c r="AJ878" s="14" t="n"/>
      <c r="AK878" s="14" t="n"/>
      <c r="AL878" s="14" t="n"/>
      <c r="AM878" s="14" t="n"/>
      <c r="AN878" s="14" t="n"/>
      <c r="AO878" s="14" t="n"/>
      <c r="AP878" s="14" t="n"/>
      <c r="AQ878" s="14" t="n"/>
      <c r="AR878" s="14" t="n"/>
      <c r="AS878" s="14" t="n"/>
      <c r="AT878" s="14" t="n"/>
      <c r="AU878" s="14" t="n"/>
      <c r="AV878" s="14" t="n"/>
      <c r="AW878" s="14" t="n"/>
      <c r="AX878" s="14" t="n"/>
      <c r="AY878" s="14" t="n"/>
      <c r="AZ878" s="14" t="n"/>
      <c r="BA878" s="14" t="n"/>
      <c r="BB878" s="14" t="n"/>
      <c r="BC878" s="14" t="n"/>
      <c r="BD878" s="14" t="n"/>
      <c r="BE878" s="14" t="n"/>
      <c r="BF878" s="14" t="n"/>
      <c r="BG878" s="14" t="n"/>
      <c r="BH878" s="14" t="n"/>
      <c r="BI878" s="14" t="n"/>
      <c r="BJ878" s="14" t="n"/>
      <c r="BK878" s="14" t="n"/>
      <c r="BL878" s="14" t="n"/>
      <c r="BM878" s="14" t="n"/>
      <c r="BN878" s="14" t="n"/>
      <c r="BO878" s="14" t="n"/>
      <c r="BP878" s="14" t="n"/>
      <c r="BQ878" s="14" t="n"/>
      <c r="BR878" s="14" t="n"/>
      <c r="BS878" s="14" t="n"/>
      <c r="BT878" s="14" t="n"/>
      <c r="BU878" s="14" t="n"/>
      <c r="BV878" s="14" t="n"/>
      <c r="BW878" s="14" t="n"/>
      <c r="BX878" s="14" t="n"/>
      <c r="BY878" s="14" t="n"/>
      <c r="BZ878" s="14" t="n"/>
      <c r="CA878" s="14" t="n"/>
      <c r="CB878" s="14" t="n"/>
      <c r="CC878" s="14" t="n"/>
      <c r="CD878" s="14" t="n"/>
      <c r="CE878" s="14" t="n"/>
      <c r="CF878" s="14" t="n"/>
      <c r="CG878" s="14" t="n"/>
      <c r="CH878" s="14" t="n"/>
      <c r="CI878" s="14" t="n"/>
      <c r="CJ878" s="14" t="n"/>
      <c r="CK878" s="14" t="n"/>
      <c r="CL878" s="14" t="n"/>
      <c r="CM878" s="14" t="n"/>
      <c r="CN878" s="14" t="n"/>
      <c r="CO878" s="14" t="n"/>
      <c r="CP878" s="14" t="n"/>
      <c r="CQ878" s="14" t="n"/>
      <c r="CR878" s="14" t="n"/>
      <c r="CS878" s="14" t="n"/>
      <c r="CT878" s="14" t="n"/>
      <c r="CU878" s="14" t="n"/>
      <c r="CV878" s="14" t="n"/>
      <c r="CW878" s="14" t="n"/>
      <c r="CX878" s="14" t="n"/>
      <c r="CY878" s="14" t="n"/>
      <c r="CZ878" s="14" t="n"/>
      <c r="DA878" s="14" t="n"/>
      <c r="DB878" s="14" t="n"/>
      <c r="DC878" s="14" t="n"/>
    </row>
    <row r="879">
      <c r="B879" t="inlineStr">
        <is>
          <t>TSP-620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7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Name],$A878)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TSP-623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7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Name],$A878)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TSP-934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7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Name],$A878)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TSP-935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7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Name],$A878)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TSP-936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7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Name],$A878)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TSP-937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7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Name],$A878)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TSP-1388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7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Name],$A878)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TSP-1448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7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Name],$A878)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TSP-1449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7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Name],$A878)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TSP-1499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7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Name],$A878)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s="4" t="inlineStr">
        <is>
          <t>合計使用量(kg)/週</t>
        </is>
      </c>
      <c r="D899">
        <f>'Grid_Requirement'!B4</f>
        <v/>
      </c>
      <c r="E899">
        <f>'Grid_Requirement'!C4</f>
        <v/>
      </c>
      <c r="F899">
        <f>'Grid_Requirement'!D4</f>
        <v/>
      </c>
      <c r="G899">
        <f>'Grid_Requirement'!E4</f>
        <v/>
      </c>
      <c r="H899">
        <f>'Grid_Requirement'!F4</f>
        <v/>
      </c>
      <c r="I899">
        <f>'Grid_Requirement'!G4</f>
        <v/>
      </c>
      <c r="J899">
        <f>'Grid_Requirement'!H4</f>
        <v/>
      </c>
      <c r="K899">
        <f>'Grid_Requirement'!I4</f>
        <v/>
      </c>
      <c r="L899">
        <f>'Grid_Requirement'!J4</f>
        <v/>
      </c>
      <c r="M899">
        <f>'Grid_Requirement'!K4</f>
        <v/>
      </c>
      <c r="N899">
        <f>'Grid_Requirement'!L4</f>
        <v/>
      </c>
      <c r="O899">
        <f>'Grid_Requirement'!M4</f>
        <v/>
      </c>
      <c r="P899">
        <f>'Grid_Requirement'!N4</f>
        <v/>
      </c>
      <c r="Q899">
        <f>'Grid_Requirement'!O4</f>
        <v/>
      </c>
      <c r="R899">
        <f>'Grid_Requirement'!P4</f>
        <v/>
      </c>
      <c r="S899">
        <f>'Grid_Requirement'!Q4</f>
        <v/>
      </c>
      <c r="T899">
        <f>'Grid_Requirement'!R4</f>
        <v/>
      </c>
      <c r="U899">
        <f>'Grid_Requirement'!S4</f>
        <v/>
      </c>
      <c r="V899">
        <f>'Grid_Requirement'!T4</f>
        <v/>
      </c>
      <c r="W899">
        <f>'Grid_Requirement'!U4</f>
        <v/>
      </c>
      <c r="X899">
        <f>'Grid_Requirement'!V4</f>
        <v/>
      </c>
      <c r="Y899">
        <f>'Grid_Requirement'!W4</f>
        <v/>
      </c>
      <c r="Z899">
        <f>'Grid_Requirement'!X4</f>
        <v/>
      </c>
      <c r="AA899">
        <f>'Grid_Requirement'!Y4</f>
        <v/>
      </c>
      <c r="AB899">
        <f>'Grid_Requirement'!Z4</f>
        <v/>
      </c>
      <c r="AC899">
        <f>'Grid_Requirement'!AA4</f>
        <v/>
      </c>
      <c r="AD899">
        <f>'Grid_Requirement'!AB4</f>
        <v/>
      </c>
      <c r="AE899">
        <f>'Grid_Requirement'!AC4</f>
        <v/>
      </c>
      <c r="AF899">
        <f>'Grid_Requirement'!AD4</f>
        <v/>
      </c>
      <c r="AG899">
        <f>'Grid_Requirement'!AE4</f>
        <v/>
      </c>
      <c r="AH899">
        <f>'Grid_Requirement'!AF4</f>
        <v/>
      </c>
      <c r="AI899">
        <f>'Grid_Requirement'!AG4</f>
        <v/>
      </c>
      <c r="AJ899">
        <f>'Grid_Requirement'!AH4</f>
        <v/>
      </c>
      <c r="AK899">
        <f>'Grid_Requirement'!AI4</f>
        <v/>
      </c>
      <c r="AL899">
        <f>'Grid_Requirement'!AJ4</f>
        <v/>
      </c>
      <c r="AM899">
        <f>'Grid_Requirement'!AK4</f>
        <v/>
      </c>
      <c r="AN899">
        <f>'Grid_Requirement'!AL4</f>
        <v/>
      </c>
      <c r="AO899">
        <f>'Grid_Requirement'!AM4</f>
        <v/>
      </c>
      <c r="AP899">
        <f>'Grid_Requirement'!AN4</f>
        <v/>
      </c>
      <c r="AQ899">
        <f>'Grid_Requirement'!AO4</f>
        <v/>
      </c>
      <c r="AR899">
        <f>'Grid_Requirement'!AP4</f>
        <v/>
      </c>
      <c r="AS899">
        <f>'Grid_Requirement'!AQ4</f>
        <v/>
      </c>
      <c r="AT899">
        <f>'Grid_Requirement'!AR4</f>
        <v/>
      </c>
      <c r="AU899">
        <f>'Grid_Requirement'!AS4</f>
        <v/>
      </c>
      <c r="AV899">
        <f>'Grid_Requirement'!AT4</f>
        <v/>
      </c>
      <c r="AW899">
        <f>'Grid_Requirement'!AU4</f>
        <v/>
      </c>
      <c r="AX899">
        <f>'Grid_Requirement'!AV4</f>
        <v/>
      </c>
      <c r="AY899">
        <f>'Grid_Requirement'!AW4</f>
        <v/>
      </c>
      <c r="AZ899">
        <f>'Grid_Requirement'!AX4</f>
        <v/>
      </c>
      <c r="BA899">
        <f>'Grid_Requirement'!AY4</f>
        <v/>
      </c>
      <c r="BB899">
        <f>'Grid_Requirement'!AZ4</f>
        <v/>
      </c>
      <c r="BC899">
        <f>'Grid_Requirement'!BA4</f>
        <v/>
      </c>
      <c r="BD899">
        <f>'Grid_Requirement'!BB4</f>
        <v/>
      </c>
      <c r="BE899">
        <f>'Grid_Requirement'!BC4</f>
        <v/>
      </c>
      <c r="BF899">
        <f>'Grid_Requirement'!BD4</f>
        <v/>
      </c>
      <c r="BG899">
        <f>'Grid_Requirement'!BE4</f>
        <v/>
      </c>
      <c r="BH899">
        <f>'Grid_Requirement'!BF4</f>
        <v/>
      </c>
      <c r="BI899">
        <f>'Grid_Requirement'!BG4</f>
        <v/>
      </c>
      <c r="BJ899">
        <f>'Grid_Requirement'!BH4</f>
        <v/>
      </c>
      <c r="BK899">
        <f>'Grid_Requirement'!BI4</f>
        <v/>
      </c>
      <c r="BL899">
        <f>'Grid_Requirement'!BJ4</f>
        <v/>
      </c>
      <c r="BM899">
        <f>'Grid_Requirement'!BK4</f>
        <v/>
      </c>
      <c r="BN899">
        <f>'Grid_Requirement'!BL4</f>
        <v/>
      </c>
      <c r="BO899">
        <f>'Grid_Requirement'!BM4</f>
        <v/>
      </c>
      <c r="BP899">
        <f>'Grid_Requirement'!BN4</f>
        <v/>
      </c>
      <c r="BQ899">
        <f>'Grid_Requirement'!BO4</f>
        <v/>
      </c>
      <c r="BR899">
        <f>'Grid_Requirement'!BP4</f>
        <v/>
      </c>
      <c r="BS899">
        <f>'Grid_Requirement'!BQ4</f>
        <v/>
      </c>
      <c r="BT899">
        <f>'Grid_Requirement'!BR4</f>
        <v/>
      </c>
      <c r="BU899">
        <f>'Grid_Requirement'!BS4</f>
        <v/>
      </c>
      <c r="BV899">
        <f>'Grid_Requirement'!BT4</f>
        <v/>
      </c>
      <c r="BW899">
        <f>'Grid_Requirement'!BU4</f>
        <v/>
      </c>
      <c r="BX899">
        <f>'Grid_Requirement'!BV4</f>
        <v/>
      </c>
      <c r="BY899">
        <f>'Grid_Requirement'!BW4</f>
        <v/>
      </c>
      <c r="BZ899">
        <f>'Grid_Requirement'!BX4</f>
        <v/>
      </c>
      <c r="CA899">
        <f>'Grid_Requirement'!BY4</f>
        <v/>
      </c>
      <c r="CB899">
        <f>'Grid_Requirement'!BZ4</f>
        <v/>
      </c>
      <c r="CC899">
        <f>'Grid_Requirement'!CA4</f>
        <v/>
      </c>
      <c r="CD899">
        <f>'Grid_Requirement'!CB4</f>
        <v/>
      </c>
      <c r="CE899">
        <f>'Grid_Requirement'!CC4</f>
        <v/>
      </c>
      <c r="CF899">
        <f>'Grid_Requirement'!CD4</f>
        <v/>
      </c>
      <c r="CG899">
        <f>'Grid_Requirement'!CE4</f>
        <v/>
      </c>
      <c r="CH899">
        <f>'Grid_Requirement'!CF4</f>
        <v/>
      </c>
      <c r="CI899">
        <f>'Grid_Requirement'!CG4</f>
        <v/>
      </c>
      <c r="CJ899">
        <f>'Grid_Requirement'!CH4</f>
        <v/>
      </c>
      <c r="CK899">
        <f>'Grid_Requirement'!CI4</f>
        <v/>
      </c>
      <c r="CL899">
        <f>'Grid_Requirement'!CJ4</f>
        <v/>
      </c>
      <c r="CM899">
        <f>'Grid_Requirement'!CK4</f>
        <v/>
      </c>
      <c r="CN899">
        <f>'Grid_Requirement'!CL4</f>
        <v/>
      </c>
      <c r="CO899">
        <f>'Grid_Requirement'!CM4</f>
        <v/>
      </c>
      <c r="CP899">
        <f>'Grid_Requirement'!CN4</f>
        <v/>
      </c>
      <c r="CQ899">
        <f>'Grid_Requirement'!CO4</f>
        <v/>
      </c>
      <c r="CR899">
        <f>'Grid_Requirement'!CP4</f>
        <v/>
      </c>
      <c r="CS899">
        <f>'Grid_Requirement'!CQ4</f>
        <v/>
      </c>
      <c r="CT899">
        <f>'Grid_Requirement'!CR4</f>
        <v/>
      </c>
      <c r="CU899">
        <f>'Grid_Requirement'!CS4</f>
        <v/>
      </c>
      <c r="CV899">
        <f>'Grid_Requirement'!CT4</f>
        <v/>
      </c>
      <c r="CW899">
        <f>'Grid_Requirement'!CU4</f>
        <v/>
      </c>
      <c r="CX899">
        <f>'Grid_Requirement'!CV4</f>
        <v/>
      </c>
      <c r="CY899">
        <f>'Grid_Requirement'!CW4</f>
        <v/>
      </c>
      <c r="CZ899">
        <f>'Grid_Requirement'!CX4</f>
        <v/>
      </c>
      <c r="DA899">
        <f>'Grid_Requirement'!CY4</f>
        <v/>
      </c>
      <c r="DB899">
        <f>'Grid_Requirement'!CZ4</f>
        <v/>
      </c>
      <c r="DC899">
        <f>'Grid_Requirement'!DA4</f>
        <v/>
      </c>
    </row>
    <row r="900">
      <c r="B900" t="inlineStr">
        <is>
          <t>TTAF在庫(実績,kg)</t>
        </is>
      </c>
      <c r="D900">
        <f>'T_TTAFStock'!B8</f>
        <v/>
      </c>
      <c r="E900">
        <f>'T_TTAFStock'!C8</f>
        <v/>
      </c>
      <c r="F900">
        <f>'T_TTAFStock'!D8</f>
        <v/>
      </c>
      <c r="G900">
        <f>'T_TTAFStock'!E8</f>
        <v/>
      </c>
      <c r="H900">
        <f>'T_TTAFStock'!F8</f>
        <v/>
      </c>
      <c r="I900">
        <f>'T_TTAFStock'!G8</f>
        <v/>
      </c>
      <c r="J900">
        <f>'T_TTAFStock'!H8</f>
        <v/>
      </c>
      <c r="K900">
        <f>'T_TTAFStock'!I8</f>
        <v/>
      </c>
      <c r="L900">
        <f>'T_TTAFStock'!J8</f>
        <v/>
      </c>
      <c r="M900">
        <f>'T_TTAFStock'!K8</f>
        <v/>
      </c>
      <c r="N900">
        <f>'T_TTAFStock'!L8</f>
        <v/>
      </c>
      <c r="O900">
        <f>'T_TTAFStock'!M8</f>
        <v/>
      </c>
      <c r="P900">
        <f>'T_TTAFStock'!N8</f>
        <v/>
      </c>
      <c r="Q900">
        <f>'T_TTAFStock'!O8</f>
        <v/>
      </c>
      <c r="R900">
        <f>'T_TTAFStock'!P8</f>
        <v/>
      </c>
      <c r="S900">
        <f>'T_TTAFStock'!Q8</f>
        <v/>
      </c>
      <c r="T900">
        <f>'T_TTAFStock'!R8</f>
        <v/>
      </c>
      <c r="U900">
        <f>'T_TTAFStock'!S8</f>
        <v/>
      </c>
      <c r="V900">
        <f>'T_TTAFStock'!T8</f>
        <v/>
      </c>
      <c r="W900">
        <f>'T_TTAFStock'!U8</f>
        <v/>
      </c>
      <c r="X900">
        <f>'T_TTAFStock'!V8</f>
        <v/>
      </c>
      <c r="Y900">
        <f>'T_TTAFStock'!W8</f>
        <v/>
      </c>
      <c r="Z900">
        <f>'T_TTAFStock'!X8</f>
        <v/>
      </c>
      <c r="AA900">
        <f>'T_TTAFStock'!Y8</f>
        <v/>
      </c>
      <c r="AB900">
        <f>'T_TTAFStock'!Z8</f>
        <v/>
      </c>
      <c r="AC900">
        <f>'T_TTAFStock'!AA8</f>
        <v/>
      </c>
      <c r="AD900">
        <f>'T_TTAFStock'!AB8</f>
        <v/>
      </c>
      <c r="AE900">
        <f>'T_TTAFStock'!AC8</f>
        <v/>
      </c>
      <c r="AF900">
        <f>'T_TTAFStock'!AD8</f>
        <v/>
      </c>
      <c r="AG900">
        <f>'T_TTAFStock'!AE8</f>
        <v/>
      </c>
      <c r="AH900">
        <f>'T_TTAFStock'!AF8</f>
        <v/>
      </c>
      <c r="AI900">
        <f>'T_TTAFStock'!AG8</f>
        <v/>
      </c>
      <c r="AJ900">
        <f>'T_TTAFStock'!AH8</f>
        <v/>
      </c>
      <c r="AK900">
        <f>'T_TTAFStock'!AI8</f>
        <v/>
      </c>
      <c r="AL900">
        <f>'T_TTAFStock'!AJ8</f>
        <v/>
      </c>
      <c r="AM900">
        <f>'T_TTAFStock'!AK8</f>
        <v/>
      </c>
      <c r="AN900">
        <f>'T_TTAFStock'!AL8</f>
        <v/>
      </c>
      <c r="AO900">
        <f>'T_TTAFStock'!AM8</f>
        <v/>
      </c>
      <c r="AP900">
        <f>'T_TTAFStock'!AN8</f>
        <v/>
      </c>
      <c r="AQ900">
        <f>'T_TTAFStock'!AO8</f>
        <v/>
      </c>
      <c r="AR900">
        <f>'T_TTAFStock'!AP8</f>
        <v/>
      </c>
      <c r="AS900">
        <f>'T_TTAFStock'!AQ8</f>
        <v/>
      </c>
      <c r="AT900">
        <f>'T_TTAFStock'!AR8</f>
        <v/>
      </c>
      <c r="AU900">
        <f>'T_TTAFStock'!AS8</f>
        <v/>
      </c>
      <c r="AV900">
        <f>'T_TTAFStock'!AT8</f>
        <v/>
      </c>
      <c r="AW900">
        <f>'T_TTAFStock'!AU8</f>
        <v/>
      </c>
      <c r="AX900">
        <f>'T_TTAFStock'!AV8</f>
        <v/>
      </c>
      <c r="AY900">
        <f>'T_TTAFStock'!AW8</f>
        <v/>
      </c>
      <c r="AZ900">
        <f>'T_TTAFStock'!AX8</f>
        <v/>
      </c>
      <c r="BA900">
        <f>'T_TTAFStock'!AY8</f>
        <v/>
      </c>
      <c r="BB900">
        <f>'T_TTAFStock'!AZ8</f>
        <v/>
      </c>
      <c r="BC900">
        <f>'T_TTAFStock'!BA8</f>
        <v/>
      </c>
      <c r="BD900">
        <f>'T_TTAFStock'!BB8</f>
        <v/>
      </c>
      <c r="BE900">
        <f>'T_TTAFStock'!BC8</f>
        <v/>
      </c>
      <c r="BF900">
        <f>'T_TTAFStock'!BD8</f>
        <v/>
      </c>
      <c r="BG900">
        <f>'T_TTAFStock'!BE8</f>
        <v/>
      </c>
      <c r="BH900">
        <f>'T_TTAFStock'!BF8</f>
        <v/>
      </c>
      <c r="BI900">
        <f>'T_TTAFStock'!BG8</f>
        <v/>
      </c>
      <c r="BJ900">
        <f>'T_TTAFStock'!BH8</f>
        <v/>
      </c>
      <c r="BK900">
        <f>'T_TTAFStock'!BI8</f>
        <v/>
      </c>
      <c r="BL900">
        <f>'T_TTAFStock'!BJ8</f>
        <v/>
      </c>
      <c r="BM900">
        <f>'T_TTAFStock'!BK8</f>
        <v/>
      </c>
      <c r="BN900">
        <f>'T_TTAFStock'!BL8</f>
        <v/>
      </c>
      <c r="BO900">
        <f>'T_TTAFStock'!BM8</f>
        <v/>
      </c>
      <c r="BP900">
        <f>'T_TTAFStock'!BN8</f>
        <v/>
      </c>
      <c r="BQ900">
        <f>'T_TTAFStock'!BO8</f>
        <v/>
      </c>
      <c r="BR900">
        <f>'T_TTAFStock'!BP8</f>
        <v/>
      </c>
      <c r="BS900">
        <f>'T_TTAFStock'!BQ8</f>
        <v/>
      </c>
      <c r="BT900">
        <f>'T_TTAFStock'!BR8</f>
        <v/>
      </c>
      <c r="BU900">
        <f>'T_TTAFStock'!BS8</f>
        <v/>
      </c>
      <c r="BV900">
        <f>'T_TTAFStock'!BT8</f>
        <v/>
      </c>
      <c r="BW900">
        <f>'T_TTAFStock'!BU8</f>
        <v/>
      </c>
      <c r="BX900">
        <f>'T_TTAFStock'!BV8</f>
        <v/>
      </c>
      <c r="BY900">
        <f>'T_TTAFStock'!BW8</f>
        <v/>
      </c>
      <c r="BZ900">
        <f>'T_TTAFStock'!BX8</f>
        <v/>
      </c>
      <c r="CA900">
        <f>'T_TTAFStock'!BY8</f>
        <v/>
      </c>
      <c r="CB900">
        <f>'T_TTAFStock'!BZ8</f>
        <v/>
      </c>
      <c r="CC900">
        <f>'T_TTAFStock'!CA8</f>
        <v/>
      </c>
      <c r="CD900">
        <f>'T_TTAFStock'!CB8</f>
        <v/>
      </c>
      <c r="CE900">
        <f>'T_TTAFStock'!CC8</f>
        <v/>
      </c>
      <c r="CF900">
        <f>'T_TTAFStock'!CD8</f>
        <v/>
      </c>
      <c r="CG900">
        <f>'T_TTAFStock'!CE8</f>
        <v/>
      </c>
      <c r="CH900">
        <f>'T_TTAFStock'!CF8</f>
        <v/>
      </c>
      <c r="CI900">
        <f>'T_TTAFStock'!CG8</f>
        <v/>
      </c>
      <c r="CJ900">
        <f>'T_TTAFStock'!CH8</f>
        <v/>
      </c>
      <c r="CK900">
        <f>'T_TTAFStock'!CI8</f>
        <v/>
      </c>
      <c r="CL900">
        <f>'T_TTAFStock'!CJ8</f>
        <v/>
      </c>
      <c r="CM900">
        <f>'T_TTAFStock'!CK8</f>
        <v/>
      </c>
      <c r="CN900">
        <f>'T_TTAFStock'!CL8</f>
        <v/>
      </c>
      <c r="CO900">
        <f>'T_TTAFStock'!CM8</f>
        <v/>
      </c>
      <c r="CP900">
        <f>'T_TTAFStock'!CN8</f>
        <v/>
      </c>
      <c r="CQ900">
        <f>'T_TTAFStock'!CO8</f>
        <v/>
      </c>
      <c r="CR900">
        <f>'T_TTAFStock'!CP8</f>
        <v/>
      </c>
      <c r="CS900">
        <f>'T_TTAFStock'!CQ8</f>
        <v/>
      </c>
      <c r="CT900">
        <f>'T_TTAFStock'!CR8</f>
        <v/>
      </c>
      <c r="CU900">
        <f>'T_TTAFStock'!CS8</f>
        <v/>
      </c>
      <c r="CV900">
        <f>'T_TTAFStock'!CT8</f>
        <v/>
      </c>
      <c r="CW900">
        <f>'T_TTAFStock'!CU8</f>
        <v/>
      </c>
      <c r="CX900">
        <f>'T_TTAFStock'!CV8</f>
        <v/>
      </c>
      <c r="CY900">
        <f>'T_TTAFStock'!CW8</f>
        <v/>
      </c>
      <c r="CZ900">
        <f>'T_TTAFStock'!CX8</f>
        <v/>
      </c>
      <c r="DA900">
        <f>'T_TTAFStock'!CY8</f>
        <v/>
      </c>
      <c r="DB900">
        <f>'T_TTAFStock'!CZ8</f>
        <v/>
      </c>
      <c r="DC900">
        <f>'T_TTAFStock'!DA8</f>
        <v/>
      </c>
    </row>
    <row r="901">
      <c r="B901" t="inlineStr">
        <is>
          <t>自社在庫(実績,kg)</t>
        </is>
      </c>
      <c r="D901">
        <f>'T_SelfStock'!B8</f>
        <v/>
      </c>
      <c r="E901">
        <f>'T_SelfStock'!C8</f>
        <v/>
      </c>
      <c r="F901">
        <f>'T_SelfStock'!D8</f>
        <v/>
      </c>
      <c r="G901">
        <f>'T_SelfStock'!E8</f>
        <v/>
      </c>
      <c r="H901">
        <f>'T_SelfStock'!F8</f>
        <v/>
      </c>
      <c r="I901">
        <f>'T_SelfStock'!G8</f>
        <v/>
      </c>
      <c r="J901">
        <f>'T_SelfStock'!H8</f>
        <v/>
      </c>
      <c r="K901">
        <f>'T_SelfStock'!I8</f>
        <v/>
      </c>
      <c r="L901">
        <f>'T_SelfStock'!J8</f>
        <v/>
      </c>
      <c r="M901">
        <f>'T_SelfStock'!K8</f>
        <v/>
      </c>
      <c r="N901">
        <f>'T_SelfStock'!L8</f>
        <v/>
      </c>
      <c r="O901">
        <f>'T_SelfStock'!M8</f>
        <v/>
      </c>
      <c r="P901">
        <f>'T_SelfStock'!N8</f>
        <v/>
      </c>
      <c r="Q901">
        <f>'T_SelfStock'!O8</f>
        <v/>
      </c>
      <c r="R901">
        <f>'T_SelfStock'!P8</f>
        <v/>
      </c>
      <c r="S901">
        <f>'T_SelfStock'!Q8</f>
        <v/>
      </c>
      <c r="T901">
        <f>'T_SelfStock'!R8</f>
        <v/>
      </c>
      <c r="U901">
        <f>'T_SelfStock'!S8</f>
        <v/>
      </c>
      <c r="V901">
        <f>'T_SelfStock'!T8</f>
        <v/>
      </c>
      <c r="W901">
        <f>'T_SelfStock'!U8</f>
        <v/>
      </c>
      <c r="X901">
        <f>'T_SelfStock'!V8</f>
        <v/>
      </c>
      <c r="Y901">
        <f>'T_SelfStock'!W8</f>
        <v/>
      </c>
      <c r="Z901">
        <f>'T_SelfStock'!X8</f>
        <v/>
      </c>
      <c r="AA901">
        <f>'T_SelfStock'!Y8</f>
        <v/>
      </c>
      <c r="AB901">
        <f>'T_SelfStock'!Z8</f>
        <v/>
      </c>
      <c r="AC901">
        <f>'T_SelfStock'!AA8</f>
        <v/>
      </c>
      <c r="AD901">
        <f>'T_SelfStock'!AB8</f>
        <v/>
      </c>
      <c r="AE901">
        <f>'T_SelfStock'!AC8</f>
        <v/>
      </c>
      <c r="AF901">
        <f>'T_SelfStock'!AD8</f>
        <v/>
      </c>
      <c r="AG901">
        <f>'T_SelfStock'!AE8</f>
        <v/>
      </c>
      <c r="AH901">
        <f>'T_SelfStock'!AF8</f>
        <v/>
      </c>
      <c r="AI901">
        <f>'T_SelfStock'!AG8</f>
        <v/>
      </c>
      <c r="AJ901">
        <f>'T_SelfStock'!AH8</f>
        <v/>
      </c>
      <c r="AK901">
        <f>'T_SelfStock'!AI8</f>
        <v/>
      </c>
      <c r="AL901">
        <f>'T_SelfStock'!AJ8</f>
        <v/>
      </c>
      <c r="AM901">
        <f>'T_SelfStock'!AK8</f>
        <v/>
      </c>
      <c r="AN901">
        <f>'T_SelfStock'!AL8</f>
        <v/>
      </c>
      <c r="AO901">
        <f>'T_SelfStock'!AM8</f>
        <v/>
      </c>
      <c r="AP901">
        <f>'T_SelfStock'!AN8</f>
        <v/>
      </c>
      <c r="AQ901">
        <f>'T_SelfStock'!AO8</f>
        <v/>
      </c>
      <c r="AR901">
        <f>'T_SelfStock'!AP8</f>
        <v/>
      </c>
      <c r="AS901">
        <f>'T_SelfStock'!AQ8</f>
        <v/>
      </c>
      <c r="AT901">
        <f>'T_SelfStock'!AR8</f>
        <v/>
      </c>
      <c r="AU901">
        <f>'T_SelfStock'!AS8</f>
        <v/>
      </c>
      <c r="AV901">
        <f>'T_SelfStock'!AT8</f>
        <v/>
      </c>
      <c r="AW901">
        <f>'T_SelfStock'!AU8</f>
        <v/>
      </c>
      <c r="AX901">
        <f>'T_SelfStock'!AV8</f>
        <v/>
      </c>
      <c r="AY901">
        <f>'T_SelfStock'!AW8</f>
        <v/>
      </c>
      <c r="AZ901">
        <f>'T_SelfStock'!AX8</f>
        <v/>
      </c>
      <c r="BA901">
        <f>'T_SelfStock'!AY8</f>
        <v/>
      </c>
      <c r="BB901">
        <f>'T_SelfStock'!AZ8</f>
        <v/>
      </c>
      <c r="BC901">
        <f>'T_SelfStock'!BA8</f>
        <v/>
      </c>
      <c r="BD901">
        <f>'T_SelfStock'!BB8</f>
        <v/>
      </c>
      <c r="BE901">
        <f>'T_SelfStock'!BC8</f>
        <v/>
      </c>
      <c r="BF901">
        <f>'T_SelfStock'!BD8</f>
        <v/>
      </c>
      <c r="BG901">
        <f>'T_SelfStock'!BE8</f>
        <v/>
      </c>
      <c r="BH901">
        <f>'T_SelfStock'!BF8</f>
        <v/>
      </c>
      <c r="BI901">
        <f>'T_SelfStock'!BG8</f>
        <v/>
      </c>
      <c r="BJ901">
        <f>'T_SelfStock'!BH8</f>
        <v/>
      </c>
      <c r="BK901">
        <f>'T_SelfStock'!BI8</f>
        <v/>
      </c>
      <c r="BL901">
        <f>'T_SelfStock'!BJ8</f>
        <v/>
      </c>
      <c r="BM901">
        <f>'T_SelfStock'!BK8</f>
        <v/>
      </c>
      <c r="BN901">
        <f>'T_SelfStock'!BL8</f>
        <v/>
      </c>
      <c r="BO901">
        <f>'T_SelfStock'!BM8</f>
        <v/>
      </c>
      <c r="BP901">
        <f>'T_SelfStock'!BN8</f>
        <v/>
      </c>
      <c r="BQ901">
        <f>'T_SelfStock'!BO8</f>
        <v/>
      </c>
      <c r="BR901">
        <f>'T_SelfStock'!BP8</f>
        <v/>
      </c>
      <c r="BS901">
        <f>'T_SelfStock'!BQ8</f>
        <v/>
      </c>
      <c r="BT901">
        <f>'T_SelfStock'!BR8</f>
        <v/>
      </c>
      <c r="BU901">
        <f>'T_SelfStock'!BS8</f>
        <v/>
      </c>
      <c r="BV901">
        <f>'T_SelfStock'!BT8</f>
        <v/>
      </c>
      <c r="BW901">
        <f>'T_SelfStock'!BU8</f>
        <v/>
      </c>
      <c r="BX901">
        <f>'T_SelfStock'!BV8</f>
        <v/>
      </c>
      <c r="BY901">
        <f>'T_SelfStock'!BW8</f>
        <v/>
      </c>
      <c r="BZ901">
        <f>'T_SelfStock'!BX8</f>
        <v/>
      </c>
      <c r="CA901">
        <f>'T_SelfStock'!BY8</f>
        <v/>
      </c>
      <c r="CB901">
        <f>'T_SelfStock'!BZ8</f>
        <v/>
      </c>
      <c r="CC901">
        <f>'T_SelfStock'!CA8</f>
        <v/>
      </c>
      <c r="CD901">
        <f>'T_SelfStock'!CB8</f>
        <v/>
      </c>
      <c r="CE901">
        <f>'T_SelfStock'!CC8</f>
        <v/>
      </c>
      <c r="CF901">
        <f>'T_SelfStock'!CD8</f>
        <v/>
      </c>
      <c r="CG901">
        <f>'T_SelfStock'!CE8</f>
        <v/>
      </c>
      <c r="CH901">
        <f>'T_SelfStock'!CF8</f>
        <v/>
      </c>
      <c r="CI901">
        <f>'T_SelfStock'!CG8</f>
        <v/>
      </c>
      <c r="CJ901">
        <f>'T_SelfStock'!CH8</f>
        <v/>
      </c>
      <c r="CK901">
        <f>'T_SelfStock'!CI8</f>
        <v/>
      </c>
      <c r="CL901">
        <f>'T_SelfStock'!CJ8</f>
        <v/>
      </c>
      <c r="CM901">
        <f>'T_SelfStock'!CK8</f>
        <v/>
      </c>
      <c r="CN901">
        <f>'T_SelfStock'!CL8</f>
        <v/>
      </c>
      <c r="CO901">
        <f>'T_SelfStock'!CM8</f>
        <v/>
      </c>
      <c r="CP901">
        <f>'T_SelfStock'!CN8</f>
        <v/>
      </c>
      <c r="CQ901">
        <f>'T_SelfStock'!CO8</f>
        <v/>
      </c>
      <c r="CR901">
        <f>'T_SelfStock'!CP8</f>
        <v/>
      </c>
      <c r="CS901">
        <f>'T_SelfStock'!CQ8</f>
        <v/>
      </c>
      <c r="CT901">
        <f>'T_SelfStock'!CR8</f>
        <v/>
      </c>
      <c r="CU901">
        <f>'T_SelfStock'!CS8</f>
        <v/>
      </c>
      <c r="CV901">
        <f>'T_SelfStock'!CT8</f>
        <v/>
      </c>
      <c r="CW901">
        <f>'T_SelfStock'!CU8</f>
        <v/>
      </c>
      <c r="CX901">
        <f>'T_SelfStock'!CV8</f>
        <v/>
      </c>
      <c r="CY901">
        <f>'T_SelfStock'!CW8</f>
        <v/>
      </c>
      <c r="CZ901">
        <f>'T_SelfStock'!CX8</f>
        <v/>
      </c>
      <c r="DA901">
        <f>'T_SelfStock'!CY8</f>
        <v/>
      </c>
      <c r="DB901">
        <f>'T_SelfStock'!CZ8</f>
        <v/>
      </c>
      <c r="DC901">
        <f>'T_SelfStock'!DA8</f>
        <v/>
      </c>
    </row>
    <row r="902">
      <c r="B902" s="4" t="inlineStr">
        <is>
          <t>合計在庫(週末時点,kg)</t>
        </is>
      </c>
      <c r="D902">
        <f>'Grid_Stock'!B4</f>
        <v/>
      </c>
      <c r="E902">
        <f>'Grid_Stock'!C4</f>
        <v/>
      </c>
      <c r="F902">
        <f>'Grid_Stock'!D4</f>
        <v/>
      </c>
      <c r="G902">
        <f>'Grid_Stock'!E4</f>
        <v/>
      </c>
      <c r="H902">
        <f>'Grid_Stock'!F4</f>
        <v/>
      </c>
      <c r="I902">
        <f>'Grid_Stock'!G4</f>
        <v/>
      </c>
      <c r="J902">
        <f>'Grid_Stock'!H4</f>
        <v/>
      </c>
      <c r="K902">
        <f>'Grid_Stock'!I4</f>
        <v/>
      </c>
      <c r="L902">
        <f>'Grid_Stock'!J4</f>
        <v/>
      </c>
      <c r="M902">
        <f>'Grid_Stock'!K4</f>
        <v/>
      </c>
      <c r="N902">
        <f>'Grid_Stock'!L4</f>
        <v/>
      </c>
      <c r="O902">
        <f>'Grid_Stock'!M4</f>
        <v/>
      </c>
      <c r="P902">
        <f>'Grid_Stock'!N4</f>
        <v/>
      </c>
      <c r="Q902">
        <f>'Grid_Stock'!O4</f>
        <v/>
      </c>
      <c r="R902">
        <f>'Grid_Stock'!P4</f>
        <v/>
      </c>
      <c r="S902">
        <f>'Grid_Stock'!Q4</f>
        <v/>
      </c>
      <c r="T902">
        <f>'Grid_Stock'!R4</f>
        <v/>
      </c>
      <c r="U902">
        <f>'Grid_Stock'!S4</f>
        <v/>
      </c>
      <c r="V902">
        <f>'Grid_Stock'!T4</f>
        <v/>
      </c>
      <c r="W902">
        <f>'Grid_Stock'!U4</f>
        <v/>
      </c>
      <c r="X902">
        <f>'Grid_Stock'!V4</f>
        <v/>
      </c>
      <c r="Y902">
        <f>'Grid_Stock'!W4</f>
        <v/>
      </c>
      <c r="Z902">
        <f>'Grid_Stock'!X4</f>
        <v/>
      </c>
      <c r="AA902">
        <f>'Grid_Stock'!Y4</f>
        <v/>
      </c>
      <c r="AB902">
        <f>'Grid_Stock'!Z4</f>
        <v/>
      </c>
      <c r="AC902">
        <f>'Grid_Stock'!AA4</f>
        <v/>
      </c>
      <c r="AD902">
        <f>'Grid_Stock'!AB4</f>
        <v/>
      </c>
      <c r="AE902">
        <f>'Grid_Stock'!AC4</f>
        <v/>
      </c>
      <c r="AF902">
        <f>'Grid_Stock'!AD4</f>
        <v/>
      </c>
      <c r="AG902">
        <f>'Grid_Stock'!AE4</f>
        <v/>
      </c>
      <c r="AH902">
        <f>'Grid_Stock'!AF4</f>
        <v/>
      </c>
      <c r="AI902">
        <f>'Grid_Stock'!AG4</f>
        <v/>
      </c>
      <c r="AJ902">
        <f>'Grid_Stock'!AH4</f>
        <v/>
      </c>
      <c r="AK902">
        <f>'Grid_Stock'!AI4</f>
        <v/>
      </c>
      <c r="AL902">
        <f>'Grid_Stock'!AJ4</f>
        <v/>
      </c>
      <c r="AM902">
        <f>'Grid_Stock'!AK4</f>
        <v/>
      </c>
      <c r="AN902">
        <f>'Grid_Stock'!AL4</f>
        <v/>
      </c>
      <c r="AO902">
        <f>'Grid_Stock'!AM4</f>
        <v/>
      </c>
      <c r="AP902">
        <f>'Grid_Stock'!AN4</f>
        <v/>
      </c>
      <c r="AQ902">
        <f>'Grid_Stock'!AO4</f>
        <v/>
      </c>
      <c r="AR902">
        <f>'Grid_Stock'!AP4</f>
        <v/>
      </c>
      <c r="AS902">
        <f>'Grid_Stock'!AQ4</f>
        <v/>
      </c>
      <c r="AT902">
        <f>'Grid_Stock'!AR4</f>
        <v/>
      </c>
      <c r="AU902">
        <f>'Grid_Stock'!AS4</f>
        <v/>
      </c>
      <c r="AV902">
        <f>'Grid_Stock'!AT4</f>
        <v/>
      </c>
      <c r="AW902">
        <f>'Grid_Stock'!AU4</f>
        <v/>
      </c>
      <c r="AX902">
        <f>'Grid_Stock'!AV4</f>
        <v/>
      </c>
      <c r="AY902">
        <f>'Grid_Stock'!AW4</f>
        <v/>
      </c>
      <c r="AZ902">
        <f>'Grid_Stock'!AX4</f>
        <v/>
      </c>
      <c r="BA902">
        <f>'Grid_Stock'!AY4</f>
        <v/>
      </c>
      <c r="BB902">
        <f>'Grid_Stock'!AZ4</f>
        <v/>
      </c>
      <c r="BC902">
        <f>'Grid_Stock'!BA4</f>
        <v/>
      </c>
      <c r="BD902">
        <f>'Grid_Stock'!BB4</f>
        <v/>
      </c>
      <c r="BE902">
        <f>'Grid_Stock'!BC4</f>
        <v/>
      </c>
      <c r="BF902">
        <f>'Grid_Stock'!BD4</f>
        <v/>
      </c>
      <c r="BG902">
        <f>'Grid_Stock'!BE4</f>
        <v/>
      </c>
      <c r="BH902">
        <f>'Grid_Stock'!BF4</f>
        <v/>
      </c>
      <c r="BI902">
        <f>'Grid_Stock'!BG4</f>
        <v/>
      </c>
      <c r="BJ902">
        <f>'Grid_Stock'!BH4</f>
        <v/>
      </c>
      <c r="BK902">
        <f>'Grid_Stock'!BI4</f>
        <v/>
      </c>
      <c r="BL902">
        <f>'Grid_Stock'!BJ4</f>
        <v/>
      </c>
      <c r="BM902">
        <f>'Grid_Stock'!BK4</f>
        <v/>
      </c>
      <c r="BN902">
        <f>'Grid_Stock'!BL4</f>
        <v/>
      </c>
      <c r="BO902">
        <f>'Grid_Stock'!BM4</f>
        <v/>
      </c>
      <c r="BP902">
        <f>'Grid_Stock'!BN4</f>
        <v/>
      </c>
      <c r="BQ902">
        <f>'Grid_Stock'!BO4</f>
        <v/>
      </c>
      <c r="BR902">
        <f>'Grid_Stock'!BP4</f>
        <v/>
      </c>
      <c r="BS902">
        <f>'Grid_Stock'!BQ4</f>
        <v/>
      </c>
      <c r="BT902">
        <f>'Grid_Stock'!BR4</f>
        <v/>
      </c>
      <c r="BU902">
        <f>'Grid_Stock'!BS4</f>
        <v/>
      </c>
      <c r="BV902">
        <f>'Grid_Stock'!BT4</f>
        <v/>
      </c>
      <c r="BW902">
        <f>'Grid_Stock'!BU4</f>
        <v/>
      </c>
      <c r="BX902">
        <f>'Grid_Stock'!BV4</f>
        <v/>
      </c>
      <c r="BY902">
        <f>'Grid_Stock'!BW4</f>
        <v/>
      </c>
      <c r="BZ902">
        <f>'Grid_Stock'!BX4</f>
        <v/>
      </c>
      <c r="CA902">
        <f>'Grid_Stock'!BY4</f>
        <v/>
      </c>
      <c r="CB902">
        <f>'Grid_Stock'!BZ4</f>
        <v/>
      </c>
      <c r="CC902">
        <f>'Grid_Stock'!CA4</f>
        <v/>
      </c>
      <c r="CD902">
        <f>'Grid_Stock'!CB4</f>
        <v/>
      </c>
      <c r="CE902">
        <f>'Grid_Stock'!CC4</f>
        <v/>
      </c>
      <c r="CF902">
        <f>'Grid_Stock'!CD4</f>
        <v/>
      </c>
      <c r="CG902">
        <f>'Grid_Stock'!CE4</f>
        <v/>
      </c>
      <c r="CH902">
        <f>'Grid_Stock'!CF4</f>
        <v/>
      </c>
      <c r="CI902">
        <f>'Grid_Stock'!CG4</f>
        <v/>
      </c>
      <c r="CJ902">
        <f>'Grid_Stock'!CH4</f>
        <v/>
      </c>
      <c r="CK902">
        <f>'Grid_Stock'!CI4</f>
        <v/>
      </c>
      <c r="CL902">
        <f>'Grid_Stock'!CJ4</f>
        <v/>
      </c>
      <c r="CM902">
        <f>'Grid_Stock'!CK4</f>
        <v/>
      </c>
      <c r="CN902">
        <f>'Grid_Stock'!CL4</f>
        <v/>
      </c>
      <c r="CO902">
        <f>'Grid_Stock'!CM4</f>
        <v/>
      </c>
      <c r="CP902">
        <f>'Grid_Stock'!CN4</f>
        <v/>
      </c>
      <c r="CQ902">
        <f>'Grid_Stock'!CO4</f>
        <v/>
      </c>
      <c r="CR902">
        <f>'Grid_Stock'!CP4</f>
        <v/>
      </c>
      <c r="CS902">
        <f>'Grid_Stock'!CQ4</f>
        <v/>
      </c>
      <c r="CT902">
        <f>'Grid_Stock'!CR4</f>
        <v/>
      </c>
      <c r="CU902">
        <f>'Grid_Stock'!CS4</f>
        <v/>
      </c>
      <c r="CV902">
        <f>'Grid_Stock'!CT4</f>
        <v/>
      </c>
      <c r="CW902">
        <f>'Grid_Stock'!CU4</f>
        <v/>
      </c>
      <c r="CX902">
        <f>'Grid_Stock'!CV4</f>
        <v/>
      </c>
      <c r="CY902">
        <f>'Grid_Stock'!CW4</f>
        <v/>
      </c>
      <c r="CZ902">
        <f>'Grid_Stock'!CX4</f>
        <v/>
      </c>
      <c r="DA902">
        <f>'Grid_Stock'!CY4</f>
        <v/>
      </c>
      <c r="DB902">
        <f>'Grid_Stock'!CZ4</f>
        <v/>
      </c>
      <c r="DC902">
        <f>'Grid_Stock'!DA4</f>
        <v/>
      </c>
    </row>
    <row r="903">
      <c r="B903" s="16" t="inlineStr">
        <is>
          <t>（発注の目安はDashboardの基準在庫[下限/上限]と色分けを参照）</t>
        </is>
      </c>
    </row>
    <row r="905">
      <c r="A905" s="14" t="inlineStr">
        <is>
          <t>CHEM-1720</t>
        </is>
      </c>
      <c r="B905" s="14" t="inlineStr">
        <is>
          <t>CeZr oxide(TPZ-868)</t>
        </is>
      </c>
      <c r="C905" s="15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  <c r="AA905" s="14" t="n"/>
      <c r="AB905" s="14" t="n"/>
      <c r="AC905" s="14" t="n"/>
      <c r="AD905" s="14" t="n"/>
      <c r="AE905" s="14" t="n"/>
      <c r="AF905" s="14" t="n"/>
      <c r="AG905" s="14" t="n"/>
      <c r="AH905" s="14" t="n"/>
      <c r="AI905" s="14" t="n"/>
      <c r="AJ905" s="14" t="n"/>
      <c r="AK905" s="14" t="n"/>
      <c r="AL905" s="14" t="n"/>
      <c r="AM905" s="14" t="n"/>
      <c r="AN905" s="14" t="n"/>
      <c r="AO905" s="14" t="n"/>
      <c r="AP905" s="14" t="n"/>
      <c r="AQ905" s="14" t="n"/>
      <c r="AR905" s="14" t="n"/>
      <c r="AS905" s="14" t="n"/>
      <c r="AT905" s="14" t="n"/>
      <c r="AU905" s="14" t="n"/>
      <c r="AV905" s="14" t="n"/>
      <c r="AW905" s="14" t="n"/>
      <c r="AX905" s="14" t="n"/>
      <c r="AY905" s="14" t="n"/>
      <c r="AZ905" s="14" t="n"/>
      <c r="BA905" s="14" t="n"/>
      <c r="BB905" s="14" t="n"/>
      <c r="BC905" s="14" t="n"/>
      <c r="BD905" s="14" t="n"/>
      <c r="BE905" s="14" t="n"/>
      <c r="BF905" s="14" t="n"/>
      <c r="BG905" s="14" t="n"/>
      <c r="BH905" s="14" t="n"/>
      <c r="BI905" s="14" t="n"/>
      <c r="BJ905" s="14" t="n"/>
      <c r="BK905" s="14" t="n"/>
      <c r="BL905" s="14" t="n"/>
      <c r="BM905" s="14" t="n"/>
      <c r="BN905" s="14" t="n"/>
      <c r="BO905" s="14" t="n"/>
      <c r="BP905" s="14" t="n"/>
      <c r="BQ905" s="14" t="n"/>
      <c r="BR905" s="14" t="n"/>
      <c r="BS905" s="14" t="n"/>
      <c r="BT905" s="14" t="n"/>
      <c r="BU905" s="14" t="n"/>
      <c r="BV905" s="14" t="n"/>
      <c r="BW905" s="14" t="n"/>
      <c r="BX905" s="14" t="n"/>
      <c r="BY905" s="14" t="n"/>
      <c r="BZ905" s="14" t="n"/>
      <c r="CA905" s="14" t="n"/>
      <c r="CB905" s="14" t="n"/>
      <c r="CC905" s="14" t="n"/>
      <c r="CD905" s="14" t="n"/>
      <c r="CE905" s="14" t="n"/>
      <c r="CF905" s="14" t="n"/>
      <c r="CG905" s="14" t="n"/>
      <c r="CH905" s="14" t="n"/>
      <c r="CI905" s="14" t="n"/>
      <c r="CJ905" s="14" t="n"/>
      <c r="CK905" s="14" t="n"/>
      <c r="CL905" s="14" t="n"/>
      <c r="CM905" s="14" t="n"/>
      <c r="CN905" s="14" t="n"/>
      <c r="CO905" s="14" t="n"/>
      <c r="CP905" s="14" t="n"/>
      <c r="CQ905" s="14" t="n"/>
      <c r="CR905" s="14" t="n"/>
      <c r="CS905" s="14" t="n"/>
      <c r="CT905" s="14" t="n"/>
      <c r="CU905" s="14" t="n"/>
      <c r="CV905" s="14" t="n"/>
      <c r="CW905" s="14" t="n"/>
      <c r="CX905" s="14" t="n"/>
      <c r="CY905" s="14" t="n"/>
      <c r="CZ905" s="14" t="n"/>
      <c r="DA905" s="14" t="n"/>
      <c r="DB905" s="14" t="n"/>
      <c r="DC905" s="14" t="n"/>
    </row>
    <row r="906">
      <c r="B906" t="inlineStr">
        <is>
          <t>TSP-927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Name],$A905)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TSP-928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Name],$A905)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TSP-929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TSP-930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7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Name],$A905)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TSP-936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7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Name],$A905)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TSP-937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7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Name],$A905)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TSP-1444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7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Name],$A905)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TSP-1448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Name],$A905)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TSP-1445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TSP-1446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TSP-1449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TSP-1499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4" t="inlineStr">
        <is>
          <t>合計使用量(kg)/週</t>
        </is>
      </c>
      <c r="D934">
        <f>'Grid_Requirement'!B9</f>
        <v/>
      </c>
      <c r="E934">
        <f>'Grid_Requirement'!C9</f>
        <v/>
      </c>
      <c r="F934">
        <f>'Grid_Requirement'!D9</f>
        <v/>
      </c>
      <c r="G934">
        <f>'Grid_Requirement'!E9</f>
        <v/>
      </c>
      <c r="H934">
        <f>'Grid_Requirement'!F9</f>
        <v/>
      </c>
      <c r="I934">
        <f>'Grid_Requirement'!G9</f>
        <v/>
      </c>
      <c r="J934">
        <f>'Grid_Requirement'!H9</f>
        <v/>
      </c>
      <c r="K934">
        <f>'Grid_Requirement'!I9</f>
        <v/>
      </c>
      <c r="L934">
        <f>'Grid_Requirement'!J9</f>
        <v/>
      </c>
      <c r="M934">
        <f>'Grid_Requirement'!K9</f>
        <v/>
      </c>
      <c r="N934">
        <f>'Grid_Requirement'!L9</f>
        <v/>
      </c>
      <c r="O934">
        <f>'Grid_Requirement'!M9</f>
        <v/>
      </c>
      <c r="P934">
        <f>'Grid_Requirement'!N9</f>
        <v/>
      </c>
      <c r="Q934">
        <f>'Grid_Requirement'!O9</f>
        <v/>
      </c>
      <c r="R934">
        <f>'Grid_Requirement'!P9</f>
        <v/>
      </c>
      <c r="S934">
        <f>'Grid_Requirement'!Q9</f>
        <v/>
      </c>
      <c r="T934">
        <f>'Grid_Requirement'!R9</f>
        <v/>
      </c>
      <c r="U934">
        <f>'Grid_Requirement'!S9</f>
        <v/>
      </c>
      <c r="V934">
        <f>'Grid_Requirement'!T9</f>
        <v/>
      </c>
      <c r="W934">
        <f>'Grid_Requirement'!U9</f>
        <v/>
      </c>
      <c r="X934">
        <f>'Grid_Requirement'!V9</f>
        <v/>
      </c>
      <c r="Y934">
        <f>'Grid_Requirement'!W9</f>
        <v/>
      </c>
      <c r="Z934">
        <f>'Grid_Requirement'!X9</f>
        <v/>
      </c>
      <c r="AA934">
        <f>'Grid_Requirement'!Y9</f>
        <v/>
      </c>
      <c r="AB934">
        <f>'Grid_Requirement'!Z9</f>
        <v/>
      </c>
      <c r="AC934">
        <f>'Grid_Requirement'!AA9</f>
        <v/>
      </c>
      <c r="AD934">
        <f>'Grid_Requirement'!AB9</f>
        <v/>
      </c>
      <c r="AE934">
        <f>'Grid_Requirement'!AC9</f>
        <v/>
      </c>
      <c r="AF934">
        <f>'Grid_Requirement'!AD9</f>
        <v/>
      </c>
      <c r="AG934">
        <f>'Grid_Requirement'!AE9</f>
        <v/>
      </c>
      <c r="AH934">
        <f>'Grid_Requirement'!AF9</f>
        <v/>
      </c>
      <c r="AI934">
        <f>'Grid_Requirement'!AG9</f>
        <v/>
      </c>
      <c r="AJ934">
        <f>'Grid_Requirement'!AH9</f>
        <v/>
      </c>
      <c r="AK934">
        <f>'Grid_Requirement'!AI9</f>
        <v/>
      </c>
      <c r="AL934">
        <f>'Grid_Requirement'!AJ9</f>
        <v/>
      </c>
      <c r="AM934">
        <f>'Grid_Requirement'!AK9</f>
        <v/>
      </c>
      <c r="AN934">
        <f>'Grid_Requirement'!AL9</f>
        <v/>
      </c>
      <c r="AO934">
        <f>'Grid_Requirement'!AM9</f>
        <v/>
      </c>
      <c r="AP934">
        <f>'Grid_Requirement'!AN9</f>
        <v/>
      </c>
      <c r="AQ934">
        <f>'Grid_Requirement'!AO9</f>
        <v/>
      </c>
      <c r="AR934">
        <f>'Grid_Requirement'!AP9</f>
        <v/>
      </c>
      <c r="AS934">
        <f>'Grid_Requirement'!AQ9</f>
        <v/>
      </c>
      <c r="AT934">
        <f>'Grid_Requirement'!AR9</f>
        <v/>
      </c>
      <c r="AU934">
        <f>'Grid_Requirement'!AS9</f>
        <v/>
      </c>
      <c r="AV934">
        <f>'Grid_Requirement'!AT9</f>
        <v/>
      </c>
      <c r="AW934">
        <f>'Grid_Requirement'!AU9</f>
        <v/>
      </c>
      <c r="AX934">
        <f>'Grid_Requirement'!AV9</f>
        <v/>
      </c>
      <c r="AY934">
        <f>'Grid_Requirement'!AW9</f>
        <v/>
      </c>
      <c r="AZ934">
        <f>'Grid_Requirement'!AX9</f>
        <v/>
      </c>
      <c r="BA934">
        <f>'Grid_Requirement'!AY9</f>
        <v/>
      </c>
      <c r="BB934">
        <f>'Grid_Requirement'!AZ9</f>
        <v/>
      </c>
      <c r="BC934">
        <f>'Grid_Requirement'!BA9</f>
        <v/>
      </c>
      <c r="BD934">
        <f>'Grid_Requirement'!BB9</f>
        <v/>
      </c>
      <c r="BE934">
        <f>'Grid_Requirement'!BC9</f>
        <v/>
      </c>
      <c r="BF934">
        <f>'Grid_Requirement'!BD9</f>
        <v/>
      </c>
      <c r="BG934">
        <f>'Grid_Requirement'!BE9</f>
        <v/>
      </c>
      <c r="BH934">
        <f>'Grid_Requirement'!BF9</f>
        <v/>
      </c>
      <c r="BI934">
        <f>'Grid_Requirement'!BG9</f>
        <v/>
      </c>
      <c r="BJ934">
        <f>'Grid_Requirement'!BH9</f>
        <v/>
      </c>
      <c r="BK934">
        <f>'Grid_Requirement'!BI9</f>
        <v/>
      </c>
      <c r="BL934">
        <f>'Grid_Requirement'!BJ9</f>
        <v/>
      </c>
      <c r="BM934">
        <f>'Grid_Requirement'!BK9</f>
        <v/>
      </c>
      <c r="BN934">
        <f>'Grid_Requirement'!BL9</f>
        <v/>
      </c>
      <c r="BO934">
        <f>'Grid_Requirement'!BM9</f>
        <v/>
      </c>
      <c r="BP934">
        <f>'Grid_Requirement'!BN9</f>
        <v/>
      </c>
      <c r="BQ934">
        <f>'Grid_Requirement'!BO9</f>
        <v/>
      </c>
      <c r="BR934">
        <f>'Grid_Requirement'!BP9</f>
        <v/>
      </c>
      <c r="BS934">
        <f>'Grid_Requirement'!BQ9</f>
        <v/>
      </c>
      <c r="BT934">
        <f>'Grid_Requirement'!BR9</f>
        <v/>
      </c>
      <c r="BU934">
        <f>'Grid_Requirement'!BS9</f>
        <v/>
      </c>
      <c r="BV934">
        <f>'Grid_Requirement'!BT9</f>
        <v/>
      </c>
      <c r="BW934">
        <f>'Grid_Requirement'!BU9</f>
        <v/>
      </c>
      <c r="BX934">
        <f>'Grid_Requirement'!BV9</f>
        <v/>
      </c>
      <c r="BY934">
        <f>'Grid_Requirement'!BW9</f>
        <v/>
      </c>
      <c r="BZ934">
        <f>'Grid_Requirement'!BX9</f>
        <v/>
      </c>
      <c r="CA934">
        <f>'Grid_Requirement'!BY9</f>
        <v/>
      </c>
      <c r="CB934">
        <f>'Grid_Requirement'!BZ9</f>
        <v/>
      </c>
      <c r="CC934">
        <f>'Grid_Requirement'!CA9</f>
        <v/>
      </c>
      <c r="CD934">
        <f>'Grid_Requirement'!CB9</f>
        <v/>
      </c>
      <c r="CE934">
        <f>'Grid_Requirement'!CC9</f>
        <v/>
      </c>
      <c r="CF934">
        <f>'Grid_Requirement'!CD9</f>
        <v/>
      </c>
      <c r="CG934">
        <f>'Grid_Requirement'!CE9</f>
        <v/>
      </c>
      <c r="CH934">
        <f>'Grid_Requirement'!CF9</f>
        <v/>
      </c>
      <c r="CI934">
        <f>'Grid_Requirement'!CG9</f>
        <v/>
      </c>
      <c r="CJ934">
        <f>'Grid_Requirement'!CH9</f>
        <v/>
      </c>
      <c r="CK934">
        <f>'Grid_Requirement'!CI9</f>
        <v/>
      </c>
      <c r="CL934">
        <f>'Grid_Requirement'!CJ9</f>
        <v/>
      </c>
      <c r="CM934">
        <f>'Grid_Requirement'!CK9</f>
        <v/>
      </c>
      <c r="CN934">
        <f>'Grid_Requirement'!CL9</f>
        <v/>
      </c>
      <c r="CO934">
        <f>'Grid_Requirement'!CM9</f>
        <v/>
      </c>
      <c r="CP934">
        <f>'Grid_Requirement'!CN9</f>
        <v/>
      </c>
      <c r="CQ934">
        <f>'Grid_Requirement'!CO9</f>
        <v/>
      </c>
      <c r="CR934">
        <f>'Grid_Requirement'!CP9</f>
        <v/>
      </c>
      <c r="CS934">
        <f>'Grid_Requirement'!CQ9</f>
        <v/>
      </c>
      <c r="CT934">
        <f>'Grid_Requirement'!CR9</f>
        <v/>
      </c>
      <c r="CU934">
        <f>'Grid_Requirement'!CS9</f>
        <v/>
      </c>
      <c r="CV934">
        <f>'Grid_Requirement'!CT9</f>
        <v/>
      </c>
      <c r="CW934">
        <f>'Grid_Requirement'!CU9</f>
        <v/>
      </c>
      <c r="CX934">
        <f>'Grid_Requirement'!CV9</f>
        <v/>
      </c>
      <c r="CY934">
        <f>'Grid_Requirement'!CW9</f>
        <v/>
      </c>
      <c r="CZ934">
        <f>'Grid_Requirement'!CX9</f>
        <v/>
      </c>
      <c r="DA934">
        <f>'Grid_Requirement'!CY9</f>
        <v/>
      </c>
      <c r="DB934">
        <f>'Grid_Requirement'!CZ9</f>
        <v/>
      </c>
      <c r="DC934">
        <f>'Grid_Requirement'!DA9</f>
        <v/>
      </c>
    </row>
    <row r="935">
      <c r="B935" t="inlineStr">
        <is>
          <t>TTAF在庫(実績,kg)</t>
        </is>
      </c>
      <c r="D935">
        <f>'T_TTAFStock'!B13</f>
        <v/>
      </c>
      <c r="E935">
        <f>'T_TTAFStock'!C13</f>
        <v/>
      </c>
      <c r="F935">
        <f>'T_TTAFStock'!D13</f>
        <v/>
      </c>
      <c r="G935">
        <f>'T_TTAFStock'!E13</f>
        <v/>
      </c>
      <c r="H935">
        <f>'T_TTAFStock'!F13</f>
        <v/>
      </c>
      <c r="I935">
        <f>'T_TTAFStock'!G13</f>
        <v/>
      </c>
      <c r="J935">
        <f>'T_TTAFStock'!H13</f>
        <v/>
      </c>
      <c r="K935">
        <f>'T_TTAFStock'!I13</f>
        <v/>
      </c>
      <c r="L935">
        <f>'T_TTAFStock'!J13</f>
        <v/>
      </c>
      <c r="M935">
        <f>'T_TTAFStock'!K13</f>
        <v/>
      </c>
      <c r="N935">
        <f>'T_TTAFStock'!L13</f>
        <v/>
      </c>
      <c r="O935">
        <f>'T_TTAFStock'!M13</f>
        <v/>
      </c>
      <c r="P935">
        <f>'T_TTAFStock'!N13</f>
        <v/>
      </c>
      <c r="Q935">
        <f>'T_TTAFStock'!O13</f>
        <v/>
      </c>
      <c r="R935">
        <f>'T_TTAFStock'!P13</f>
        <v/>
      </c>
      <c r="S935">
        <f>'T_TTAFStock'!Q13</f>
        <v/>
      </c>
      <c r="T935">
        <f>'T_TTAFStock'!R13</f>
        <v/>
      </c>
      <c r="U935">
        <f>'T_TTAFStock'!S13</f>
        <v/>
      </c>
      <c r="V935">
        <f>'T_TTAFStock'!T13</f>
        <v/>
      </c>
      <c r="W935">
        <f>'T_TTAFStock'!U13</f>
        <v/>
      </c>
      <c r="X935">
        <f>'T_TTAFStock'!V13</f>
        <v/>
      </c>
      <c r="Y935">
        <f>'T_TTAFStock'!W13</f>
        <v/>
      </c>
      <c r="Z935">
        <f>'T_TTAFStock'!X13</f>
        <v/>
      </c>
      <c r="AA935">
        <f>'T_TTAFStock'!Y13</f>
        <v/>
      </c>
      <c r="AB935">
        <f>'T_TTAFStock'!Z13</f>
        <v/>
      </c>
      <c r="AC935">
        <f>'T_TTAFStock'!AA13</f>
        <v/>
      </c>
      <c r="AD935">
        <f>'T_TTAFStock'!AB13</f>
        <v/>
      </c>
      <c r="AE935">
        <f>'T_TTAFStock'!AC13</f>
        <v/>
      </c>
      <c r="AF935">
        <f>'T_TTAFStock'!AD13</f>
        <v/>
      </c>
      <c r="AG935">
        <f>'T_TTAFStock'!AE13</f>
        <v/>
      </c>
      <c r="AH935">
        <f>'T_TTAFStock'!AF13</f>
        <v/>
      </c>
      <c r="AI935">
        <f>'T_TTAFStock'!AG13</f>
        <v/>
      </c>
      <c r="AJ935">
        <f>'T_TTAFStock'!AH13</f>
        <v/>
      </c>
      <c r="AK935">
        <f>'T_TTAFStock'!AI13</f>
        <v/>
      </c>
      <c r="AL935">
        <f>'T_TTAFStock'!AJ13</f>
        <v/>
      </c>
      <c r="AM935">
        <f>'T_TTAFStock'!AK13</f>
        <v/>
      </c>
      <c r="AN935">
        <f>'T_TTAFStock'!AL13</f>
        <v/>
      </c>
      <c r="AO935">
        <f>'T_TTAFStock'!AM13</f>
        <v/>
      </c>
      <c r="AP935">
        <f>'T_TTAFStock'!AN13</f>
        <v/>
      </c>
      <c r="AQ935">
        <f>'T_TTAFStock'!AO13</f>
        <v/>
      </c>
      <c r="AR935">
        <f>'T_TTAFStock'!AP13</f>
        <v/>
      </c>
      <c r="AS935">
        <f>'T_TTAFStock'!AQ13</f>
        <v/>
      </c>
      <c r="AT935">
        <f>'T_TTAFStock'!AR13</f>
        <v/>
      </c>
      <c r="AU935">
        <f>'T_TTAFStock'!AS13</f>
        <v/>
      </c>
      <c r="AV935">
        <f>'T_TTAFStock'!AT13</f>
        <v/>
      </c>
      <c r="AW935">
        <f>'T_TTAFStock'!AU13</f>
        <v/>
      </c>
      <c r="AX935">
        <f>'T_TTAFStock'!AV13</f>
        <v/>
      </c>
      <c r="AY935">
        <f>'T_TTAFStock'!AW13</f>
        <v/>
      </c>
      <c r="AZ935">
        <f>'T_TTAFStock'!AX13</f>
        <v/>
      </c>
      <c r="BA935">
        <f>'T_TTAFStock'!AY13</f>
        <v/>
      </c>
      <c r="BB935">
        <f>'T_TTAFStock'!AZ13</f>
        <v/>
      </c>
      <c r="BC935">
        <f>'T_TTAFStock'!BA13</f>
        <v/>
      </c>
      <c r="BD935">
        <f>'T_TTAFStock'!BB13</f>
        <v/>
      </c>
      <c r="BE935">
        <f>'T_TTAFStock'!BC13</f>
        <v/>
      </c>
      <c r="BF935">
        <f>'T_TTAFStock'!BD13</f>
        <v/>
      </c>
      <c r="BG935">
        <f>'T_TTAFStock'!BE13</f>
        <v/>
      </c>
      <c r="BH935">
        <f>'T_TTAFStock'!BF13</f>
        <v/>
      </c>
      <c r="BI935">
        <f>'T_TTAFStock'!BG13</f>
        <v/>
      </c>
      <c r="BJ935">
        <f>'T_TTAFStock'!BH13</f>
        <v/>
      </c>
      <c r="BK935">
        <f>'T_TTAFStock'!BI13</f>
        <v/>
      </c>
      <c r="BL935">
        <f>'T_TTAFStock'!BJ13</f>
        <v/>
      </c>
      <c r="BM935">
        <f>'T_TTAFStock'!BK13</f>
        <v/>
      </c>
      <c r="BN935">
        <f>'T_TTAFStock'!BL13</f>
        <v/>
      </c>
      <c r="BO935">
        <f>'T_TTAFStock'!BM13</f>
        <v/>
      </c>
      <c r="BP935">
        <f>'T_TTAFStock'!BN13</f>
        <v/>
      </c>
      <c r="BQ935">
        <f>'T_TTAFStock'!BO13</f>
        <v/>
      </c>
      <c r="BR935">
        <f>'T_TTAFStock'!BP13</f>
        <v/>
      </c>
      <c r="BS935">
        <f>'T_TTAFStock'!BQ13</f>
        <v/>
      </c>
      <c r="BT935">
        <f>'T_TTAFStock'!BR13</f>
        <v/>
      </c>
      <c r="BU935">
        <f>'T_TTAFStock'!BS13</f>
        <v/>
      </c>
      <c r="BV935">
        <f>'T_TTAFStock'!BT13</f>
        <v/>
      </c>
      <c r="BW935">
        <f>'T_TTAFStock'!BU13</f>
        <v/>
      </c>
      <c r="BX935">
        <f>'T_TTAFStock'!BV13</f>
        <v/>
      </c>
      <c r="BY935">
        <f>'T_TTAFStock'!BW13</f>
        <v/>
      </c>
      <c r="BZ935">
        <f>'T_TTAFStock'!BX13</f>
        <v/>
      </c>
      <c r="CA935">
        <f>'T_TTAFStock'!BY13</f>
        <v/>
      </c>
      <c r="CB935">
        <f>'T_TTAFStock'!BZ13</f>
        <v/>
      </c>
      <c r="CC935">
        <f>'T_TTAFStock'!CA13</f>
        <v/>
      </c>
      <c r="CD935">
        <f>'T_TTAFStock'!CB13</f>
        <v/>
      </c>
      <c r="CE935">
        <f>'T_TTAFStock'!CC13</f>
        <v/>
      </c>
      <c r="CF935">
        <f>'T_TTAFStock'!CD13</f>
        <v/>
      </c>
      <c r="CG935">
        <f>'T_TTAFStock'!CE13</f>
        <v/>
      </c>
      <c r="CH935">
        <f>'T_TTAFStock'!CF13</f>
        <v/>
      </c>
      <c r="CI935">
        <f>'T_TTAFStock'!CG13</f>
        <v/>
      </c>
      <c r="CJ935">
        <f>'T_TTAFStock'!CH13</f>
        <v/>
      </c>
      <c r="CK935">
        <f>'T_TTAFStock'!CI13</f>
        <v/>
      </c>
      <c r="CL935">
        <f>'T_TTAFStock'!CJ13</f>
        <v/>
      </c>
      <c r="CM935">
        <f>'T_TTAFStock'!CK13</f>
        <v/>
      </c>
      <c r="CN935">
        <f>'T_TTAFStock'!CL13</f>
        <v/>
      </c>
      <c r="CO935">
        <f>'T_TTAFStock'!CM13</f>
        <v/>
      </c>
      <c r="CP935">
        <f>'T_TTAFStock'!CN13</f>
        <v/>
      </c>
      <c r="CQ935">
        <f>'T_TTAFStock'!CO13</f>
        <v/>
      </c>
      <c r="CR935">
        <f>'T_TTAFStock'!CP13</f>
        <v/>
      </c>
      <c r="CS935">
        <f>'T_TTAFStock'!CQ13</f>
        <v/>
      </c>
      <c r="CT935">
        <f>'T_TTAFStock'!CR13</f>
        <v/>
      </c>
      <c r="CU935">
        <f>'T_TTAFStock'!CS13</f>
        <v/>
      </c>
      <c r="CV935">
        <f>'T_TTAFStock'!CT13</f>
        <v/>
      </c>
      <c r="CW935">
        <f>'T_TTAFStock'!CU13</f>
        <v/>
      </c>
      <c r="CX935">
        <f>'T_TTAFStock'!CV13</f>
        <v/>
      </c>
      <c r="CY935">
        <f>'T_TTAFStock'!CW13</f>
        <v/>
      </c>
      <c r="CZ935">
        <f>'T_TTAFStock'!CX13</f>
        <v/>
      </c>
      <c r="DA935">
        <f>'T_TTAFStock'!CY13</f>
        <v/>
      </c>
      <c r="DB935">
        <f>'T_TTAFStock'!CZ13</f>
        <v/>
      </c>
      <c r="DC935">
        <f>'T_TTAFStock'!DA13</f>
        <v/>
      </c>
    </row>
    <row r="936">
      <c r="B936" t="inlineStr">
        <is>
          <t>自社在庫(実績,kg)</t>
        </is>
      </c>
      <c r="D936">
        <f>'T_SelfStock'!B13</f>
        <v/>
      </c>
      <c r="E936">
        <f>'T_SelfStock'!C13</f>
        <v/>
      </c>
      <c r="F936">
        <f>'T_SelfStock'!D13</f>
        <v/>
      </c>
      <c r="G936">
        <f>'T_SelfStock'!E13</f>
        <v/>
      </c>
      <c r="H936">
        <f>'T_SelfStock'!F13</f>
        <v/>
      </c>
      <c r="I936">
        <f>'T_SelfStock'!G13</f>
        <v/>
      </c>
      <c r="J936">
        <f>'T_SelfStock'!H13</f>
        <v/>
      </c>
      <c r="K936">
        <f>'T_SelfStock'!I13</f>
        <v/>
      </c>
      <c r="L936">
        <f>'T_SelfStock'!J13</f>
        <v/>
      </c>
      <c r="M936">
        <f>'T_SelfStock'!K13</f>
        <v/>
      </c>
      <c r="N936">
        <f>'T_SelfStock'!L13</f>
        <v/>
      </c>
      <c r="O936">
        <f>'T_SelfStock'!M13</f>
        <v/>
      </c>
      <c r="P936">
        <f>'T_SelfStock'!N13</f>
        <v/>
      </c>
      <c r="Q936">
        <f>'T_SelfStock'!O13</f>
        <v/>
      </c>
      <c r="R936">
        <f>'T_SelfStock'!P13</f>
        <v/>
      </c>
      <c r="S936">
        <f>'T_SelfStock'!Q13</f>
        <v/>
      </c>
      <c r="T936">
        <f>'T_SelfStock'!R13</f>
        <v/>
      </c>
      <c r="U936">
        <f>'T_SelfStock'!S13</f>
        <v/>
      </c>
      <c r="V936">
        <f>'T_SelfStock'!T13</f>
        <v/>
      </c>
      <c r="W936">
        <f>'T_SelfStock'!U13</f>
        <v/>
      </c>
      <c r="X936">
        <f>'T_SelfStock'!V13</f>
        <v/>
      </c>
      <c r="Y936">
        <f>'T_SelfStock'!W13</f>
        <v/>
      </c>
      <c r="Z936">
        <f>'T_SelfStock'!X13</f>
        <v/>
      </c>
      <c r="AA936">
        <f>'T_SelfStock'!Y13</f>
        <v/>
      </c>
      <c r="AB936">
        <f>'T_SelfStock'!Z13</f>
        <v/>
      </c>
      <c r="AC936">
        <f>'T_SelfStock'!AA13</f>
        <v/>
      </c>
      <c r="AD936">
        <f>'T_SelfStock'!AB13</f>
        <v/>
      </c>
      <c r="AE936">
        <f>'T_SelfStock'!AC13</f>
        <v/>
      </c>
      <c r="AF936">
        <f>'T_SelfStock'!AD13</f>
        <v/>
      </c>
      <c r="AG936">
        <f>'T_SelfStock'!AE13</f>
        <v/>
      </c>
      <c r="AH936">
        <f>'T_SelfStock'!AF13</f>
        <v/>
      </c>
      <c r="AI936">
        <f>'T_SelfStock'!AG13</f>
        <v/>
      </c>
      <c r="AJ936">
        <f>'T_SelfStock'!AH13</f>
        <v/>
      </c>
      <c r="AK936">
        <f>'T_SelfStock'!AI13</f>
        <v/>
      </c>
      <c r="AL936">
        <f>'T_SelfStock'!AJ13</f>
        <v/>
      </c>
      <c r="AM936">
        <f>'T_SelfStock'!AK13</f>
        <v/>
      </c>
      <c r="AN936">
        <f>'T_SelfStock'!AL13</f>
        <v/>
      </c>
      <c r="AO936">
        <f>'T_SelfStock'!AM13</f>
        <v/>
      </c>
      <c r="AP936">
        <f>'T_SelfStock'!AN13</f>
        <v/>
      </c>
      <c r="AQ936">
        <f>'T_SelfStock'!AO13</f>
        <v/>
      </c>
      <c r="AR936">
        <f>'T_SelfStock'!AP13</f>
        <v/>
      </c>
      <c r="AS936">
        <f>'T_SelfStock'!AQ13</f>
        <v/>
      </c>
      <c r="AT936">
        <f>'T_SelfStock'!AR13</f>
        <v/>
      </c>
      <c r="AU936">
        <f>'T_SelfStock'!AS13</f>
        <v/>
      </c>
      <c r="AV936">
        <f>'T_SelfStock'!AT13</f>
        <v/>
      </c>
      <c r="AW936">
        <f>'T_SelfStock'!AU13</f>
        <v/>
      </c>
      <c r="AX936">
        <f>'T_SelfStock'!AV13</f>
        <v/>
      </c>
      <c r="AY936">
        <f>'T_SelfStock'!AW13</f>
        <v/>
      </c>
      <c r="AZ936">
        <f>'T_SelfStock'!AX13</f>
        <v/>
      </c>
      <c r="BA936">
        <f>'T_SelfStock'!AY13</f>
        <v/>
      </c>
      <c r="BB936">
        <f>'T_SelfStock'!AZ13</f>
        <v/>
      </c>
      <c r="BC936">
        <f>'T_SelfStock'!BA13</f>
        <v/>
      </c>
      <c r="BD936">
        <f>'T_SelfStock'!BB13</f>
        <v/>
      </c>
      <c r="BE936">
        <f>'T_SelfStock'!BC13</f>
        <v/>
      </c>
      <c r="BF936">
        <f>'T_SelfStock'!BD13</f>
        <v/>
      </c>
      <c r="BG936">
        <f>'T_SelfStock'!BE13</f>
        <v/>
      </c>
      <c r="BH936">
        <f>'T_SelfStock'!BF13</f>
        <v/>
      </c>
      <c r="BI936">
        <f>'T_SelfStock'!BG13</f>
        <v/>
      </c>
      <c r="BJ936">
        <f>'T_SelfStock'!BH13</f>
        <v/>
      </c>
      <c r="BK936">
        <f>'T_SelfStock'!BI13</f>
        <v/>
      </c>
      <c r="BL936">
        <f>'T_SelfStock'!BJ13</f>
        <v/>
      </c>
      <c r="BM936">
        <f>'T_SelfStock'!BK13</f>
        <v/>
      </c>
      <c r="BN936">
        <f>'T_SelfStock'!BL13</f>
        <v/>
      </c>
      <c r="BO936">
        <f>'T_SelfStock'!BM13</f>
        <v/>
      </c>
      <c r="BP936">
        <f>'T_SelfStock'!BN13</f>
        <v/>
      </c>
      <c r="BQ936">
        <f>'T_SelfStock'!BO13</f>
        <v/>
      </c>
      <c r="BR936">
        <f>'T_SelfStock'!BP13</f>
        <v/>
      </c>
      <c r="BS936">
        <f>'T_SelfStock'!BQ13</f>
        <v/>
      </c>
      <c r="BT936">
        <f>'T_SelfStock'!BR13</f>
        <v/>
      </c>
      <c r="BU936">
        <f>'T_SelfStock'!BS13</f>
        <v/>
      </c>
      <c r="BV936">
        <f>'T_SelfStock'!BT13</f>
        <v/>
      </c>
      <c r="BW936">
        <f>'T_SelfStock'!BU13</f>
        <v/>
      </c>
      <c r="BX936">
        <f>'T_SelfStock'!BV13</f>
        <v/>
      </c>
      <c r="BY936">
        <f>'T_SelfStock'!BW13</f>
        <v/>
      </c>
      <c r="BZ936">
        <f>'T_SelfStock'!BX13</f>
        <v/>
      </c>
      <c r="CA936">
        <f>'T_SelfStock'!BY13</f>
        <v/>
      </c>
      <c r="CB936">
        <f>'T_SelfStock'!BZ13</f>
        <v/>
      </c>
      <c r="CC936">
        <f>'T_SelfStock'!CA13</f>
        <v/>
      </c>
      <c r="CD936">
        <f>'T_SelfStock'!CB13</f>
        <v/>
      </c>
      <c r="CE936">
        <f>'T_SelfStock'!CC13</f>
        <v/>
      </c>
      <c r="CF936">
        <f>'T_SelfStock'!CD13</f>
        <v/>
      </c>
      <c r="CG936">
        <f>'T_SelfStock'!CE13</f>
        <v/>
      </c>
      <c r="CH936">
        <f>'T_SelfStock'!CF13</f>
        <v/>
      </c>
      <c r="CI936">
        <f>'T_SelfStock'!CG13</f>
        <v/>
      </c>
      <c r="CJ936">
        <f>'T_SelfStock'!CH13</f>
        <v/>
      </c>
      <c r="CK936">
        <f>'T_SelfStock'!CI13</f>
        <v/>
      </c>
      <c r="CL936">
        <f>'T_SelfStock'!CJ13</f>
        <v/>
      </c>
      <c r="CM936">
        <f>'T_SelfStock'!CK13</f>
        <v/>
      </c>
      <c r="CN936">
        <f>'T_SelfStock'!CL13</f>
        <v/>
      </c>
      <c r="CO936">
        <f>'T_SelfStock'!CM13</f>
        <v/>
      </c>
      <c r="CP936">
        <f>'T_SelfStock'!CN13</f>
        <v/>
      </c>
      <c r="CQ936">
        <f>'T_SelfStock'!CO13</f>
        <v/>
      </c>
      <c r="CR936">
        <f>'T_SelfStock'!CP13</f>
        <v/>
      </c>
      <c r="CS936">
        <f>'T_SelfStock'!CQ13</f>
        <v/>
      </c>
      <c r="CT936">
        <f>'T_SelfStock'!CR13</f>
        <v/>
      </c>
      <c r="CU936">
        <f>'T_SelfStock'!CS13</f>
        <v/>
      </c>
      <c r="CV936">
        <f>'T_SelfStock'!CT13</f>
        <v/>
      </c>
      <c r="CW936">
        <f>'T_SelfStock'!CU13</f>
        <v/>
      </c>
      <c r="CX936">
        <f>'T_SelfStock'!CV13</f>
        <v/>
      </c>
      <c r="CY936">
        <f>'T_SelfStock'!CW13</f>
        <v/>
      </c>
      <c r="CZ936">
        <f>'T_SelfStock'!CX13</f>
        <v/>
      </c>
      <c r="DA936">
        <f>'T_SelfStock'!CY13</f>
        <v/>
      </c>
      <c r="DB936">
        <f>'T_SelfStock'!CZ13</f>
        <v/>
      </c>
      <c r="DC936">
        <f>'T_SelfStock'!DA13</f>
        <v/>
      </c>
    </row>
    <row r="937">
      <c r="B937" s="4" t="inlineStr">
        <is>
          <t>合計在庫(週末時点,kg)</t>
        </is>
      </c>
      <c r="D937">
        <f>'Grid_Stock'!B9</f>
        <v/>
      </c>
      <c r="E937">
        <f>'Grid_Stock'!C9</f>
        <v/>
      </c>
      <c r="F937">
        <f>'Grid_Stock'!D9</f>
        <v/>
      </c>
      <c r="G937">
        <f>'Grid_Stock'!E9</f>
        <v/>
      </c>
      <c r="H937">
        <f>'Grid_Stock'!F9</f>
        <v/>
      </c>
      <c r="I937">
        <f>'Grid_Stock'!G9</f>
        <v/>
      </c>
      <c r="J937">
        <f>'Grid_Stock'!H9</f>
        <v/>
      </c>
      <c r="K937">
        <f>'Grid_Stock'!I9</f>
        <v/>
      </c>
      <c r="L937">
        <f>'Grid_Stock'!J9</f>
        <v/>
      </c>
      <c r="M937">
        <f>'Grid_Stock'!K9</f>
        <v/>
      </c>
      <c r="N937">
        <f>'Grid_Stock'!L9</f>
        <v/>
      </c>
      <c r="O937">
        <f>'Grid_Stock'!M9</f>
        <v/>
      </c>
      <c r="P937">
        <f>'Grid_Stock'!N9</f>
        <v/>
      </c>
      <c r="Q937">
        <f>'Grid_Stock'!O9</f>
        <v/>
      </c>
      <c r="R937">
        <f>'Grid_Stock'!P9</f>
        <v/>
      </c>
      <c r="S937">
        <f>'Grid_Stock'!Q9</f>
        <v/>
      </c>
      <c r="T937">
        <f>'Grid_Stock'!R9</f>
        <v/>
      </c>
      <c r="U937">
        <f>'Grid_Stock'!S9</f>
        <v/>
      </c>
      <c r="V937">
        <f>'Grid_Stock'!T9</f>
        <v/>
      </c>
      <c r="W937">
        <f>'Grid_Stock'!U9</f>
        <v/>
      </c>
      <c r="X937">
        <f>'Grid_Stock'!V9</f>
        <v/>
      </c>
      <c r="Y937">
        <f>'Grid_Stock'!W9</f>
        <v/>
      </c>
      <c r="Z937">
        <f>'Grid_Stock'!X9</f>
        <v/>
      </c>
      <c r="AA937">
        <f>'Grid_Stock'!Y9</f>
        <v/>
      </c>
      <c r="AB937">
        <f>'Grid_Stock'!Z9</f>
        <v/>
      </c>
      <c r="AC937">
        <f>'Grid_Stock'!AA9</f>
        <v/>
      </c>
      <c r="AD937">
        <f>'Grid_Stock'!AB9</f>
        <v/>
      </c>
      <c r="AE937">
        <f>'Grid_Stock'!AC9</f>
        <v/>
      </c>
      <c r="AF937">
        <f>'Grid_Stock'!AD9</f>
        <v/>
      </c>
      <c r="AG937">
        <f>'Grid_Stock'!AE9</f>
        <v/>
      </c>
      <c r="AH937">
        <f>'Grid_Stock'!AF9</f>
        <v/>
      </c>
      <c r="AI937">
        <f>'Grid_Stock'!AG9</f>
        <v/>
      </c>
      <c r="AJ937">
        <f>'Grid_Stock'!AH9</f>
        <v/>
      </c>
      <c r="AK937">
        <f>'Grid_Stock'!AI9</f>
        <v/>
      </c>
      <c r="AL937">
        <f>'Grid_Stock'!AJ9</f>
        <v/>
      </c>
      <c r="AM937">
        <f>'Grid_Stock'!AK9</f>
        <v/>
      </c>
      <c r="AN937">
        <f>'Grid_Stock'!AL9</f>
        <v/>
      </c>
      <c r="AO937">
        <f>'Grid_Stock'!AM9</f>
        <v/>
      </c>
      <c r="AP937">
        <f>'Grid_Stock'!AN9</f>
        <v/>
      </c>
      <c r="AQ937">
        <f>'Grid_Stock'!AO9</f>
        <v/>
      </c>
      <c r="AR937">
        <f>'Grid_Stock'!AP9</f>
        <v/>
      </c>
      <c r="AS937">
        <f>'Grid_Stock'!AQ9</f>
        <v/>
      </c>
      <c r="AT937">
        <f>'Grid_Stock'!AR9</f>
        <v/>
      </c>
      <c r="AU937">
        <f>'Grid_Stock'!AS9</f>
        <v/>
      </c>
      <c r="AV937">
        <f>'Grid_Stock'!AT9</f>
        <v/>
      </c>
      <c r="AW937">
        <f>'Grid_Stock'!AU9</f>
        <v/>
      </c>
      <c r="AX937">
        <f>'Grid_Stock'!AV9</f>
        <v/>
      </c>
      <c r="AY937">
        <f>'Grid_Stock'!AW9</f>
        <v/>
      </c>
      <c r="AZ937">
        <f>'Grid_Stock'!AX9</f>
        <v/>
      </c>
      <c r="BA937">
        <f>'Grid_Stock'!AY9</f>
        <v/>
      </c>
      <c r="BB937">
        <f>'Grid_Stock'!AZ9</f>
        <v/>
      </c>
      <c r="BC937">
        <f>'Grid_Stock'!BA9</f>
        <v/>
      </c>
      <c r="BD937">
        <f>'Grid_Stock'!BB9</f>
        <v/>
      </c>
      <c r="BE937">
        <f>'Grid_Stock'!BC9</f>
        <v/>
      </c>
      <c r="BF937">
        <f>'Grid_Stock'!BD9</f>
        <v/>
      </c>
      <c r="BG937">
        <f>'Grid_Stock'!BE9</f>
        <v/>
      </c>
      <c r="BH937">
        <f>'Grid_Stock'!BF9</f>
        <v/>
      </c>
      <c r="BI937">
        <f>'Grid_Stock'!BG9</f>
        <v/>
      </c>
      <c r="BJ937">
        <f>'Grid_Stock'!BH9</f>
        <v/>
      </c>
      <c r="BK937">
        <f>'Grid_Stock'!BI9</f>
        <v/>
      </c>
      <c r="BL937">
        <f>'Grid_Stock'!BJ9</f>
        <v/>
      </c>
      <c r="BM937">
        <f>'Grid_Stock'!BK9</f>
        <v/>
      </c>
      <c r="BN937">
        <f>'Grid_Stock'!BL9</f>
        <v/>
      </c>
      <c r="BO937">
        <f>'Grid_Stock'!BM9</f>
        <v/>
      </c>
      <c r="BP937">
        <f>'Grid_Stock'!BN9</f>
        <v/>
      </c>
      <c r="BQ937">
        <f>'Grid_Stock'!BO9</f>
        <v/>
      </c>
      <c r="BR937">
        <f>'Grid_Stock'!BP9</f>
        <v/>
      </c>
      <c r="BS937">
        <f>'Grid_Stock'!BQ9</f>
        <v/>
      </c>
      <c r="BT937">
        <f>'Grid_Stock'!BR9</f>
        <v/>
      </c>
      <c r="BU937">
        <f>'Grid_Stock'!BS9</f>
        <v/>
      </c>
      <c r="BV937">
        <f>'Grid_Stock'!BT9</f>
        <v/>
      </c>
      <c r="BW937">
        <f>'Grid_Stock'!BU9</f>
        <v/>
      </c>
      <c r="BX937">
        <f>'Grid_Stock'!BV9</f>
        <v/>
      </c>
      <c r="BY937">
        <f>'Grid_Stock'!BW9</f>
        <v/>
      </c>
      <c r="BZ937">
        <f>'Grid_Stock'!BX9</f>
        <v/>
      </c>
      <c r="CA937">
        <f>'Grid_Stock'!BY9</f>
        <v/>
      </c>
      <c r="CB937">
        <f>'Grid_Stock'!BZ9</f>
        <v/>
      </c>
      <c r="CC937">
        <f>'Grid_Stock'!CA9</f>
        <v/>
      </c>
      <c r="CD937">
        <f>'Grid_Stock'!CB9</f>
        <v/>
      </c>
      <c r="CE937">
        <f>'Grid_Stock'!CC9</f>
        <v/>
      </c>
      <c r="CF937">
        <f>'Grid_Stock'!CD9</f>
        <v/>
      </c>
      <c r="CG937">
        <f>'Grid_Stock'!CE9</f>
        <v/>
      </c>
      <c r="CH937">
        <f>'Grid_Stock'!CF9</f>
        <v/>
      </c>
      <c r="CI937">
        <f>'Grid_Stock'!CG9</f>
        <v/>
      </c>
      <c r="CJ937">
        <f>'Grid_Stock'!CH9</f>
        <v/>
      </c>
      <c r="CK937">
        <f>'Grid_Stock'!CI9</f>
        <v/>
      </c>
      <c r="CL937">
        <f>'Grid_Stock'!CJ9</f>
        <v/>
      </c>
      <c r="CM937">
        <f>'Grid_Stock'!CK9</f>
        <v/>
      </c>
      <c r="CN937">
        <f>'Grid_Stock'!CL9</f>
        <v/>
      </c>
      <c r="CO937">
        <f>'Grid_Stock'!CM9</f>
        <v/>
      </c>
      <c r="CP937">
        <f>'Grid_Stock'!CN9</f>
        <v/>
      </c>
      <c r="CQ937">
        <f>'Grid_Stock'!CO9</f>
        <v/>
      </c>
      <c r="CR937">
        <f>'Grid_Stock'!CP9</f>
        <v/>
      </c>
      <c r="CS937">
        <f>'Grid_Stock'!CQ9</f>
        <v/>
      </c>
      <c r="CT937">
        <f>'Grid_Stock'!CR9</f>
        <v/>
      </c>
      <c r="CU937">
        <f>'Grid_Stock'!CS9</f>
        <v/>
      </c>
      <c r="CV937">
        <f>'Grid_Stock'!CT9</f>
        <v/>
      </c>
      <c r="CW937">
        <f>'Grid_Stock'!CU9</f>
        <v/>
      </c>
      <c r="CX937">
        <f>'Grid_Stock'!CV9</f>
        <v/>
      </c>
      <c r="CY937">
        <f>'Grid_Stock'!CW9</f>
        <v/>
      </c>
      <c r="CZ937">
        <f>'Grid_Stock'!CX9</f>
        <v/>
      </c>
      <c r="DA937">
        <f>'Grid_Stock'!CY9</f>
        <v/>
      </c>
      <c r="DB937">
        <f>'Grid_Stock'!CZ9</f>
        <v/>
      </c>
      <c r="DC937">
        <f>'Grid_Stock'!DA9</f>
        <v/>
      </c>
    </row>
    <row r="938">
      <c r="B938" s="16" t="inlineStr">
        <is>
          <t>（発注の目安はDashboardの基準在庫[下限/上限]と色分けを参照）</t>
        </is>
      </c>
    </row>
    <row r="940">
      <c r="A940" s="14" t="inlineStr">
        <is>
          <t>CHEM-1760</t>
        </is>
      </c>
      <c r="B940" s="14" t="inlineStr">
        <is>
          <t>Pigment(TC RED FD(A))</t>
        </is>
      </c>
      <c r="C940" s="15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  <c r="Z940" s="14" t="n"/>
      <c r="AA940" s="14" t="n"/>
      <c r="AB940" s="14" t="n"/>
      <c r="AC940" s="14" t="n"/>
      <c r="AD940" s="14" t="n"/>
      <c r="AE940" s="14" t="n"/>
      <c r="AF940" s="14" t="n"/>
      <c r="AG940" s="14" t="n"/>
      <c r="AH940" s="14" t="n"/>
      <c r="AI940" s="14" t="n"/>
      <c r="AJ940" s="14" t="n"/>
      <c r="AK940" s="14" t="n"/>
      <c r="AL940" s="14" t="n"/>
      <c r="AM940" s="14" t="n"/>
      <c r="AN940" s="14" t="n"/>
      <c r="AO940" s="14" t="n"/>
      <c r="AP940" s="14" t="n"/>
      <c r="AQ940" s="14" t="n"/>
      <c r="AR940" s="14" t="n"/>
      <c r="AS940" s="14" t="n"/>
      <c r="AT940" s="14" t="n"/>
      <c r="AU940" s="14" t="n"/>
      <c r="AV940" s="14" t="n"/>
      <c r="AW940" s="14" t="n"/>
      <c r="AX940" s="14" t="n"/>
      <c r="AY940" s="14" t="n"/>
      <c r="AZ940" s="14" t="n"/>
      <c r="BA940" s="14" t="n"/>
      <c r="BB940" s="14" t="n"/>
      <c r="BC940" s="14" t="n"/>
      <c r="BD940" s="14" t="n"/>
      <c r="BE940" s="14" t="n"/>
      <c r="BF940" s="14" t="n"/>
      <c r="BG940" s="14" t="n"/>
      <c r="BH940" s="14" t="n"/>
      <c r="BI940" s="14" t="n"/>
      <c r="BJ940" s="14" t="n"/>
      <c r="BK940" s="14" t="n"/>
      <c r="BL940" s="14" t="n"/>
      <c r="BM940" s="14" t="n"/>
      <c r="BN940" s="14" t="n"/>
      <c r="BO940" s="14" t="n"/>
      <c r="BP940" s="14" t="n"/>
      <c r="BQ940" s="14" t="n"/>
      <c r="BR940" s="14" t="n"/>
      <c r="BS940" s="14" t="n"/>
      <c r="BT940" s="14" t="n"/>
      <c r="BU940" s="14" t="n"/>
      <c r="BV940" s="14" t="n"/>
      <c r="BW940" s="14" t="n"/>
      <c r="BX940" s="14" t="n"/>
      <c r="BY940" s="14" t="n"/>
      <c r="BZ940" s="14" t="n"/>
      <c r="CA940" s="14" t="n"/>
      <c r="CB940" s="14" t="n"/>
      <c r="CC940" s="14" t="n"/>
      <c r="CD940" s="14" t="n"/>
      <c r="CE940" s="14" t="n"/>
      <c r="CF940" s="14" t="n"/>
      <c r="CG940" s="14" t="n"/>
      <c r="CH940" s="14" t="n"/>
      <c r="CI940" s="14" t="n"/>
      <c r="CJ940" s="14" t="n"/>
      <c r="CK940" s="14" t="n"/>
      <c r="CL940" s="14" t="n"/>
      <c r="CM940" s="14" t="n"/>
      <c r="CN940" s="14" t="n"/>
      <c r="CO940" s="14" t="n"/>
      <c r="CP940" s="14" t="n"/>
      <c r="CQ940" s="14" t="n"/>
      <c r="CR940" s="14" t="n"/>
      <c r="CS940" s="14" t="n"/>
      <c r="CT940" s="14" t="n"/>
      <c r="CU940" s="14" t="n"/>
      <c r="CV940" s="14" t="n"/>
      <c r="CW940" s="14" t="n"/>
      <c r="CX940" s="14" t="n"/>
      <c r="CY940" s="14" t="n"/>
      <c r="CZ940" s="14" t="n"/>
      <c r="DA940" s="14" t="n"/>
      <c r="DB940" s="14" t="n"/>
      <c r="DC940" s="14" t="n"/>
    </row>
    <row r="941">
      <c r="B941" t="inlineStr">
        <is>
          <t>TVS-833</t>
        </is>
      </c>
      <c r="C941" t="inlineStr">
        <is>
          <t>No. of batches</t>
        </is>
      </c>
      <c r="D941">
        <f>IFERROR(INDEX(PP_Grid[#Data],$DD941,2),0)</f>
        <v/>
      </c>
      <c r="E941">
        <f>IFERROR(INDEX(PP_Grid[#Data],$DD941,3),0)</f>
        <v/>
      </c>
      <c r="F941">
        <f>IFERROR(INDEX(PP_Grid[#Data],$DD941,4),0)</f>
        <v/>
      </c>
      <c r="G941">
        <f>IFERROR(INDEX(PP_Grid[#Data],$DD941,5),0)</f>
        <v/>
      </c>
      <c r="H941">
        <f>IFERROR(INDEX(PP_Grid[#Data],$DD941,6),0)</f>
        <v/>
      </c>
      <c r="I941">
        <f>IFERROR(INDEX(PP_Grid[#Data],$DD941,7),0)</f>
        <v/>
      </c>
      <c r="J941">
        <f>IFERROR(INDEX(PP_Grid[#Data],$DD941,8),0)</f>
        <v/>
      </c>
      <c r="K941">
        <f>IFERROR(INDEX(PP_Grid[#Data],$DD941,9),0)</f>
        <v/>
      </c>
      <c r="L941">
        <f>IFERROR(INDEX(PP_Grid[#Data],$DD941,10),0)</f>
        <v/>
      </c>
      <c r="M941">
        <f>IFERROR(INDEX(PP_Grid[#Data],$DD941,11),0)</f>
        <v/>
      </c>
      <c r="N941">
        <f>IFERROR(INDEX(PP_Grid[#Data],$DD941,12),0)</f>
        <v/>
      </c>
      <c r="O941">
        <f>IFERROR(INDEX(PP_Grid[#Data],$DD941,13),0)</f>
        <v/>
      </c>
      <c r="P941">
        <f>IFERROR(INDEX(PP_Grid[#Data],$DD941,14),0)</f>
        <v/>
      </c>
      <c r="Q941">
        <f>IFERROR(INDEX(PP_Grid[#Data],$DD941,15),0)</f>
        <v/>
      </c>
      <c r="R941">
        <f>IFERROR(INDEX(PP_Grid[#Data],$DD941,16),0)</f>
        <v/>
      </c>
      <c r="S941">
        <f>IFERROR(INDEX(PP_Grid[#Data],$DD941,17),0)</f>
        <v/>
      </c>
      <c r="T941">
        <f>IFERROR(INDEX(PP_Grid[#Data],$DD941,18),0)</f>
        <v/>
      </c>
      <c r="U941">
        <f>IFERROR(INDEX(PP_Grid[#Data],$DD941,19),0)</f>
        <v/>
      </c>
      <c r="V941">
        <f>IFERROR(INDEX(PP_Grid[#Data],$DD941,20),0)</f>
        <v/>
      </c>
      <c r="W941">
        <f>IFERROR(INDEX(PP_Grid[#Data],$DD941,21),0)</f>
        <v/>
      </c>
      <c r="X941">
        <f>IFERROR(INDEX(PP_Grid[#Data],$DD941,22),0)</f>
        <v/>
      </c>
      <c r="Y941">
        <f>IFERROR(INDEX(PP_Grid[#Data],$DD941,23),0)</f>
        <v/>
      </c>
      <c r="Z941">
        <f>IFERROR(INDEX(PP_Grid[#Data],$DD941,24),0)</f>
        <v/>
      </c>
      <c r="AA941">
        <f>IFERROR(INDEX(PP_Grid[#Data],$DD941,25),0)</f>
        <v/>
      </c>
      <c r="AB941">
        <f>IFERROR(INDEX(PP_Grid[#Data],$DD941,26),0)</f>
        <v/>
      </c>
      <c r="AC941">
        <f>IFERROR(INDEX(PP_Grid[#Data],$DD941,27),0)</f>
        <v/>
      </c>
      <c r="AD941">
        <f>IFERROR(INDEX(PP_Grid[#Data],$DD941,28),0)</f>
        <v/>
      </c>
      <c r="AE941">
        <f>IFERROR(INDEX(PP_Grid[#Data],$DD941,29),0)</f>
        <v/>
      </c>
      <c r="AF941">
        <f>IFERROR(INDEX(PP_Grid[#Data],$DD941,30),0)</f>
        <v/>
      </c>
      <c r="AG941">
        <f>IFERROR(INDEX(PP_Grid[#Data],$DD941,31),0)</f>
        <v/>
      </c>
      <c r="AH941">
        <f>IFERROR(INDEX(PP_Grid[#Data],$DD941,32),0)</f>
        <v/>
      </c>
      <c r="AI941">
        <f>IFERROR(INDEX(PP_Grid[#Data],$DD941,33),0)</f>
        <v/>
      </c>
      <c r="AJ941">
        <f>IFERROR(INDEX(PP_Grid[#Data],$DD941,34),0)</f>
        <v/>
      </c>
      <c r="AK941">
        <f>IFERROR(INDEX(PP_Grid[#Data],$DD941,35),0)</f>
        <v/>
      </c>
      <c r="AL941">
        <f>IFERROR(INDEX(PP_Grid[#Data],$DD941,36),0)</f>
        <v/>
      </c>
      <c r="AM941">
        <f>IFERROR(INDEX(PP_Grid[#Data],$DD941,37),0)</f>
        <v/>
      </c>
      <c r="AN941">
        <f>IFERROR(INDEX(PP_Grid[#Data],$DD941,38),0)</f>
        <v/>
      </c>
      <c r="AO941">
        <f>IFERROR(INDEX(PP_Grid[#Data],$DD941,39),0)</f>
        <v/>
      </c>
      <c r="AP941">
        <f>IFERROR(INDEX(PP_Grid[#Data],$DD941,40),0)</f>
        <v/>
      </c>
      <c r="AQ941">
        <f>IFERROR(INDEX(PP_Grid[#Data],$DD941,41),0)</f>
        <v/>
      </c>
      <c r="AR941">
        <f>IFERROR(INDEX(PP_Grid[#Data],$DD941,42),0)</f>
        <v/>
      </c>
      <c r="AS941">
        <f>IFERROR(INDEX(PP_Grid[#Data],$DD941,43),0)</f>
        <v/>
      </c>
      <c r="AT941">
        <f>IFERROR(INDEX(PP_Grid[#Data],$DD941,44),0)</f>
        <v/>
      </c>
      <c r="AU941">
        <f>IFERROR(INDEX(PP_Grid[#Data],$DD941,45),0)</f>
        <v/>
      </c>
      <c r="AV941">
        <f>IFERROR(INDEX(PP_Grid[#Data],$DD941,46),0)</f>
        <v/>
      </c>
      <c r="AW941">
        <f>IFERROR(INDEX(PP_Grid[#Data],$DD941,47),0)</f>
        <v/>
      </c>
      <c r="AX941">
        <f>IFERROR(INDEX(PP_Grid[#Data],$DD941,48),0)</f>
        <v/>
      </c>
      <c r="AY941">
        <f>IFERROR(INDEX(PP_Grid[#Data],$DD941,49),0)</f>
        <v/>
      </c>
      <c r="AZ941">
        <f>IFERROR(INDEX(PP_Grid[#Data],$DD941,50),0)</f>
        <v/>
      </c>
      <c r="BA941">
        <f>IFERROR(INDEX(PP_Grid[#Data],$DD941,51),0)</f>
        <v/>
      </c>
      <c r="BB941">
        <f>IFERROR(INDEX(PP_Grid[#Data],$DD941,52),0)</f>
        <v/>
      </c>
      <c r="BC941">
        <f>IFERROR(INDEX(PP_Grid[#Data],$DD941,53),0)</f>
        <v/>
      </c>
      <c r="BD941">
        <f>IFERROR(INDEX(PP_Grid[#Data],$DD941,54),0)</f>
        <v/>
      </c>
      <c r="BE941">
        <f>IFERROR(INDEX(PP_Grid[#Data],$DD941,55),0)</f>
        <v/>
      </c>
      <c r="BF941">
        <f>IFERROR(INDEX(PP_Grid[#Data],$DD941,56),0)</f>
        <v/>
      </c>
      <c r="BG941">
        <f>IFERROR(INDEX(PP_Grid[#Data],$DD941,57),0)</f>
        <v/>
      </c>
      <c r="BH941">
        <f>IFERROR(INDEX(PP_Grid[#Data],$DD941,58),0)</f>
        <v/>
      </c>
      <c r="BI941">
        <f>IFERROR(INDEX(PP_Grid[#Data],$DD941,59),0)</f>
        <v/>
      </c>
      <c r="BJ941">
        <f>IFERROR(INDEX(PP_Grid[#Data],$DD941,60),0)</f>
        <v/>
      </c>
      <c r="BK941">
        <f>IFERROR(INDEX(PP_Grid[#Data],$DD941,61),0)</f>
        <v/>
      </c>
      <c r="BL941">
        <f>IFERROR(INDEX(PP_Grid[#Data],$DD941,62),0)</f>
        <v/>
      </c>
      <c r="BM941">
        <f>IFERROR(INDEX(PP_Grid[#Data],$DD941,63),0)</f>
        <v/>
      </c>
      <c r="BN941">
        <f>IFERROR(INDEX(PP_Grid[#Data],$DD941,64),0)</f>
        <v/>
      </c>
      <c r="BO941">
        <f>IFERROR(INDEX(PP_Grid[#Data],$DD941,65),0)</f>
        <v/>
      </c>
      <c r="BP941">
        <f>IFERROR(INDEX(PP_Grid[#Data],$DD941,66),0)</f>
        <v/>
      </c>
      <c r="BQ941">
        <f>IFERROR(INDEX(PP_Grid[#Data],$DD941,67),0)</f>
        <v/>
      </c>
      <c r="BR941">
        <f>IFERROR(INDEX(PP_Grid[#Data],$DD941,68),0)</f>
        <v/>
      </c>
      <c r="BS941">
        <f>IFERROR(INDEX(PP_Grid[#Data],$DD941,69),0)</f>
        <v/>
      </c>
      <c r="BT941">
        <f>IFERROR(INDEX(PP_Grid[#Data],$DD941,70),0)</f>
        <v/>
      </c>
      <c r="BU941">
        <f>IFERROR(INDEX(PP_Grid[#Data],$DD941,71),0)</f>
        <v/>
      </c>
      <c r="BV941">
        <f>IFERROR(INDEX(PP_Grid[#Data],$DD941,72),0)</f>
        <v/>
      </c>
      <c r="BW941">
        <f>IFERROR(INDEX(PP_Grid[#Data],$DD941,73),0)</f>
        <v/>
      </c>
      <c r="BX941">
        <f>IFERROR(INDEX(PP_Grid[#Data],$DD941,74),0)</f>
        <v/>
      </c>
      <c r="BY941">
        <f>IFERROR(INDEX(PP_Grid[#Data],$DD941,75),0)</f>
        <v/>
      </c>
      <c r="BZ941">
        <f>IFERROR(INDEX(PP_Grid[#Data],$DD941,76),0)</f>
        <v/>
      </c>
      <c r="CA941">
        <f>IFERROR(INDEX(PP_Grid[#Data],$DD941,77),0)</f>
        <v/>
      </c>
      <c r="CB941">
        <f>IFERROR(INDEX(PP_Grid[#Data],$DD941,78),0)</f>
        <v/>
      </c>
      <c r="CC941">
        <f>IFERROR(INDEX(PP_Grid[#Data],$DD941,79),0)</f>
        <v/>
      </c>
      <c r="CD941">
        <f>IFERROR(INDEX(PP_Grid[#Data],$DD941,80),0)</f>
        <v/>
      </c>
      <c r="CE941">
        <f>IFERROR(INDEX(PP_Grid[#Data],$DD941,81),0)</f>
        <v/>
      </c>
      <c r="CF941">
        <f>IFERROR(INDEX(PP_Grid[#Data],$DD941,82),0)</f>
        <v/>
      </c>
      <c r="CG941">
        <f>IFERROR(INDEX(PP_Grid[#Data],$DD941,83),0)</f>
        <v/>
      </c>
      <c r="CH941">
        <f>IFERROR(INDEX(PP_Grid[#Data],$DD941,84),0)</f>
        <v/>
      </c>
      <c r="CI941">
        <f>IFERROR(INDEX(PP_Grid[#Data],$DD941,85),0)</f>
        <v/>
      </c>
      <c r="CJ941">
        <f>IFERROR(INDEX(PP_Grid[#Data],$DD941,86),0)</f>
        <v/>
      </c>
      <c r="CK941">
        <f>IFERROR(INDEX(PP_Grid[#Data],$DD941,87),0)</f>
        <v/>
      </c>
      <c r="CL941">
        <f>IFERROR(INDEX(PP_Grid[#Data],$DD941,88),0)</f>
        <v/>
      </c>
      <c r="CM941">
        <f>IFERROR(INDEX(PP_Grid[#Data],$DD941,89),0)</f>
        <v/>
      </c>
      <c r="CN941">
        <f>IFERROR(INDEX(PP_Grid[#Data],$DD941,90),0)</f>
        <v/>
      </c>
      <c r="CO941">
        <f>IFERROR(INDEX(PP_Grid[#Data],$DD941,91),0)</f>
        <v/>
      </c>
      <c r="CP941">
        <f>IFERROR(INDEX(PP_Grid[#Data],$DD941,92),0)</f>
        <v/>
      </c>
      <c r="CQ941">
        <f>IFERROR(INDEX(PP_Grid[#Data],$DD941,93),0)</f>
        <v/>
      </c>
      <c r="CR941">
        <f>IFERROR(INDEX(PP_Grid[#Data],$DD941,94),0)</f>
        <v/>
      </c>
      <c r="CS941">
        <f>IFERROR(INDEX(PP_Grid[#Data],$DD941,95),0)</f>
        <v/>
      </c>
      <c r="CT941">
        <f>IFERROR(INDEX(PP_Grid[#Data],$DD941,96),0)</f>
        <v/>
      </c>
      <c r="CU941">
        <f>IFERROR(INDEX(PP_Grid[#Data],$DD941,97),0)</f>
        <v/>
      </c>
      <c r="CV941">
        <f>IFERROR(INDEX(PP_Grid[#Data],$DD941,98),0)</f>
        <v/>
      </c>
      <c r="CW941">
        <f>IFERROR(INDEX(PP_Grid[#Data],$DD941,99),0)</f>
        <v/>
      </c>
      <c r="CX941">
        <f>IFERROR(INDEX(PP_Grid[#Data],$DD941,100),0)</f>
        <v/>
      </c>
      <c r="CY941">
        <f>IFERROR(INDEX(PP_Grid[#Data],$DD941,101),0)</f>
        <v/>
      </c>
      <c r="CZ941">
        <f>IFERROR(INDEX(PP_Grid[#Data],$DD941,102),0)</f>
        <v/>
      </c>
      <c r="DA941">
        <f>IFERROR(INDEX(PP_Grid[#Data],$DD941,103),0)</f>
        <v/>
      </c>
      <c r="DB941">
        <f>IFERROR(INDEX(PP_Grid[#Data],$DD941,104),0)</f>
        <v/>
      </c>
      <c r="DC941">
        <f>IFERROR(INDEX(PP_Grid[#Data],$DD941,105),0)</f>
        <v/>
      </c>
      <c r="DD941" s="7">
        <f>IFERROR(MATCH($B941,PP_Grid[Intermediate],0),99999)</f>
        <v/>
      </c>
    </row>
    <row r="942">
      <c r="B942" t="inlineStr">
        <is>
          <t>使用量(kg)</t>
        </is>
      </c>
      <c r="C942">
        <f>SUMIFS(M_BOM[RM_Qty_Per_Batch],M_BOM[Intermediate],$B941,M_BOM[Part Name],$A940)</f>
        <v/>
      </c>
      <c r="D942">
        <f>$C942*D941</f>
        <v/>
      </c>
      <c r="E942">
        <f>$C942*E941</f>
        <v/>
      </c>
      <c r="F942">
        <f>$C942*F941</f>
        <v/>
      </c>
      <c r="G942">
        <f>$C942*G941</f>
        <v/>
      </c>
      <c r="H942">
        <f>$C942*H941</f>
        <v/>
      </c>
      <c r="I942">
        <f>$C942*I941</f>
        <v/>
      </c>
      <c r="J942">
        <f>$C942*J941</f>
        <v/>
      </c>
      <c r="K942">
        <f>$C942*K941</f>
        <v/>
      </c>
      <c r="L942">
        <f>$C942*L941</f>
        <v/>
      </c>
      <c r="M942">
        <f>$C942*M941</f>
        <v/>
      </c>
      <c r="N942">
        <f>$C942*N941</f>
        <v/>
      </c>
      <c r="O942">
        <f>$C942*O941</f>
        <v/>
      </c>
      <c r="P942">
        <f>$C942*P941</f>
        <v/>
      </c>
      <c r="Q942">
        <f>$C942*Q941</f>
        <v/>
      </c>
      <c r="R942">
        <f>$C942*R941</f>
        <v/>
      </c>
      <c r="S942">
        <f>$C942*S941</f>
        <v/>
      </c>
      <c r="T942">
        <f>$C942*T941</f>
        <v/>
      </c>
      <c r="U942">
        <f>$C942*U941</f>
        <v/>
      </c>
      <c r="V942">
        <f>$C942*V941</f>
        <v/>
      </c>
      <c r="W942">
        <f>$C942*W941</f>
        <v/>
      </c>
      <c r="X942">
        <f>$C942*X941</f>
        <v/>
      </c>
      <c r="Y942">
        <f>$C942*Y941</f>
        <v/>
      </c>
      <c r="Z942">
        <f>$C942*Z941</f>
        <v/>
      </c>
      <c r="AA942">
        <f>$C942*AA941</f>
        <v/>
      </c>
      <c r="AB942">
        <f>$C942*AB941</f>
        <v/>
      </c>
      <c r="AC942">
        <f>$C942*AC941</f>
        <v/>
      </c>
      <c r="AD942">
        <f>$C942*AD941</f>
        <v/>
      </c>
      <c r="AE942">
        <f>$C942*AE941</f>
        <v/>
      </c>
      <c r="AF942">
        <f>$C942*AF941</f>
        <v/>
      </c>
      <c r="AG942">
        <f>$C942*AG941</f>
        <v/>
      </c>
      <c r="AH942">
        <f>$C942*AH941</f>
        <v/>
      </c>
      <c r="AI942">
        <f>$C942*AI941</f>
        <v/>
      </c>
      <c r="AJ942">
        <f>$C942*AJ941</f>
        <v/>
      </c>
      <c r="AK942">
        <f>$C942*AK941</f>
        <v/>
      </c>
      <c r="AL942">
        <f>$C942*AL941</f>
        <v/>
      </c>
      <c r="AM942">
        <f>$C942*AM941</f>
        <v/>
      </c>
      <c r="AN942">
        <f>$C942*AN941</f>
        <v/>
      </c>
      <c r="AO942">
        <f>$C942*AO941</f>
        <v/>
      </c>
      <c r="AP942">
        <f>$C942*AP941</f>
        <v/>
      </c>
      <c r="AQ942">
        <f>$C942*AQ941</f>
        <v/>
      </c>
      <c r="AR942">
        <f>$C942*AR941</f>
        <v/>
      </c>
      <c r="AS942">
        <f>$C942*AS941</f>
        <v/>
      </c>
      <c r="AT942">
        <f>$C942*AT941</f>
        <v/>
      </c>
      <c r="AU942">
        <f>$C942*AU941</f>
        <v/>
      </c>
      <c r="AV942">
        <f>$C942*AV941</f>
        <v/>
      </c>
      <c r="AW942">
        <f>$C942*AW941</f>
        <v/>
      </c>
      <c r="AX942">
        <f>$C942*AX941</f>
        <v/>
      </c>
      <c r="AY942">
        <f>$C942*AY941</f>
        <v/>
      </c>
      <c r="AZ942">
        <f>$C942*AZ941</f>
        <v/>
      </c>
      <c r="BA942">
        <f>$C942*BA941</f>
        <v/>
      </c>
      <c r="BB942">
        <f>$C942*BB941</f>
        <v/>
      </c>
      <c r="BC942">
        <f>$C942*BC941</f>
        <v/>
      </c>
      <c r="BD942">
        <f>$C942*BD941</f>
        <v/>
      </c>
      <c r="BE942">
        <f>$C942*BE941</f>
        <v/>
      </c>
      <c r="BF942">
        <f>$C942*BF941</f>
        <v/>
      </c>
      <c r="BG942">
        <f>$C942*BG941</f>
        <v/>
      </c>
      <c r="BH942">
        <f>$C942*BH941</f>
        <v/>
      </c>
      <c r="BI942">
        <f>$C942*BI941</f>
        <v/>
      </c>
      <c r="BJ942">
        <f>$C942*BJ941</f>
        <v/>
      </c>
      <c r="BK942">
        <f>$C942*BK941</f>
        <v/>
      </c>
      <c r="BL942">
        <f>$C942*BL941</f>
        <v/>
      </c>
      <c r="BM942">
        <f>$C942*BM941</f>
        <v/>
      </c>
      <c r="BN942">
        <f>$C942*BN941</f>
        <v/>
      </c>
      <c r="BO942">
        <f>$C942*BO941</f>
        <v/>
      </c>
      <c r="BP942">
        <f>$C942*BP941</f>
        <v/>
      </c>
      <c r="BQ942">
        <f>$C942*BQ941</f>
        <v/>
      </c>
      <c r="BR942">
        <f>$C942*BR941</f>
        <v/>
      </c>
      <c r="BS942">
        <f>$C942*BS941</f>
        <v/>
      </c>
      <c r="BT942">
        <f>$C942*BT941</f>
        <v/>
      </c>
      <c r="BU942">
        <f>$C942*BU941</f>
        <v/>
      </c>
      <c r="BV942">
        <f>$C942*BV941</f>
        <v/>
      </c>
      <c r="BW942">
        <f>$C942*BW941</f>
        <v/>
      </c>
      <c r="BX942">
        <f>$C942*BX941</f>
        <v/>
      </c>
      <c r="BY942">
        <f>$C942*BY941</f>
        <v/>
      </c>
      <c r="BZ942">
        <f>$C942*BZ941</f>
        <v/>
      </c>
      <c r="CA942">
        <f>$C942*CA941</f>
        <v/>
      </c>
      <c r="CB942">
        <f>$C942*CB941</f>
        <v/>
      </c>
      <c r="CC942">
        <f>$C942*CC941</f>
        <v/>
      </c>
      <c r="CD942">
        <f>$C942*CD941</f>
        <v/>
      </c>
      <c r="CE942">
        <f>$C942*CE941</f>
        <v/>
      </c>
      <c r="CF942">
        <f>$C942*CF941</f>
        <v/>
      </c>
      <c r="CG942">
        <f>$C942*CG941</f>
        <v/>
      </c>
      <c r="CH942">
        <f>$C942*CH941</f>
        <v/>
      </c>
      <c r="CI942">
        <f>$C942*CI941</f>
        <v/>
      </c>
      <c r="CJ942">
        <f>$C942*CJ941</f>
        <v/>
      </c>
      <c r="CK942">
        <f>$C942*CK941</f>
        <v/>
      </c>
      <c r="CL942">
        <f>$C942*CL941</f>
        <v/>
      </c>
      <c r="CM942">
        <f>$C942*CM941</f>
        <v/>
      </c>
      <c r="CN942">
        <f>$C942*CN941</f>
        <v/>
      </c>
      <c r="CO942">
        <f>$C942*CO941</f>
        <v/>
      </c>
      <c r="CP942">
        <f>$C942*CP941</f>
        <v/>
      </c>
      <c r="CQ942">
        <f>$C942*CQ941</f>
        <v/>
      </c>
      <c r="CR942">
        <f>$C942*CR941</f>
        <v/>
      </c>
      <c r="CS942">
        <f>$C942*CS941</f>
        <v/>
      </c>
      <c r="CT942">
        <f>$C942*CT941</f>
        <v/>
      </c>
      <c r="CU942">
        <f>$C942*CU941</f>
        <v/>
      </c>
      <c r="CV942">
        <f>$C942*CV941</f>
        <v/>
      </c>
      <c r="CW942">
        <f>$C942*CW941</f>
        <v/>
      </c>
      <c r="CX942">
        <f>$C942*CX941</f>
        <v/>
      </c>
      <c r="CY942">
        <f>$C942*CY941</f>
        <v/>
      </c>
      <c r="CZ942">
        <f>$C942*CZ941</f>
        <v/>
      </c>
      <c r="DA942">
        <f>$C942*DA941</f>
        <v/>
      </c>
      <c r="DB942">
        <f>$C942*DB941</f>
        <v/>
      </c>
      <c r="DC942">
        <f>$C942*DC941</f>
        <v/>
      </c>
    </row>
    <row r="943">
      <c r="B943" t="inlineStr">
        <is>
          <t>TVS-267</t>
        </is>
      </c>
      <c r="C943" t="inlineStr">
        <is>
          <t>No. of batches</t>
        </is>
      </c>
      <c r="D943">
        <f>IFERROR(INDEX(PP_Grid[#Data],$DD943,2),0)</f>
        <v/>
      </c>
      <c r="E943">
        <f>IFERROR(INDEX(PP_Grid[#Data],$DD943,3),0)</f>
        <v/>
      </c>
      <c r="F943">
        <f>IFERROR(INDEX(PP_Grid[#Data],$DD943,4),0)</f>
        <v/>
      </c>
      <c r="G943">
        <f>IFERROR(INDEX(PP_Grid[#Data],$DD943,5),0)</f>
        <v/>
      </c>
      <c r="H943">
        <f>IFERROR(INDEX(PP_Grid[#Data],$DD943,6),0)</f>
        <v/>
      </c>
      <c r="I943">
        <f>IFERROR(INDEX(PP_Grid[#Data],$DD943,7),0)</f>
        <v/>
      </c>
      <c r="J943">
        <f>IFERROR(INDEX(PP_Grid[#Data],$DD943,8),0)</f>
        <v/>
      </c>
      <c r="K943">
        <f>IFERROR(INDEX(PP_Grid[#Data],$DD943,9),0)</f>
        <v/>
      </c>
      <c r="L943">
        <f>IFERROR(INDEX(PP_Grid[#Data],$DD943,10),0)</f>
        <v/>
      </c>
      <c r="M943">
        <f>IFERROR(INDEX(PP_Grid[#Data],$DD943,11),0)</f>
        <v/>
      </c>
      <c r="N943">
        <f>IFERROR(INDEX(PP_Grid[#Data],$DD943,12),0)</f>
        <v/>
      </c>
      <c r="O943">
        <f>IFERROR(INDEX(PP_Grid[#Data],$DD943,13),0)</f>
        <v/>
      </c>
      <c r="P943">
        <f>IFERROR(INDEX(PP_Grid[#Data],$DD943,14),0)</f>
        <v/>
      </c>
      <c r="Q943">
        <f>IFERROR(INDEX(PP_Grid[#Data],$DD943,15),0)</f>
        <v/>
      </c>
      <c r="R943">
        <f>IFERROR(INDEX(PP_Grid[#Data],$DD943,16),0)</f>
        <v/>
      </c>
      <c r="S943">
        <f>IFERROR(INDEX(PP_Grid[#Data],$DD943,17),0)</f>
        <v/>
      </c>
      <c r="T943">
        <f>IFERROR(INDEX(PP_Grid[#Data],$DD943,18),0)</f>
        <v/>
      </c>
      <c r="U943">
        <f>IFERROR(INDEX(PP_Grid[#Data],$DD943,19),0)</f>
        <v/>
      </c>
      <c r="V943">
        <f>IFERROR(INDEX(PP_Grid[#Data],$DD943,20),0)</f>
        <v/>
      </c>
      <c r="W943">
        <f>IFERROR(INDEX(PP_Grid[#Data],$DD943,21),0)</f>
        <v/>
      </c>
      <c r="X943">
        <f>IFERROR(INDEX(PP_Grid[#Data],$DD943,22),0)</f>
        <v/>
      </c>
      <c r="Y943">
        <f>IFERROR(INDEX(PP_Grid[#Data],$DD943,23),0)</f>
        <v/>
      </c>
      <c r="Z943">
        <f>IFERROR(INDEX(PP_Grid[#Data],$DD943,24),0)</f>
        <v/>
      </c>
      <c r="AA943">
        <f>IFERROR(INDEX(PP_Grid[#Data],$DD943,25),0)</f>
        <v/>
      </c>
      <c r="AB943">
        <f>IFERROR(INDEX(PP_Grid[#Data],$DD943,26),0)</f>
        <v/>
      </c>
      <c r="AC943">
        <f>IFERROR(INDEX(PP_Grid[#Data],$DD943,27),0)</f>
        <v/>
      </c>
      <c r="AD943">
        <f>IFERROR(INDEX(PP_Grid[#Data],$DD943,28),0)</f>
        <v/>
      </c>
      <c r="AE943">
        <f>IFERROR(INDEX(PP_Grid[#Data],$DD943,29),0)</f>
        <v/>
      </c>
      <c r="AF943">
        <f>IFERROR(INDEX(PP_Grid[#Data],$DD943,30),0)</f>
        <v/>
      </c>
      <c r="AG943">
        <f>IFERROR(INDEX(PP_Grid[#Data],$DD943,31),0)</f>
        <v/>
      </c>
      <c r="AH943">
        <f>IFERROR(INDEX(PP_Grid[#Data],$DD943,32),0)</f>
        <v/>
      </c>
      <c r="AI943">
        <f>IFERROR(INDEX(PP_Grid[#Data],$DD943,33),0)</f>
        <v/>
      </c>
      <c r="AJ943">
        <f>IFERROR(INDEX(PP_Grid[#Data],$DD943,34),0)</f>
        <v/>
      </c>
      <c r="AK943">
        <f>IFERROR(INDEX(PP_Grid[#Data],$DD943,35),0)</f>
        <v/>
      </c>
      <c r="AL943">
        <f>IFERROR(INDEX(PP_Grid[#Data],$DD943,36),0)</f>
        <v/>
      </c>
      <c r="AM943">
        <f>IFERROR(INDEX(PP_Grid[#Data],$DD943,37),0)</f>
        <v/>
      </c>
      <c r="AN943">
        <f>IFERROR(INDEX(PP_Grid[#Data],$DD943,38),0)</f>
        <v/>
      </c>
      <c r="AO943">
        <f>IFERROR(INDEX(PP_Grid[#Data],$DD943,39),0)</f>
        <v/>
      </c>
      <c r="AP943">
        <f>IFERROR(INDEX(PP_Grid[#Data],$DD943,40),0)</f>
        <v/>
      </c>
      <c r="AQ943">
        <f>IFERROR(INDEX(PP_Grid[#Data],$DD943,41),0)</f>
        <v/>
      </c>
      <c r="AR943">
        <f>IFERROR(INDEX(PP_Grid[#Data],$DD943,42),0)</f>
        <v/>
      </c>
      <c r="AS943">
        <f>IFERROR(INDEX(PP_Grid[#Data],$DD943,43),0)</f>
        <v/>
      </c>
      <c r="AT943">
        <f>IFERROR(INDEX(PP_Grid[#Data],$DD943,44),0)</f>
        <v/>
      </c>
      <c r="AU943">
        <f>IFERROR(INDEX(PP_Grid[#Data],$DD943,45),0)</f>
        <v/>
      </c>
      <c r="AV943">
        <f>IFERROR(INDEX(PP_Grid[#Data],$DD943,46),0)</f>
        <v/>
      </c>
      <c r="AW943">
        <f>IFERROR(INDEX(PP_Grid[#Data],$DD943,47),0)</f>
        <v/>
      </c>
      <c r="AX943">
        <f>IFERROR(INDEX(PP_Grid[#Data],$DD943,48),0)</f>
        <v/>
      </c>
      <c r="AY943">
        <f>IFERROR(INDEX(PP_Grid[#Data],$DD943,49),0)</f>
        <v/>
      </c>
      <c r="AZ943">
        <f>IFERROR(INDEX(PP_Grid[#Data],$DD943,50),0)</f>
        <v/>
      </c>
      <c r="BA943">
        <f>IFERROR(INDEX(PP_Grid[#Data],$DD943,51),0)</f>
        <v/>
      </c>
      <c r="BB943">
        <f>IFERROR(INDEX(PP_Grid[#Data],$DD943,52),0)</f>
        <v/>
      </c>
      <c r="BC943">
        <f>IFERROR(INDEX(PP_Grid[#Data],$DD943,53),0)</f>
        <v/>
      </c>
      <c r="BD943">
        <f>IFERROR(INDEX(PP_Grid[#Data],$DD943,54),0)</f>
        <v/>
      </c>
      <c r="BE943">
        <f>IFERROR(INDEX(PP_Grid[#Data],$DD943,55),0)</f>
        <v/>
      </c>
      <c r="BF943">
        <f>IFERROR(INDEX(PP_Grid[#Data],$DD943,56),0)</f>
        <v/>
      </c>
      <c r="BG943">
        <f>IFERROR(INDEX(PP_Grid[#Data],$DD943,57),0)</f>
        <v/>
      </c>
      <c r="BH943">
        <f>IFERROR(INDEX(PP_Grid[#Data],$DD943,58),0)</f>
        <v/>
      </c>
      <c r="BI943">
        <f>IFERROR(INDEX(PP_Grid[#Data],$DD943,59),0)</f>
        <v/>
      </c>
      <c r="BJ943">
        <f>IFERROR(INDEX(PP_Grid[#Data],$DD943,60),0)</f>
        <v/>
      </c>
      <c r="BK943">
        <f>IFERROR(INDEX(PP_Grid[#Data],$DD943,61),0)</f>
        <v/>
      </c>
      <c r="BL943">
        <f>IFERROR(INDEX(PP_Grid[#Data],$DD943,62),0)</f>
        <v/>
      </c>
      <c r="BM943">
        <f>IFERROR(INDEX(PP_Grid[#Data],$DD943,63),0)</f>
        <v/>
      </c>
      <c r="BN943">
        <f>IFERROR(INDEX(PP_Grid[#Data],$DD943,64),0)</f>
        <v/>
      </c>
      <c r="BO943">
        <f>IFERROR(INDEX(PP_Grid[#Data],$DD943,65),0)</f>
        <v/>
      </c>
      <c r="BP943">
        <f>IFERROR(INDEX(PP_Grid[#Data],$DD943,66),0)</f>
        <v/>
      </c>
      <c r="BQ943">
        <f>IFERROR(INDEX(PP_Grid[#Data],$DD943,67),0)</f>
        <v/>
      </c>
      <c r="BR943">
        <f>IFERROR(INDEX(PP_Grid[#Data],$DD943,68),0)</f>
        <v/>
      </c>
      <c r="BS943">
        <f>IFERROR(INDEX(PP_Grid[#Data],$DD943,69),0)</f>
        <v/>
      </c>
      <c r="BT943">
        <f>IFERROR(INDEX(PP_Grid[#Data],$DD943,70),0)</f>
        <v/>
      </c>
      <c r="BU943">
        <f>IFERROR(INDEX(PP_Grid[#Data],$DD943,71),0)</f>
        <v/>
      </c>
      <c r="BV943">
        <f>IFERROR(INDEX(PP_Grid[#Data],$DD943,72),0)</f>
        <v/>
      </c>
      <c r="BW943">
        <f>IFERROR(INDEX(PP_Grid[#Data],$DD943,73),0)</f>
        <v/>
      </c>
      <c r="BX943">
        <f>IFERROR(INDEX(PP_Grid[#Data],$DD943,74),0)</f>
        <v/>
      </c>
      <c r="BY943">
        <f>IFERROR(INDEX(PP_Grid[#Data],$DD943,75),0)</f>
        <v/>
      </c>
      <c r="BZ943">
        <f>IFERROR(INDEX(PP_Grid[#Data],$DD943,76),0)</f>
        <v/>
      </c>
      <c r="CA943">
        <f>IFERROR(INDEX(PP_Grid[#Data],$DD943,77),0)</f>
        <v/>
      </c>
      <c r="CB943">
        <f>IFERROR(INDEX(PP_Grid[#Data],$DD943,78),0)</f>
        <v/>
      </c>
      <c r="CC943">
        <f>IFERROR(INDEX(PP_Grid[#Data],$DD943,79),0)</f>
        <v/>
      </c>
      <c r="CD943">
        <f>IFERROR(INDEX(PP_Grid[#Data],$DD943,80),0)</f>
        <v/>
      </c>
      <c r="CE943">
        <f>IFERROR(INDEX(PP_Grid[#Data],$DD943,81),0)</f>
        <v/>
      </c>
      <c r="CF943">
        <f>IFERROR(INDEX(PP_Grid[#Data],$DD943,82),0)</f>
        <v/>
      </c>
      <c r="CG943">
        <f>IFERROR(INDEX(PP_Grid[#Data],$DD943,83),0)</f>
        <v/>
      </c>
      <c r="CH943">
        <f>IFERROR(INDEX(PP_Grid[#Data],$DD943,84),0)</f>
        <v/>
      </c>
      <c r="CI943">
        <f>IFERROR(INDEX(PP_Grid[#Data],$DD943,85),0)</f>
        <v/>
      </c>
      <c r="CJ943">
        <f>IFERROR(INDEX(PP_Grid[#Data],$DD943,86),0)</f>
        <v/>
      </c>
      <c r="CK943">
        <f>IFERROR(INDEX(PP_Grid[#Data],$DD943,87),0)</f>
        <v/>
      </c>
      <c r="CL943">
        <f>IFERROR(INDEX(PP_Grid[#Data],$DD943,88),0)</f>
        <v/>
      </c>
      <c r="CM943">
        <f>IFERROR(INDEX(PP_Grid[#Data],$DD943,89),0)</f>
        <v/>
      </c>
      <c r="CN943">
        <f>IFERROR(INDEX(PP_Grid[#Data],$DD943,90),0)</f>
        <v/>
      </c>
      <c r="CO943">
        <f>IFERROR(INDEX(PP_Grid[#Data],$DD943,91),0)</f>
        <v/>
      </c>
      <c r="CP943">
        <f>IFERROR(INDEX(PP_Grid[#Data],$DD943,92),0)</f>
        <v/>
      </c>
      <c r="CQ943">
        <f>IFERROR(INDEX(PP_Grid[#Data],$DD943,93),0)</f>
        <v/>
      </c>
      <c r="CR943">
        <f>IFERROR(INDEX(PP_Grid[#Data],$DD943,94),0)</f>
        <v/>
      </c>
      <c r="CS943">
        <f>IFERROR(INDEX(PP_Grid[#Data],$DD943,95),0)</f>
        <v/>
      </c>
      <c r="CT943">
        <f>IFERROR(INDEX(PP_Grid[#Data],$DD943,96),0)</f>
        <v/>
      </c>
      <c r="CU943">
        <f>IFERROR(INDEX(PP_Grid[#Data],$DD943,97),0)</f>
        <v/>
      </c>
      <c r="CV943">
        <f>IFERROR(INDEX(PP_Grid[#Data],$DD943,98),0)</f>
        <v/>
      </c>
      <c r="CW943">
        <f>IFERROR(INDEX(PP_Grid[#Data],$DD943,99),0)</f>
        <v/>
      </c>
      <c r="CX943">
        <f>IFERROR(INDEX(PP_Grid[#Data],$DD943,100),0)</f>
        <v/>
      </c>
      <c r="CY943">
        <f>IFERROR(INDEX(PP_Grid[#Data],$DD943,101),0)</f>
        <v/>
      </c>
      <c r="CZ943">
        <f>IFERROR(INDEX(PP_Grid[#Data],$DD943,102),0)</f>
        <v/>
      </c>
      <c r="DA943">
        <f>IFERROR(INDEX(PP_Grid[#Data],$DD943,103),0)</f>
        <v/>
      </c>
      <c r="DB943">
        <f>IFERROR(INDEX(PP_Grid[#Data],$DD943,104),0)</f>
        <v/>
      </c>
      <c r="DC943">
        <f>IFERROR(INDEX(PP_Grid[#Data],$DD943,105),0)</f>
        <v/>
      </c>
      <c r="DD943" s="7">
        <f>IFERROR(MATCH($B943,PP_Grid[Intermediate],0),99999)</f>
        <v/>
      </c>
    </row>
    <row r="944">
      <c r="B944" t="inlineStr">
        <is>
          <t>使用量(kg)</t>
        </is>
      </c>
      <c r="C944">
        <f>SUMIFS(M_BOM[RM_Qty_Per_Batch],M_BOM[Intermediate],$B943,M_BOM[Part Name],$A940)</f>
        <v/>
      </c>
      <c r="D944">
        <f>$C944*D943</f>
        <v/>
      </c>
      <c r="E944">
        <f>$C944*E943</f>
        <v/>
      </c>
      <c r="F944">
        <f>$C944*F943</f>
        <v/>
      </c>
      <c r="G944">
        <f>$C944*G943</f>
        <v/>
      </c>
      <c r="H944">
        <f>$C944*H943</f>
        <v/>
      </c>
      <c r="I944">
        <f>$C944*I943</f>
        <v/>
      </c>
      <c r="J944">
        <f>$C944*J943</f>
        <v/>
      </c>
      <c r="K944">
        <f>$C944*K943</f>
        <v/>
      </c>
      <c r="L944">
        <f>$C944*L943</f>
        <v/>
      </c>
      <c r="M944">
        <f>$C944*M943</f>
        <v/>
      </c>
      <c r="N944">
        <f>$C944*N943</f>
        <v/>
      </c>
      <c r="O944">
        <f>$C944*O943</f>
        <v/>
      </c>
      <c r="P944">
        <f>$C944*P943</f>
        <v/>
      </c>
      <c r="Q944">
        <f>$C944*Q943</f>
        <v/>
      </c>
      <c r="R944">
        <f>$C944*R943</f>
        <v/>
      </c>
      <c r="S944">
        <f>$C944*S943</f>
        <v/>
      </c>
      <c r="T944">
        <f>$C944*T943</f>
        <v/>
      </c>
      <c r="U944">
        <f>$C944*U943</f>
        <v/>
      </c>
      <c r="V944">
        <f>$C944*V943</f>
        <v/>
      </c>
      <c r="W944">
        <f>$C944*W943</f>
        <v/>
      </c>
      <c r="X944">
        <f>$C944*X943</f>
        <v/>
      </c>
      <c r="Y944">
        <f>$C944*Y943</f>
        <v/>
      </c>
      <c r="Z944">
        <f>$C944*Z943</f>
        <v/>
      </c>
      <c r="AA944">
        <f>$C944*AA943</f>
        <v/>
      </c>
      <c r="AB944">
        <f>$C944*AB943</f>
        <v/>
      </c>
      <c r="AC944">
        <f>$C944*AC943</f>
        <v/>
      </c>
      <c r="AD944">
        <f>$C944*AD943</f>
        <v/>
      </c>
      <c r="AE944">
        <f>$C944*AE943</f>
        <v/>
      </c>
      <c r="AF944">
        <f>$C944*AF943</f>
        <v/>
      </c>
      <c r="AG944">
        <f>$C944*AG943</f>
        <v/>
      </c>
      <c r="AH944">
        <f>$C944*AH943</f>
        <v/>
      </c>
      <c r="AI944">
        <f>$C944*AI943</f>
        <v/>
      </c>
      <c r="AJ944">
        <f>$C944*AJ943</f>
        <v/>
      </c>
      <c r="AK944">
        <f>$C944*AK943</f>
        <v/>
      </c>
      <c r="AL944">
        <f>$C944*AL943</f>
        <v/>
      </c>
      <c r="AM944">
        <f>$C944*AM943</f>
        <v/>
      </c>
      <c r="AN944">
        <f>$C944*AN943</f>
        <v/>
      </c>
      <c r="AO944">
        <f>$C944*AO943</f>
        <v/>
      </c>
      <c r="AP944">
        <f>$C944*AP943</f>
        <v/>
      </c>
      <c r="AQ944">
        <f>$C944*AQ943</f>
        <v/>
      </c>
      <c r="AR944">
        <f>$C944*AR943</f>
        <v/>
      </c>
      <c r="AS944">
        <f>$C944*AS943</f>
        <v/>
      </c>
      <c r="AT944">
        <f>$C944*AT943</f>
        <v/>
      </c>
      <c r="AU944">
        <f>$C944*AU943</f>
        <v/>
      </c>
      <c r="AV944">
        <f>$C944*AV943</f>
        <v/>
      </c>
      <c r="AW944">
        <f>$C944*AW943</f>
        <v/>
      </c>
      <c r="AX944">
        <f>$C944*AX943</f>
        <v/>
      </c>
      <c r="AY944">
        <f>$C944*AY943</f>
        <v/>
      </c>
      <c r="AZ944">
        <f>$C944*AZ943</f>
        <v/>
      </c>
      <c r="BA944">
        <f>$C944*BA943</f>
        <v/>
      </c>
      <c r="BB944">
        <f>$C944*BB943</f>
        <v/>
      </c>
      <c r="BC944">
        <f>$C944*BC943</f>
        <v/>
      </c>
      <c r="BD944">
        <f>$C944*BD943</f>
        <v/>
      </c>
      <c r="BE944">
        <f>$C944*BE943</f>
        <v/>
      </c>
      <c r="BF944">
        <f>$C944*BF943</f>
        <v/>
      </c>
      <c r="BG944">
        <f>$C944*BG943</f>
        <v/>
      </c>
      <c r="BH944">
        <f>$C944*BH943</f>
        <v/>
      </c>
      <c r="BI944">
        <f>$C944*BI943</f>
        <v/>
      </c>
      <c r="BJ944">
        <f>$C944*BJ943</f>
        <v/>
      </c>
      <c r="BK944">
        <f>$C944*BK943</f>
        <v/>
      </c>
      <c r="BL944">
        <f>$C944*BL943</f>
        <v/>
      </c>
      <c r="BM944">
        <f>$C944*BM943</f>
        <v/>
      </c>
      <c r="BN944">
        <f>$C944*BN943</f>
        <v/>
      </c>
      <c r="BO944">
        <f>$C944*BO943</f>
        <v/>
      </c>
      <c r="BP944">
        <f>$C944*BP943</f>
        <v/>
      </c>
      <c r="BQ944">
        <f>$C944*BQ943</f>
        <v/>
      </c>
      <c r="BR944">
        <f>$C944*BR943</f>
        <v/>
      </c>
      <c r="BS944">
        <f>$C944*BS943</f>
        <v/>
      </c>
      <c r="BT944">
        <f>$C944*BT943</f>
        <v/>
      </c>
      <c r="BU944">
        <f>$C944*BU943</f>
        <v/>
      </c>
      <c r="BV944">
        <f>$C944*BV943</f>
        <v/>
      </c>
      <c r="BW944">
        <f>$C944*BW943</f>
        <v/>
      </c>
      <c r="BX944">
        <f>$C944*BX943</f>
        <v/>
      </c>
      <c r="BY944">
        <f>$C944*BY943</f>
        <v/>
      </c>
      <c r="BZ944">
        <f>$C944*BZ943</f>
        <v/>
      </c>
      <c r="CA944">
        <f>$C944*CA943</f>
        <v/>
      </c>
      <c r="CB944">
        <f>$C944*CB943</f>
        <v/>
      </c>
      <c r="CC944">
        <f>$C944*CC943</f>
        <v/>
      </c>
      <c r="CD944">
        <f>$C944*CD943</f>
        <v/>
      </c>
      <c r="CE944">
        <f>$C944*CE943</f>
        <v/>
      </c>
      <c r="CF944">
        <f>$C944*CF943</f>
        <v/>
      </c>
      <c r="CG944">
        <f>$C944*CG943</f>
        <v/>
      </c>
      <c r="CH944">
        <f>$C944*CH943</f>
        <v/>
      </c>
      <c r="CI944">
        <f>$C944*CI943</f>
        <v/>
      </c>
      <c r="CJ944">
        <f>$C944*CJ943</f>
        <v/>
      </c>
      <c r="CK944">
        <f>$C944*CK943</f>
        <v/>
      </c>
      <c r="CL944">
        <f>$C944*CL943</f>
        <v/>
      </c>
      <c r="CM944">
        <f>$C944*CM943</f>
        <v/>
      </c>
      <c r="CN944">
        <f>$C944*CN943</f>
        <v/>
      </c>
      <c r="CO944">
        <f>$C944*CO943</f>
        <v/>
      </c>
      <c r="CP944">
        <f>$C944*CP943</f>
        <v/>
      </c>
      <c r="CQ944">
        <f>$C944*CQ943</f>
        <v/>
      </c>
      <c r="CR944">
        <f>$C944*CR943</f>
        <v/>
      </c>
      <c r="CS944">
        <f>$C944*CS943</f>
        <v/>
      </c>
      <c r="CT944">
        <f>$C944*CT943</f>
        <v/>
      </c>
      <c r="CU944">
        <f>$C944*CU943</f>
        <v/>
      </c>
      <c r="CV944">
        <f>$C944*CV943</f>
        <v/>
      </c>
      <c r="CW944">
        <f>$C944*CW943</f>
        <v/>
      </c>
      <c r="CX944">
        <f>$C944*CX943</f>
        <v/>
      </c>
      <c r="CY944">
        <f>$C944*CY943</f>
        <v/>
      </c>
      <c r="CZ944">
        <f>$C944*CZ943</f>
        <v/>
      </c>
      <c r="DA944">
        <f>$C944*DA943</f>
        <v/>
      </c>
      <c r="DB944">
        <f>$C944*DB943</f>
        <v/>
      </c>
      <c r="DC944">
        <f>$C944*DC943</f>
        <v/>
      </c>
    </row>
    <row r="945">
      <c r="B945" t="inlineStr">
        <is>
          <t>TVS-500</t>
        </is>
      </c>
      <c r="C945" t="inlineStr">
        <is>
          <t>No. of batches</t>
        </is>
      </c>
      <c r="D945">
        <f>IFERROR(INDEX(PP_Grid[#Data],$DD945,2),0)</f>
        <v/>
      </c>
      <c r="E945">
        <f>IFERROR(INDEX(PP_Grid[#Data],$DD945,3),0)</f>
        <v/>
      </c>
      <c r="F945">
        <f>IFERROR(INDEX(PP_Grid[#Data],$DD945,4),0)</f>
        <v/>
      </c>
      <c r="G945">
        <f>IFERROR(INDEX(PP_Grid[#Data],$DD945,5),0)</f>
        <v/>
      </c>
      <c r="H945">
        <f>IFERROR(INDEX(PP_Grid[#Data],$DD945,6),0)</f>
        <v/>
      </c>
      <c r="I945">
        <f>IFERROR(INDEX(PP_Grid[#Data],$DD945,7),0)</f>
        <v/>
      </c>
      <c r="J945">
        <f>IFERROR(INDEX(PP_Grid[#Data],$DD945,8),0)</f>
        <v/>
      </c>
      <c r="K945">
        <f>IFERROR(INDEX(PP_Grid[#Data],$DD945,9),0)</f>
        <v/>
      </c>
      <c r="L945">
        <f>IFERROR(INDEX(PP_Grid[#Data],$DD945,10),0)</f>
        <v/>
      </c>
      <c r="M945">
        <f>IFERROR(INDEX(PP_Grid[#Data],$DD945,11),0)</f>
        <v/>
      </c>
      <c r="N945">
        <f>IFERROR(INDEX(PP_Grid[#Data],$DD945,12),0)</f>
        <v/>
      </c>
      <c r="O945">
        <f>IFERROR(INDEX(PP_Grid[#Data],$DD945,13),0)</f>
        <v/>
      </c>
      <c r="P945">
        <f>IFERROR(INDEX(PP_Grid[#Data],$DD945,14),0)</f>
        <v/>
      </c>
      <c r="Q945">
        <f>IFERROR(INDEX(PP_Grid[#Data],$DD945,15),0)</f>
        <v/>
      </c>
      <c r="R945">
        <f>IFERROR(INDEX(PP_Grid[#Data],$DD945,16),0)</f>
        <v/>
      </c>
      <c r="S945">
        <f>IFERROR(INDEX(PP_Grid[#Data],$DD945,17),0)</f>
        <v/>
      </c>
      <c r="T945">
        <f>IFERROR(INDEX(PP_Grid[#Data],$DD945,18),0)</f>
        <v/>
      </c>
      <c r="U945">
        <f>IFERROR(INDEX(PP_Grid[#Data],$DD945,19),0)</f>
        <v/>
      </c>
      <c r="V945">
        <f>IFERROR(INDEX(PP_Grid[#Data],$DD945,20),0)</f>
        <v/>
      </c>
      <c r="W945">
        <f>IFERROR(INDEX(PP_Grid[#Data],$DD945,21),0)</f>
        <v/>
      </c>
      <c r="X945">
        <f>IFERROR(INDEX(PP_Grid[#Data],$DD945,22),0)</f>
        <v/>
      </c>
      <c r="Y945">
        <f>IFERROR(INDEX(PP_Grid[#Data],$DD945,23),0)</f>
        <v/>
      </c>
      <c r="Z945">
        <f>IFERROR(INDEX(PP_Grid[#Data],$DD945,24),0)</f>
        <v/>
      </c>
      <c r="AA945">
        <f>IFERROR(INDEX(PP_Grid[#Data],$DD945,25),0)</f>
        <v/>
      </c>
      <c r="AB945">
        <f>IFERROR(INDEX(PP_Grid[#Data],$DD945,26),0)</f>
        <v/>
      </c>
      <c r="AC945">
        <f>IFERROR(INDEX(PP_Grid[#Data],$DD945,27),0)</f>
        <v/>
      </c>
      <c r="AD945">
        <f>IFERROR(INDEX(PP_Grid[#Data],$DD945,28),0)</f>
        <v/>
      </c>
      <c r="AE945">
        <f>IFERROR(INDEX(PP_Grid[#Data],$DD945,29),0)</f>
        <v/>
      </c>
      <c r="AF945">
        <f>IFERROR(INDEX(PP_Grid[#Data],$DD945,30),0)</f>
        <v/>
      </c>
      <c r="AG945">
        <f>IFERROR(INDEX(PP_Grid[#Data],$DD945,31),0)</f>
        <v/>
      </c>
      <c r="AH945">
        <f>IFERROR(INDEX(PP_Grid[#Data],$DD945,32),0)</f>
        <v/>
      </c>
      <c r="AI945">
        <f>IFERROR(INDEX(PP_Grid[#Data],$DD945,33),0)</f>
        <v/>
      </c>
      <c r="AJ945">
        <f>IFERROR(INDEX(PP_Grid[#Data],$DD945,34),0)</f>
        <v/>
      </c>
      <c r="AK945">
        <f>IFERROR(INDEX(PP_Grid[#Data],$DD945,35),0)</f>
        <v/>
      </c>
      <c r="AL945">
        <f>IFERROR(INDEX(PP_Grid[#Data],$DD945,36),0)</f>
        <v/>
      </c>
      <c r="AM945">
        <f>IFERROR(INDEX(PP_Grid[#Data],$DD945,37),0)</f>
        <v/>
      </c>
      <c r="AN945">
        <f>IFERROR(INDEX(PP_Grid[#Data],$DD945,38),0)</f>
        <v/>
      </c>
      <c r="AO945">
        <f>IFERROR(INDEX(PP_Grid[#Data],$DD945,39),0)</f>
        <v/>
      </c>
      <c r="AP945">
        <f>IFERROR(INDEX(PP_Grid[#Data],$DD945,40),0)</f>
        <v/>
      </c>
      <c r="AQ945">
        <f>IFERROR(INDEX(PP_Grid[#Data],$DD945,41),0)</f>
        <v/>
      </c>
      <c r="AR945">
        <f>IFERROR(INDEX(PP_Grid[#Data],$DD945,42),0)</f>
        <v/>
      </c>
      <c r="AS945">
        <f>IFERROR(INDEX(PP_Grid[#Data],$DD945,43),0)</f>
        <v/>
      </c>
      <c r="AT945">
        <f>IFERROR(INDEX(PP_Grid[#Data],$DD945,44),0)</f>
        <v/>
      </c>
      <c r="AU945">
        <f>IFERROR(INDEX(PP_Grid[#Data],$DD945,45),0)</f>
        <v/>
      </c>
      <c r="AV945">
        <f>IFERROR(INDEX(PP_Grid[#Data],$DD945,46),0)</f>
        <v/>
      </c>
      <c r="AW945">
        <f>IFERROR(INDEX(PP_Grid[#Data],$DD945,47),0)</f>
        <v/>
      </c>
      <c r="AX945">
        <f>IFERROR(INDEX(PP_Grid[#Data],$DD945,48),0)</f>
        <v/>
      </c>
      <c r="AY945">
        <f>IFERROR(INDEX(PP_Grid[#Data],$DD945,49),0)</f>
        <v/>
      </c>
      <c r="AZ945">
        <f>IFERROR(INDEX(PP_Grid[#Data],$DD945,50),0)</f>
        <v/>
      </c>
      <c r="BA945">
        <f>IFERROR(INDEX(PP_Grid[#Data],$DD945,51),0)</f>
        <v/>
      </c>
      <c r="BB945">
        <f>IFERROR(INDEX(PP_Grid[#Data],$DD945,52),0)</f>
        <v/>
      </c>
      <c r="BC945">
        <f>IFERROR(INDEX(PP_Grid[#Data],$DD945,53),0)</f>
        <v/>
      </c>
      <c r="BD945">
        <f>IFERROR(INDEX(PP_Grid[#Data],$DD945,54),0)</f>
        <v/>
      </c>
      <c r="BE945">
        <f>IFERROR(INDEX(PP_Grid[#Data],$DD945,55),0)</f>
        <v/>
      </c>
      <c r="BF945">
        <f>IFERROR(INDEX(PP_Grid[#Data],$DD945,56),0)</f>
        <v/>
      </c>
      <c r="BG945">
        <f>IFERROR(INDEX(PP_Grid[#Data],$DD945,57),0)</f>
        <v/>
      </c>
      <c r="BH945">
        <f>IFERROR(INDEX(PP_Grid[#Data],$DD945,58),0)</f>
        <v/>
      </c>
      <c r="BI945">
        <f>IFERROR(INDEX(PP_Grid[#Data],$DD945,59),0)</f>
        <v/>
      </c>
      <c r="BJ945">
        <f>IFERROR(INDEX(PP_Grid[#Data],$DD945,60),0)</f>
        <v/>
      </c>
      <c r="BK945">
        <f>IFERROR(INDEX(PP_Grid[#Data],$DD945,61),0)</f>
        <v/>
      </c>
      <c r="BL945">
        <f>IFERROR(INDEX(PP_Grid[#Data],$DD945,62),0)</f>
        <v/>
      </c>
      <c r="BM945">
        <f>IFERROR(INDEX(PP_Grid[#Data],$DD945,63),0)</f>
        <v/>
      </c>
      <c r="BN945">
        <f>IFERROR(INDEX(PP_Grid[#Data],$DD945,64),0)</f>
        <v/>
      </c>
      <c r="BO945">
        <f>IFERROR(INDEX(PP_Grid[#Data],$DD945,65),0)</f>
        <v/>
      </c>
      <c r="BP945">
        <f>IFERROR(INDEX(PP_Grid[#Data],$DD945,66),0)</f>
        <v/>
      </c>
      <c r="BQ945">
        <f>IFERROR(INDEX(PP_Grid[#Data],$DD945,67),0)</f>
        <v/>
      </c>
      <c r="BR945">
        <f>IFERROR(INDEX(PP_Grid[#Data],$DD945,68),0)</f>
        <v/>
      </c>
      <c r="BS945">
        <f>IFERROR(INDEX(PP_Grid[#Data],$DD945,69),0)</f>
        <v/>
      </c>
      <c r="BT945">
        <f>IFERROR(INDEX(PP_Grid[#Data],$DD945,70),0)</f>
        <v/>
      </c>
      <c r="BU945">
        <f>IFERROR(INDEX(PP_Grid[#Data],$DD945,71),0)</f>
        <v/>
      </c>
      <c r="BV945">
        <f>IFERROR(INDEX(PP_Grid[#Data],$DD945,72),0)</f>
        <v/>
      </c>
      <c r="BW945">
        <f>IFERROR(INDEX(PP_Grid[#Data],$DD945,73),0)</f>
        <v/>
      </c>
      <c r="BX945">
        <f>IFERROR(INDEX(PP_Grid[#Data],$DD945,74),0)</f>
        <v/>
      </c>
      <c r="BY945">
        <f>IFERROR(INDEX(PP_Grid[#Data],$DD945,75),0)</f>
        <v/>
      </c>
      <c r="BZ945">
        <f>IFERROR(INDEX(PP_Grid[#Data],$DD945,76),0)</f>
        <v/>
      </c>
      <c r="CA945">
        <f>IFERROR(INDEX(PP_Grid[#Data],$DD945,77),0)</f>
        <v/>
      </c>
      <c r="CB945">
        <f>IFERROR(INDEX(PP_Grid[#Data],$DD945,78),0)</f>
        <v/>
      </c>
      <c r="CC945">
        <f>IFERROR(INDEX(PP_Grid[#Data],$DD945,79),0)</f>
        <v/>
      </c>
      <c r="CD945">
        <f>IFERROR(INDEX(PP_Grid[#Data],$DD945,80),0)</f>
        <v/>
      </c>
      <c r="CE945">
        <f>IFERROR(INDEX(PP_Grid[#Data],$DD945,81),0)</f>
        <v/>
      </c>
      <c r="CF945">
        <f>IFERROR(INDEX(PP_Grid[#Data],$DD945,82),0)</f>
        <v/>
      </c>
      <c r="CG945">
        <f>IFERROR(INDEX(PP_Grid[#Data],$DD945,83),0)</f>
        <v/>
      </c>
      <c r="CH945">
        <f>IFERROR(INDEX(PP_Grid[#Data],$DD945,84),0)</f>
        <v/>
      </c>
      <c r="CI945">
        <f>IFERROR(INDEX(PP_Grid[#Data],$DD945,85),0)</f>
        <v/>
      </c>
      <c r="CJ945">
        <f>IFERROR(INDEX(PP_Grid[#Data],$DD945,86),0)</f>
        <v/>
      </c>
      <c r="CK945">
        <f>IFERROR(INDEX(PP_Grid[#Data],$DD945,87),0)</f>
        <v/>
      </c>
      <c r="CL945">
        <f>IFERROR(INDEX(PP_Grid[#Data],$DD945,88),0)</f>
        <v/>
      </c>
      <c r="CM945">
        <f>IFERROR(INDEX(PP_Grid[#Data],$DD945,89),0)</f>
        <v/>
      </c>
      <c r="CN945">
        <f>IFERROR(INDEX(PP_Grid[#Data],$DD945,90),0)</f>
        <v/>
      </c>
      <c r="CO945">
        <f>IFERROR(INDEX(PP_Grid[#Data],$DD945,91),0)</f>
        <v/>
      </c>
      <c r="CP945">
        <f>IFERROR(INDEX(PP_Grid[#Data],$DD945,92),0)</f>
        <v/>
      </c>
      <c r="CQ945">
        <f>IFERROR(INDEX(PP_Grid[#Data],$DD945,93),0)</f>
        <v/>
      </c>
      <c r="CR945">
        <f>IFERROR(INDEX(PP_Grid[#Data],$DD945,94),0)</f>
        <v/>
      </c>
      <c r="CS945">
        <f>IFERROR(INDEX(PP_Grid[#Data],$DD945,95),0)</f>
        <v/>
      </c>
      <c r="CT945">
        <f>IFERROR(INDEX(PP_Grid[#Data],$DD945,96),0)</f>
        <v/>
      </c>
      <c r="CU945">
        <f>IFERROR(INDEX(PP_Grid[#Data],$DD945,97),0)</f>
        <v/>
      </c>
      <c r="CV945">
        <f>IFERROR(INDEX(PP_Grid[#Data],$DD945,98),0)</f>
        <v/>
      </c>
      <c r="CW945">
        <f>IFERROR(INDEX(PP_Grid[#Data],$DD945,99),0)</f>
        <v/>
      </c>
      <c r="CX945">
        <f>IFERROR(INDEX(PP_Grid[#Data],$DD945,100),0)</f>
        <v/>
      </c>
      <c r="CY945">
        <f>IFERROR(INDEX(PP_Grid[#Data],$DD945,101),0)</f>
        <v/>
      </c>
      <c r="CZ945">
        <f>IFERROR(INDEX(PP_Grid[#Data],$DD945,102),0)</f>
        <v/>
      </c>
      <c r="DA945">
        <f>IFERROR(INDEX(PP_Grid[#Data],$DD945,103),0)</f>
        <v/>
      </c>
      <c r="DB945">
        <f>IFERROR(INDEX(PP_Grid[#Data],$DD945,104),0)</f>
        <v/>
      </c>
      <c r="DC945">
        <f>IFERROR(INDEX(PP_Grid[#Data],$DD945,105),0)</f>
        <v/>
      </c>
      <c r="DD945" s="7">
        <f>IFERROR(MATCH($B945,PP_Grid[Intermediate],0),99999)</f>
        <v/>
      </c>
    </row>
    <row r="946">
      <c r="B946" t="inlineStr">
        <is>
          <t>使用量(kg)</t>
        </is>
      </c>
      <c r="C946">
        <f>SUMIFS(M_BOM[RM_Qty_Per_Batch],M_BOM[Intermediate],$B945,M_BOM[Part Name],$A940)</f>
        <v/>
      </c>
      <c r="D946">
        <f>$C946*D945</f>
        <v/>
      </c>
      <c r="E946">
        <f>$C946*E945</f>
        <v/>
      </c>
      <c r="F946">
        <f>$C946*F945</f>
        <v/>
      </c>
      <c r="G946">
        <f>$C946*G945</f>
        <v/>
      </c>
      <c r="H946">
        <f>$C946*H945</f>
        <v/>
      </c>
      <c r="I946">
        <f>$C946*I945</f>
        <v/>
      </c>
      <c r="J946">
        <f>$C946*J945</f>
        <v/>
      </c>
      <c r="K946">
        <f>$C946*K945</f>
        <v/>
      </c>
      <c r="L946">
        <f>$C946*L945</f>
        <v/>
      </c>
      <c r="M946">
        <f>$C946*M945</f>
        <v/>
      </c>
      <c r="N946">
        <f>$C946*N945</f>
        <v/>
      </c>
      <c r="O946">
        <f>$C946*O945</f>
        <v/>
      </c>
      <c r="P946">
        <f>$C946*P945</f>
        <v/>
      </c>
      <c r="Q946">
        <f>$C946*Q945</f>
        <v/>
      </c>
      <c r="R946">
        <f>$C946*R945</f>
        <v/>
      </c>
      <c r="S946">
        <f>$C946*S945</f>
        <v/>
      </c>
      <c r="T946">
        <f>$C946*T945</f>
        <v/>
      </c>
      <c r="U946">
        <f>$C946*U945</f>
        <v/>
      </c>
      <c r="V946">
        <f>$C946*V945</f>
        <v/>
      </c>
      <c r="W946">
        <f>$C946*W945</f>
        <v/>
      </c>
      <c r="X946">
        <f>$C946*X945</f>
        <v/>
      </c>
      <c r="Y946">
        <f>$C946*Y945</f>
        <v/>
      </c>
      <c r="Z946">
        <f>$C946*Z945</f>
        <v/>
      </c>
      <c r="AA946">
        <f>$C946*AA945</f>
        <v/>
      </c>
      <c r="AB946">
        <f>$C946*AB945</f>
        <v/>
      </c>
      <c r="AC946">
        <f>$C946*AC945</f>
        <v/>
      </c>
      <c r="AD946">
        <f>$C946*AD945</f>
        <v/>
      </c>
      <c r="AE946">
        <f>$C946*AE945</f>
        <v/>
      </c>
      <c r="AF946">
        <f>$C946*AF945</f>
        <v/>
      </c>
      <c r="AG946">
        <f>$C946*AG945</f>
        <v/>
      </c>
      <c r="AH946">
        <f>$C946*AH945</f>
        <v/>
      </c>
      <c r="AI946">
        <f>$C946*AI945</f>
        <v/>
      </c>
      <c r="AJ946">
        <f>$C946*AJ945</f>
        <v/>
      </c>
      <c r="AK946">
        <f>$C946*AK945</f>
        <v/>
      </c>
      <c r="AL946">
        <f>$C946*AL945</f>
        <v/>
      </c>
      <c r="AM946">
        <f>$C946*AM945</f>
        <v/>
      </c>
      <c r="AN946">
        <f>$C946*AN945</f>
        <v/>
      </c>
      <c r="AO946">
        <f>$C946*AO945</f>
        <v/>
      </c>
      <c r="AP946">
        <f>$C946*AP945</f>
        <v/>
      </c>
      <c r="AQ946">
        <f>$C946*AQ945</f>
        <v/>
      </c>
      <c r="AR946">
        <f>$C946*AR945</f>
        <v/>
      </c>
      <c r="AS946">
        <f>$C946*AS945</f>
        <v/>
      </c>
      <c r="AT946">
        <f>$C946*AT945</f>
        <v/>
      </c>
      <c r="AU946">
        <f>$C946*AU945</f>
        <v/>
      </c>
      <c r="AV946">
        <f>$C946*AV945</f>
        <v/>
      </c>
      <c r="AW946">
        <f>$C946*AW945</f>
        <v/>
      </c>
      <c r="AX946">
        <f>$C946*AX945</f>
        <v/>
      </c>
      <c r="AY946">
        <f>$C946*AY945</f>
        <v/>
      </c>
      <c r="AZ946">
        <f>$C946*AZ945</f>
        <v/>
      </c>
      <c r="BA946">
        <f>$C946*BA945</f>
        <v/>
      </c>
      <c r="BB946">
        <f>$C946*BB945</f>
        <v/>
      </c>
      <c r="BC946">
        <f>$C946*BC945</f>
        <v/>
      </c>
      <c r="BD946">
        <f>$C946*BD945</f>
        <v/>
      </c>
      <c r="BE946">
        <f>$C946*BE945</f>
        <v/>
      </c>
      <c r="BF946">
        <f>$C946*BF945</f>
        <v/>
      </c>
      <c r="BG946">
        <f>$C946*BG945</f>
        <v/>
      </c>
      <c r="BH946">
        <f>$C946*BH945</f>
        <v/>
      </c>
      <c r="BI946">
        <f>$C946*BI945</f>
        <v/>
      </c>
      <c r="BJ946">
        <f>$C946*BJ945</f>
        <v/>
      </c>
      <c r="BK946">
        <f>$C946*BK945</f>
        <v/>
      </c>
      <c r="BL946">
        <f>$C946*BL945</f>
        <v/>
      </c>
      <c r="BM946">
        <f>$C946*BM945</f>
        <v/>
      </c>
      <c r="BN946">
        <f>$C946*BN945</f>
        <v/>
      </c>
      <c r="BO946">
        <f>$C946*BO945</f>
        <v/>
      </c>
      <c r="BP946">
        <f>$C946*BP945</f>
        <v/>
      </c>
      <c r="BQ946">
        <f>$C946*BQ945</f>
        <v/>
      </c>
      <c r="BR946">
        <f>$C946*BR945</f>
        <v/>
      </c>
      <c r="BS946">
        <f>$C946*BS945</f>
        <v/>
      </c>
      <c r="BT946">
        <f>$C946*BT945</f>
        <v/>
      </c>
      <c r="BU946">
        <f>$C946*BU945</f>
        <v/>
      </c>
      <c r="BV946">
        <f>$C946*BV945</f>
        <v/>
      </c>
      <c r="BW946">
        <f>$C946*BW945</f>
        <v/>
      </c>
      <c r="BX946">
        <f>$C946*BX945</f>
        <v/>
      </c>
      <c r="BY946">
        <f>$C946*BY945</f>
        <v/>
      </c>
      <c r="BZ946">
        <f>$C946*BZ945</f>
        <v/>
      </c>
      <c r="CA946">
        <f>$C946*CA945</f>
        <v/>
      </c>
      <c r="CB946">
        <f>$C946*CB945</f>
        <v/>
      </c>
      <c r="CC946">
        <f>$C946*CC945</f>
        <v/>
      </c>
      <c r="CD946">
        <f>$C946*CD945</f>
        <v/>
      </c>
      <c r="CE946">
        <f>$C946*CE945</f>
        <v/>
      </c>
      <c r="CF946">
        <f>$C946*CF945</f>
        <v/>
      </c>
      <c r="CG946">
        <f>$C946*CG945</f>
        <v/>
      </c>
      <c r="CH946">
        <f>$C946*CH945</f>
        <v/>
      </c>
      <c r="CI946">
        <f>$C946*CI945</f>
        <v/>
      </c>
      <c r="CJ946">
        <f>$C946*CJ945</f>
        <v/>
      </c>
      <c r="CK946">
        <f>$C946*CK945</f>
        <v/>
      </c>
      <c r="CL946">
        <f>$C946*CL945</f>
        <v/>
      </c>
      <c r="CM946">
        <f>$C946*CM945</f>
        <v/>
      </c>
      <c r="CN946">
        <f>$C946*CN945</f>
        <v/>
      </c>
      <c r="CO946">
        <f>$C946*CO945</f>
        <v/>
      </c>
      <c r="CP946">
        <f>$C946*CP945</f>
        <v/>
      </c>
      <c r="CQ946">
        <f>$C946*CQ945</f>
        <v/>
      </c>
      <c r="CR946">
        <f>$C946*CR945</f>
        <v/>
      </c>
      <c r="CS946">
        <f>$C946*CS945</f>
        <v/>
      </c>
      <c r="CT946">
        <f>$C946*CT945</f>
        <v/>
      </c>
      <c r="CU946">
        <f>$C946*CU945</f>
        <v/>
      </c>
      <c r="CV946">
        <f>$C946*CV945</f>
        <v/>
      </c>
      <c r="CW946">
        <f>$C946*CW945</f>
        <v/>
      </c>
      <c r="CX946">
        <f>$C946*CX945</f>
        <v/>
      </c>
      <c r="CY946">
        <f>$C946*CY945</f>
        <v/>
      </c>
      <c r="CZ946">
        <f>$C946*CZ945</f>
        <v/>
      </c>
      <c r="DA946">
        <f>$C946*DA945</f>
        <v/>
      </c>
      <c r="DB946">
        <f>$C946*DB945</f>
        <v/>
      </c>
      <c r="DC946">
        <f>$C946*DC945</f>
        <v/>
      </c>
    </row>
    <row r="947">
      <c r="B947" s="4" t="inlineStr">
        <is>
          <t>合計使用量(kg)/週</t>
        </is>
      </c>
      <c r="D947">
        <f>'Grid_Requirement'!B23</f>
        <v/>
      </c>
      <c r="E947">
        <f>'Grid_Requirement'!C23</f>
        <v/>
      </c>
      <c r="F947">
        <f>'Grid_Requirement'!D23</f>
        <v/>
      </c>
      <c r="G947">
        <f>'Grid_Requirement'!E23</f>
        <v/>
      </c>
      <c r="H947">
        <f>'Grid_Requirement'!F23</f>
        <v/>
      </c>
      <c r="I947">
        <f>'Grid_Requirement'!G23</f>
        <v/>
      </c>
      <c r="J947">
        <f>'Grid_Requirement'!H23</f>
        <v/>
      </c>
      <c r="K947">
        <f>'Grid_Requirement'!I23</f>
        <v/>
      </c>
      <c r="L947">
        <f>'Grid_Requirement'!J23</f>
        <v/>
      </c>
      <c r="M947">
        <f>'Grid_Requirement'!K23</f>
        <v/>
      </c>
      <c r="N947">
        <f>'Grid_Requirement'!L23</f>
        <v/>
      </c>
      <c r="O947">
        <f>'Grid_Requirement'!M23</f>
        <v/>
      </c>
      <c r="P947">
        <f>'Grid_Requirement'!N23</f>
        <v/>
      </c>
      <c r="Q947">
        <f>'Grid_Requirement'!O23</f>
        <v/>
      </c>
      <c r="R947">
        <f>'Grid_Requirement'!P23</f>
        <v/>
      </c>
      <c r="S947">
        <f>'Grid_Requirement'!Q23</f>
        <v/>
      </c>
      <c r="T947">
        <f>'Grid_Requirement'!R23</f>
        <v/>
      </c>
      <c r="U947">
        <f>'Grid_Requirement'!S23</f>
        <v/>
      </c>
      <c r="V947">
        <f>'Grid_Requirement'!T23</f>
        <v/>
      </c>
      <c r="W947">
        <f>'Grid_Requirement'!U23</f>
        <v/>
      </c>
      <c r="X947">
        <f>'Grid_Requirement'!V23</f>
        <v/>
      </c>
      <c r="Y947">
        <f>'Grid_Requirement'!W23</f>
        <v/>
      </c>
      <c r="Z947">
        <f>'Grid_Requirement'!X23</f>
        <v/>
      </c>
      <c r="AA947">
        <f>'Grid_Requirement'!Y23</f>
        <v/>
      </c>
      <c r="AB947">
        <f>'Grid_Requirement'!Z23</f>
        <v/>
      </c>
      <c r="AC947">
        <f>'Grid_Requirement'!AA23</f>
        <v/>
      </c>
      <c r="AD947">
        <f>'Grid_Requirement'!AB23</f>
        <v/>
      </c>
      <c r="AE947">
        <f>'Grid_Requirement'!AC23</f>
        <v/>
      </c>
      <c r="AF947">
        <f>'Grid_Requirement'!AD23</f>
        <v/>
      </c>
      <c r="AG947">
        <f>'Grid_Requirement'!AE23</f>
        <v/>
      </c>
      <c r="AH947">
        <f>'Grid_Requirement'!AF23</f>
        <v/>
      </c>
      <c r="AI947">
        <f>'Grid_Requirement'!AG23</f>
        <v/>
      </c>
      <c r="AJ947">
        <f>'Grid_Requirement'!AH23</f>
        <v/>
      </c>
      <c r="AK947">
        <f>'Grid_Requirement'!AI23</f>
        <v/>
      </c>
      <c r="AL947">
        <f>'Grid_Requirement'!AJ23</f>
        <v/>
      </c>
      <c r="AM947">
        <f>'Grid_Requirement'!AK23</f>
        <v/>
      </c>
      <c r="AN947">
        <f>'Grid_Requirement'!AL23</f>
        <v/>
      </c>
      <c r="AO947">
        <f>'Grid_Requirement'!AM23</f>
        <v/>
      </c>
      <c r="AP947">
        <f>'Grid_Requirement'!AN23</f>
        <v/>
      </c>
      <c r="AQ947">
        <f>'Grid_Requirement'!AO23</f>
        <v/>
      </c>
      <c r="AR947">
        <f>'Grid_Requirement'!AP23</f>
        <v/>
      </c>
      <c r="AS947">
        <f>'Grid_Requirement'!AQ23</f>
        <v/>
      </c>
      <c r="AT947">
        <f>'Grid_Requirement'!AR23</f>
        <v/>
      </c>
      <c r="AU947">
        <f>'Grid_Requirement'!AS23</f>
        <v/>
      </c>
      <c r="AV947">
        <f>'Grid_Requirement'!AT23</f>
        <v/>
      </c>
      <c r="AW947">
        <f>'Grid_Requirement'!AU23</f>
        <v/>
      </c>
      <c r="AX947">
        <f>'Grid_Requirement'!AV23</f>
        <v/>
      </c>
      <c r="AY947">
        <f>'Grid_Requirement'!AW23</f>
        <v/>
      </c>
      <c r="AZ947">
        <f>'Grid_Requirement'!AX23</f>
        <v/>
      </c>
      <c r="BA947">
        <f>'Grid_Requirement'!AY23</f>
        <v/>
      </c>
      <c r="BB947">
        <f>'Grid_Requirement'!AZ23</f>
        <v/>
      </c>
      <c r="BC947">
        <f>'Grid_Requirement'!BA23</f>
        <v/>
      </c>
      <c r="BD947">
        <f>'Grid_Requirement'!BB23</f>
        <v/>
      </c>
      <c r="BE947">
        <f>'Grid_Requirement'!BC23</f>
        <v/>
      </c>
      <c r="BF947">
        <f>'Grid_Requirement'!BD23</f>
        <v/>
      </c>
      <c r="BG947">
        <f>'Grid_Requirement'!BE23</f>
        <v/>
      </c>
      <c r="BH947">
        <f>'Grid_Requirement'!BF23</f>
        <v/>
      </c>
      <c r="BI947">
        <f>'Grid_Requirement'!BG23</f>
        <v/>
      </c>
      <c r="BJ947">
        <f>'Grid_Requirement'!BH23</f>
        <v/>
      </c>
      <c r="BK947">
        <f>'Grid_Requirement'!BI23</f>
        <v/>
      </c>
      <c r="BL947">
        <f>'Grid_Requirement'!BJ23</f>
        <v/>
      </c>
      <c r="BM947">
        <f>'Grid_Requirement'!BK23</f>
        <v/>
      </c>
      <c r="BN947">
        <f>'Grid_Requirement'!BL23</f>
        <v/>
      </c>
      <c r="BO947">
        <f>'Grid_Requirement'!BM23</f>
        <v/>
      </c>
      <c r="BP947">
        <f>'Grid_Requirement'!BN23</f>
        <v/>
      </c>
      <c r="BQ947">
        <f>'Grid_Requirement'!BO23</f>
        <v/>
      </c>
      <c r="BR947">
        <f>'Grid_Requirement'!BP23</f>
        <v/>
      </c>
      <c r="BS947">
        <f>'Grid_Requirement'!BQ23</f>
        <v/>
      </c>
      <c r="BT947">
        <f>'Grid_Requirement'!BR23</f>
        <v/>
      </c>
      <c r="BU947">
        <f>'Grid_Requirement'!BS23</f>
        <v/>
      </c>
      <c r="BV947">
        <f>'Grid_Requirement'!BT23</f>
        <v/>
      </c>
      <c r="BW947">
        <f>'Grid_Requirement'!BU23</f>
        <v/>
      </c>
      <c r="BX947">
        <f>'Grid_Requirement'!BV23</f>
        <v/>
      </c>
      <c r="BY947">
        <f>'Grid_Requirement'!BW23</f>
        <v/>
      </c>
      <c r="BZ947">
        <f>'Grid_Requirement'!BX23</f>
        <v/>
      </c>
      <c r="CA947">
        <f>'Grid_Requirement'!BY23</f>
        <v/>
      </c>
      <c r="CB947">
        <f>'Grid_Requirement'!BZ23</f>
        <v/>
      </c>
      <c r="CC947">
        <f>'Grid_Requirement'!CA23</f>
        <v/>
      </c>
      <c r="CD947">
        <f>'Grid_Requirement'!CB23</f>
        <v/>
      </c>
      <c r="CE947">
        <f>'Grid_Requirement'!CC23</f>
        <v/>
      </c>
      <c r="CF947">
        <f>'Grid_Requirement'!CD23</f>
        <v/>
      </c>
      <c r="CG947">
        <f>'Grid_Requirement'!CE23</f>
        <v/>
      </c>
      <c r="CH947">
        <f>'Grid_Requirement'!CF23</f>
        <v/>
      </c>
      <c r="CI947">
        <f>'Grid_Requirement'!CG23</f>
        <v/>
      </c>
      <c r="CJ947">
        <f>'Grid_Requirement'!CH23</f>
        <v/>
      </c>
      <c r="CK947">
        <f>'Grid_Requirement'!CI23</f>
        <v/>
      </c>
      <c r="CL947">
        <f>'Grid_Requirement'!CJ23</f>
        <v/>
      </c>
      <c r="CM947">
        <f>'Grid_Requirement'!CK23</f>
        <v/>
      </c>
      <c r="CN947">
        <f>'Grid_Requirement'!CL23</f>
        <v/>
      </c>
      <c r="CO947">
        <f>'Grid_Requirement'!CM23</f>
        <v/>
      </c>
      <c r="CP947">
        <f>'Grid_Requirement'!CN23</f>
        <v/>
      </c>
      <c r="CQ947">
        <f>'Grid_Requirement'!CO23</f>
        <v/>
      </c>
      <c r="CR947">
        <f>'Grid_Requirement'!CP23</f>
        <v/>
      </c>
      <c r="CS947">
        <f>'Grid_Requirement'!CQ23</f>
        <v/>
      </c>
      <c r="CT947">
        <f>'Grid_Requirement'!CR23</f>
        <v/>
      </c>
      <c r="CU947">
        <f>'Grid_Requirement'!CS23</f>
        <v/>
      </c>
      <c r="CV947">
        <f>'Grid_Requirement'!CT23</f>
        <v/>
      </c>
      <c r="CW947">
        <f>'Grid_Requirement'!CU23</f>
        <v/>
      </c>
      <c r="CX947">
        <f>'Grid_Requirement'!CV23</f>
        <v/>
      </c>
      <c r="CY947">
        <f>'Grid_Requirement'!CW23</f>
        <v/>
      </c>
      <c r="CZ947">
        <f>'Grid_Requirement'!CX23</f>
        <v/>
      </c>
      <c r="DA947">
        <f>'Grid_Requirement'!CY23</f>
        <v/>
      </c>
      <c r="DB947">
        <f>'Grid_Requirement'!CZ23</f>
        <v/>
      </c>
      <c r="DC947">
        <f>'Grid_Requirement'!DA23</f>
        <v/>
      </c>
    </row>
    <row r="948">
      <c r="B948" t="inlineStr">
        <is>
          <t>TTAF在庫(実績,kg)</t>
        </is>
      </c>
      <c r="D948">
        <f>'T_TTAFStock'!B27</f>
        <v/>
      </c>
      <c r="E948">
        <f>'T_TTAFStock'!C27</f>
        <v/>
      </c>
      <c r="F948">
        <f>'T_TTAFStock'!D27</f>
        <v/>
      </c>
      <c r="G948">
        <f>'T_TTAFStock'!E27</f>
        <v/>
      </c>
      <c r="H948">
        <f>'T_TTAFStock'!F27</f>
        <v/>
      </c>
      <c r="I948">
        <f>'T_TTAFStock'!G27</f>
        <v/>
      </c>
      <c r="J948">
        <f>'T_TTAFStock'!H27</f>
        <v/>
      </c>
      <c r="K948">
        <f>'T_TTAFStock'!I27</f>
        <v/>
      </c>
      <c r="L948">
        <f>'T_TTAFStock'!J27</f>
        <v/>
      </c>
      <c r="M948">
        <f>'T_TTAFStock'!K27</f>
        <v/>
      </c>
      <c r="N948">
        <f>'T_TTAFStock'!L27</f>
        <v/>
      </c>
      <c r="O948">
        <f>'T_TTAFStock'!M27</f>
        <v/>
      </c>
      <c r="P948">
        <f>'T_TTAFStock'!N27</f>
        <v/>
      </c>
      <c r="Q948">
        <f>'T_TTAFStock'!O27</f>
        <v/>
      </c>
      <c r="R948">
        <f>'T_TTAFStock'!P27</f>
        <v/>
      </c>
      <c r="S948">
        <f>'T_TTAFStock'!Q27</f>
        <v/>
      </c>
      <c r="T948">
        <f>'T_TTAFStock'!R27</f>
        <v/>
      </c>
      <c r="U948">
        <f>'T_TTAFStock'!S27</f>
        <v/>
      </c>
      <c r="V948">
        <f>'T_TTAFStock'!T27</f>
        <v/>
      </c>
      <c r="W948">
        <f>'T_TTAFStock'!U27</f>
        <v/>
      </c>
      <c r="X948">
        <f>'T_TTAFStock'!V27</f>
        <v/>
      </c>
      <c r="Y948">
        <f>'T_TTAFStock'!W27</f>
        <v/>
      </c>
      <c r="Z948">
        <f>'T_TTAFStock'!X27</f>
        <v/>
      </c>
      <c r="AA948">
        <f>'T_TTAFStock'!Y27</f>
        <v/>
      </c>
      <c r="AB948">
        <f>'T_TTAFStock'!Z27</f>
        <v/>
      </c>
      <c r="AC948">
        <f>'T_TTAFStock'!AA27</f>
        <v/>
      </c>
      <c r="AD948">
        <f>'T_TTAFStock'!AB27</f>
        <v/>
      </c>
      <c r="AE948">
        <f>'T_TTAFStock'!AC27</f>
        <v/>
      </c>
      <c r="AF948">
        <f>'T_TTAFStock'!AD27</f>
        <v/>
      </c>
      <c r="AG948">
        <f>'T_TTAFStock'!AE27</f>
        <v/>
      </c>
      <c r="AH948">
        <f>'T_TTAFStock'!AF27</f>
        <v/>
      </c>
      <c r="AI948">
        <f>'T_TTAFStock'!AG27</f>
        <v/>
      </c>
      <c r="AJ948">
        <f>'T_TTAFStock'!AH27</f>
        <v/>
      </c>
      <c r="AK948">
        <f>'T_TTAFStock'!AI27</f>
        <v/>
      </c>
      <c r="AL948">
        <f>'T_TTAFStock'!AJ27</f>
        <v/>
      </c>
      <c r="AM948">
        <f>'T_TTAFStock'!AK27</f>
        <v/>
      </c>
      <c r="AN948">
        <f>'T_TTAFStock'!AL27</f>
        <v/>
      </c>
      <c r="AO948">
        <f>'T_TTAFStock'!AM27</f>
        <v/>
      </c>
      <c r="AP948">
        <f>'T_TTAFStock'!AN27</f>
        <v/>
      </c>
      <c r="AQ948">
        <f>'T_TTAFStock'!AO27</f>
        <v/>
      </c>
      <c r="AR948">
        <f>'T_TTAFStock'!AP27</f>
        <v/>
      </c>
      <c r="AS948">
        <f>'T_TTAFStock'!AQ27</f>
        <v/>
      </c>
      <c r="AT948">
        <f>'T_TTAFStock'!AR27</f>
        <v/>
      </c>
      <c r="AU948">
        <f>'T_TTAFStock'!AS27</f>
        <v/>
      </c>
      <c r="AV948">
        <f>'T_TTAFStock'!AT27</f>
        <v/>
      </c>
      <c r="AW948">
        <f>'T_TTAFStock'!AU27</f>
        <v/>
      </c>
      <c r="AX948">
        <f>'T_TTAFStock'!AV27</f>
        <v/>
      </c>
      <c r="AY948">
        <f>'T_TTAFStock'!AW27</f>
        <v/>
      </c>
      <c r="AZ948">
        <f>'T_TTAFStock'!AX27</f>
        <v/>
      </c>
      <c r="BA948">
        <f>'T_TTAFStock'!AY27</f>
        <v/>
      </c>
      <c r="BB948">
        <f>'T_TTAFStock'!AZ27</f>
        <v/>
      </c>
      <c r="BC948">
        <f>'T_TTAFStock'!BA27</f>
        <v/>
      </c>
      <c r="BD948">
        <f>'T_TTAFStock'!BB27</f>
        <v/>
      </c>
      <c r="BE948">
        <f>'T_TTAFStock'!BC27</f>
        <v/>
      </c>
      <c r="BF948">
        <f>'T_TTAFStock'!BD27</f>
        <v/>
      </c>
      <c r="BG948">
        <f>'T_TTAFStock'!BE27</f>
        <v/>
      </c>
      <c r="BH948">
        <f>'T_TTAFStock'!BF27</f>
        <v/>
      </c>
      <c r="BI948">
        <f>'T_TTAFStock'!BG27</f>
        <v/>
      </c>
      <c r="BJ948">
        <f>'T_TTAFStock'!BH27</f>
        <v/>
      </c>
      <c r="BK948">
        <f>'T_TTAFStock'!BI27</f>
        <v/>
      </c>
      <c r="BL948">
        <f>'T_TTAFStock'!BJ27</f>
        <v/>
      </c>
      <c r="BM948">
        <f>'T_TTAFStock'!BK27</f>
        <v/>
      </c>
      <c r="BN948">
        <f>'T_TTAFStock'!BL27</f>
        <v/>
      </c>
      <c r="BO948">
        <f>'T_TTAFStock'!BM27</f>
        <v/>
      </c>
      <c r="BP948">
        <f>'T_TTAFStock'!BN27</f>
        <v/>
      </c>
      <c r="BQ948">
        <f>'T_TTAFStock'!BO27</f>
        <v/>
      </c>
      <c r="BR948">
        <f>'T_TTAFStock'!BP27</f>
        <v/>
      </c>
      <c r="BS948">
        <f>'T_TTAFStock'!BQ27</f>
        <v/>
      </c>
      <c r="BT948">
        <f>'T_TTAFStock'!BR27</f>
        <v/>
      </c>
      <c r="BU948">
        <f>'T_TTAFStock'!BS27</f>
        <v/>
      </c>
      <c r="BV948">
        <f>'T_TTAFStock'!BT27</f>
        <v/>
      </c>
      <c r="BW948">
        <f>'T_TTAFStock'!BU27</f>
        <v/>
      </c>
      <c r="BX948">
        <f>'T_TTAFStock'!BV27</f>
        <v/>
      </c>
      <c r="BY948">
        <f>'T_TTAFStock'!BW27</f>
        <v/>
      </c>
      <c r="BZ948">
        <f>'T_TTAFStock'!BX27</f>
        <v/>
      </c>
      <c r="CA948">
        <f>'T_TTAFStock'!BY27</f>
        <v/>
      </c>
      <c r="CB948">
        <f>'T_TTAFStock'!BZ27</f>
        <v/>
      </c>
      <c r="CC948">
        <f>'T_TTAFStock'!CA27</f>
        <v/>
      </c>
      <c r="CD948">
        <f>'T_TTAFStock'!CB27</f>
        <v/>
      </c>
      <c r="CE948">
        <f>'T_TTAFStock'!CC27</f>
        <v/>
      </c>
      <c r="CF948">
        <f>'T_TTAFStock'!CD27</f>
        <v/>
      </c>
      <c r="CG948">
        <f>'T_TTAFStock'!CE27</f>
        <v/>
      </c>
      <c r="CH948">
        <f>'T_TTAFStock'!CF27</f>
        <v/>
      </c>
      <c r="CI948">
        <f>'T_TTAFStock'!CG27</f>
        <v/>
      </c>
      <c r="CJ948">
        <f>'T_TTAFStock'!CH27</f>
        <v/>
      </c>
      <c r="CK948">
        <f>'T_TTAFStock'!CI27</f>
        <v/>
      </c>
      <c r="CL948">
        <f>'T_TTAFStock'!CJ27</f>
        <v/>
      </c>
      <c r="CM948">
        <f>'T_TTAFStock'!CK27</f>
        <v/>
      </c>
      <c r="CN948">
        <f>'T_TTAFStock'!CL27</f>
        <v/>
      </c>
      <c r="CO948">
        <f>'T_TTAFStock'!CM27</f>
        <v/>
      </c>
      <c r="CP948">
        <f>'T_TTAFStock'!CN27</f>
        <v/>
      </c>
      <c r="CQ948">
        <f>'T_TTAFStock'!CO27</f>
        <v/>
      </c>
      <c r="CR948">
        <f>'T_TTAFStock'!CP27</f>
        <v/>
      </c>
      <c r="CS948">
        <f>'T_TTAFStock'!CQ27</f>
        <v/>
      </c>
      <c r="CT948">
        <f>'T_TTAFStock'!CR27</f>
        <v/>
      </c>
      <c r="CU948">
        <f>'T_TTAFStock'!CS27</f>
        <v/>
      </c>
      <c r="CV948">
        <f>'T_TTAFStock'!CT27</f>
        <v/>
      </c>
      <c r="CW948">
        <f>'T_TTAFStock'!CU27</f>
        <v/>
      </c>
      <c r="CX948">
        <f>'T_TTAFStock'!CV27</f>
        <v/>
      </c>
      <c r="CY948">
        <f>'T_TTAFStock'!CW27</f>
        <v/>
      </c>
      <c r="CZ948">
        <f>'T_TTAFStock'!CX27</f>
        <v/>
      </c>
      <c r="DA948">
        <f>'T_TTAFStock'!CY27</f>
        <v/>
      </c>
      <c r="DB948">
        <f>'T_TTAFStock'!CZ27</f>
        <v/>
      </c>
      <c r="DC948">
        <f>'T_TTAFStock'!DA27</f>
        <v/>
      </c>
    </row>
    <row r="949">
      <c r="B949" t="inlineStr">
        <is>
          <t>自社在庫(実績,kg)</t>
        </is>
      </c>
      <c r="D949">
        <f>'T_SelfStock'!B27</f>
        <v/>
      </c>
      <c r="E949">
        <f>'T_SelfStock'!C27</f>
        <v/>
      </c>
      <c r="F949">
        <f>'T_SelfStock'!D27</f>
        <v/>
      </c>
      <c r="G949">
        <f>'T_SelfStock'!E27</f>
        <v/>
      </c>
      <c r="H949">
        <f>'T_SelfStock'!F27</f>
        <v/>
      </c>
      <c r="I949">
        <f>'T_SelfStock'!G27</f>
        <v/>
      </c>
      <c r="J949">
        <f>'T_SelfStock'!H27</f>
        <v/>
      </c>
      <c r="K949">
        <f>'T_SelfStock'!I27</f>
        <v/>
      </c>
      <c r="L949">
        <f>'T_SelfStock'!J27</f>
        <v/>
      </c>
      <c r="M949">
        <f>'T_SelfStock'!K27</f>
        <v/>
      </c>
      <c r="N949">
        <f>'T_SelfStock'!L27</f>
        <v/>
      </c>
      <c r="O949">
        <f>'T_SelfStock'!M27</f>
        <v/>
      </c>
      <c r="P949">
        <f>'T_SelfStock'!N27</f>
        <v/>
      </c>
      <c r="Q949">
        <f>'T_SelfStock'!O27</f>
        <v/>
      </c>
      <c r="R949">
        <f>'T_SelfStock'!P27</f>
        <v/>
      </c>
      <c r="S949">
        <f>'T_SelfStock'!Q27</f>
        <v/>
      </c>
      <c r="T949">
        <f>'T_SelfStock'!R27</f>
        <v/>
      </c>
      <c r="U949">
        <f>'T_SelfStock'!S27</f>
        <v/>
      </c>
      <c r="V949">
        <f>'T_SelfStock'!T27</f>
        <v/>
      </c>
      <c r="W949">
        <f>'T_SelfStock'!U27</f>
        <v/>
      </c>
      <c r="X949">
        <f>'T_SelfStock'!V27</f>
        <v/>
      </c>
      <c r="Y949">
        <f>'T_SelfStock'!W27</f>
        <v/>
      </c>
      <c r="Z949">
        <f>'T_SelfStock'!X27</f>
        <v/>
      </c>
      <c r="AA949">
        <f>'T_SelfStock'!Y27</f>
        <v/>
      </c>
      <c r="AB949">
        <f>'T_SelfStock'!Z27</f>
        <v/>
      </c>
      <c r="AC949">
        <f>'T_SelfStock'!AA27</f>
        <v/>
      </c>
      <c r="AD949">
        <f>'T_SelfStock'!AB27</f>
        <v/>
      </c>
      <c r="AE949">
        <f>'T_SelfStock'!AC27</f>
        <v/>
      </c>
      <c r="AF949">
        <f>'T_SelfStock'!AD27</f>
        <v/>
      </c>
      <c r="AG949">
        <f>'T_SelfStock'!AE27</f>
        <v/>
      </c>
      <c r="AH949">
        <f>'T_SelfStock'!AF27</f>
        <v/>
      </c>
      <c r="AI949">
        <f>'T_SelfStock'!AG27</f>
        <v/>
      </c>
      <c r="AJ949">
        <f>'T_SelfStock'!AH27</f>
        <v/>
      </c>
      <c r="AK949">
        <f>'T_SelfStock'!AI27</f>
        <v/>
      </c>
      <c r="AL949">
        <f>'T_SelfStock'!AJ27</f>
        <v/>
      </c>
      <c r="AM949">
        <f>'T_SelfStock'!AK27</f>
        <v/>
      </c>
      <c r="AN949">
        <f>'T_SelfStock'!AL27</f>
        <v/>
      </c>
      <c r="AO949">
        <f>'T_SelfStock'!AM27</f>
        <v/>
      </c>
      <c r="AP949">
        <f>'T_SelfStock'!AN27</f>
        <v/>
      </c>
      <c r="AQ949">
        <f>'T_SelfStock'!AO27</f>
        <v/>
      </c>
      <c r="AR949">
        <f>'T_SelfStock'!AP27</f>
        <v/>
      </c>
      <c r="AS949">
        <f>'T_SelfStock'!AQ27</f>
        <v/>
      </c>
      <c r="AT949">
        <f>'T_SelfStock'!AR27</f>
        <v/>
      </c>
      <c r="AU949">
        <f>'T_SelfStock'!AS27</f>
        <v/>
      </c>
      <c r="AV949">
        <f>'T_SelfStock'!AT27</f>
        <v/>
      </c>
      <c r="AW949">
        <f>'T_SelfStock'!AU27</f>
        <v/>
      </c>
      <c r="AX949">
        <f>'T_SelfStock'!AV27</f>
        <v/>
      </c>
      <c r="AY949">
        <f>'T_SelfStock'!AW27</f>
        <v/>
      </c>
      <c r="AZ949">
        <f>'T_SelfStock'!AX27</f>
        <v/>
      </c>
      <c r="BA949">
        <f>'T_SelfStock'!AY27</f>
        <v/>
      </c>
      <c r="BB949">
        <f>'T_SelfStock'!AZ27</f>
        <v/>
      </c>
      <c r="BC949">
        <f>'T_SelfStock'!BA27</f>
        <v/>
      </c>
      <c r="BD949">
        <f>'T_SelfStock'!BB27</f>
        <v/>
      </c>
      <c r="BE949">
        <f>'T_SelfStock'!BC27</f>
        <v/>
      </c>
      <c r="BF949">
        <f>'T_SelfStock'!BD27</f>
        <v/>
      </c>
      <c r="BG949">
        <f>'T_SelfStock'!BE27</f>
        <v/>
      </c>
      <c r="BH949">
        <f>'T_SelfStock'!BF27</f>
        <v/>
      </c>
      <c r="BI949">
        <f>'T_SelfStock'!BG27</f>
        <v/>
      </c>
      <c r="BJ949">
        <f>'T_SelfStock'!BH27</f>
        <v/>
      </c>
      <c r="BK949">
        <f>'T_SelfStock'!BI27</f>
        <v/>
      </c>
      <c r="BL949">
        <f>'T_SelfStock'!BJ27</f>
        <v/>
      </c>
      <c r="BM949">
        <f>'T_SelfStock'!BK27</f>
        <v/>
      </c>
      <c r="BN949">
        <f>'T_SelfStock'!BL27</f>
        <v/>
      </c>
      <c r="BO949">
        <f>'T_SelfStock'!BM27</f>
        <v/>
      </c>
      <c r="BP949">
        <f>'T_SelfStock'!BN27</f>
        <v/>
      </c>
      <c r="BQ949">
        <f>'T_SelfStock'!BO27</f>
        <v/>
      </c>
      <c r="BR949">
        <f>'T_SelfStock'!BP27</f>
        <v/>
      </c>
      <c r="BS949">
        <f>'T_SelfStock'!BQ27</f>
        <v/>
      </c>
      <c r="BT949">
        <f>'T_SelfStock'!BR27</f>
        <v/>
      </c>
      <c r="BU949">
        <f>'T_SelfStock'!BS27</f>
        <v/>
      </c>
      <c r="BV949">
        <f>'T_SelfStock'!BT27</f>
        <v/>
      </c>
      <c r="BW949">
        <f>'T_SelfStock'!BU27</f>
        <v/>
      </c>
      <c r="BX949">
        <f>'T_SelfStock'!BV27</f>
        <v/>
      </c>
      <c r="BY949">
        <f>'T_SelfStock'!BW27</f>
        <v/>
      </c>
      <c r="BZ949">
        <f>'T_SelfStock'!BX27</f>
        <v/>
      </c>
      <c r="CA949">
        <f>'T_SelfStock'!BY27</f>
        <v/>
      </c>
      <c r="CB949">
        <f>'T_SelfStock'!BZ27</f>
        <v/>
      </c>
      <c r="CC949">
        <f>'T_SelfStock'!CA27</f>
        <v/>
      </c>
      <c r="CD949">
        <f>'T_SelfStock'!CB27</f>
        <v/>
      </c>
      <c r="CE949">
        <f>'T_SelfStock'!CC27</f>
        <v/>
      </c>
      <c r="CF949">
        <f>'T_SelfStock'!CD27</f>
        <v/>
      </c>
      <c r="CG949">
        <f>'T_SelfStock'!CE27</f>
        <v/>
      </c>
      <c r="CH949">
        <f>'T_SelfStock'!CF27</f>
        <v/>
      </c>
      <c r="CI949">
        <f>'T_SelfStock'!CG27</f>
        <v/>
      </c>
      <c r="CJ949">
        <f>'T_SelfStock'!CH27</f>
        <v/>
      </c>
      <c r="CK949">
        <f>'T_SelfStock'!CI27</f>
        <v/>
      </c>
      <c r="CL949">
        <f>'T_SelfStock'!CJ27</f>
        <v/>
      </c>
      <c r="CM949">
        <f>'T_SelfStock'!CK27</f>
        <v/>
      </c>
      <c r="CN949">
        <f>'T_SelfStock'!CL27</f>
        <v/>
      </c>
      <c r="CO949">
        <f>'T_SelfStock'!CM27</f>
        <v/>
      </c>
      <c r="CP949">
        <f>'T_SelfStock'!CN27</f>
        <v/>
      </c>
      <c r="CQ949">
        <f>'T_SelfStock'!CO27</f>
        <v/>
      </c>
      <c r="CR949">
        <f>'T_SelfStock'!CP27</f>
        <v/>
      </c>
      <c r="CS949">
        <f>'T_SelfStock'!CQ27</f>
        <v/>
      </c>
      <c r="CT949">
        <f>'T_SelfStock'!CR27</f>
        <v/>
      </c>
      <c r="CU949">
        <f>'T_SelfStock'!CS27</f>
        <v/>
      </c>
      <c r="CV949">
        <f>'T_SelfStock'!CT27</f>
        <v/>
      </c>
      <c r="CW949">
        <f>'T_SelfStock'!CU27</f>
        <v/>
      </c>
      <c r="CX949">
        <f>'T_SelfStock'!CV27</f>
        <v/>
      </c>
      <c r="CY949">
        <f>'T_SelfStock'!CW27</f>
        <v/>
      </c>
      <c r="CZ949">
        <f>'T_SelfStock'!CX27</f>
        <v/>
      </c>
      <c r="DA949">
        <f>'T_SelfStock'!CY27</f>
        <v/>
      </c>
      <c r="DB949">
        <f>'T_SelfStock'!CZ27</f>
        <v/>
      </c>
      <c r="DC949">
        <f>'T_SelfStock'!DA27</f>
        <v/>
      </c>
    </row>
    <row r="950">
      <c r="B950" s="4" t="inlineStr">
        <is>
          <t>合計在庫(週末時点,kg)</t>
        </is>
      </c>
      <c r="D950">
        <f>'Grid_Stock'!B23</f>
        <v/>
      </c>
      <c r="E950">
        <f>'Grid_Stock'!C23</f>
        <v/>
      </c>
      <c r="F950">
        <f>'Grid_Stock'!D23</f>
        <v/>
      </c>
      <c r="G950">
        <f>'Grid_Stock'!E23</f>
        <v/>
      </c>
      <c r="H950">
        <f>'Grid_Stock'!F23</f>
        <v/>
      </c>
      <c r="I950">
        <f>'Grid_Stock'!G23</f>
        <v/>
      </c>
      <c r="J950">
        <f>'Grid_Stock'!H23</f>
        <v/>
      </c>
      <c r="K950">
        <f>'Grid_Stock'!I23</f>
        <v/>
      </c>
      <c r="L950">
        <f>'Grid_Stock'!J23</f>
        <v/>
      </c>
      <c r="M950">
        <f>'Grid_Stock'!K23</f>
        <v/>
      </c>
      <c r="N950">
        <f>'Grid_Stock'!L23</f>
        <v/>
      </c>
      <c r="O950">
        <f>'Grid_Stock'!M23</f>
        <v/>
      </c>
      <c r="P950">
        <f>'Grid_Stock'!N23</f>
        <v/>
      </c>
      <c r="Q950">
        <f>'Grid_Stock'!O23</f>
        <v/>
      </c>
      <c r="R950">
        <f>'Grid_Stock'!P23</f>
        <v/>
      </c>
      <c r="S950">
        <f>'Grid_Stock'!Q23</f>
        <v/>
      </c>
      <c r="T950">
        <f>'Grid_Stock'!R23</f>
        <v/>
      </c>
      <c r="U950">
        <f>'Grid_Stock'!S23</f>
        <v/>
      </c>
      <c r="V950">
        <f>'Grid_Stock'!T23</f>
        <v/>
      </c>
      <c r="W950">
        <f>'Grid_Stock'!U23</f>
        <v/>
      </c>
      <c r="X950">
        <f>'Grid_Stock'!V23</f>
        <v/>
      </c>
      <c r="Y950">
        <f>'Grid_Stock'!W23</f>
        <v/>
      </c>
      <c r="Z950">
        <f>'Grid_Stock'!X23</f>
        <v/>
      </c>
      <c r="AA950">
        <f>'Grid_Stock'!Y23</f>
        <v/>
      </c>
      <c r="AB950">
        <f>'Grid_Stock'!Z23</f>
        <v/>
      </c>
      <c r="AC950">
        <f>'Grid_Stock'!AA23</f>
        <v/>
      </c>
      <c r="AD950">
        <f>'Grid_Stock'!AB23</f>
        <v/>
      </c>
      <c r="AE950">
        <f>'Grid_Stock'!AC23</f>
        <v/>
      </c>
      <c r="AF950">
        <f>'Grid_Stock'!AD23</f>
        <v/>
      </c>
      <c r="AG950">
        <f>'Grid_Stock'!AE23</f>
        <v/>
      </c>
      <c r="AH950">
        <f>'Grid_Stock'!AF23</f>
        <v/>
      </c>
      <c r="AI950">
        <f>'Grid_Stock'!AG23</f>
        <v/>
      </c>
      <c r="AJ950">
        <f>'Grid_Stock'!AH23</f>
        <v/>
      </c>
      <c r="AK950">
        <f>'Grid_Stock'!AI23</f>
        <v/>
      </c>
      <c r="AL950">
        <f>'Grid_Stock'!AJ23</f>
        <v/>
      </c>
      <c r="AM950">
        <f>'Grid_Stock'!AK23</f>
        <v/>
      </c>
      <c r="AN950">
        <f>'Grid_Stock'!AL23</f>
        <v/>
      </c>
      <c r="AO950">
        <f>'Grid_Stock'!AM23</f>
        <v/>
      </c>
      <c r="AP950">
        <f>'Grid_Stock'!AN23</f>
        <v/>
      </c>
      <c r="AQ950">
        <f>'Grid_Stock'!AO23</f>
        <v/>
      </c>
      <c r="AR950">
        <f>'Grid_Stock'!AP23</f>
        <v/>
      </c>
      <c r="AS950">
        <f>'Grid_Stock'!AQ23</f>
        <v/>
      </c>
      <c r="AT950">
        <f>'Grid_Stock'!AR23</f>
        <v/>
      </c>
      <c r="AU950">
        <f>'Grid_Stock'!AS23</f>
        <v/>
      </c>
      <c r="AV950">
        <f>'Grid_Stock'!AT23</f>
        <v/>
      </c>
      <c r="AW950">
        <f>'Grid_Stock'!AU23</f>
        <v/>
      </c>
      <c r="AX950">
        <f>'Grid_Stock'!AV23</f>
        <v/>
      </c>
      <c r="AY950">
        <f>'Grid_Stock'!AW23</f>
        <v/>
      </c>
      <c r="AZ950">
        <f>'Grid_Stock'!AX23</f>
        <v/>
      </c>
      <c r="BA950">
        <f>'Grid_Stock'!AY23</f>
        <v/>
      </c>
      <c r="BB950">
        <f>'Grid_Stock'!AZ23</f>
        <v/>
      </c>
      <c r="BC950">
        <f>'Grid_Stock'!BA23</f>
        <v/>
      </c>
      <c r="BD950">
        <f>'Grid_Stock'!BB23</f>
        <v/>
      </c>
      <c r="BE950">
        <f>'Grid_Stock'!BC23</f>
        <v/>
      </c>
      <c r="BF950">
        <f>'Grid_Stock'!BD23</f>
        <v/>
      </c>
      <c r="BG950">
        <f>'Grid_Stock'!BE23</f>
        <v/>
      </c>
      <c r="BH950">
        <f>'Grid_Stock'!BF23</f>
        <v/>
      </c>
      <c r="BI950">
        <f>'Grid_Stock'!BG23</f>
        <v/>
      </c>
      <c r="BJ950">
        <f>'Grid_Stock'!BH23</f>
        <v/>
      </c>
      <c r="BK950">
        <f>'Grid_Stock'!BI23</f>
        <v/>
      </c>
      <c r="BL950">
        <f>'Grid_Stock'!BJ23</f>
        <v/>
      </c>
      <c r="BM950">
        <f>'Grid_Stock'!BK23</f>
        <v/>
      </c>
      <c r="BN950">
        <f>'Grid_Stock'!BL23</f>
        <v/>
      </c>
      <c r="BO950">
        <f>'Grid_Stock'!BM23</f>
        <v/>
      </c>
      <c r="BP950">
        <f>'Grid_Stock'!BN23</f>
        <v/>
      </c>
      <c r="BQ950">
        <f>'Grid_Stock'!BO23</f>
        <v/>
      </c>
      <c r="BR950">
        <f>'Grid_Stock'!BP23</f>
        <v/>
      </c>
      <c r="BS950">
        <f>'Grid_Stock'!BQ23</f>
        <v/>
      </c>
      <c r="BT950">
        <f>'Grid_Stock'!BR23</f>
        <v/>
      </c>
      <c r="BU950">
        <f>'Grid_Stock'!BS23</f>
        <v/>
      </c>
      <c r="BV950">
        <f>'Grid_Stock'!BT23</f>
        <v/>
      </c>
      <c r="BW950">
        <f>'Grid_Stock'!BU23</f>
        <v/>
      </c>
      <c r="BX950">
        <f>'Grid_Stock'!BV23</f>
        <v/>
      </c>
      <c r="BY950">
        <f>'Grid_Stock'!BW23</f>
        <v/>
      </c>
      <c r="BZ950">
        <f>'Grid_Stock'!BX23</f>
        <v/>
      </c>
      <c r="CA950">
        <f>'Grid_Stock'!BY23</f>
        <v/>
      </c>
      <c r="CB950">
        <f>'Grid_Stock'!BZ23</f>
        <v/>
      </c>
      <c r="CC950">
        <f>'Grid_Stock'!CA23</f>
        <v/>
      </c>
      <c r="CD950">
        <f>'Grid_Stock'!CB23</f>
        <v/>
      </c>
      <c r="CE950">
        <f>'Grid_Stock'!CC23</f>
        <v/>
      </c>
      <c r="CF950">
        <f>'Grid_Stock'!CD23</f>
        <v/>
      </c>
      <c r="CG950">
        <f>'Grid_Stock'!CE23</f>
        <v/>
      </c>
      <c r="CH950">
        <f>'Grid_Stock'!CF23</f>
        <v/>
      </c>
      <c r="CI950">
        <f>'Grid_Stock'!CG23</f>
        <v/>
      </c>
      <c r="CJ950">
        <f>'Grid_Stock'!CH23</f>
        <v/>
      </c>
      <c r="CK950">
        <f>'Grid_Stock'!CI23</f>
        <v/>
      </c>
      <c r="CL950">
        <f>'Grid_Stock'!CJ23</f>
        <v/>
      </c>
      <c r="CM950">
        <f>'Grid_Stock'!CK23</f>
        <v/>
      </c>
      <c r="CN950">
        <f>'Grid_Stock'!CL23</f>
        <v/>
      </c>
      <c r="CO950">
        <f>'Grid_Stock'!CM23</f>
        <v/>
      </c>
      <c r="CP950">
        <f>'Grid_Stock'!CN23</f>
        <v/>
      </c>
      <c r="CQ950">
        <f>'Grid_Stock'!CO23</f>
        <v/>
      </c>
      <c r="CR950">
        <f>'Grid_Stock'!CP23</f>
        <v/>
      </c>
      <c r="CS950">
        <f>'Grid_Stock'!CQ23</f>
        <v/>
      </c>
      <c r="CT950">
        <f>'Grid_Stock'!CR23</f>
        <v/>
      </c>
      <c r="CU950">
        <f>'Grid_Stock'!CS23</f>
        <v/>
      </c>
      <c r="CV950">
        <f>'Grid_Stock'!CT23</f>
        <v/>
      </c>
      <c r="CW950">
        <f>'Grid_Stock'!CU23</f>
        <v/>
      </c>
      <c r="CX950">
        <f>'Grid_Stock'!CV23</f>
        <v/>
      </c>
      <c r="CY950">
        <f>'Grid_Stock'!CW23</f>
        <v/>
      </c>
      <c r="CZ950">
        <f>'Grid_Stock'!CX23</f>
        <v/>
      </c>
      <c r="DA950">
        <f>'Grid_Stock'!CY23</f>
        <v/>
      </c>
      <c r="DB950">
        <f>'Grid_Stock'!CZ23</f>
        <v/>
      </c>
      <c r="DC950">
        <f>'Grid_Stock'!DA23</f>
        <v/>
      </c>
    </row>
    <row r="951">
      <c r="B951" s="16" t="inlineStr">
        <is>
          <t>（発注の目安はDashboardの基準在庫[下限/上限]と色分けを参照）</t>
        </is>
      </c>
    </row>
    <row r="953">
      <c r="A953" s="14" t="inlineStr">
        <is>
          <t>CHEM-1680</t>
        </is>
      </c>
      <c r="B953" s="14" t="inlineStr">
        <is>
          <t>NAT38</t>
        </is>
      </c>
      <c r="C953" s="15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  <c r="Z953" s="14" t="n"/>
      <c r="AA953" s="14" t="n"/>
      <c r="AB953" s="14" t="n"/>
      <c r="AC953" s="14" t="n"/>
      <c r="AD953" s="14" t="n"/>
      <c r="AE953" s="14" t="n"/>
      <c r="AF953" s="14" t="n"/>
      <c r="AG953" s="14" t="n"/>
      <c r="AH953" s="14" t="n"/>
      <c r="AI953" s="14" t="n"/>
      <c r="AJ953" s="14" t="n"/>
      <c r="AK953" s="14" t="n"/>
      <c r="AL953" s="14" t="n"/>
      <c r="AM953" s="14" t="n"/>
      <c r="AN953" s="14" t="n"/>
      <c r="AO953" s="14" t="n"/>
      <c r="AP953" s="14" t="n"/>
      <c r="AQ953" s="14" t="n"/>
      <c r="AR953" s="14" t="n"/>
      <c r="AS953" s="14" t="n"/>
      <c r="AT953" s="14" t="n"/>
      <c r="AU953" s="14" t="n"/>
      <c r="AV953" s="14" t="n"/>
      <c r="AW953" s="14" t="n"/>
      <c r="AX953" s="14" t="n"/>
      <c r="AY953" s="14" t="n"/>
      <c r="AZ953" s="14" t="n"/>
      <c r="BA953" s="14" t="n"/>
      <c r="BB953" s="14" t="n"/>
      <c r="BC953" s="14" t="n"/>
      <c r="BD953" s="14" t="n"/>
      <c r="BE953" s="14" t="n"/>
      <c r="BF953" s="14" t="n"/>
      <c r="BG953" s="14" t="n"/>
      <c r="BH953" s="14" t="n"/>
      <c r="BI953" s="14" t="n"/>
      <c r="BJ953" s="14" t="n"/>
      <c r="BK953" s="14" t="n"/>
      <c r="BL953" s="14" t="n"/>
      <c r="BM953" s="14" t="n"/>
      <c r="BN953" s="14" t="n"/>
      <c r="BO953" s="14" t="n"/>
      <c r="BP953" s="14" t="n"/>
      <c r="BQ953" s="14" t="n"/>
      <c r="BR953" s="14" t="n"/>
      <c r="BS953" s="14" t="n"/>
      <c r="BT953" s="14" t="n"/>
      <c r="BU953" s="14" t="n"/>
      <c r="BV953" s="14" t="n"/>
      <c r="BW953" s="14" t="n"/>
      <c r="BX953" s="14" t="n"/>
      <c r="BY953" s="14" t="n"/>
      <c r="BZ953" s="14" t="n"/>
      <c r="CA953" s="14" t="n"/>
      <c r="CB953" s="14" t="n"/>
      <c r="CC953" s="14" t="n"/>
      <c r="CD953" s="14" t="n"/>
      <c r="CE953" s="14" t="n"/>
      <c r="CF953" s="14" t="n"/>
      <c r="CG953" s="14" t="n"/>
      <c r="CH953" s="14" t="n"/>
      <c r="CI953" s="14" t="n"/>
      <c r="CJ953" s="14" t="n"/>
      <c r="CK953" s="14" t="n"/>
      <c r="CL953" s="14" t="n"/>
      <c r="CM953" s="14" t="n"/>
      <c r="CN953" s="14" t="n"/>
      <c r="CO953" s="14" t="n"/>
      <c r="CP953" s="14" t="n"/>
      <c r="CQ953" s="14" t="n"/>
      <c r="CR953" s="14" t="n"/>
      <c r="CS953" s="14" t="n"/>
      <c r="CT953" s="14" t="n"/>
      <c r="CU953" s="14" t="n"/>
      <c r="CV953" s="14" t="n"/>
      <c r="CW953" s="14" t="n"/>
      <c r="CX953" s="14" t="n"/>
      <c r="CY953" s="14" t="n"/>
      <c r="CZ953" s="14" t="n"/>
      <c r="DA953" s="14" t="n"/>
      <c r="DB953" s="14" t="n"/>
      <c r="DC953" s="14" t="n"/>
    </row>
    <row r="954">
      <c r="B954" t="inlineStr">
        <is>
          <t>TPP-611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7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TPP-613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7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TPP-915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7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TPP-920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TPP-914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TPP-919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TPP-916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7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TPP-917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7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TPP-922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7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TPP-923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7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No of times used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s="4" t="inlineStr">
        <is>
          <t>合計使用量(kg)/週</t>
        </is>
      </c>
      <c r="D976">
        <f>'Grid_Requirement'!B27</f>
        <v/>
      </c>
      <c r="E976">
        <f>'Grid_Requirement'!C27</f>
        <v/>
      </c>
      <c r="F976">
        <f>'Grid_Requirement'!D27</f>
        <v/>
      </c>
      <c r="G976">
        <f>'Grid_Requirement'!E27</f>
        <v/>
      </c>
      <c r="H976">
        <f>'Grid_Requirement'!F27</f>
        <v/>
      </c>
      <c r="I976">
        <f>'Grid_Requirement'!G27</f>
        <v/>
      </c>
      <c r="J976">
        <f>'Grid_Requirement'!H27</f>
        <v/>
      </c>
      <c r="K976">
        <f>'Grid_Requirement'!I27</f>
        <v/>
      </c>
      <c r="L976">
        <f>'Grid_Requirement'!J27</f>
        <v/>
      </c>
      <c r="M976">
        <f>'Grid_Requirement'!K27</f>
        <v/>
      </c>
      <c r="N976">
        <f>'Grid_Requirement'!L27</f>
        <v/>
      </c>
      <c r="O976">
        <f>'Grid_Requirement'!M27</f>
        <v/>
      </c>
      <c r="P976">
        <f>'Grid_Requirement'!N27</f>
        <v/>
      </c>
      <c r="Q976">
        <f>'Grid_Requirement'!O27</f>
        <v/>
      </c>
      <c r="R976">
        <f>'Grid_Requirement'!P27</f>
        <v/>
      </c>
      <c r="S976">
        <f>'Grid_Requirement'!Q27</f>
        <v/>
      </c>
      <c r="T976">
        <f>'Grid_Requirement'!R27</f>
        <v/>
      </c>
      <c r="U976">
        <f>'Grid_Requirement'!S27</f>
        <v/>
      </c>
      <c r="V976">
        <f>'Grid_Requirement'!T27</f>
        <v/>
      </c>
      <c r="W976">
        <f>'Grid_Requirement'!U27</f>
        <v/>
      </c>
      <c r="X976">
        <f>'Grid_Requirement'!V27</f>
        <v/>
      </c>
      <c r="Y976">
        <f>'Grid_Requirement'!W27</f>
        <v/>
      </c>
      <c r="Z976">
        <f>'Grid_Requirement'!X27</f>
        <v/>
      </c>
      <c r="AA976">
        <f>'Grid_Requirement'!Y27</f>
        <v/>
      </c>
      <c r="AB976">
        <f>'Grid_Requirement'!Z27</f>
        <v/>
      </c>
      <c r="AC976">
        <f>'Grid_Requirement'!AA27</f>
        <v/>
      </c>
      <c r="AD976">
        <f>'Grid_Requirement'!AB27</f>
        <v/>
      </c>
      <c r="AE976">
        <f>'Grid_Requirement'!AC27</f>
        <v/>
      </c>
      <c r="AF976">
        <f>'Grid_Requirement'!AD27</f>
        <v/>
      </c>
      <c r="AG976">
        <f>'Grid_Requirement'!AE27</f>
        <v/>
      </c>
      <c r="AH976">
        <f>'Grid_Requirement'!AF27</f>
        <v/>
      </c>
      <c r="AI976">
        <f>'Grid_Requirement'!AG27</f>
        <v/>
      </c>
      <c r="AJ976">
        <f>'Grid_Requirement'!AH27</f>
        <v/>
      </c>
      <c r="AK976">
        <f>'Grid_Requirement'!AI27</f>
        <v/>
      </c>
      <c r="AL976">
        <f>'Grid_Requirement'!AJ27</f>
        <v/>
      </c>
      <c r="AM976">
        <f>'Grid_Requirement'!AK27</f>
        <v/>
      </c>
      <c r="AN976">
        <f>'Grid_Requirement'!AL27</f>
        <v/>
      </c>
      <c r="AO976">
        <f>'Grid_Requirement'!AM27</f>
        <v/>
      </c>
      <c r="AP976">
        <f>'Grid_Requirement'!AN27</f>
        <v/>
      </c>
      <c r="AQ976">
        <f>'Grid_Requirement'!AO27</f>
        <v/>
      </c>
      <c r="AR976">
        <f>'Grid_Requirement'!AP27</f>
        <v/>
      </c>
      <c r="AS976">
        <f>'Grid_Requirement'!AQ27</f>
        <v/>
      </c>
      <c r="AT976">
        <f>'Grid_Requirement'!AR27</f>
        <v/>
      </c>
      <c r="AU976">
        <f>'Grid_Requirement'!AS27</f>
        <v/>
      </c>
      <c r="AV976">
        <f>'Grid_Requirement'!AT27</f>
        <v/>
      </c>
      <c r="AW976">
        <f>'Grid_Requirement'!AU27</f>
        <v/>
      </c>
      <c r="AX976">
        <f>'Grid_Requirement'!AV27</f>
        <v/>
      </c>
      <c r="AY976">
        <f>'Grid_Requirement'!AW27</f>
        <v/>
      </c>
      <c r="AZ976">
        <f>'Grid_Requirement'!AX27</f>
        <v/>
      </c>
      <c r="BA976">
        <f>'Grid_Requirement'!AY27</f>
        <v/>
      </c>
      <c r="BB976">
        <f>'Grid_Requirement'!AZ27</f>
        <v/>
      </c>
      <c r="BC976">
        <f>'Grid_Requirement'!BA27</f>
        <v/>
      </c>
      <c r="BD976">
        <f>'Grid_Requirement'!BB27</f>
        <v/>
      </c>
      <c r="BE976">
        <f>'Grid_Requirement'!BC27</f>
        <v/>
      </c>
      <c r="BF976">
        <f>'Grid_Requirement'!BD27</f>
        <v/>
      </c>
      <c r="BG976">
        <f>'Grid_Requirement'!BE27</f>
        <v/>
      </c>
      <c r="BH976">
        <f>'Grid_Requirement'!BF27</f>
        <v/>
      </c>
      <c r="BI976">
        <f>'Grid_Requirement'!BG27</f>
        <v/>
      </c>
      <c r="BJ976">
        <f>'Grid_Requirement'!BH27</f>
        <v/>
      </c>
      <c r="BK976">
        <f>'Grid_Requirement'!BI27</f>
        <v/>
      </c>
      <c r="BL976">
        <f>'Grid_Requirement'!BJ27</f>
        <v/>
      </c>
      <c r="BM976">
        <f>'Grid_Requirement'!BK27</f>
        <v/>
      </c>
      <c r="BN976">
        <f>'Grid_Requirement'!BL27</f>
        <v/>
      </c>
      <c r="BO976">
        <f>'Grid_Requirement'!BM27</f>
        <v/>
      </c>
      <c r="BP976">
        <f>'Grid_Requirement'!BN27</f>
        <v/>
      </c>
      <c r="BQ976">
        <f>'Grid_Requirement'!BO27</f>
        <v/>
      </c>
      <c r="BR976">
        <f>'Grid_Requirement'!BP27</f>
        <v/>
      </c>
      <c r="BS976">
        <f>'Grid_Requirement'!BQ27</f>
        <v/>
      </c>
      <c r="BT976">
        <f>'Grid_Requirement'!BR27</f>
        <v/>
      </c>
      <c r="BU976">
        <f>'Grid_Requirement'!BS27</f>
        <v/>
      </c>
      <c r="BV976">
        <f>'Grid_Requirement'!BT27</f>
        <v/>
      </c>
      <c r="BW976">
        <f>'Grid_Requirement'!BU27</f>
        <v/>
      </c>
      <c r="BX976">
        <f>'Grid_Requirement'!BV27</f>
        <v/>
      </c>
      <c r="BY976">
        <f>'Grid_Requirement'!BW27</f>
        <v/>
      </c>
      <c r="BZ976">
        <f>'Grid_Requirement'!BX27</f>
        <v/>
      </c>
      <c r="CA976">
        <f>'Grid_Requirement'!BY27</f>
        <v/>
      </c>
      <c r="CB976">
        <f>'Grid_Requirement'!BZ27</f>
        <v/>
      </c>
      <c r="CC976">
        <f>'Grid_Requirement'!CA27</f>
        <v/>
      </c>
      <c r="CD976">
        <f>'Grid_Requirement'!CB27</f>
        <v/>
      </c>
      <c r="CE976">
        <f>'Grid_Requirement'!CC27</f>
        <v/>
      </c>
      <c r="CF976">
        <f>'Grid_Requirement'!CD27</f>
        <v/>
      </c>
      <c r="CG976">
        <f>'Grid_Requirement'!CE27</f>
        <v/>
      </c>
      <c r="CH976">
        <f>'Grid_Requirement'!CF27</f>
        <v/>
      </c>
      <c r="CI976">
        <f>'Grid_Requirement'!CG27</f>
        <v/>
      </c>
      <c r="CJ976">
        <f>'Grid_Requirement'!CH27</f>
        <v/>
      </c>
      <c r="CK976">
        <f>'Grid_Requirement'!CI27</f>
        <v/>
      </c>
      <c r="CL976">
        <f>'Grid_Requirement'!CJ27</f>
        <v/>
      </c>
      <c r="CM976">
        <f>'Grid_Requirement'!CK27</f>
        <v/>
      </c>
      <c r="CN976">
        <f>'Grid_Requirement'!CL27</f>
        <v/>
      </c>
      <c r="CO976">
        <f>'Grid_Requirement'!CM27</f>
        <v/>
      </c>
      <c r="CP976">
        <f>'Grid_Requirement'!CN27</f>
        <v/>
      </c>
      <c r="CQ976">
        <f>'Grid_Requirement'!CO27</f>
        <v/>
      </c>
      <c r="CR976">
        <f>'Grid_Requirement'!CP27</f>
        <v/>
      </c>
      <c r="CS976">
        <f>'Grid_Requirement'!CQ27</f>
        <v/>
      </c>
      <c r="CT976">
        <f>'Grid_Requirement'!CR27</f>
        <v/>
      </c>
      <c r="CU976">
        <f>'Grid_Requirement'!CS27</f>
        <v/>
      </c>
      <c r="CV976">
        <f>'Grid_Requirement'!CT27</f>
        <v/>
      </c>
      <c r="CW976">
        <f>'Grid_Requirement'!CU27</f>
        <v/>
      </c>
      <c r="CX976">
        <f>'Grid_Requirement'!CV27</f>
        <v/>
      </c>
      <c r="CY976">
        <f>'Grid_Requirement'!CW27</f>
        <v/>
      </c>
      <c r="CZ976">
        <f>'Grid_Requirement'!CX27</f>
        <v/>
      </c>
      <c r="DA976">
        <f>'Grid_Requirement'!CY27</f>
        <v/>
      </c>
      <c r="DB976">
        <f>'Grid_Requirement'!CZ27</f>
        <v/>
      </c>
      <c r="DC976">
        <f>'Grid_Requirement'!DA27</f>
        <v/>
      </c>
    </row>
    <row r="977">
      <c r="B977" t="inlineStr">
        <is>
          <t>TTAF在庫(実績,kg)</t>
        </is>
      </c>
      <c r="D977">
        <f>'T_TTAFStock'!B31</f>
        <v/>
      </c>
      <c r="E977">
        <f>'T_TTAFStock'!C31</f>
        <v/>
      </c>
      <c r="F977">
        <f>'T_TTAFStock'!D31</f>
        <v/>
      </c>
      <c r="G977">
        <f>'T_TTAFStock'!E31</f>
        <v/>
      </c>
      <c r="H977">
        <f>'T_TTAFStock'!F31</f>
        <v/>
      </c>
      <c r="I977">
        <f>'T_TTAFStock'!G31</f>
        <v/>
      </c>
      <c r="J977">
        <f>'T_TTAFStock'!H31</f>
        <v/>
      </c>
      <c r="K977">
        <f>'T_TTAFStock'!I31</f>
        <v/>
      </c>
      <c r="L977">
        <f>'T_TTAFStock'!J31</f>
        <v/>
      </c>
      <c r="M977">
        <f>'T_TTAFStock'!K31</f>
        <v/>
      </c>
      <c r="N977">
        <f>'T_TTAFStock'!L31</f>
        <v/>
      </c>
      <c r="O977">
        <f>'T_TTAFStock'!M31</f>
        <v/>
      </c>
      <c r="P977">
        <f>'T_TTAFStock'!N31</f>
        <v/>
      </c>
      <c r="Q977">
        <f>'T_TTAFStock'!O31</f>
        <v/>
      </c>
      <c r="R977">
        <f>'T_TTAFStock'!P31</f>
        <v/>
      </c>
      <c r="S977">
        <f>'T_TTAFStock'!Q31</f>
        <v/>
      </c>
      <c r="T977">
        <f>'T_TTAFStock'!R31</f>
        <v/>
      </c>
      <c r="U977">
        <f>'T_TTAFStock'!S31</f>
        <v/>
      </c>
      <c r="V977">
        <f>'T_TTAFStock'!T31</f>
        <v/>
      </c>
      <c r="W977">
        <f>'T_TTAFStock'!U31</f>
        <v/>
      </c>
      <c r="X977">
        <f>'T_TTAFStock'!V31</f>
        <v/>
      </c>
      <c r="Y977">
        <f>'T_TTAFStock'!W31</f>
        <v/>
      </c>
      <c r="Z977">
        <f>'T_TTAFStock'!X31</f>
        <v/>
      </c>
      <c r="AA977">
        <f>'T_TTAFStock'!Y31</f>
        <v/>
      </c>
      <c r="AB977">
        <f>'T_TTAFStock'!Z31</f>
        <v/>
      </c>
      <c r="AC977">
        <f>'T_TTAFStock'!AA31</f>
        <v/>
      </c>
      <c r="AD977">
        <f>'T_TTAFStock'!AB31</f>
        <v/>
      </c>
      <c r="AE977">
        <f>'T_TTAFStock'!AC31</f>
        <v/>
      </c>
      <c r="AF977">
        <f>'T_TTAFStock'!AD31</f>
        <v/>
      </c>
      <c r="AG977">
        <f>'T_TTAFStock'!AE31</f>
        <v/>
      </c>
      <c r="AH977">
        <f>'T_TTAFStock'!AF31</f>
        <v/>
      </c>
      <c r="AI977">
        <f>'T_TTAFStock'!AG31</f>
        <v/>
      </c>
      <c r="AJ977">
        <f>'T_TTAFStock'!AH31</f>
        <v/>
      </c>
      <c r="AK977">
        <f>'T_TTAFStock'!AI31</f>
        <v/>
      </c>
      <c r="AL977">
        <f>'T_TTAFStock'!AJ31</f>
        <v/>
      </c>
      <c r="AM977">
        <f>'T_TTAFStock'!AK31</f>
        <v/>
      </c>
      <c r="AN977">
        <f>'T_TTAFStock'!AL31</f>
        <v/>
      </c>
      <c r="AO977">
        <f>'T_TTAFStock'!AM31</f>
        <v/>
      </c>
      <c r="AP977">
        <f>'T_TTAFStock'!AN31</f>
        <v/>
      </c>
      <c r="AQ977">
        <f>'T_TTAFStock'!AO31</f>
        <v/>
      </c>
      <c r="AR977">
        <f>'T_TTAFStock'!AP31</f>
        <v/>
      </c>
      <c r="AS977">
        <f>'T_TTAFStock'!AQ31</f>
        <v/>
      </c>
      <c r="AT977">
        <f>'T_TTAFStock'!AR31</f>
        <v/>
      </c>
      <c r="AU977">
        <f>'T_TTAFStock'!AS31</f>
        <v/>
      </c>
      <c r="AV977">
        <f>'T_TTAFStock'!AT31</f>
        <v/>
      </c>
      <c r="AW977">
        <f>'T_TTAFStock'!AU31</f>
        <v/>
      </c>
      <c r="AX977">
        <f>'T_TTAFStock'!AV31</f>
        <v/>
      </c>
      <c r="AY977">
        <f>'T_TTAFStock'!AW31</f>
        <v/>
      </c>
      <c r="AZ977">
        <f>'T_TTAFStock'!AX31</f>
        <v/>
      </c>
      <c r="BA977">
        <f>'T_TTAFStock'!AY31</f>
        <v/>
      </c>
      <c r="BB977">
        <f>'T_TTAFStock'!AZ31</f>
        <v/>
      </c>
      <c r="BC977">
        <f>'T_TTAFStock'!BA31</f>
        <v/>
      </c>
      <c r="BD977">
        <f>'T_TTAFStock'!BB31</f>
        <v/>
      </c>
      <c r="BE977">
        <f>'T_TTAFStock'!BC31</f>
        <v/>
      </c>
      <c r="BF977">
        <f>'T_TTAFStock'!BD31</f>
        <v/>
      </c>
      <c r="BG977">
        <f>'T_TTAFStock'!BE31</f>
        <v/>
      </c>
      <c r="BH977">
        <f>'T_TTAFStock'!BF31</f>
        <v/>
      </c>
      <c r="BI977">
        <f>'T_TTAFStock'!BG31</f>
        <v/>
      </c>
      <c r="BJ977">
        <f>'T_TTAFStock'!BH31</f>
        <v/>
      </c>
      <c r="BK977">
        <f>'T_TTAFStock'!BI31</f>
        <v/>
      </c>
      <c r="BL977">
        <f>'T_TTAFStock'!BJ31</f>
        <v/>
      </c>
      <c r="BM977">
        <f>'T_TTAFStock'!BK31</f>
        <v/>
      </c>
      <c r="BN977">
        <f>'T_TTAFStock'!BL31</f>
        <v/>
      </c>
      <c r="BO977">
        <f>'T_TTAFStock'!BM31</f>
        <v/>
      </c>
      <c r="BP977">
        <f>'T_TTAFStock'!BN31</f>
        <v/>
      </c>
      <c r="BQ977">
        <f>'T_TTAFStock'!BO31</f>
        <v/>
      </c>
      <c r="BR977">
        <f>'T_TTAFStock'!BP31</f>
        <v/>
      </c>
      <c r="BS977">
        <f>'T_TTAFStock'!BQ31</f>
        <v/>
      </c>
      <c r="BT977">
        <f>'T_TTAFStock'!BR31</f>
        <v/>
      </c>
      <c r="BU977">
        <f>'T_TTAFStock'!BS31</f>
        <v/>
      </c>
      <c r="BV977">
        <f>'T_TTAFStock'!BT31</f>
        <v/>
      </c>
      <c r="BW977">
        <f>'T_TTAFStock'!BU31</f>
        <v/>
      </c>
      <c r="BX977">
        <f>'T_TTAFStock'!BV31</f>
        <v/>
      </c>
      <c r="BY977">
        <f>'T_TTAFStock'!BW31</f>
        <v/>
      </c>
      <c r="BZ977">
        <f>'T_TTAFStock'!BX31</f>
        <v/>
      </c>
      <c r="CA977">
        <f>'T_TTAFStock'!BY31</f>
        <v/>
      </c>
      <c r="CB977">
        <f>'T_TTAFStock'!BZ31</f>
        <v/>
      </c>
      <c r="CC977">
        <f>'T_TTAFStock'!CA31</f>
        <v/>
      </c>
      <c r="CD977">
        <f>'T_TTAFStock'!CB31</f>
        <v/>
      </c>
      <c r="CE977">
        <f>'T_TTAFStock'!CC31</f>
        <v/>
      </c>
      <c r="CF977">
        <f>'T_TTAFStock'!CD31</f>
        <v/>
      </c>
      <c r="CG977">
        <f>'T_TTAFStock'!CE31</f>
        <v/>
      </c>
      <c r="CH977">
        <f>'T_TTAFStock'!CF31</f>
        <v/>
      </c>
      <c r="CI977">
        <f>'T_TTAFStock'!CG31</f>
        <v/>
      </c>
      <c r="CJ977">
        <f>'T_TTAFStock'!CH31</f>
        <v/>
      </c>
      <c r="CK977">
        <f>'T_TTAFStock'!CI31</f>
        <v/>
      </c>
      <c r="CL977">
        <f>'T_TTAFStock'!CJ31</f>
        <v/>
      </c>
      <c r="CM977">
        <f>'T_TTAFStock'!CK31</f>
        <v/>
      </c>
      <c r="CN977">
        <f>'T_TTAFStock'!CL31</f>
        <v/>
      </c>
      <c r="CO977">
        <f>'T_TTAFStock'!CM31</f>
        <v/>
      </c>
      <c r="CP977">
        <f>'T_TTAFStock'!CN31</f>
        <v/>
      </c>
      <c r="CQ977">
        <f>'T_TTAFStock'!CO31</f>
        <v/>
      </c>
      <c r="CR977">
        <f>'T_TTAFStock'!CP31</f>
        <v/>
      </c>
      <c r="CS977">
        <f>'T_TTAFStock'!CQ31</f>
        <v/>
      </c>
      <c r="CT977">
        <f>'T_TTAFStock'!CR31</f>
        <v/>
      </c>
      <c r="CU977">
        <f>'T_TTAFStock'!CS31</f>
        <v/>
      </c>
      <c r="CV977">
        <f>'T_TTAFStock'!CT31</f>
        <v/>
      </c>
      <c r="CW977">
        <f>'T_TTAFStock'!CU31</f>
        <v/>
      </c>
      <c r="CX977">
        <f>'T_TTAFStock'!CV31</f>
        <v/>
      </c>
      <c r="CY977">
        <f>'T_TTAFStock'!CW31</f>
        <v/>
      </c>
      <c r="CZ977">
        <f>'T_TTAFStock'!CX31</f>
        <v/>
      </c>
      <c r="DA977">
        <f>'T_TTAFStock'!CY31</f>
        <v/>
      </c>
      <c r="DB977">
        <f>'T_TTAFStock'!CZ31</f>
        <v/>
      </c>
      <c r="DC977">
        <f>'T_TTAFStock'!DA31</f>
        <v/>
      </c>
    </row>
    <row r="978">
      <c r="B978" t="inlineStr">
        <is>
          <t>自社在庫(実績,kg)</t>
        </is>
      </c>
      <c r="D978">
        <f>'T_SelfStock'!B31</f>
        <v/>
      </c>
      <c r="E978">
        <f>'T_SelfStock'!C31</f>
        <v/>
      </c>
      <c r="F978">
        <f>'T_SelfStock'!D31</f>
        <v/>
      </c>
      <c r="G978">
        <f>'T_SelfStock'!E31</f>
        <v/>
      </c>
      <c r="H978">
        <f>'T_SelfStock'!F31</f>
        <v/>
      </c>
      <c r="I978">
        <f>'T_SelfStock'!G31</f>
        <v/>
      </c>
      <c r="J978">
        <f>'T_SelfStock'!H31</f>
        <v/>
      </c>
      <c r="K978">
        <f>'T_SelfStock'!I31</f>
        <v/>
      </c>
      <c r="L978">
        <f>'T_SelfStock'!J31</f>
        <v/>
      </c>
      <c r="M978">
        <f>'T_SelfStock'!K31</f>
        <v/>
      </c>
      <c r="N978">
        <f>'T_SelfStock'!L31</f>
        <v/>
      </c>
      <c r="O978">
        <f>'T_SelfStock'!M31</f>
        <v/>
      </c>
      <c r="P978">
        <f>'T_SelfStock'!N31</f>
        <v/>
      </c>
      <c r="Q978">
        <f>'T_SelfStock'!O31</f>
        <v/>
      </c>
      <c r="R978">
        <f>'T_SelfStock'!P31</f>
        <v/>
      </c>
      <c r="S978">
        <f>'T_SelfStock'!Q31</f>
        <v/>
      </c>
      <c r="T978">
        <f>'T_SelfStock'!R31</f>
        <v/>
      </c>
      <c r="U978">
        <f>'T_SelfStock'!S31</f>
        <v/>
      </c>
      <c r="V978">
        <f>'T_SelfStock'!T31</f>
        <v/>
      </c>
      <c r="W978">
        <f>'T_SelfStock'!U31</f>
        <v/>
      </c>
      <c r="X978">
        <f>'T_SelfStock'!V31</f>
        <v/>
      </c>
      <c r="Y978">
        <f>'T_SelfStock'!W31</f>
        <v/>
      </c>
      <c r="Z978">
        <f>'T_SelfStock'!X31</f>
        <v/>
      </c>
      <c r="AA978">
        <f>'T_SelfStock'!Y31</f>
        <v/>
      </c>
      <c r="AB978">
        <f>'T_SelfStock'!Z31</f>
        <v/>
      </c>
      <c r="AC978">
        <f>'T_SelfStock'!AA31</f>
        <v/>
      </c>
      <c r="AD978">
        <f>'T_SelfStock'!AB31</f>
        <v/>
      </c>
      <c r="AE978">
        <f>'T_SelfStock'!AC31</f>
        <v/>
      </c>
      <c r="AF978">
        <f>'T_SelfStock'!AD31</f>
        <v/>
      </c>
      <c r="AG978">
        <f>'T_SelfStock'!AE31</f>
        <v/>
      </c>
      <c r="AH978">
        <f>'T_SelfStock'!AF31</f>
        <v/>
      </c>
      <c r="AI978">
        <f>'T_SelfStock'!AG31</f>
        <v/>
      </c>
      <c r="AJ978">
        <f>'T_SelfStock'!AH31</f>
        <v/>
      </c>
      <c r="AK978">
        <f>'T_SelfStock'!AI31</f>
        <v/>
      </c>
      <c r="AL978">
        <f>'T_SelfStock'!AJ31</f>
        <v/>
      </c>
      <c r="AM978">
        <f>'T_SelfStock'!AK31</f>
        <v/>
      </c>
      <c r="AN978">
        <f>'T_SelfStock'!AL31</f>
        <v/>
      </c>
      <c r="AO978">
        <f>'T_SelfStock'!AM31</f>
        <v/>
      </c>
      <c r="AP978">
        <f>'T_SelfStock'!AN31</f>
        <v/>
      </c>
      <c r="AQ978">
        <f>'T_SelfStock'!AO31</f>
        <v/>
      </c>
      <c r="AR978">
        <f>'T_SelfStock'!AP31</f>
        <v/>
      </c>
      <c r="AS978">
        <f>'T_SelfStock'!AQ31</f>
        <v/>
      </c>
      <c r="AT978">
        <f>'T_SelfStock'!AR31</f>
        <v/>
      </c>
      <c r="AU978">
        <f>'T_SelfStock'!AS31</f>
        <v/>
      </c>
      <c r="AV978">
        <f>'T_SelfStock'!AT31</f>
        <v/>
      </c>
      <c r="AW978">
        <f>'T_SelfStock'!AU31</f>
        <v/>
      </c>
      <c r="AX978">
        <f>'T_SelfStock'!AV31</f>
        <v/>
      </c>
      <c r="AY978">
        <f>'T_SelfStock'!AW31</f>
        <v/>
      </c>
      <c r="AZ978">
        <f>'T_SelfStock'!AX31</f>
        <v/>
      </c>
      <c r="BA978">
        <f>'T_SelfStock'!AY31</f>
        <v/>
      </c>
      <c r="BB978">
        <f>'T_SelfStock'!AZ31</f>
        <v/>
      </c>
      <c r="BC978">
        <f>'T_SelfStock'!BA31</f>
        <v/>
      </c>
      <c r="BD978">
        <f>'T_SelfStock'!BB31</f>
        <v/>
      </c>
      <c r="BE978">
        <f>'T_SelfStock'!BC31</f>
        <v/>
      </c>
      <c r="BF978">
        <f>'T_SelfStock'!BD31</f>
        <v/>
      </c>
      <c r="BG978">
        <f>'T_SelfStock'!BE31</f>
        <v/>
      </c>
      <c r="BH978">
        <f>'T_SelfStock'!BF31</f>
        <v/>
      </c>
      <c r="BI978">
        <f>'T_SelfStock'!BG31</f>
        <v/>
      </c>
      <c r="BJ978">
        <f>'T_SelfStock'!BH31</f>
        <v/>
      </c>
      <c r="BK978">
        <f>'T_SelfStock'!BI31</f>
        <v/>
      </c>
      <c r="BL978">
        <f>'T_SelfStock'!BJ31</f>
        <v/>
      </c>
      <c r="BM978">
        <f>'T_SelfStock'!BK31</f>
        <v/>
      </c>
      <c r="BN978">
        <f>'T_SelfStock'!BL31</f>
        <v/>
      </c>
      <c r="BO978">
        <f>'T_SelfStock'!BM31</f>
        <v/>
      </c>
      <c r="BP978">
        <f>'T_SelfStock'!BN31</f>
        <v/>
      </c>
      <c r="BQ978">
        <f>'T_SelfStock'!BO31</f>
        <v/>
      </c>
      <c r="BR978">
        <f>'T_SelfStock'!BP31</f>
        <v/>
      </c>
      <c r="BS978">
        <f>'T_SelfStock'!BQ31</f>
        <v/>
      </c>
      <c r="BT978">
        <f>'T_SelfStock'!BR31</f>
        <v/>
      </c>
      <c r="BU978">
        <f>'T_SelfStock'!BS31</f>
        <v/>
      </c>
      <c r="BV978">
        <f>'T_SelfStock'!BT31</f>
        <v/>
      </c>
      <c r="BW978">
        <f>'T_SelfStock'!BU31</f>
        <v/>
      </c>
      <c r="BX978">
        <f>'T_SelfStock'!BV31</f>
        <v/>
      </c>
      <c r="BY978">
        <f>'T_SelfStock'!BW31</f>
        <v/>
      </c>
      <c r="BZ978">
        <f>'T_SelfStock'!BX31</f>
        <v/>
      </c>
      <c r="CA978">
        <f>'T_SelfStock'!BY31</f>
        <v/>
      </c>
      <c r="CB978">
        <f>'T_SelfStock'!BZ31</f>
        <v/>
      </c>
      <c r="CC978">
        <f>'T_SelfStock'!CA31</f>
        <v/>
      </c>
      <c r="CD978">
        <f>'T_SelfStock'!CB31</f>
        <v/>
      </c>
      <c r="CE978">
        <f>'T_SelfStock'!CC31</f>
        <v/>
      </c>
      <c r="CF978">
        <f>'T_SelfStock'!CD31</f>
        <v/>
      </c>
      <c r="CG978">
        <f>'T_SelfStock'!CE31</f>
        <v/>
      </c>
      <c r="CH978">
        <f>'T_SelfStock'!CF31</f>
        <v/>
      </c>
      <c r="CI978">
        <f>'T_SelfStock'!CG31</f>
        <v/>
      </c>
      <c r="CJ978">
        <f>'T_SelfStock'!CH31</f>
        <v/>
      </c>
      <c r="CK978">
        <f>'T_SelfStock'!CI31</f>
        <v/>
      </c>
      <c r="CL978">
        <f>'T_SelfStock'!CJ31</f>
        <v/>
      </c>
      <c r="CM978">
        <f>'T_SelfStock'!CK31</f>
        <v/>
      </c>
      <c r="CN978">
        <f>'T_SelfStock'!CL31</f>
        <v/>
      </c>
      <c r="CO978">
        <f>'T_SelfStock'!CM31</f>
        <v/>
      </c>
      <c r="CP978">
        <f>'T_SelfStock'!CN31</f>
        <v/>
      </c>
      <c r="CQ978">
        <f>'T_SelfStock'!CO31</f>
        <v/>
      </c>
      <c r="CR978">
        <f>'T_SelfStock'!CP31</f>
        <v/>
      </c>
      <c r="CS978">
        <f>'T_SelfStock'!CQ31</f>
        <v/>
      </c>
      <c r="CT978">
        <f>'T_SelfStock'!CR31</f>
        <v/>
      </c>
      <c r="CU978">
        <f>'T_SelfStock'!CS31</f>
        <v/>
      </c>
      <c r="CV978">
        <f>'T_SelfStock'!CT31</f>
        <v/>
      </c>
      <c r="CW978">
        <f>'T_SelfStock'!CU31</f>
        <v/>
      </c>
      <c r="CX978">
        <f>'T_SelfStock'!CV31</f>
        <v/>
      </c>
      <c r="CY978">
        <f>'T_SelfStock'!CW31</f>
        <v/>
      </c>
      <c r="CZ978">
        <f>'T_SelfStock'!CX31</f>
        <v/>
      </c>
      <c r="DA978">
        <f>'T_SelfStock'!CY31</f>
        <v/>
      </c>
      <c r="DB978">
        <f>'T_SelfStock'!CZ31</f>
        <v/>
      </c>
      <c r="DC978">
        <f>'T_SelfStock'!DA31</f>
        <v/>
      </c>
    </row>
    <row r="979">
      <c r="B979" s="4" t="inlineStr">
        <is>
          <t>合計在庫(週末時点,kg)</t>
        </is>
      </c>
      <c r="D979">
        <f>'Grid_Stock'!B27</f>
        <v/>
      </c>
      <c r="E979">
        <f>'Grid_Stock'!C27</f>
        <v/>
      </c>
      <c r="F979">
        <f>'Grid_Stock'!D27</f>
        <v/>
      </c>
      <c r="G979">
        <f>'Grid_Stock'!E27</f>
        <v/>
      </c>
      <c r="H979">
        <f>'Grid_Stock'!F27</f>
        <v/>
      </c>
      <c r="I979">
        <f>'Grid_Stock'!G27</f>
        <v/>
      </c>
      <c r="J979">
        <f>'Grid_Stock'!H27</f>
        <v/>
      </c>
      <c r="K979">
        <f>'Grid_Stock'!I27</f>
        <v/>
      </c>
      <c r="L979">
        <f>'Grid_Stock'!J27</f>
        <v/>
      </c>
      <c r="M979">
        <f>'Grid_Stock'!K27</f>
        <v/>
      </c>
      <c r="N979">
        <f>'Grid_Stock'!L27</f>
        <v/>
      </c>
      <c r="O979">
        <f>'Grid_Stock'!M27</f>
        <v/>
      </c>
      <c r="P979">
        <f>'Grid_Stock'!N27</f>
        <v/>
      </c>
      <c r="Q979">
        <f>'Grid_Stock'!O27</f>
        <v/>
      </c>
      <c r="R979">
        <f>'Grid_Stock'!P27</f>
        <v/>
      </c>
      <c r="S979">
        <f>'Grid_Stock'!Q27</f>
        <v/>
      </c>
      <c r="T979">
        <f>'Grid_Stock'!R27</f>
        <v/>
      </c>
      <c r="U979">
        <f>'Grid_Stock'!S27</f>
        <v/>
      </c>
      <c r="V979">
        <f>'Grid_Stock'!T27</f>
        <v/>
      </c>
      <c r="W979">
        <f>'Grid_Stock'!U27</f>
        <v/>
      </c>
      <c r="X979">
        <f>'Grid_Stock'!V27</f>
        <v/>
      </c>
      <c r="Y979">
        <f>'Grid_Stock'!W27</f>
        <v/>
      </c>
      <c r="Z979">
        <f>'Grid_Stock'!X27</f>
        <v/>
      </c>
      <c r="AA979">
        <f>'Grid_Stock'!Y27</f>
        <v/>
      </c>
      <c r="AB979">
        <f>'Grid_Stock'!Z27</f>
        <v/>
      </c>
      <c r="AC979">
        <f>'Grid_Stock'!AA27</f>
        <v/>
      </c>
      <c r="AD979">
        <f>'Grid_Stock'!AB27</f>
        <v/>
      </c>
      <c r="AE979">
        <f>'Grid_Stock'!AC27</f>
        <v/>
      </c>
      <c r="AF979">
        <f>'Grid_Stock'!AD27</f>
        <v/>
      </c>
      <c r="AG979">
        <f>'Grid_Stock'!AE27</f>
        <v/>
      </c>
      <c r="AH979">
        <f>'Grid_Stock'!AF27</f>
        <v/>
      </c>
      <c r="AI979">
        <f>'Grid_Stock'!AG27</f>
        <v/>
      </c>
      <c r="AJ979">
        <f>'Grid_Stock'!AH27</f>
        <v/>
      </c>
      <c r="AK979">
        <f>'Grid_Stock'!AI27</f>
        <v/>
      </c>
      <c r="AL979">
        <f>'Grid_Stock'!AJ27</f>
        <v/>
      </c>
      <c r="AM979">
        <f>'Grid_Stock'!AK27</f>
        <v/>
      </c>
      <c r="AN979">
        <f>'Grid_Stock'!AL27</f>
        <v/>
      </c>
      <c r="AO979">
        <f>'Grid_Stock'!AM27</f>
        <v/>
      </c>
      <c r="AP979">
        <f>'Grid_Stock'!AN27</f>
        <v/>
      </c>
      <c r="AQ979">
        <f>'Grid_Stock'!AO27</f>
        <v/>
      </c>
      <c r="AR979">
        <f>'Grid_Stock'!AP27</f>
        <v/>
      </c>
      <c r="AS979">
        <f>'Grid_Stock'!AQ27</f>
        <v/>
      </c>
      <c r="AT979">
        <f>'Grid_Stock'!AR27</f>
        <v/>
      </c>
      <c r="AU979">
        <f>'Grid_Stock'!AS27</f>
        <v/>
      </c>
      <c r="AV979">
        <f>'Grid_Stock'!AT27</f>
        <v/>
      </c>
      <c r="AW979">
        <f>'Grid_Stock'!AU27</f>
        <v/>
      </c>
      <c r="AX979">
        <f>'Grid_Stock'!AV27</f>
        <v/>
      </c>
      <c r="AY979">
        <f>'Grid_Stock'!AW27</f>
        <v/>
      </c>
      <c r="AZ979">
        <f>'Grid_Stock'!AX27</f>
        <v/>
      </c>
      <c r="BA979">
        <f>'Grid_Stock'!AY27</f>
        <v/>
      </c>
      <c r="BB979">
        <f>'Grid_Stock'!AZ27</f>
        <v/>
      </c>
      <c r="BC979">
        <f>'Grid_Stock'!BA27</f>
        <v/>
      </c>
      <c r="BD979">
        <f>'Grid_Stock'!BB27</f>
        <v/>
      </c>
      <c r="BE979">
        <f>'Grid_Stock'!BC27</f>
        <v/>
      </c>
      <c r="BF979">
        <f>'Grid_Stock'!BD27</f>
        <v/>
      </c>
      <c r="BG979">
        <f>'Grid_Stock'!BE27</f>
        <v/>
      </c>
      <c r="BH979">
        <f>'Grid_Stock'!BF27</f>
        <v/>
      </c>
      <c r="BI979">
        <f>'Grid_Stock'!BG27</f>
        <v/>
      </c>
      <c r="BJ979">
        <f>'Grid_Stock'!BH27</f>
        <v/>
      </c>
      <c r="BK979">
        <f>'Grid_Stock'!BI27</f>
        <v/>
      </c>
      <c r="BL979">
        <f>'Grid_Stock'!BJ27</f>
        <v/>
      </c>
      <c r="BM979">
        <f>'Grid_Stock'!BK27</f>
        <v/>
      </c>
      <c r="BN979">
        <f>'Grid_Stock'!BL27</f>
        <v/>
      </c>
      <c r="BO979">
        <f>'Grid_Stock'!BM27</f>
        <v/>
      </c>
      <c r="BP979">
        <f>'Grid_Stock'!BN27</f>
        <v/>
      </c>
      <c r="BQ979">
        <f>'Grid_Stock'!BO27</f>
        <v/>
      </c>
      <c r="BR979">
        <f>'Grid_Stock'!BP27</f>
        <v/>
      </c>
      <c r="BS979">
        <f>'Grid_Stock'!BQ27</f>
        <v/>
      </c>
      <c r="BT979">
        <f>'Grid_Stock'!BR27</f>
        <v/>
      </c>
      <c r="BU979">
        <f>'Grid_Stock'!BS27</f>
        <v/>
      </c>
      <c r="BV979">
        <f>'Grid_Stock'!BT27</f>
        <v/>
      </c>
      <c r="BW979">
        <f>'Grid_Stock'!BU27</f>
        <v/>
      </c>
      <c r="BX979">
        <f>'Grid_Stock'!BV27</f>
        <v/>
      </c>
      <c r="BY979">
        <f>'Grid_Stock'!BW27</f>
        <v/>
      </c>
      <c r="BZ979">
        <f>'Grid_Stock'!BX27</f>
        <v/>
      </c>
      <c r="CA979">
        <f>'Grid_Stock'!BY27</f>
        <v/>
      </c>
      <c r="CB979">
        <f>'Grid_Stock'!BZ27</f>
        <v/>
      </c>
      <c r="CC979">
        <f>'Grid_Stock'!CA27</f>
        <v/>
      </c>
      <c r="CD979">
        <f>'Grid_Stock'!CB27</f>
        <v/>
      </c>
      <c r="CE979">
        <f>'Grid_Stock'!CC27</f>
        <v/>
      </c>
      <c r="CF979">
        <f>'Grid_Stock'!CD27</f>
        <v/>
      </c>
      <c r="CG979">
        <f>'Grid_Stock'!CE27</f>
        <v/>
      </c>
      <c r="CH979">
        <f>'Grid_Stock'!CF27</f>
        <v/>
      </c>
      <c r="CI979">
        <f>'Grid_Stock'!CG27</f>
        <v/>
      </c>
      <c r="CJ979">
        <f>'Grid_Stock'!CH27</f>
        <v/>
      </c>
      <c r="CK979">
        <f>'Grid_Stock'!CI27</f>
        <v/>
      </c>
      <c r="CL979">
        <f>'Grid_Stock'!CJ27</f>
        <v/>
      </c>
      <c r="CM979">
        <f>'Grid_Stock'!CK27</f>
        <v/>
      </c>
      <c r="CN979">
        <f>'Grid_Stock'!CL27</f>
        <v/>
      </c>
      <c r="CO979">
        <f>'Grid_Stock'!CM27</f>
        <v/>
      </c>
      <c r="CP979">
        <f>'Grid_Stock'!CN27</f>
        <v/>
      </c>
      <c r="CQ979">
        <f>'Grid_Stock'!CO27</f>
        <v/>
      </c>
      <c r="CR979">
        <f>'Grid_Stock'!CP27</f>
        <v/>
      </c>
      <c r="CS979">
        <f>'Grid_Stock'!CQ27</f>
        <v/>
      </c>
      <c r="CT979">
        <f>'Grid_Stock'!CR27</f>
        <v/>
      </c>
      <c r="CU979">
        <f>'Grid_Stock'!CS27</f>
        <v/>
      </c>
      <c r="CV979">
        <f>'Grid_Stock'!CT27</f>
        <v/>
      </c>
      <c r="CW979">
        <f>'Grid_Stock'!CU27</f>
        <v/>
      </c>
      <c r="CX979">
        <f>'Grid_Stock'!CV27</f>
        <v/>
      </c>
      <c r="CY979">
        <f>'Grid_Stock'!CW27</f>
        <v/>
      </c>
      <c r="CZ979">
        <f>'Grid_Stock'!CX27</f>
        <v/>
      </c>
      <c r="DA979">
        <f>'Grid_Stock'!CY27</f>
        <v/>
      </c>
      <c r="DB979">
        <f>'Grid_Stock'!CZ27</f>
        <v/>
      </c>
      <c r="DC979">
        <f>'Grid_Stock'!DA27</f>
        <v/>
      </c>
    </row>
    <row r="980">
      <c r="B980" s="16" t="inlineStr">
        <is>
          <t>（発注の目安はDashboardの基準在庫[下限/上限]と色分けを参照）</t>
        </is>
      </c>
    </row>
    <row r="982">
      <c r="A982" s="14" t="inlineStr">
        <is>
          <t>CHEM-1730</t>
        </is>
      </c>
      <c r="B982" s="14" t="inlineStr">
        <is>
          <t>NAT-41</t>
        </is>
      </c>
      <c r="C982" s="15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  <c r="T982" s="14" t="n"/>
      <c r="U982" s="14" t="n"/>
      <c r="V982" s="14" t="n"/>
      <c r="W982" s="14" t="n"/>
      <c r="X982" s="14" t="n"/>
      <c r="Y982" s="14" t="n"/>
      <c r="Z982" s="14" t="n"/>
      <c r="AA982" s="14" t="n"/>
      <c r="AB982" s="14" t="n"/>
      <c r="AC982" s="14" t="n"/>
      <c r="AD982" s="14" t="n"/>
      <c r="AE982" s="14" t="n"/>
      <c r="AF982" s="14" t="n"/>
      <c r="AG982" s="14" t="n"/>
      <c r="AH982" s="14" t="n"/>
      <c r="AI982" s="14" t="n"/>
      <c r="AJ982" s="14" t="n"/>
      <c r="AK982" s="14" t="n"/>
      <c r="AL982" s="14" t="n"/>
      <c r="AM982" s="14" t="n"/>
      <c r="AN982" s="14" t="n"/>
      <c r="AO982" s="14" t="n"/>
      <c r="AP982" s="14" t="n"/>
      <c r="AQ982" s="14" t="n"/>
      <c r="AR982" s="14" t="n"/>
      <c r="AS982" s="14" t="n"/>
      <c r="AT982" s="14" t="n"/>
      <c r="AU982" s="14" t="n"/>
      <c r="AV982" s="14" t="n"/>
      <c r="AW982" s="14" t="n"/>
      <c r="AX982" s="14" t="n"/>
      <c r="AY982" s="14" t="n"/>
      <c r="AZ982" s="14" t="n"/>
      <c r="BA982" s="14" t="n"/>
      <c r="BB982" s="14" t="n"/>
      <c r="BC982" s="14" t="n"/>
      <c r="BD982" s="14" t="n"/>
      <c r="BE982" s="14" t="n"/>
      <c r="BF982" s="14" t="n"/>
      <c r="BG982" s="14" t="n"/>
      <c r="BH982" s="14" t="n"/>
      <c r="BI982" s="14" t="n"/>
      <c r="BJ982" s="14" t="n"/>
      <c r="BK982" s="14" t="n"/>
      <c r="BL982" s="14" t="n"/>
      <c r="BM982" s="14" t="n"/>
      <c r="BN982" s="14" t="n"/>
      <c r="BO982" s="14" t="n"/>
      <c r="BP982" s="14" t="n"/>
      <c r="BQ982" s="14" t="n"/>
      <c r="BR982" s="14" t="n"/>
      <c r="BS982" s="14" t="n"/>
      <c r="BT982" s="14" t="n"/>
      <c r="BU982" s="14" t="n"/>
      <c r="BV982" s="14" t="n"/>
      <c r="BW982" s="14" t="n"/>
      <c r="BX982" s="14" t="n"/>
      <c r="BY982" s="14" t="n"/>
      <c r="BZ982" s="14" t="n"/>
      <c r="CA982" s="14" t="n"/>
      <c r="CB982" s="14" t="n"/>
      <c r="CC982" s="14" t="n"/>
      <c r="CD982" s="14" t="n"/>
      <c r="CE982" s="14" t="n"/>
      <c r="CF982" s="14" t="n"/>
      <c r="CG982" s="14" t="n"/>
      <c r="CH982" s="14" t="n"/>
      <c r="CI982" s="14" t="n"/>
      <c r="CJ982" s="14" t="n"/>
      <c r="CK982" s="14" t="n"/>
      <c r="CL982" s="14" t="n"/>
      <c r="CM982" s="14" t="n"/>
      <c r="CN982" s="14" t="n"/>
      <c r="CO982" s="14" t="n"/>
      <c r="CP982" s="14" t="n"/>
      <c r="CQ982" s="14" t="n"/>
      <c r="CR982" s="14" t="n"/>
      <c r="CS982" s="14" t="n"/>
      <c r="CT982" s="14" t="n"/>
      <c r="CU982" s="14" t="n"/>
      <c r="CV982" s="14" t="n"/>
      <c r="CW982" s="14" t="n"/>
      <c r="CX982" s="14" t="n"/>
      <c r="CY982" s="14" t="n"/>
      <c r="CZ982" s="14" t="n"/>
      <c r="DA982" s="14" t="n"/>
      <c r="DB982" s="14" t="n"/>
      <c r="DC982" s="14" t="n"/>
    </row>
    <row r="983">
      <c r="B983" t="inlineStr">
        <is>
          <t>TPP-911</t>
        </is>
      </c>
      <c r="C983" t="inlineStr">
        <is>
          <t>No. of batches</t>
        </is>
      </c>
      <c r="D983">
        <f>IFERROR(INDEX(PP_Grid[#Data],$DD983,2),0)</f>
        <v/>
      </c>
      <c r="E983">
        <f>IFERROR(INDEX(PP_Grid[#Data],$DD983,3),0)</f>
        <v/>
      </c>
      <c r="F983">
        <f>IFERROR(INDEX(PP_Grid[#Data],$DD983,4),0)</f>
        <v/>
      </c>
      <c r="G983">
        <f>IFERROR(INDEX(PP_Grid[#Data],$DD983,5),0)</f>
        <v/>
      </c>
      <c r="H983">
        <f>IFERROR(INDEX(PP_Grid[#Data],$DD983,6),0)</f>
        <v/>
      </c>
      <c r="I983">
        <f>IFERROR(INDEX(PP_Grid[#Data],$DD983,7),0)</f>
        <v/>
      </c>
      <c r="J983">
        <f>IFERROR(INDEX(PP_Grid[#Data],$DD983,8),0)</f>
        <v/>
      </c>
      <c r="K983">
        <f>IFERROR(INDEX(PP_Grid[#Data],$DD983,9),0)</f>
        <v/>
      </c>
      <c r="L983">
        <f>IFERROR(INDEX(PP_Grid[#Data],$DD983,10),0)</f>
        <v/>
      </c>
      <c r="M983">
        <f>IFERROR(INDEX(PP_Grid[#Data],$DD983,11),0)</f>
        <v/>
      </c>
      <c r="N983">
        <f>IFERROR(INDEX(PP_Grid[#Data],$DD983,12),0)</f>
        <v/>
      </c>
      <c r="O983">
        <f>IFERROR(INDEX(PP_Grid[#Data],$DD983,13),0)</f>
        <v/>
      </c>
      <c r="P983">
        <f>IFERROR(INDEX(PP_Grid[#Data],$DD983,14),0)</f>
        <v/>
      </c>
      <c r="Q983">
        <f>IFERROR(INDEX(PP_Grid[#Data],$DD983,15),0)</f>
        <v/>
      </c>
      <c r="R983">
        <f>IFERROR(INDEX(PP_Grid[#Data],$DD983,16),0)</f>
        <v/>
      </c>
      <c r="S983">
        <f>IFERROR(INDEX(PP_Grid[#Data],$DD983,17),0)</f>
        <v/>
      </c>
      <c r="T983">
        <f>IFERROR(INDEX(PP_Grid[#Data],$DD983,18),0)</f>
        <v/>
      </c>
      <c r="U983">
        <f>IFERROR(INDEX(PP_Grid[#Data],$DD983,19),0)</f>
        <v/>
      </c>
      <c r="V983">
        <f>IFERROR(INDEX(PP_Grid[#Data],$DD983,20),0)</f>
        <v/>
      </c>
      <c r="W983">
        <f>IFERROR(INDEX(PP_Grid[#Data],$DD983,21),0)</f>
        <v/>
      </c>
      <c r="X983">
        <f>IFERROR(INDEX(PP_Grid[#Data],$DD983,22),0)</f>
        <v/>
      </c>
      <c r="Y983">
        <f>IFERROR(INDEX(PP_Grid[#Data],$DD983,23),0)</f>
        <v/>
      </c>
      <c r="Z983">
        <f>IFERROR(INDEX(PP_Grid[#Data],$DD983,24),0)</f>
        <v/>
      </c>
      <c r="AA983">
        <f>IFERROR(INDEX(PP_Grid[#Data],$DD983,25),0)</f>
        <v/>
      </c>
      <c r="AB983">
        <f>IFERROR(INDEX(PP_Grid[#Data],$DD983,26),0)</f>
        <v/>
      </c>
      <c r="AC983">
        <f>IFERROR(INDEX(PP_Grid[#Data],$DD983,27),0)</f>
        <v/>
      </c>
      <c r="AD983">
        <f>IFERROR(INDEX(PP_Grid[#Data],$DD983,28),0)</f>
        <v/>
      </c>
      <c r="AE983">
        <f>IFERROR(INDEX(PP_Grid[#Data],$DD983,29),0)</f>
        <v/>
      </c>
      <c r="AF983">
        <f>IFERROR(INDEX(PP_Grid[#Data],$DD983,30),0)</f>
        <v/>
      </c>
      <c r="AG983">
        <f>IFERROR(INDEX(PP_Grid[#Data],$DD983,31),0)</f>
        <v/>
      </c>
      <c r="AH983">
        <f>IFERROR(INDEX(PP_Grid[#Data],$DD983,32),0)</f>
        <v/>
      </c>
      <c r="AI983">
        <f>IFERROR(INDEX(PP_Grid[#Data],$DD983,33),0)</f>
        <v/>
      </c>
      <c r="AJ983">
        <f>IFERROR(INDEX(PP_Grid[#Data],$DD983,34),0)</f>
        <v/>
      </c>
      <c r="AK983">
        <f>IFERROR(INDEX(PP_Grid[#Data],$DD983,35),0)</f>
        <v/>
      </c>
      <c r="AL983">
        <f>IFERROR(INDEX(PP_Grid[#Data],$DD983,36),0)</f>
        <v/>
      </c>
      <c r="AM983">
        <f>IFERROR(INDEX(PP_Grid[#Data],$DD983,37),0)</f>
        <v/>
      </c>
      <c r="AN983">
        <f>IFERROR(INDEX(PP_Grid[#Data],$DD983,38),0)</f>
        <v/>
      </c>
      <c r="AO983">
        <f>IFERROR(INDEX(PP_Grid[#Data],$DD983,39),0)</f>
        <v/>
      </c>
      <c r="AP983">
        <f>IFERROR(INDEX(PP_Grid[#Data],$DD983,40),0)</f>
        <v/>
      </c>
      <c r="AQ983">
        <f>IFERROR(INDEX(PP_Grid[#Data],$DD983,41),0)</f>
        <v/>
      </c>
      <c r="AR983">
        <f>IFERROR(INDEX(PP_Grid[#Data],$DD983,42),0)</f>
        <v/>
      </c>
      <c r="AS983">
        <f>IFERROR(INDEX(PP_Grid[#Data],$DD983,43),0)</f>
        <v/>
      </c>
      <c r="AT983">
        <f>IFERROR(INDEX(PP_Grid[#Data],$DD983,44),0)</f>
        <v/>
      </c>
      <c r="AU983">
        <f>IFERROR(INDEX(PP_Grid[#Data],$DD983,45),0)</f>
        <v/>
      </c>
      <c r="AV983">
        <f>IFERROR(INDEX(PP_Grid[#Data],$DD983,46),0)</f>
        <v/>
      </c>
      <c r="AW983">
        <f>IFERROR(INDEX(PP_Grid[#Data],$DD983,47),0)</f>
        <v/>
      </c>
      <c r="AX983">
        <f>IFERROR(INDEX(PP_Grid[#Data],$DD983,48),0)</f>
        <v/>
      </c>
      <c r="AY983">
        <f>IFERROR(INDEX(PP_Grid[#Data],$DD983,49),0)</f>
        <v/>
      </c>
      <c r="AZ983">
        <f>IFERROR(INDEX(PP_Grid[#Data],$DD983,50),0)</f>
        <v/>
      </c>
      <c r="BA983">
        <f>IFERROR(INDEX(PP_Grid[#Data],$DD983,51),0)</f>
        <v/>
      </c>
      <c r="BB983">
        <f>IFERROR(INDEX(PP_Grid[#Data],$DD983,52),0)</f>
        <v/>
      </c>
      <c r="BC983">
        <f>IFERROR(INDEX(PP_Grid[#Data],$DD983,53),0)</f>
        <v/>
      </c>
      <c r="BD983">
        <f>IFERROR(INDEX(PP_Grid[#Data],$DD983,54),0)</f>
        <v/>
      </c>
      <c r="BE983">
        <f>IFERROR(INDEX(PP_Grid[#Data],$DD983,55),0)</f>
        <v/>
      </c>
      <c r="BF983">
        <f>IFERROR(INDEX(PP_Grid[#Data],$DD983,56),0)</f>
        <v/>
      </c>
      <c r="BG983">
        <f>IFERROR(INDEX(PP_Grid[#Data],$DD983,57),0)</f>
        <v/>
      </c>
      <c r="BH983">
        <f>IFERROR(INDEX(PP_Grid[#Data],$DD983,58),0)</f>
        <v/>
      </c>
      <c r="BI983">
        <f>IFERROR(INDEX(PP_Grid[#Data],$DD983,59),0)</f>
        <v/>
      </c>
      <c r="BJ983">
        <f>IFERROR(INDEX(PP_Grid[#Data],$DD983,60),0)</f>
        <v/>
      </c>
      <c r="BK983">
        <f>IFERROR(INDEX(PP_Grid[#Data],$DD983,61),0)</f>
        <v/>
      </c>
      <c r="BL983">
        <f>IFERROR(INDEX(PP_Grid[#Data],$DD983,62),0)</f>
        <v/>
      </c>
      <c r="BM983">
        <f>IFERROR(INDEX(PP_Grid[#Data],$DD983,63),0)</f>
        <v/>
      </c>
      <c r="BN983">
        <f>IFERROR(INDEX(PP_Grid[#Data],$DD983,64),0)</f>
        <v/>
      </c>
      <c r="BO983">
        <f>IFERROR(INDEX(PP_Grid[#Data],$DD983,65),0)</f>
        <v/>
      </c>
      <c r="BP983">
        <f>IFERROR(INDEX(PP_Grid[#Data],$DD983,66),0)</f>
        <v/>
      </c>
      <c r="BQ983">
        <f>IFERROR(INDEX(PP_Grid[#Data],$DD983,67),0)</f>
        <v/>
      </c>
      <c r="BR983">
        <f>IFERROR(INDEX(PP_Grid[#Data],$DD983,68),0)</f>
        <v/>
      </c>
      <c r="BS983">
        <f>IFERROR(INDEX(PP_Grid[#Data],$DD983,69),0)</f>
        <v/>
      </c>
      <c r="BT983">
        <f>IFERROR(INDEX(PP_Grid[#Data],$DD983,70),0)</f>
        <v/>
      </c>
      <c r="BU983">
        <f>IFERROR(INDEX(PP_Grid[#Data],$DD983,71),0)</f>
        <v/>
      </c>
      <c r="BV983">
        <f>IFERROR(INDEX(PP_Grid[#Data],$DD983,72),0)</f>
        <v/>
      </c>
      <c r="BW983">
        <f>IFERROR(INDEX(PP_Grid[#Data],$DD983,73),0)</f>
        <v/>
      </c>
      <c r="BX983">
        <f>IFERROR(INDEX(PP_Grid[#Data],$DD983,74),0)</f>
        <v/>
      </c>
      <c r="BY983">
        <f>IFERROR(INDEX(PP_Grid[#Data],$DD983,75),0)</f>
        <v/>
      </c>
      <c r="BZ983">
        <f>IFERROR(INDEX(PP_Grid[#Data],$DD983,76),0)</f>
        <v/>
      </c>
      <c r="CA983">
        <f>IFERROR(INDEX(PP_Grid[#Data],$DD983,77),0)</f>
        <v/>
      </c>
      <c r="CB983">
        <f>IFERROR(INDEX(PP_Grid[#Data],$DD983,78),0)</f>
        <v/>
      </c>
      <c r="CC983">
        <f>IFERROR(INDEX(PP_Grid[#Data],$DD983,79),0)</f>
        <v/>
      </c>
      <c r="CD983">
        <f>IFERROR(INDEX(PP_Grid[#Data],$DD983,80),0)</f>
        <v/>
      </c>
      <c r="CE983">
        <f>IFERROR(INDEX(PP_Grid[#Data],$DD983,81),0)</f>
        <v/>
      </c>
      <c r="CF983">
        <f>IFERROR(INDEX(PP_Grid[#Data],$DD983,82),0)</f>
        <v/>
      </c>
      <c r="CG983">
        <f>IFERROR(INDEX(PP_Grid[#Data],$DD983,83),0)</f>
        <v/>
      </c>
      <c r="CH983">
        <f>IFERROR(INDEX(PP_Grid[#Data],$DD983,84),0)</f>
        <v/>
      </c>
      <c r="CI983">
        <f>IFERROR(INDEX(PP_Grid[#Data],$DD983,85),0)</f>
        <v/>
      </c>
      <c r="CJ983">
        <f>IFERROR(INDEX(PP_Grid[#Data],$DD983,86),0)</f>
        <v/>
      </c>
      <c r="CK983">
        <f>IFERROR(INDEX(PP_Grid[#Data],$DD983,87),0)</f>
        <v/>
      </c>
      <c r="CL983">
        <f>IFERROR(INDEX(PP_Grid[#Data],$DD983,88),0)</f>
        <v/>
      </c>
      <c r="CM983">
        <f>IFERROR(INDEX(PP_Grid[#Data],$DD983,89),0)</f>
        <v/>
      </c>
      <c r="CN983">
        <f>IFERROR(INDEX(PP_Grid[#Data],$DD983,90),0)</f>
        <v/>
      </c>
      <c r="CO983">
        <f>IFERROR(INDEX(PP_Grid[#Data],$DD983,91),0)</f>
        <v/>
      </c>
      <c r="CP983">
        <f>IFERROR(INDEX(PP_Grid[#Data],$DD983,92),0)</f>
        <v/>
      </c>
      <c r="CQ983">
        <f>IFERROR(INDEX(PP_Grid[#Data],$DD983,93),0)</f>
        <v/>
      </c>
      <c r="CR983">
        <f>IFERROR(INDEX(PP_Grid[#Data],$DD983,94),0)</f>
        <v/>
      </c>
      <c r="CS983">
        <f>IFERROR(INDEX(PP_Grid[#Data],$DD983,95),0)</f>
        <v/>
      </c>
      <c r="CT983">
        <f>IFERROR(INDEX(PP_Grid[#Data],$DD983,96),0)</f>
        <v/>
      </c>
      <c r="CU983">
        <f>IFERROR(INDEX(PP_Grid[#Data],$DD983,97),0)</f>
        <v/>
      </c>
      <c r="CV983">
        <f>IFERROR(INDEX(PP_Grid[#Data],$DD983,98),0)</f>
        <v/>
      </c>
      <c r="CW983">
        <f>IFERROR(INDEX(PP_Grid[#Data],$DD983,99),0)</f>
        <v/>
      </c>
      <c r="CX983">
        <f>IFERROR(INDEX(PP_Grid[#Data],$DD983,100),0)</f>
        <v/>
      </c>
      <c r="CY983">
        <f>IFERROR(INDEX(PP_Grid[#Data],$DD983,101),0)</f>
        <v/>
      </c>
      <c r="CZ983">
        <f>IFERROR(INDEX(PP_Grid[#Data],$DD983,102),0)</f>
        <v/>
      </c>
      <c r="DA983">
        <f>IFERROR(INDEX(PP_Grid[#Data],$DD983,103),0)</f>
        <v/>
      </c>
      <c r="DB983">
        <f>IFERROR(INDEX(PP_Grid[#Data],$DD983,104),0)</f>
        <v/>
      </c>
      <c r="DC983">
        <f>IFERROR(INDEX(PP_Grid[#Data],$DD983,105),0)</f>
        <v/>
      </c>
      <c r="DD983" s="7">
        <f>IFERROR(MATCH($B983,PP_Grid[Intermediate],0),99999)</f>
        <v/>
      </c>
    </row>
    <row r="984">
      <c r="B984" t="inlineStr">
        <is>
          <t>使用量(kg)</t>
        </is>
      </c>
      <c r="C984">
        <f>SUMIFS(M_BOM[RM_Qty_Per_Batch],M_BOM[Intermediate],$B983,M_BOM[Part Name],$A982)</f>
        <v/>
      </c>
      <c r="D984">
        <f>$C984*D983</f>
        <v/>
      </c>
      <c r="E984">
        <f>$C984*E983</f>
        <v/>
      </c>
      <c r="F984">
        <f>$C984*F983</f>
        <v/>
      </c>
      <c r="G984">
        <f>$C984*G983</f>
        <v/>
      </c>
      <c r="H984">
        <f>$C984*H983</f>
        <v/>
      </c>
      <c r="I984">
        <f>$C984*I983</f>
        <v/>
      </c>
      <c r="J984">
        <f>$C984*J983</f>
        <v/>
      </c>
      <c r="K984">
        <f>$C984*K983</f>
        <v/>
      </c>
      <c r="L984">
        <f>$C984*L983</f>
        <v/>
      </c>
      <c r="M984">
        <f>$C984*M983</f>
        <v/>
      </c>
      <c r="N984">
        <f>$C984*N983</f>
        <v/>
      </c>
      <c r="O984">
        <f>$C984*O983</f>
        <v/>
      </c>
      <c r="P984">
        <f>$C984*P983</f>
        <v/>
      </c>
      <c r="Q984">
        <f>$C984*Q983</f>
        <v/>
      </c>
      <c r="R984">
        <f>$C984*R983</f>
        <v/>
      </c>
      <c r="S984">
        <f>$C984*S983</f>
        <v/>
      </c>
      <c r="T984">
        <f>$C984*T983</f>
        <v/>
      </c>
      <c r="U984">
        <f>$C984*U983</f>
        <v/>
      </c>
      <c r="V984">
        <f>$C984*V983</f>
        <v/>
      </c>
      <c r="W984">
        <f>$C984*W983</f>
        <v/>
      </c>
      <c r="X984">
        <f>$C984*X983</f>
        <v/>
      </c>
      <c r="Y984">
        <f>$C984*Y983</f>
        <v/>
      </c>
      <c r="Z984">
        <f>$C984*Z983</f>
        <v/>
      </c>
      <c r="AA984">
        <f>$C984*AA983</f>
        <v/>
      </c>
      <c r="AB984">
        <f>$C984*AB983</f>
        <v/>
      </c>
      <c r="AC984">
        <f>$C984*AC983</f>
        <v/>
      </c>
      <c r="AD984">
        <f>$C984*AD983</f>
        <v/>
      </c>
      <c r="AE984">
        <f>$C984*AE983</f>
        <v/>
      </c>
      <c r="AF984">
        <f>$C984*AF983</f>
        <v/>
      </c>
      <c r="AG984">
        <f>$C984*AG983</f>
        <v/>
      </c>
      <c r="AH984">
        <f>$C984*AH983</f>
        <v/>
      </c>
      <c r="AI984">
        <f>$C984*AI983</f>
        <v/>
      </c>
      <c r="AJ984">
        <f>$C984*AJ983</f>
        <v/>
      </c>
      <c r="AK984">
        <f>$C984*AK983</f>
        <v/>
      </c>
      <c r="AL984">
        <f>$C984*AL983</f>
        <v/>
      </c>
      <c r="AM984">
        <f>$C984*AM983</f>
        <v/>
      </c>
      <c r="AN984">
        <f>$C984*AN983</f>
        <v/>
      </c>
      <c r="AO984">
        <f>$C984*AO983</f>
        <v/>
      </c>
      <c r="AP984">
        <f>$C984*AP983</f>
        <v/>
      </c>
      <c r="AQ984">
        <f>$C984*AQ983</f>
        <v/>
      </c>
      <c r="AR984">
        <f>$C984*AR983</f>
        <v/>
      </c>
      <c r="AS984">
        <f>$C984*AS983</f>
        <v/>
      </c>
      <c r="AT984">
        <f>$C984*AT983</f>
        <v/>
      </c>
      <c r="AU984">
        <f>$C984*AU983</f>
        <v/>
      </c>
      <c r="AV984">
        <f>$C984*AV983</f>
        <v/>
      </c>
      <c r="AW984">
        <f>$C984*AW983</f>
        <v/>
      </c>
      <c r="AX984">
        <f>$C984*AX983</f>
        <v/>
      </c>
      <c r="AY984">
        <f>$C984*AY983</f>
        <v/>
      </c>
      <c r="AZ984">
        <f>$C984*AZ983</f>
        <v/>
      </c>
      <c r="BA984">
        <f>$C984*BA983</f>
        <v/>
      </c>
      <c r="BB984">
        <f>$C984*BB983</f>
        <v/>
      </c>
      <c r="BC984">
        <f>$C984*BC983</f>
        <v/>
      </c>
      <c r="BD984">
        <f>$C984*BD983</f>
        <v/>
      </c>
      <c r="BE984">
        <f>$C984*BE983</f>
        <v/>
      </c>
      <c r="BF984">
        <f>$C984*BF983</f>
        <v/>
      </c>
      <c r="BG984">
        <f>$C984*BG983</f>
        <v/>
      </c>
      <c r="BH984">
        <f>$C984*BH983</f>
        <v/>
      </c>
      <c r="BI984">
        <f>$C984*BI983</f>
        <v/>
      </c>
      <c r="BJ984">
        <f>$C984*BJ983</f>
        <v/>
      </c>
      <c r="BK984">
        <f>$C984*BK983</f>
        <v/>
      </c>
      <c r="BL984">
        <f>$C984*BL983</f>
        <v/>
      </c>
      <c r="BM984">
        <f>$C984*BM983</f>
        <v/>
      </c>
      <c r="BN984">
        <f>$C984*BN983</f>
        <v/>
      </c>
      <c r="BO984">
        <f>$C984*BO983</f>
        <v/>
      </c>
      <c r="BP984">
        <f>$C984*BP983</f>
        <v/>
      </c>
      <c r="BQ984">
        <f>$C984*BQ983</f>
        <v/>
      </c>
      <c r="BR984">
        <f>$C984*BR983</f>
        <v/>
      </c>
      <c r="BS984">
        <f>$C984*BS983</f>
        <v/>
      </c>
      <c r="BT984">
        <f>$C984*BT983</f>
        <v/>
      </c>
      <c r="BU984">
        <f>$C984*BU983</f>
        <v/>
      </c>
      <c r="BV984">
        <f>$C984*BV983</f>
        <v/>
      </c>
      <c r="BW984">
        <f>$C984*BW983</f>
        <v/>
      </c>
      <c r="BX984">
        <f>$C984*BX983</f>
        <v/>
      </c>
      <c r="BY984">
        <f>$C984*BY983</f>
        <v/>
      </c>
      <c r="BZ984">
        <f>$C984*BZ983</f>
        <v/>
      </c>
      <c r="CA984">
        <f>$C984*CA983</f>
        <v/>
      </c>
      <c r="CB984">
        <f>$C984*CB983</f>
        <v/>
      </c>
      <c r="CC984">
        <f>$C984*CC983</f>
        <v/>
      </c>
      <c r="CD984">
        <f>$C984*CD983</f>
        <v/>
      </c>
      <c r="CE984">
        <f>$C984*CE983</f>
        <v/>
      </c>
      <c r="CF984">
        <f>$C984*CF983</f>
        <v/>
      </c>
      <c r="CG984">
        <f>$C984*CG983</f>
        <v/>
      </c>
      <c r="CH984">
        <f>$C984*CH983</f>
        <v/>
      </c>
      <c r="CI984">
        <f>$C984*CI983</f>
        <v/>
      </c>
      <c r="CJ984">
        <f>$C984*CJ983</f>
        <v/>
      </c>
      <c r="CK984">
        <f>$C984*CK983</f>
        <v/>
      </c>
      <c r="CL984">
        <f>$C984*CL983</f>
        <v/>
      </c>
      <c r="CM984">
        <f>$C984*CM983</f>
        <v/>
      </c>
      <c r="CN984">
        <f>$C984*CN983</f>
        <v/>
      </c>
      <c r="CO984">
        <f>$C984*CO983</f>
        <v/>
      </c>
      <c r="CP984">
        <f>$C984*CP983</f>
        <v/>
      </c>
      <c r="CQ984">
        <f>$C984*CQ983</f>
        <v/>
      </c>
      <c r="CR984">
        <f>$C984*CR983</f>
        <v/>
      </c>
      <c r="CS984">
        <f>$C984*CS983</f>
        <v/>
      </c>
      <c r="CT984">
        <f>$C984*CT983</f>
        <v/>
      </c>
      <c r="CU984">
        <f>$C984*CU983</f>
        <v/>
      </c>
      <c r="CV984">
        <f>$C984*CV983</f>
        <v/>
      </c>
      <c r="CW984">
        <f>$C984*CW983</f>
        <v/>
      </c>
      <c r="CX984">
        <f>$C984*CX983</f>
        <v/>
      </c>
      <c r="CY984">
        <f>$C984*CY983</f>
        <v/>
      </c>
      <c r="CZ984">
        <f>$C984*CZ983</f>
        <v/>
      </c>
      <c r="DA984">
        <f>$C984*DA983</f>
        <v/>
      </c>
      <c r="DB984">
        <f>$C984*DB983</f>
        <v/>
      </c>
      <c r="DC984">
        <f>$C984*DC983</f>
        <v/>
      </c>
    </row>
    <row r="985">
      <c r="B985" t="inlineStr">
        <is>
          <t>TPP-912</t>
        </is>
      </c>
      <c r="C985" t="inlineStr">
        <is>
          <t>No. of batches</t>
        </is>
      </c>
      <c r="D985">
        <f>IFERROR(INDEX(PP_Grid[#Data],$DD985,2),0)</f>
        <v/>
      </c>
      <c r="E985">
        <f>IFERROR(INDEX(PP_Grid[#Data],$DD985,3),0)</f>
        <v/>
      </c>
      <c r="F985">
        <f>IFERROR(INDEX(PP_Grid[#Data],$DD985,4),0)</f>
        <v/>
      </c>
      <c r="G985">
        <f>IFERROR(INDEX(PP_Grid[#Data],$DD985,5),0)</f>
        <v/>
      </c>
      <c r="H985">
        <f>IFERROR(INDEX(PP_Grid[#Data],$DD985,6),0)</f>
        <v/>
      </c>
      <c r="I985">
        <f>IFERROR(INDEX(PP_Grid[#Data],$DD985,7),0)</f>
        <v/>
      </c>
      <c r="J985">
        <f>IFERROR(INDEX(PP_Grid[#Data],$DD985,8),0)</f>
        <v/>
      </c>
      <c r="K985">
        <f>IFERROR(INDEX(PP_Grid[#Data],$DD985,9),0)</f>
        <v/>
      </c>
      <c r="L985">
        <f>IFERROR(INDEX(PP_Grid[#Data],$DD985,10),0)</f>
        <v/>
      </c>
      <c r="M985">
        <f>IFERROR(INDEX(PP_Grid[#Data],$DD985,11),0)</f>
        <v/>
      </c>
      <c r="N985">
        <f>IFERROR(INDEX(PP_Grid[#Data],$DD985,12),0)</f>
        <v/>
      </c>
      <c r="O985">
        <f>IFERROR(INDEX(PP_Grid[#Data],$DD985,13),0)</f>
        <v/>
      </c>
      <c r="P985">
        <f>IFERROR(INDEX(PP_Grid[#Data],$DD985,14),0)</f>
        <v/>
      </c>
      <c r="Q985">
        <f>IFERROR(INDEX(PP_Grid[#Data],$DD985,15),0)</f>
        <v/>
      </c>
      <c r="R985">
        <f>IFERROR(INDEX(PP_Grid[#Data],$DD985,16),0)</f>
        <v/>
      </c>
      <c r="S985">
        <f>IFERROR(INDEX(PP_Grid[#Data],$DD985,17),0)</f>
        <v/>
      </c>
      <c r="T985">
        <f>IFERROR(INDEX(PP_Grid[#Data],$DD985,18),0)</f>
        <v/>
      </c>
      <c r="U985">
        <f>IFERROR(INDEX(PP_Grid[#Data],$DD985,19),0)</f>
        <v/>
      </c>
      <c r="V985">
        <f>IFERROR(INDEX(PP_Grid[#Data],$DD985,20),0)</f>
        <v/>
      </c>
      <c r="W985">
        <f>IFERROR(INDEX(PP_Grid[#Data],$DD985,21),0)</f>
        <v/>
      </c>
      <c r="X985">
        <f>IFERROR(INDEX(PP_Grid[#Data],$DD985,22),0)</f>
        <v/>
      </c>
      <c r="Y985">
        <f>IFERROR(INDEX(PP_Grid[#Data],$DD985,23),0)</f>
        <v/>
      </c>
      <c r="Z985">
        <f>IFERROR(INDEX(PP_Grid[#Data],$DD985,24),0)</f>
        <v/>
      </c>
      <c r="AA985">
        <f>IFERROR(INDEX(PP_Grid[#Data],$DD985,25),0)</f>
        <v/>
      </c>
      <c r="AB985">
        <f>IFERROR(INDEX(PP_Grid[#Data],$DD985,26),0)</f>
        <v/>
      </c>
      <c r="AC985">
        <f>IFERROR(INDEX(PP_Grid[#Data],$DD985,27),0)</f>
        <v/>
      </c>
      <c r="AD985">
        <f>IFERROR(INDEX(PP_Grid[#Data],$DD985,28),0)</f>
        <v/>
      </c>
      <c r="AE985">
        <f>IFERROR(INDEX(PP_Grid[#Data],$DD985,29),0)</f>
        <v/>
      </c>
      <c r="AF985">
        <f>IFERROR(INDEX(PP_Grid[#Data],$DD985,30),0)</f>
        <v/>
      </c>
      <c r="AG985">
        <f>IFERROR(INDEX(PP_Grid[#Data],$DD985,31),0)</f>
        <v/>
      </c>
      <c r="AH985">
        <f>IFERROR(INDEX(PP_Grid[#Data],$DD985,32),0)</f>
        <v/>
      </c>
      <c r="AI985">
        <f>IFERROR(INDEX(PP_Grid[#Data],$DD985,33),0)</f>
        <v/>
      </c>
      <c r="AJ985">
        <f>IFERROR(INDEX(PP_Grid[#Data],$DD985,34),0)</f>
        <v/>
      </c>
      <c r="AK985">
        <f>IFERROR(INDEX(PP_Grid[#Data],$DD985,35),0)</f>
        <v/>
      </c>
      <c r="AL985">
        <f>IFERROR(INDEX(PP_Grid[#Data],$DD985,36),0)</f>
        <v/>
      </c>
      <c r="AM985">
        <f>IFERROR(INDEX(PP_Grid[#Data],$DD985,37),0)</f>
        <v/>
      </c>
      <c r="AN985">
        <f>IFERROR(INDEX(PP_Grid[#Data],$DD985,38),0)</f>
        <v/>
      </c>
      <c r="AO985">
        <f>IFERROR(INDEX(PP_Grid[#Data],$DD985,39),0)</f>
        <v/>
      </c>
      <c r="AP985">
        <f>IFERROR(INDEX(PP_Grid[#Data],$DD985,40),0)</f>
        <v/>
      </c>
      <c r="AQ985">
        <f>IFERROR(INDEX(PP_Grid[#Data],$DD985,41),0)</f>
        <v/>
      </c>
      <c r="AR985">
        <f>IFERROR(INDEX(PP_Grid[#Data],$DD985,42),0)</f>
        <v/>
      </c>
      <c r="AS985">
        <f>IFERROR(INDEX(PP_Grid[#Data],$DD985,43),0)</f>
        <v/>
      </c>
      <c r="AT985">
        <f>IFERROR(INDEX(PP_Grid[#Data],$DD985,44),0)</f>
        <v/>
      </c>
      <c r="AU985">
        <f>IFERROR(INDEX(PP_Grid[#Data],$DD985,45),0)</f>
        <v/>
      </c>
      <c r="AV985">
        <f>IFERROR(INDEX(PP_Grid[#Data],$DD985,46),0)</f>
        <v/>
      </c>
      <c r="AW985">
        <f>IFERROR(INDEX(PP_Grid[#Data],$DD985,47),0)</f>
        <v/>
      </c>
      <c r="AX985">
        <f>IFERROR(INDEX(PP_Grid[#Data],$DD985,48),0)</f>
        <v/>
      </c>
      <c r="AY985">
        <f>IFERROR(INDEX(PP_Grid[#Data],$DD985,49),0)</f>
        <v/>
      </c>
      <c r="AZ985">
        <f>IFERROR(INDEX(PP_Grid[#Data],$DD985,50),0)</f>
        <v/>
      </c>
      <c r="BA985">
        <f>IFERROR(INDEX(PP_Grid[#Data],$DD985,51),0)</f>
        <v/>
      </c>
      <c r="BB985">
        <f>IFERROR(INDEX(PP_Grid[#Data],$DD985,52),0)</f>
        <v/>
      </c>
      <c r="BC985">
        <f>IFERROR(INDEX(PP_Grid[#Data],$DD985,53),0)</f>
        <v/>
      </c>
      <c r="BD985">
        <f>IFERROR(INDEX(PP_Grid[#Data],$DD985,54),0)</f>
        <v/>
      </c>
      <c r="BE985">
        <f>IFERROR(INDEX(PP_Grid[#Data],$DD985,55),0)</f>
        <v/>
      </c>
      <c r="BF985">
        <f>IFERROR(INDEX(PP_Grid[#Data],$DD985,56),0)</f>
        <v/>
      </c>
      <c r="BG985">
        <f>IFERROR(INDEX(PP_Grid[#Data],$DD985,57),0)</f>
        <v/>
      </c>
      <c r="BH985">
        <f>IFERROR(INDEX(PP_Grid[#Data],$DD985,58),0)</f>
        <v/>
      </c>
      <c r="BI985">
        <f>IFERROR(INDEX(PP_Grid[#Data],$DD985,59),0)</f>
        <v/>
      </c>
      <c r="BJ985">
        <f>IFERROR(INDEX(PP_Grid[#Data],$DD985,60),0)</f>
        <v/>
      </c>
      <c r="BK985">
        <f>IFERROR(INDEX(PP_Grid[#Data],$DD985,61),0)</f>
        <v/>
      </c>
      <c r="BL985">
        <f>IFERROR(INDEX(PP_Grid[#Data],$DD985,62),0)</f>
        <v/>
      </c>
      <c r="BM985">
        <f>IFERROR(INDEX(PP_Grid[#Data],$DD985,63),0)</f>
        <v/>
      </c>
      <c r="BN985">
        <f>IFERROR(INDEX(PP_Grid[#Data],$DD985,64),0)</f>
        <v/>
      </c>
      <c r="BO985">
        <f>IFERROR(INDEX(PP_Grid[#Data],$DD985,65),0)</f>
        <v/>
      </c>
      <c r="BP985">
        <f>IFERROR(INDEX(PP_Grid[#Data],$DD985,66),0)</f>
        <v/>
      </c>
      <c r="BQ985">
        <f>IFERROR(INDEX(PP_Grid[#Data],$DD985,67),0)</f>
        <v/>
      </c>
      <c r="BR985">
        <f>IFERROR(INDEX(PP_Grid[#Data],$DD985,68),0)</f>
        <v/>
      </c>
      <c r="BS985">
        <f>IFERROR(INDEX(PP_Grid[#Data],$DD985,69),0)</f>
        <v/>
      </c>
      <c r="BT985">
        <f>IFERROR(INDEX(PP_Grid[#Data],$DD985,70),0)</f>
        <v/>
      </c>
      <c r="BU985">
        <f>IFERROR(INDEX(PP_Grid[#Data],$DD985,71),0)</f>
        <v/>
      </c>
      <c r="BV985">
        <f>IFERROR(INDEX(PP_Grid[#Data],$DD985,72),0)</f>
        <v/>
      </c>
      <c r="BW985">
        <f>IFERROR(INDEX(PP_Grid[#Data],$DD985,73),0)</f>
        <v/>
      </c>
      <c r="BX985">
        <f>IFERROR(INDEX(PP_Grid[#Data],$DD985,74),0)</f>
        <v/>
      </c>
      <c r="BY985">
        <f>IFERROR(INDEX(PP_Grid[#Data],$DD985,75),0)</f>
        <v/>
      </c>
      <c r="BZ985">
        <f>IFERROR(INDEX(PP_Grid[#Data],$DD985,76),0)</f>
        <v/>
      </c>
      <c r="CA985">
        <f>IFERROR(INDEX(PP_Grid[#Data],$DD985,77),0)</f>
        <v/>
      </c>
      <c r="CB985">
        <f>IFERROR(INDEX(PP_Grid[#Data],$DD985,78),0)</f>
        <v/>
      </c>
      <c r="CC985">
        <f>IFERROR(INDEX(PP_Grid[#Data],$DD985,79),0)</f>
        <v/>
      </c>
      <c r="CD985">
        <f>IFERROR(INDEX(PP_Grid[#Data],$DD985,80),0)</f>
        <v/>
      </c>
      <c r="CE985">
        <f>IFERROR(INDEX(PP_Grid[#Data],$DD985,81),0)</f>
        <v/>
      </c>
      <c r="CF985">
        <f>IFERROR(INDEX(PP_Grid[#Data],$DD985,82),0)</f>
        <v/>
      </c>
      <c r="CG985">
        <f>IFERROR(INDEX(PP_Grid[#Data],$DD985,83),0)</f>
        <v/>
      </c>
      <c r="CH985">
        <f>IFERROR(INDEX(PP_Grid[#Data],$DD985,84),0)</f>
        <v/>
      </c>
      <c r="CI985">
        <f>IFERROR(INDEX(PP_Grid[#Data],$DD985,85),0)</f>
        <v/>
      </c>
      <c r="CJ985">
        <f>IFERROR(INDEX(PP_Grid[#Data],$DD985,86),0)</f>
        <v/>
      </c>
      <c r="CK985">
        <f>IFERROR(INDEX(PP_Grid[#Data],$DD985,87),0)</f>
        <v/>
      </c>
      <c r="CL985">
        <f>IFERROR(INDEX(PP_Grid[#Data],$DD985,88),0)</f>
        <v/>
      </c>
      <c r="CM985">
        <f>IFERROR(INDEX(PP_Grid[#Data],$DD985,89),0)</f>
        <v/>
      </c>
      <c r="CN985">
        <f>IFERROR(INDEX(PP_Grid[#Data],$DD985,90),0)</f>
        <v/>
      </c>
      <c r="CO985">
        <f>IFERROR(INDEX(PP_Grid[#Data],$DD985,91),0)</f>
        <v/>
      </c>
      <c r="CP985">
        <f>IFERROR(INDEX(PP_Grid[#Data],$DD985,92),0)</f>
        <v/>
      </c>
      <c r="CQ985">
        <f>IFERROR(INDEX(PP_Grid[#Data],$DD985,93),0)</f>
        <v/>
      </c>
      <c r="CR985">
        <f>IFERROR(INDEX(PP_Grid[#Data],$DD985,94),0)</f>
        <v/>
      </c>
      <c r="CS985">
        <f>IFERROR(INDEX(PP_Grid[#Data],$DD985,95),0)</f>
        <v/>
      </c>
      <c r="CT985">
        <f>IFERROR(INDEX(PP_Grid[#Data],$DD985,96),0)</f>
        <v/>
      </c>
      <c r="CU985">
        <f>IFERROR(INDEX(PP_Grid[#Data],$DD985,97),0)</f>
        <v/>
      </c>
      <c r="CV985">
        <f>IFERROR(INDEX(PP_Grid[#Data],$DD985,98),0)</f>
        <v/>
      </c>
      <c r="CW985">
        <f>IFERROR(INDEX(PP_Grid[#Data],$DD985,99),0)</f>
        <v/>
      </c>
      <c r="CX985">
        <f>IFERROR(INDEX(PP_Grid[#Data],$DD985,100),0)</f>
        <v/>
      </c>
      <c r="CY985">
        <f>IFERROR(INDEX(PP_Grid[#Data],$DD985,101),0)</f>
        <v/>
      </c>
      <c r="CZ985">
        <f>IFERROR(INDEX(PP_Grid[#Data],$DD985,102),0)</f>
        <v/>
      </c>
      <c r="DA985">
        <f>IFERROR(INDEX(PP_Grid[#Data],$DD985,103),0)</f>
        <v/>
      </c>
      <c r="DB985">
        <f>IFERROR(INDEX(PP_Grid[#Data],$DD985,104),0)</f>
        <v/>
      </c>
      <c r="DC985">
        <f>IFERROR(INDEX(PP_Grid[#Data],$DD985,105),0)</f>
        <v/>
      </c>
      <c r="DD985" s="7">
        <f>IFERROR(MATCH($B985,PP_Grid[Intermediate],0),99999)</f>
        <v/>
      </c>
    </row>
    <row r="986">
      <c r="B986" t="inlineStr">
        <is>
          <t>使用量(kg)</t>
        </is>
      </c>
      <c r="C986">
        <f>SUMIFS(M_BOM[RM_Qty_Per_Batch],M_BOM[Intermediate],$B985,M_BOM[Part Name],$A982)</f>
        <v/>
      </c>
      <c r="D986">
        <f>$C986*D985</f>
        <v/>
      </c>
      <c r="E986">
        <f>$C986*E985</f>
        <v/>
      </c>
      <c r="F986">
        <f>$C986*F985</f>
        <v/>
      </c>
      <c r="G986">
        <f>$C986*G985</f>
        <v/>
      </c>
      <c r="H986">
        <f>$C986*H985</f>
        <v/>
      </c>
      <c r="I986">
        <f>$C986*I985</f>
        <v/>
      </c>
      <c r="J986">
        <f>$C986*J985</f>
        <v/>
      </c>
      <c r="K986">
        <f>$C986*K985</f>
        <v/>
      </c>
      <c r="L986">
        <f>$C986*L985</f>
        <v/>
      </c>
      <c r="M986">
        <f>$C986*M985</f>
        <v/>
      </c>
      <c r="N986">
        <f>$C986*N985</f>
        <v/>
      </c>
      <c r="O986">
        <f>$C986*O985</f>
        <v/>
      </c>
      <c r="P986">
        <f>$C986*P985</f>
        <v/>
      </c>
      <c r="Q986">
        <f>$C986*Q985</f>
        <v/>
      </c>
      <c r="R986">
        <f>$C986*R985</f>
        <v/>
      </c>
      <c r="S986">
        <f>$C986*S985</f>
        <v/>
      </c>
      <c r="T986">
        <f>$C986*T985</f>
        <v/>
      </c>
      <c r="U986">
        <f>$C986*U985</f>
        <v/>
      </c>
      <c r="V986">
        <f>$C986*V985</f>
        <v/>
      </c>
      <c r="W986">
        <f>$C986*W985</f>
        <v/>
      </c>
      <c r="X986">
        <f>$C986*X985</f>
        <v/>
      </c>
      <c r="Y986">
        <f>$C986*Y985</f>
        <v/>
      </c>
      <c r="Z986">
        <f>$C986*Z985</f>
        <v/>
      </c>
      <c r="AA986">
        <f>$C986*AA985</f>
        <v/>
      </c>
      <c r="AB986">
        <f>$C986*AB985</f>
        <v/>
      </c>
      <c r="AC986">
        <f>$C986*AC985</f>
        <v/>
      </c>
      <c r="AD986">
        <f>$C986*AD985</f>
        <v/>
      </c>
      <c r="AE986">
        <f>$C986*AE985</f>
        <v/>
      </c>
      <c r="AF986">
        <f>$C986*AF985</f>
        <v/>
      </c>
      <c r="AG986">
        <f>$C986*AG985</f>
        <v/>
      </c>
      <c r="AH986">
        <f>$C986*AH985</f>
        <v/>
      </c>
      <c r="AI986">
        <f>$C986*AI985</f>
        <v/>
      </c>
      <c r="AJ986">
        <f>$C986*AJ985</f>
        <v/>
      </c>
      <c r="AK986">
        <f>$C986*AK985</f>
        <v/>
      </c>
      <c r="AL986">
        <f>$C986*AL985</f>
        <v/>
      </c>
      <c r="AM986">
        <f>$C986*AM985</f>
        <v/>
      </c>
      <c r="AN986">
        <f>$C986*AN985</f>
        <v/>
      </c>
      <c r="AO986">
        <f>$C986*AO985</f>
        <v/>
      </c>
      <c r="AP986">
        <f>$C986*AP985</f>
        <v/>
      </c>
      <c r="AQ986">
        <f>$C986*AQ985</f>
        <v/>
      </c>
      <c r="AR986">
        <f>$C986*AR985</f>
        <v/>
      </c>
      <c r="AS986">
        <f>$C986*AS985</f>
        <v/>
      </c>
      <c r="AT986">
        <f>$C986*AT985</f>
        <v/>
      </c>
      <c r="AU986">
        <f>$C986*AU985</f>
        <v/>
      </c>
      <c r="AV986">
        <f>$C986*AV985</f>
        <v/>
      </c>
      <c r="AW986">
        <f>$C986*AW985</f>
        <v/>
      </c>
      <c r="AX986">
        <f>$C986*AX985</f>
        <v/>
      </c>
      <c r="AY986">
        <f>$C986*AY985</f>
        <v/>
      </c>
      <c r="AZ986">
        <f>$C986*AZ985</f>
        <v/>
      </c>
      <c r="BA986">
        <f>$C986*BA985</f>
        <v/>
      </c>
      <c r="BB986">
        <f>$C986*BB985</f>
        <v/>
      </c>
      <c r="BC986">
        <f>$C986*BC985</f>
        <v/>
      </c>
      <c r="BD986">
        <f>$C986*BD985</f>
        <v/>
      </c>
      <c r="BE986">
        <f>$C986*BE985</f>
        <v/>
      </c>
      <c r="BF986">
        <f>$C986*BF985</f>
        <v/>
      </c>
      <c r="BG986">
        <f>$C986*BG985</f>
        <v/>
      </c>
      <c r="BH986">
        <f>$C986*BH985</f>
        <v/>
      </c>
      <c r="BI986">
        <f>$C986*BI985</f>
        <v/>
      </c>
      <c r="BJ986">
        <f>$C986*BJ985</f>
        <v/>
      </c>
      <c r="BK986">
        <f>$C986*BK985</f>
        <v/>
      </c>
      <c r="BL986">
        <f>$C986*BL985</f>
        <v/>
      </c>
      <c r="BM986">
        <f>$C986*BM985</f>
        <v/>
      </c>
      <c r="BN986">
        <f>$C986*BN985</f>
        <v/>
      </c>
      <c r="BO986">
        <f>$C986*BO985</f>
        <v/>
      </c>
      <c r="BP986">
        <f>$C986*BP985</f>
        <v/>
      </c>
      <c r="BQ986">
        <f>$C986*BQ985</f>
        <v/>
      </c>
      <c r="BR986">
        <f>$C986*BR985</f>
        <v/>
      </c>
      <c r="BS986">
        <f>$C986*BS985</f>
        <v/>
      </c>
      <c r="BT986">
        <f>$C986*BT985</f>
        <v/>
      </c>
      <c r="BU986">
        <f>$C986*BU985</f>
        <v/>
      </c>
      <c r="BV986">
        <f>$C986*BV985</f>
        <v/>
      </c>
      <c r="BW986">
        <f>$C986*BW985</f>
        <v/>
      </c>
      <c r="BX986">
        <f>$C986*BX985</f>
        <v/>
      </c>
      <c r="BY986">
        <f>$C986*BY985</f>
        <v/>
      </c>
      <c r="BZ986">
        <f>$C986*BZ985</f>
        <v/>
      </c>
      <c r="CA986">
        <f>$C986*CA985</f>
        <v/>
      </c>
      <c r="CB986">
        <f>$C986*CB985</f>
        <v/>
      </c>
      <c r="CC986">
        <f>$C986*CC985</f>
        <v/>
      </c>
      <c r="CD986">
        <f>$C986*CD985</f>
        <v/>
      </c>
      <c r="CE986">
        <f>$C986*CE985</f>
        <v/>
      </c>
      <c r="CF986">
        <f>$C986*CF985</f>
        <v/>
      </c>
      <c r="CG986">
        <f>$C986*CG985</f>
        <v/>
      </c>
      <c r="CH986">
        <f>$C986*CH985</f>
        <v/>
      </c>
      <c r="CI986">
        <f>$C986*CI985</f>
        <v/>
      </c>
      <c r="CJ986">
        <f>$C986*CJ985</f>
        <v/>
      </c>
      <c r="CK986">
        <f>$C986*CK985</f>
        <v/>
      </c>
      <c r="CL986">
        <f>$C986*CL985</f>
        <v/>
      </c>
      <c r="CM986">
        <f>$C986*CM985</f>
        <v/>
      </c>
      <c r="CN986">
        <f>$C986*CN985</f>
        <v/>
      </c>
      <c r="CO986">
        <f>$C986*CO985</f>
        <v/>
      </c>
      <c r="CP986">
        <f>$C986*CP985</f>
        <v/>
      </c>
      <c r="CQ986">
        <f>$C986*CQ985</f>
        <v/>
      </c>
      <c r="CR986">
        <f>$C986*CR985</f>
        <v/>
      </c>
      <c r="CS986">
        <f>$C986*CS985</f>
        <v/>
      </c>
      <c r="CT986">
        <f>$C986*CT985</f>
        <v/>
      </c>
      <c r="CU986">
        <f>$C986*CU985</f>
        <v/>
      </c>
      <c r="CV986">
        <f>$C986*CV985</f>
        <v/>
      </c>
      <c r="CW986">
        <f>$C986*CW985</f>
        <v/>
      </c>
      <c r="CX986">
        <f>$C986*CX985</f>
        <v/>
      </c>
      <c r="CY986">
        <f>$C986*CY985</f>
        <v/>
      </c>
      <c r="CZ986">
        <f>$C986*CZ985</f>
        <v/>
      </c>
      <c r="DA986">
        <f>$C986*DA985</f>
        <v/>
      </c>
      <c r="DB986">
        <f>$C986*DB985</f>
        <v/>
      </c>
      <c r="DC986">
        <f>$C986*DC985</f>
        <v/>
      </c>
    </row>
    <row r="987">
      <c r="B987" t="inlineStr">
        <is>
          <t>No of times used</t>
        </is>
      </c>
      <c r="C987" t="inlineStr">
        <is>
          <t>No. of batches</t>
        </is>
      </c>
      <c r="D987">
        <f>IFERROR(INDEX(PP_Grid[#Data],$DD987,2),0)</f>
        <v/>
      </c>
      <c r="E987">
        <f>IFERROR(INDEX(PP_Grid[#Data],$DD987,3),0)</f>
        <v/>
      </c>
      <c r="F987">
        <f>IFERROR(INDEX(PP_Grid[#Data],$DD987,4),0)</f>
        <v/>
      </c>
      <c r="G987">
        <f>IFERROR(INDEX(PP_Grid[#Data],$DD987,5),0)</f>
        <v/>
      </c>
      <c r="H987">
        <f>IFERROR(INDEX(PP_Grid[#Data],$DD987,6),0)</f>
        <v/>
      </c>
      <c r="I987">
        <f>IFERROR(INDEX(PP_Grid[#Data],$DD987,7),0)</f>
        <v/>
      </c>
      <c r="J987">
        <f>IFERROR(INDEX(PP_Grid[#Data],$DD987,8),0)</f>
        <v/>
      </c>
      <c r="K987">
        <f>IFERROR(INDEX(PP_Grid[#Data],$DD987,9),0)</f>
        <v/>
      </c>
      <c r="L987">
        <f>IFERROR(INDEX(PP_Grid[#Data],$DD987,10),0)</f>
        <v/>
      </c>
      <c r="M987">
        <f>IFERROR(INDEX(PP_Grid[#Data],$DD987,11),0)</f>
        <v/>
      </c>
      <c r="N987">
        <f>IFERROR(INDEX(PP_Grid[#Data],$DD987,12),0)</f>
        <v/>
      </c>
      <c r="O987">
        <f>IFERROR(INDEX(PP_Grid[#Data],$DD987,13),0)</f>
        <v/>
      </c>
      <c r="P987">
        <f>IFERROR(INDEX(PP_Grid[#Data],$DD987,14),0)</f>
        <v/>
      </c>
      <c r="Q987">
        <f>IFERROR(INDEX(PP_Grid[#Data],$DD987,15),0)</f>
        <v/>
      </c>
      <c r="R987">
        <f>IFERROR(INDEX(PP_Grid[#Data],$DD987,16),0)</f>
        <v/>
      </c>
      <c r="S987">
        <f>IFERROR(INDEX(PP_Grid[#Data],$DD987,17),0)</f>
        <v/>
      </c>
      <c r="T987">
        <f>IFERROR(INDEX(PP_Grid[#Data],$DD987,18),0)</f>
        <v/>
      </c>
      <c r="U987">
        <f>IFERROR(INDEX(PP_Grid[#Data],$DD987,19),0)</f>
        <v/>
      </c>
      <c r="V987">
        <f>IFERROR(INDEX(PP_Grid[#Data],$DD987,20),0)</f>
        <v/>
      </c>
      <c r="W987">
        <f>IFERROR(INDEX(PP_Grid[#Data],$DD987,21),0)</f>
        <v/>
      </c>
      <c r="X987">
        <f>IFERROR(INDEX(PP_Grid[#Data],$DD987,22),0)</f>
        <v/>
      </c>
      <c r="Y987">
        <f>IFERROR(INDEX(PP_Grid[#Data],$DD987,23),0)</f>
        <v/>
      </c>
      <c r="Z987">
        <f>IFERROR(INDEX(PP_Grid[#Data],$DD987,24),0)</f>
        <v/>
      </c>
      <c r="AA987">
        <f>IFERROR(INDEX(PP_Grid[#Data],$DD987,25),0)</f>
        <v/>
      </c>
      <c r="AB987">
        <f>IFERROR(INDEX(PP_Grid[#Data],$DD987,26),0)</f>
        <v/>
      </c>
      <c r="AC987">
        <f>IFERROR(INDEX(PP_Grid[#Data],$DD987,27),0)</f>
        <v/>
      </c>
      <c r="AD987">
        <f>IFERROR(INDEX(PP_Grid[#Data],$DD987,28),0)</f>
        <v/>
      </c>
      <c r="AE987">
        <f>IFERROR(INDEX(PP_Grid[#Data],$DD987,29),0)</f>
        <v/>
      </c>
      <c r="AF987">
        <f>IFERROR(INDEX(PP_Grid[#Data],$DD987,30),0)</f>
        <v/>
      </c>
      <c r="AG987">
        <f>IFERROR(INDEX(PP_Grid[#Data],$DD987,31),0)</f>
        <v/>
      </c>
      <c r="AH987">
        <f>IFERROR(INDEX(PP_Grid[#Data],$DD987,32),0)</f>
        <v/>
      </c>
      <c r="AI987">
        <f>IFERROR(INDEX(PP_Grid[#Data],$DD987,33),0)</f>
        <v/>
      </c>
      <c r="AJ987">
        <f>IFERROR(INDEX(PP_Grid[#Data],$DD987,34),0)</f>
        <v/>
      </c>
      <c r="AK987">
        <f>IFERROR(INDEX(PP_Grid[#Data],$DD987,35),0)</f>
        <v/>
      </c>
      <c r="AL987">
        <f>IFERROR(INDEX(PP_Grid[#Data],$DD987,36),0)</f>
        <v/>
      </c>
      <c r="AM987">
        <f>IFERROR(INDEX(PP_Grid[#Data],$DD987,37),0)</f>
        <v/>
      </c>
      <c r="AN987">
        <f>IFERROR(INDEX(PP_Grid[#Data],$DD987,38),0)</f>
        <v/>
      </c>
      <c r="AO987">
        <f>IFERROR(INDEX(PP_Grid[#Data],$DD987,39),0)</f>
        <v/>
      </c>
      <c r="AP987">
        <f>IFERROR(INDEX(PP_Grid[#Data],$DD987,40),0)</f>
        <v/>
      </c>
      <c r="AQ987">
        <f>IFERROR(INDEX(PP_Grid[#Data],$DD987,41),0)</f>
        <v/>
      </c>
      <c r="AR987">
        <f>IFERROR(INDEX(PP_Grid[#Data],$DD987,42),0)</f>
        <v/>
      </c>
      <c r="AS987">
        <f>IFERROR(INDEX(PP_Grid[#Data],$DD987,43),0)</f>
        <v/>
      </c>
      <c r="AT987">
        <f>IFERROR(INDEX(PP_Grid[#Data],$DD987,44),0)</f>
        <v/>
      </c>
      <c r="AU987">
        <f>IFERROR(INDEX(PP_Grid[#Data],$DD987,45),0)</f>
        <v/>
      </c>
      <c r="AV987">
        <f>IFERROR(INDEX(PP_Grid[#Data],$DD987,46),0)</f>
        <v/>
      </c>
      <c r="AW987">
        <f>IFERROR(INDEX(PP_Grid[#Data],$DD987,47),0)</f>
        <v/>
      </c>
      <c r="AX987">
        <f>IFERROR(INDEX(PP_Grid[#Data],$DD987,48),0)</f>
        <v/>
      </c>
      <c r="AY987">
        <f>IFERROR(INDEX(PP_Grid[#Data],$DD987,49),0)</f>
        <v/>
      </c>
      <c r="AZ987">
        <f>IFERROR(INDEX(PP_Grid[#Data],$DD987,50),0)</f>
        <v/>
      </c>
      <c r="BA987">
        <f>IFERROR(INDEX(PP_Grid[#Data],$DD987,51),0)</f>
        <v/>
      </c>
      <c r="BB987">
        <f>IFERROR(INDEX(PP_Grid[#Data],$DD987,52),0)</f>
        <v/>
      </c>
      <c r="BC987">
        <f>IFERROR(INDEX(PP_Grid[#Data],$DD987,53),0)</f>
        <v/>
      </c>
      <c r="BD987">
        <f>IFERROR(INDEX(PP_Grid[#Data],$DD987,54),0)</f>
        <v/>
      </c>
      <c r="BE987">
        <f>IFERROR(INDEX(PP_Grid[#Data],$DD987,55),0)</f>
        <v/>
      </c>
      <c r="BF987">
        <f>IFERROR(INDEX(PP_Grid[#Data],$DD987,56),0)</f>
        <v/>
      </c>
      <c r="BG987">
        <f>IFERROR(INDEX(PP_Grid[#Data],$DD987,57),0)</f>
        <v/>
      </c>
      <c r="BH987">
        <f>IFERROR(INDEX(PP_Grid[#Data],$DD987,58),0)</f>
        <v/>
      </c>
      <c r="BI987">
        <f>IFERROR(INDEX(PP_Grid[#Data],$DD987,59),0)</f>
        <v/>
      </c>
      <c r="BJ987">
        <f>IFERROR(INDEX(PP_Grid[#Data],$DD987,60),0)</f>
        <v/>
      </c>
      <c r="BK987">
        <f>IFERROR(INDEX(PP_Grid[#Data],$DD987,61),0)</f>
        <v/>
      </c>
      <c r="BL987">
        <f>IFERROR(INDEX(PP_Grid[#Data],$DD987,62),0)</f>
        <v/>
      </c>
      <c r="BM987">
        <f>IFERROR(INDEX(PP_Grid[#Data],$DD987,63),0)</f>
        <v/>
      </c>
      <c r="BN987">
        <f>IFERROR(INDEX(PP_Grid[#Data],$DD987,64),0)</f>
        <v/>
      </c>
      <c r="BO987">
        <f>IFERROR(INDEX(PP_Grid[#Data],$DD987,65),0)</f>
        <v/>
      </c>
      <c r="BP987">
        <f>IFERROR(INDEX(PP_Grid[#Data],$DD987,66),0)</f>
        <v/>
      </c>
      <c r="BQ987">
        <f>IFERROR(INDEX(PP_Grid[#Data],$DD987,67),0)</f>
        <v/>
      </c>
      <c r="BR987">
        <f>IFERROR(INDEX(PP_Grid[#Data],$DD987,68),0)</f>
        <v/>
      </c>
      <c r="BS987">
        <f>IFERROR(INDEX(PP_Grid[#Data],$DD987,69),0)</f>
        <v/>
      </c>
      <c r="BT987">
        <f>IFERROR(INDEX(PP_Grid[#Data],$DD987,70),0)</f>
        <v/>
      </c>
      <c r="BU987">
        <f>IFERROR(INDEX(PP_Grid[#Data],$DD987,71),0)</f>
        <v/>
      </c>
      <c r="BV987">
        <f>IFERROR(INDEX(PP_Grid[#Data],$DD987,72),0)</f>
        <v/>
      </c>
      <c r="BW987">
        <f>IFERROR(INDEX(PP_Grid[#Data],$DD987,73),0)</f>
        <v/>
      </c>
      <c r="BX987">
        <f>IFERROR(INDEX(PP_Grid[#Data],$DD987,74),0)</f>
        <v/>
      </c>
      <c r="BY987">
        <f>IFERROR(INDEX(PP_Grid[#Data],$DD987,75),0)</f>
        <v/>
      </c>
      <c r="BZ987">
        <f>IFERROR(INDEX(PP_Grid[#Data],$DD987,76),0)</f>
        <v/>
      </c>
      <c r="CA987">
        <f>IFERROR(INDEX(PP_Grid[#Data],$DD987,77),0)</f>
        <v/>
      </c>
      <c r="CB987">
        <f>IFERROR(INDEX(PP_Grid[#Data],$DD987,78),0)</f>
        <v/>
      </c>
      <c r="CC987">
        <f>IFERROR(INDEX(PP_Grid[#Data],$DD987,79),0)</f>
        <v/>
      </c>
      <c r="CD987">
        <f>IFERROR(INDEX(PP_Grid[#Data],$DD987,80),0)</f>
        <v/>
      </c>
      <c r="CE987">
        <f>IFERROR(INDEX(PP_Grid[#Data],$DD987,81),0)</f>
        <v/>
      </c>
      <c r="CF987">
        <f>IFERROR(INDEX(PP_Grid[#Data],$DD987,82),0)</f>
        <v/>
      </c>
      <c r="CG987">
        <f>IFERROR(INDEX(PP_Grid[#Data],$DD987,83),0)</f>
        <v/>
      </c>
      <c r="CH987">
        <f>IFERROR(INDEX(PP_Grid[#Data],$DD987,84),0)</f>
        <v/>
      </c>
      <c r="CI987">
        <f>IFERROR(INDEX(PP_Grid[#Data],$DD987,85),0)</f>
        <v/>
      </c>
      <c r="CJ987">
        <f>IFERROR(INDEX(PP_Grid[#Data],$DD987,86),0)</f>
        <v/>
      </c>
      <c r="CK987">
        <f>IFERROR(INDEX(PP_Grid[#Data],$DD987,87),0)</f>
        <v/>
      </c>
      <c r="CL987">
        <f>IFERROR(INDEX(PP_Grid[#Data],$DD987,88),0)</f>
        <v/>
      </c>
      <c r="CM987">
        <f>IFERROR(INDEX(PP_Grid[#Data],$DD987,89),0)</f>
        <v/>
      </c>
      <c r="CN987">
        <f>IFERROR(INDEX(PP_Grid[#Data],$DD987,90),0)</f>
        <v/>
      </c>
      <c r="CO987">
        <f>IFERROR(INDEX(PP_Grid[#Data],$DD987,91),0)</f>
        <v/>
      </c>
      <c r="CP987">
        <f>IFERROR(INDEX(PP_Grid[#Data],$DD987,92),0)</f>
        <v/>
      </c>
      <c r="CQ987">
        <f>IFERROR(INDEX(PP_Grid[#Data],$DD987,93),0)</f>
        <v/>
      </c>
      <c r="CR987">
        <f>IFERROR(INDEX(PP_Grid[#Data],$DD987,94),0)</f>
        <v/>
      </c>
      <c r="CS987">
        <f>IFERROR(INDEX(PP_Grid[#Data],$DD987,95),0)</f>
        <v/>
      </c>
      <c r="CT987">
        <f>IFERROR(INDEX(PP_Grid[#Data],$DD987,96),0)</f>
        <v/>
      </c>
      <c r="CU987">
        <f>IFERROR(INDEX(PP_Grid[#Data],$DD987,97),0)</f>
        <v/>
      </c>
      <c r="CV987">
        <f>IFERROR(INDEX(PP_Grid[#Data],$DD987,98),0)</f>
        <v/>
      </c>
      <c r="CW987">
        <f>IFERROR(INDEX(PP_Grid[#Data],$DD987,99),0)</f>
        <v/>
      </c>
      <c r="CX987">
        <f>IFERROR(INDEX(PP_Grid[#Data],$DD987,100),0)</f>
        <v/>
      </c>
      <c r="CY987">
        <f>IFERROR(INDEX(PP_Grid[#Data],$DD987,101),0)</f>
        <v/>
      </c>
      <c r="CZ987">
        <f>IFERROR(INDEX(PP_Grid[#Data],$DD987,102),0)</f>
        <v/>
      </c>
      <c r="DA987">
        <f>IFERROR(INDEX(PP_Grid[#Data],$DD987,103),0)</f>
        <v/>
      </c>
      <c r="DB987">
        <f>IFERROR(INDEX(PP_Grid[#Data],$DD987,104),0)</f>
        <v/>
      </c>
      <c r="DC987">
        <f>IFERROR(INDEX(PP_Grid[#Data],$DD987,105),0)</f>
        <v/>
      </c>
      <c r="DD987" s="7">
        <f>IFERROR(MATCH($B987,PP_Grid[Intermediate],0),99999)</f>
        <v/>
      </c>
    </row>
    <row r="988">
      <c r="B988" t="inlineStr">
        <is>
          <t>使用量(kg)</t>
        </is>
      </c>
      <c r="C988">
        <f>SUMIFS(M_BOM[RM_Qty_Per_Batch],M_BOM[Intermediate],$B987,M_BOM[Part Name],$A982)</f>
        <v/>
      </c>
      <c r="D988">
        <f>$C988*D987</f>
        <v/>
      </c>
      <c r="E988">
        <f>$C988*E987</f>
        <v/>
      </c>
      <c r="F988">
        <f>$C988*F987</f>
        <v/>
      </c>
      <c r="G988">
        <f>$C988*G987</f>
        <v/>
      </c>
      <c r="H988">
        <f>$C988*H987</f>
        <v/>
      </c>
      <c r="I988">
        <f>$C988*I987</f>
        <v/>
      </c>
      <c r="J988">
        <f>$C988*J987</f>
        <v/>
      </c>
      <c r="K988">
        <f>$C988*K987</f>
        <v/>
      </c>
      <c r="L988">
        <f>$C988*L987</f>
        <v/>
      </c>
      <c r="M988">
        <f>$C988*M987</f>
        <v/>
      </c>
      <c r="N988">
        <f>$C988*N987</f>
        <v/>
      </c>
      <c r="O988">
        <f>$C988*O987</f>
        <v/>
      </c>
      <c r="P988">
        <f>$C988*P987</f>
        <v/>
      </c>
      <c r="Q988">
        <f>$C988*Q987</f>
        <v/>
      </c>
      <c r="R988">
        <f>$C988*R987</f>
        <v/>
      </c>
      <c r="S988">
        <f>$C988*S987</f>
        <v/>
      </c>
      <c r="T988">
        <f>$C988*T987</f>
        <v/>
      </c>
      <c r="U988">
        <f>$C988*U987</f>
        <v/>
      </c>
      <c r="V988">
        <f>$C988*V987</f>
        <v/>
      </c>
      <c r="W988">
        <f>$C988*W987</f>
        <v/>
      </c>
      <c r="X988">
        <f>$C988*X987</f>
        <v/>
      </c>
      <c r="Y988">
        <f>$C988*Y987</f>
        <v/>
      </c>
      <c r="Z988">
        <f>$C988*Z987</f>
        <v/>
      </c>
      <c r="AA988">
        <f>$C988*AA987</f>
        <v/>
      </c>
      <c r="AB988">
        <f>$C988*AB987</f>
        <v/>
      </c>
      <c r="AC988">
        <f>$C988*AC987</f>
        <v/>
      </c>
      <c r="AD988">
        <f>$C988*AD987</f>
        <v/>
      </c>
      <c r="AE988">
        <f>$C988*AE987</f>
        <v/>
      </c>
      <c r="AF988">
        <f>$C988*AF987</f>
        <v/>
      </c>
      <c r="AG988">
        <f>$C988*AG987</f>
        <v/>
      </c>
      <c r="AH988">
        <f>$C988*AH987</f>
        <v/>
      </c>
      <c r="AI988">
        <f>$C988*AI987</f>
        <v/>
      </c>
      <c r="AJ988">
        <f>$C988*AJ987</f>
        <v/>
      </c>
      <c r="AK988">
        <f>$C988*AK987</f>
        <v/>
      </c>
      <c r="AL988">
        <f>$C988*AL987</f>
        <v/>
      </c>
      <c r="AM988">
        <f>$C988*AM987</f>
        <v/>
      </c>
      <c r="AN988">
        <f>$C988*AN987</f>
        <v/>
      </c>
      <c r="AO988">
        <f>$C988*AO987</f>
        <v/>
      </c>
      <c r="AP988">
        <f>$C988*AP987</f>
        <v/>
      </c>
      <c r="AQ988">
        <f>$C988*AQ987</f>
        <v/>
      </c>
      <c r="AR988">
        <f>$C988*AR987</f>
        <v/>
      </c>
      <c r="AS988">
        <f>$C988*AS987</f>
        <v/>
      </c>
      <c r="AT988">
        <f>$C988*AT987</f>
        <v/>
      </c>
      <c r="AU988">
        <f>$C988*AU987</f>
        <v/>
      </c>
      <c r="AV988">
        <f>$C988*AV987</f>
        <v/>
      </c>
      <c r="AW988">
        <f>$C988*AW987</f>
        <v/>
      </c>
      <c r="AX988">
        <f>$C988*AX987</f>
        <v/>
      </c>
      <c r="AY988">
        <f>$C988*AY987</f>
        <v/>
      </c>
      <c r="AZ988">
        <f>$C988*AZ987</f>
        <v/>
      </c>
      <c r="BA988">
        <f>$C988*BA987</f>
        <v/>
      </c>
      <c r="BB988">
        <f>$C988*BB987</f>
        <v/>
      </c>
      <c r="BC988">
        <f>$C988*BC987</f>
        <v/>
      </c>
      <c r="BD988">
        <f>$C988*BD987</f>
        <v/>
      </c>
      <c r="BE988">
        <f>$C988*BE987</f>
        <v/>
      </c>
      <c r="BF988">
        <f>$C988*BF987</f>
        <v/>
      </c>
      <c r="BG988">
        <f>$C988*BG987</f>
        <v/>
      </c>
      <c r="BH988">
        <f>$C988*BH987</f>
        <v/>
      </c>
      <c r="BI988">
        <f>$C988*BI987</f>
        <v/>
      </c>
      <c r="BJ988">
        <f>$C988*BJ987</f>
        <v/>
      </c>
      <c r="BK988">
        <f>$C988*BK987</f>
        <v/>
      </c>
      <c r="BL988">
        <f>$C988*BL987</f>
        <v/>
      </c>
      <c r="BM988">
        <f>$C988*BM987</f>
        <v/>
      </c>
      <c r="BN988">
        <f>$C988*BN987</f>
        <v/>
      </c>
      <c r="BO988">
        <f>$C988*BO987</f>
        <v/>
      </c>
      <c r="BP988">
        <f>$C988*BP987</f>
        <v/>
      </c>
      <c r="BQ988">
        <f>$C988*BQ987</f>
        <v/>
      </c>
      <c r="BR988">
        <f>$C988*BR987</f>
        <v/>
      </c>
      <c r="BS988">
        <f>$C988*BS987</f>
        <v/>
      </c>
      <c r="BT988">
        <f>$C988*BT987</f>
        <v/>
      </c>
      <c r="BU988">
        <f>$C988*BU987</f>
        <v/>
      </c>
      <c r="BV988">
        <f>$C988*BV987</f>
        <v/>
      </c>
      <c r="BW988">
        <f>$C988*BW987</f>
        <v/>
      </c>
      <c r="BX988">
        <f>$C988*BX987</f>
        <v/>
      </c>
      <c r="BY988">
        <f>$C988*BY987</f>
        <v/>
      </c>
      <c r="BZ988">
        <f>$C988*BZ987</f>
        <v/>
      </c>
      <c r="CA988">
        <f>$C988*CA987</f>
        <v/>
      </c>
      <c r="CB988">
        <f>$C988*CB987</f>
        <v/>
      </c>
      <c r="CC988">
        <f>$C988*CC987</f>
        <v/>
      </c>
      <c r="CD988">
        <f>$C988*CD987</f>
        <v/>
      </c>
      <c r="CE988">
        <f>$C988*CE987</f>
        <v/>
      </c>
      <c r="CF988">
        <f>$C988*CF987</f>
        <v/>
      </c>
      <c r="CG988">
        <f>$C988*CG987</f>
        <v/>
      </c>
      <c r="CH988">
        <f>$C988*CH987</f>
        <v/>
      </c>
      <c r="CI988">
        <f>$C988*CI987</f>
        <v/>
      </c>
      <c r="CJ988">
        <f>$C988*CJ987</f>
        <v/>
      </c>
      <c r="CK988">
        <f>$C988*CK987</f>
        <v/>
      </c>
      <c r="CL988">
        <f>$C988*CL987</f>
        <v/>
      </c>
      <c r="CM988">
        <f>$C988*CM987</f>
        <v/>
      </c>
      <c r="CN988">
        <f>$C988*CN987</f>
        <v/>
      </c>
      <c r="CO988">
        <f>$C988*CO987</f>
        <v/>
      </c>
      <c r="CP988">
        <f>$C988*CP987</f>
        <v/>
      </c>
      <c r="CQ988">
        <f>$C988*CQ987</f>
        <v/>
      </c>
      <c r="CR988">
        <f>$C988*CR987</f>
        <v/>
      </c>
      <c r="CS988">
        <f>$C988*CS987</f>
        <v/>
      </c>
      <c r="CT988">
        <f>$C988*CT987</f>
        <v/>
      </c>
      <c r="CU988">
        <f>$C988*CU987</f>
        <v/>
      </c>
      <c r="CV988">
        <f>$C988*CV987</f>
        <v/>
      </c>
      <c r="CW988">
        <f>$C988*CW987</f>
        <v/>
      </c>
      <c r="CX988">
        <f>$C988*CX987</f>
        <v/>
      </c>
      <c r="CY988">
        <f>$C988*CY987</f>
        <v/>
      </c>
      <c r="CZ988">
        <f>$C988*CZ987</f>
        <v/>
      </c>
      <c r="DA988">
        <f>$C988*DA987</f>
        <v/>
      </c>
      <c r="DB988">
        <f>$C988*DB987</f>
        <v/>
      </c>
      <c r="DC988">
        <f>$C988*DC987</f>
        <v/>
      </c>
    </row>
    <row r="989">
      <c r="B989" s="4" t="inlineStr">
        <is>
          <t>合計使用量(kg)/週</t>
        </is>
      </c>
      <c r="D989">
        <f>'Grid_Requirement'!B31</f>
        <v/>
      </c>
      <c r="E989">
        <f>'Grid_Requirement'!C31</f>
        <v/>
      </c>
      <c r="F989">
        <f>'Grid_Requirement'!D31</f>
        <v/>
      </c>
      <c r="G989">
        <f>'Grid_Requirement'!E31</f>
        <v/>
      </c>
      <c r="H989">
        <f>'Grid_Requirement'!F31</f>
        <v/>
      </c>
      <c r="I989">
        <f>'Grid_Requirement'!G31</f>
        <v/>
      </c>
      <c r="J989">
        <f>'Grid_Requirement'!H31</f>
        <v/>
      </c>
      <c r="K989">
        <f>'Grid_Requirement'!I31</f>
        <v/>
      </c>
      <c r="L989">
        <f>'Grid_Requirement'!J31</f>
        <v/>
      </c>
      <c r="M989">
        <f>'Grid_Requirement'!K31</f>
        <v/>
      </c>
      <c r="N989">
        <f>'Grid_Requirement'!L31</f>
        <v/>
      </c>
      <c r="O989">
        <f>'Grid_Requirement'!M31</f>
        <v/>
      </c>
      <c r="P989">
        <f>'Grid_Requirement'!N31</f>
        <v/>
      </c>
      <c r="Q989">
        <f>'Grid_Requirement'!O31</f>
        <v/>
      </c>
      <c r="R989">
        <f>'Grid_Requirement'!P31</f>
        <v/>
      </c>
      <c r="S989">
        <f>'Grid_Requirement'!Q31</f>
        <v/>
      </c>
      <c r="T989">
        <f>'Grid_Requirement'!R31</f>
        <v/>
      </c>
      <c r="U989">
        <f>'Grid_Requirement'!S31</f>
        <v/>
      </c>
      <c r="V989">
        <f>'Grid_Requirement'!T31</f>
        <v/>
      </c>
      <c r="W989">
        <f>'Grid_Requirement'!U31</f>
        <v/>
      </c>
      <c r="X989">
        <f>'Grid_Requirement'!V31</f>
        <v/>
      </c>
      <c r="Y989">
        <f>'Grid_Requirement'!W31</f>
        <v/>
      </c>
      <c r="Z989">
        <f>'Grid_Requirement'!X31</f>
        <v/>
      </c>
      <c r="AA989">
        <f>'Grid_Requirement'!Y31</f>
        <v/>
      </c>
      <c r="AB989">
        <f>'Grid_Requirement'!Z31</f>
        <v/>
      </c>
      <c r="AC989">
        <f>'Grid_Requirement'!AA31</f>
        <v/>
      </c>
      <c r="AD989">
        <f>'Grid_Requirement'!AB31</f>
        <v/>
      </c>
      <c r="AE989">
        <f>'Grid_Requirement'!AC31</f>
        <v/>
      </c>
      <c r="AF989">
        <f>'Grid_Requirement'!AD31</f>
        <v/>
      </c>
      <c r="AG989">
        <f>'Grid_Requirement'!AE31</f>
        <v/>
      </c>
      <c r="AH989">
        <f>'Grid_Requirement'!AF31</f>
        <v/>
      </c>
      <c r="AI989">
        <f>'Grid_Requirement'!AG31</f>
        <v/>
      </c>
      <c r="AJ989">
        <f>'Grid_Requirement'!AH31</f>
        <v/>
      </c>
      <c r="AK989">
        <f>'Grid_Requirement'!AI31</f>
        <v/>
      </c>
      <c r="AL989">
        <f>'Grid_Requirement'!AJ31</f>
        <v/>
      </c>
      <c r="AM989">
        <f>'Grid_Requirement'!AK31</f>
        <v/>
      </c>
      <c r="AN989">
        <f>'Grid_Requirement'!AL31</f>
        <v/>
      </c>
      <c r="AO989">
        <f>'Grid_Requirement'!AM31</f>
        <v/>
      </c>
      <c r="AP989">
        <f>'Grid_Requirement'!AN31</f>
        <v/>
      </c>
      <c r="AQ989">
        <f>'Grid_Requirement'!AO31</f>
        <v/>
      </c>
      <c r="AR989">
        <f>'Grid_Requirement'!AP31</f>
        <v/>
      </c>
      <c r="AS989">
        <f>'Grid_Requirement'!AQ31</f>
        <v/>
      </c>
      <c r="AT989">
        <f>'Grid_Requirement'!AR31</f>
        <v/>
      </c>
      <c r="AU989">
        <f>'Grid_Requirement'!AS31</f>
        <v/>
      </c>
      <c r="AV989">
        <f>'Grid_Requirement'!AT31</f>
        <v/>
      </c>
      <c r="AW989">
        <f>'Grid_Requirement'!AU31</f>
        <v/>
      </c>
      <c r="AX989">
        <f>'Grid_Requirement'!AV31</f>
        <v/>
      </c>
      <c r="AY989">
        <f>'Grid_Requirement'!AW31</f>
        <v/>
      </c>
      <c r="AZ989">
        <f>'Grid_Requirement'!AX31</f>
        <v/>
      </c>
      <c r="BA989">
        <f>'Grid_Requirement'!AY31</f>
        <v/>
      </c>
      <c r="BB989">
        <f>'Grid_Requirement'!AZ31</f>
        <v/>
      </c>
      <c r="BC989">
        <f>'Grid_Requirement'!BA31</f>
        <v/>
      </c>
      <c r="BD989">
        <f>'Grid_Requirement'!BB31</f>
        <v/>
      </c>
      <c r="BE989">
        <f>'Grid_Requirement'!BC31</f>
        <v/>
      </c>
      <c r="BF989">
        <f>'Grid_Requirement'!BD31</f>
        <v/>
      </c>
      <c r="BG989">
        <f>'Grid_Requirement'!BE31</f>
        <v/>
      </c>
      <c r="BH989">
        <f>'Grid_Requirement'!BF31</f>
        <v/>
      </c>
      <c r="BI989">
        <f>'Grid_Requirement'!BG31</f>
        <v/>
      </c>
      <c r="BJ989">
        <f>'Grid_Requirement'!BH31</f>
        <v/>
      </c>
      <c r="BK989">
        <f>'Grid_Requirement'!BI31</f>
        <v/>
      </c>
      <c r="BL989">
        <f>'Grid_Requirement'!BJ31</f>
        <v/>
      </c>
      <c r="BM989">
        <f>'Grid_Requirement'!BK31</f>
        <v/>
      </c>
      <c r="BN989">
        <f>'Grid_Requirement'!BL31</f>
        <v/>
      </c>
      <c r="BO989">
        <f>'Grid_Requirement'!BM31</f>
        <v/>
      </c>
      <c r="BP989">
        <f>'Grid_Requirement'!BN31</f>
        <v/>
      </c>
      <c r="BQ989">
        <f>'Grid_Requirement'!BO31</f>
        <v/>
      </c>
      <c r="BR989">
        <f>'Grid_Requirement'!BP31</f>
        <v/>
      </c>
      <c r="BS989">
        <f>'Grid_Requirement'!BQ31</f>
        <v/>
      </c>
      <c r="BT989">
        <f>'Grid_Requirement'!BR31</f>
        <v/>
      </c>
      <c r="BU989">
        <f>'Grid_Requirement'!BS31</f>
        <v/>
      </c>
      <c r="BV989">
        <f>'Grid_Requirement'!BT31</f>
        <v/>
      </c>
      <c r="BW989">
        <f>'Grid_Requirement'!BU31</f>
        <v/>
      </c>
      <c r="BX989">
        <f>'Grid_Requirement'!BV31</f>
        <v/>
      </c>
      <c r="BY989">
        <f>'Grid_Requirement'!BW31</f>
        <v/>
      </c>
      <c r="BZ989">
        <f>'Grid_Requirement'!BX31</f>
        <v/>
      </c>
      <c r="CA989">
        <f>'Grid_Requirement'!BY31</f>
        <v/>
      </c>
      <c r="CB989">
        <f>'Grid_Requirement'!BZ31</f>
        <v/>
      </c>
      <c r="CC989">
        <f>'Grid_Requirement'!CA31</f>
        <v/>
      </c>
      <c r="CD989">
        <f>'Grid_Requirement'!CB31</f>
        <v/>
      </c>
      <c r="CE989">
        <f>'Grid_Requirement'!CC31</f>
        <v/>
      </c>
      <c r="CF989">
        <f>'Grid_Requirement'!CD31</f>
        <v/>
      </c>
      <c r="CG989">
        <f>'Grid_Requirement'!CE31</f>
        <v/>
      </c>
      <c r="CH989">
        <f>'Grid_Requirement'!CF31</f>
        <v/>
      </c>
      <c r="CI989">
        <f>'Grid_Requirement'!CG31</f>
        <v/>
      </c>
      <c r="CJ989">
        <f>'Grid_Requirement'!CH31</f>
        <v/>
      </c>
      <c r="CK989">
        <f>'Grid_Requirement'!CI31</f>
        <v/>
      </c>
      <c r="CL989">
        <f>'Grid_Requirement'!CJ31</f>
        <v/>
      </c>
      <c r="CM989">
        <f>'Grid_Requirement'!CK31</f>
        <v/>
      </c>
      <c r="CN989">
        <f>'Grid_Requirement'!CL31</f>
        <v/>
      </c>
      <c r="CO989">
        <f>'Grid_Requirement'!CM31</f>
        <v/>
      </c>
      <c r="CP989">
        <f>'Grid_Requirement'!CN31</f>
        <v/>
      </c>
      <c r="CQ989">
        <f>'Grid_Requirement'!CO31</f>
        <v/>
      </c>
      <c r="CR989">
        <f>'Grid_Requirement'!CP31</f>
        <v/>
      </c>
      <c r="CS989">
        <f>'Grid_Requirement'!CQ31</f>
        <v/>
      </c>
      <c r="CT989">
        <f>'Grid_Requirement'!CR31</f>
        <v/>
      </c>
      <c r="CU989">
        <f>'Grid_Requirement'!CS31</f>
        <v/>
      </c>
      <c r="CV989">
        <f>'Grid_Requirement'!CT31</f>
        <v/>
      </c>
      <c r="CW989">
        <f>'Grid_Requirement'!CU31</f>
        <v/>
      </c>
      <c r="CX989">
        <f>'Grid_Requirement'!CV31</f>
        <v/>
      </c>
      <c r="CY989">
        <f>'Grid_Requirement'!CW31</f>
        <v/>
      </c>
      <c r="CZ989">
        <f>'Grid_Requirement'!CX31</f>
        <v/>
      </c>
      <c r="DA989">
        <f>'Grid_Requirement'!CY31</f>
        <v/>
      </c>
      <c r="DB989">
        <f>'Grid_Requirement'!CZ31</f>
        <v/>
      </c>
      <c r="DC989">
        <f>'Grid_Requirement'!DA31</f>
        <v/>
      </c>
    </row>
    <row r="990">
      <c r="B990" t="inlineStr">
        <is>
          <t>TTAF在庫(実績,kg)</t>
        </is>
      </c>
      <c r="D990">
        <f>'T_TTAFStock'!B35</f>
        <v/>
      </c>
      <c r="E990">
        <f>'T_TTAFStock'!C35</f>
        <v/>
      </c>
      <c r="F990">
        <f>'T_TTAFStock'!D35</f>
        <v/>
      </c>
      <c r="G990">
        <f>'T_TTAFStock'!E35</f>
        <v/>
      </c>
      <c r="H990">
        <f>'T_TTAFStock'!F35</f>
        <v/>
      </c>
      <c r="I990">
        <f>'T_TTAFStock'!G35</f>
        <v/>
      </c>
      <c r="J990">
        <f>'T_TTAFStock'!H35</f>
        <v/>
      </c>
      <c r="K990">
        <f>'T_TTAFStock'!I35</f>
        <v/>
      </c>
      <c r="L990">
        <f>'T_TTAFStock'!J35</f>
        <v/>
      </c>
      <c r="M990">
        <f>'T_TTAFStock'!K35</f>
        <v/>
      </c>
      <c r="N990">
        <f>'T_TTAFStock'!L35</f>
        <v/>
      </c>
      <c r="O990">
        <f>'T_TTAFStock'!M35</f>
        <v/>
      </c>
      <c r="P990">
        <f>'T_TTAFStock'!N35</f>
        <v/>
      </c>
      <c r="Q990">
        <f>'T_TTAFStock'!O35</f>
        <v/>
      </c>
      <c r="R990">
        <f>'T_TTAFStock'!P35</f>
        <v/>
      </c>
      <c r="S990">
        <f>'T_TTAFStock'!Q35</f>
        <v/>
      </c>
      <c r="T990">
        <f>'T_TTAFStock'!R35</f>
        <v/>
      </c>
      <c r="U990">
        <f>'T_TTAFStock'!S35</f>
        <v/>
      </c>
      <c r="V990">
        <f>'T_TTAFStock'!T35</f>
        <v/>
      </c>
      <c r="W990">
        <f>'T_TTAFStock'!U35</f>
        <v/>
      </c>
      <c r="X990">
        <f>'T_TTAFStock'!V35</f>
        <v/>
      </c>
      <c r="Y990">
        <f>'T_TTAFStock'!W35</f>
        <v/>
      </c>
      <c r="Z990">
        <f>'T_TTAFStock'!X35</f>
        <v/>
      </c>
      <c r="AA990">
        <f>'T_TTAFStock'!Y35</f>
        <v/>
      </c>
      <c r="AB990">
        <f>'T_TTAFStock'!Z35</f>
        <v/>
      </c>
      <c r="AC990">
        <f>'T_TTAFStock'!AA35</f>
        <v/>
      </c>
      <c r="AD990">
        <f>'T_TTAFStock'!AB35</f>
        <v/>
      </c>
      <c r="AE990">
        <f>'T_TTAFStock'!AC35</f>
        <v/>
      </c>
      <c r="AF990">
        <f>'T_TTAFStock'!AD35</f>
        <v/>
      </c>
      <c r="AG990">
        <f>'T_TTAFStock'!AE35</f>
        <v/>
      </c>
      <c r="AH990">
        <f>'T_TTAFStock'!AF35</f>
        <v/>
      </c>
      <c r="AI990">
        <f>'T_TTAFStock'!AG35</f>
        <v/>
      </c>
      <c r="AJ990">
        <f>'T_TTAFStock'!AH35</f>
        <v/>
      </c>
      <c r="AK990">
        <f>'T_TTAFStock'!AI35</f>
        <v/>
      </c>
      <c r="AL990">
        <f>'T_TTAFStock'!AJ35</f>
        <v/>
      </c>
      <c r="AM990">
        <f>'T_TTAFStock'!AK35</f>
        <v/>
      </c>
      <c r="AN990">
        <f>'T_TTAFStock'!AL35</f>
        <v/>
      </c>
      <c r="AO990">
        <f>'T_TTAFStock'!AM35</f>
        <v/>
      </c>
      <c r="AP990">
        <f>'T_TTAFStock'!AN35</f>
        <v/>
      </c>
      <c r="AQ990">
        <f>'T_TTAFStock'!AO35</f>
        <v/>
      </c>
      <c r="AR990">
        <f>'T_TTAFStock'!AP35</f>
        <v/>
      </c>
      <c r="AS990">
        <f>'T_TTAFStock'!AQ35</f>
        <v/>
      </c>
      <c r="AT990">
        <f>'T_TTAFStock'!AR35</f>
        <v/>
      </c>
      <c r="AU990">
        <f>'T_TTAFStock'!AS35</f>
        <v/>
      </c>
      <c r="AV990">
        <f>'T_TTAFStock'!AT35</f>
        <v/>
      </c>
      <c r="AW990">
        <f>'T_TTAFStock'!AU35</f>
        <v/>
      </c>
      <c r="AX990">
        <f>'T_TTAFStock'!AV35</f>
        <v/>
      </c>
      <c r="AY990">
        <f>'T_TTAFStock'!AW35</f>
        <v/>
      </c>
      <c r="AZ990">
        <f>'T_TTAFStock'!AX35</f>
        <v/>
      </c>
      <c r="BA990">
        <f>'T_TTAFStock'!AY35</f>
        <v/>
      </c>
      <c r="BB990">
        <f>'T_TTAFStock'!AZ35</f>
        <v/>
      </c>
      <c r="BC990">
        <f>'T_TTAFStock'!BA35</f>
        <v/>
      </c>
      <c r="BD990">
        <f>'T_TTAFStock'!BB35</f>
        <v/>
      </c>
      <c r="BE990">
        <f>'T_TTAFStock'!BC35</f>
        <v/>
      </c>
      <c r="BF990">
        <f>'T_TTAFStock'!BD35</f>
        <v/>
      </c>
      <c r="BG990">
        <f>'T_TTAFStock'!BE35</f>
        <v/>
      </c>
      <c r="BH990">
        <f>'T_TTAFStock'!BF35</f>
        <v/>
      </c>
      <c r="BI990">
        <f>'T_TTAFStock'!BG35</f>
        <v/>
      </c>
      <c r="BJ990">
        <f>'T_TTAFStock'!BH35</f>
        <v/>
      </c>
      <c r="BK990">
        <f>'T_TTAFStock'!BI35</f>
        <v/>
      </c>
      <c r="BL990">
        <f>'T_TTAFStock'!BJ35</f>
        <v/>
      </c>
      <c r="BM990">
        <f>'T_TTAFStock'!BK35</f>
        <v/>
      </c>
      <c r="BN990">
        <f>'T_TTAFStock'!BL35</f>
        <v/>
      </c>
      <c r="BO990">
        <f>'T_TTAFStock'!BM35</f>
        <v/>
      </c>
      <c r="BP990">
        <f>'T_TTAFStock'!BN35</f>
        <v/>
      </c>
      <c r="BQ990">
        <f>'T_TTAFStock'!BO35</f>
        <v/>
      </c>
      <c r="BR990">
        <f>'T_TTAFStock'!BP35</f>
        <v/>
      </c>
      <c r="BS990">
        <f>'T_TTAFStock'!BQ35</f>
        <v/>
      </c>
      <c r="BT990">
        <f>'T_TTAFStock'!BR35</f>
        <v/>
      </c>
      <c r="BU990">
        <f>'T_TTAFStock'!BS35</f>
        <v/>
      </c>
      <c r="BV990">
        <f>'T_TTAFStock'!BT35</f>
        <v/>
      </c>
      <c r="BW990">
        <f>'T_TTAFStock'!BU35</f>
        <v/>
      </c>
      <c r="BX990">
        <f>'T_TTAFStock'!BV35</f>
        <v/>
      </c>
      <c r="BY990">
        <f>'T_TTAFStock'!BW35</f>
        <v/>
      </c>
      <c r="BZ990">
        <f>'T_TTAFStock'!BX35</f>
        <v/>
      </c>
      <c r="CA990">
        <f>'T_TTAFStock'!BY35</f>
        <v/>
      </c>
      <c r="CB990">
        <f>'T_TTAFStock'!BZ35</f>
        <v/>
      </c>
      <c r="CC990">
        <f>'T_TTAFStock'!CA35</f>
        <v/>
      </c>
      <c r="CD990">
        <f>'T_TTAFStock'!CB35</f>
        <v/>
      </c>
      <c r="CE990">
        <f>'T_TTAFStock'!CC35</f>
        <v/>
      </c>
      <c r="CF990">
        <f>'T_TTAFStock'!CD35</f>
        <v/>
      </c>
      <c r="CG990">
        <f>'T_TTAFStock'!CE35</f>
        <v/>
      </c>
      <c r="CH990">
        <f>'T_TTAFStock'!CF35</f>
        <v/>
      </c>
      <c r="CI990">
        <f>'T_TTAFStock'!CG35</f>
        <v/>
      </c>
      <c r="CJ990">
        <f>'T_TTAFStock'!CH35</f>
        <v/>
      </c>
      <c r="CK990">
        <f>'T_TTAFStock'!CI35</f>
        <v/>
      </c>
      <c r="CL990">
        <f>'T_TTAFStock'!CJ35</f>
        <v/>
      </c>
      <c r="CM990">
        <f>'T_TTAFStock'!CK35</f>
        <v/>
      </c>
      <c r="CN990">
        <f>'T_TTAFStock'!CL35</f>
        <v/>
      </c>
      <c r="CO990">
        <f>'T_TTAFStock'!CM35</f>
        <v/>
      </c>
      <c r="CP990">
        <f>'T_TTAFStock'!CN35</f>
        <v/>
      </c>
      <c r="CQ990">
        <f>'T_TTAFStock'!CO35</f>
        <v/>
      </c>
      <c r="CR990">
        <f>'T_TTAFStock'!CP35</f>
        <v/>
      </c>
      <c r="CS990">
        <f>'T_TTAFStock'!CQ35</f>
        <v/>
      </c>
      <c r="CT990">
        <f>'T_TTAFStock'!CR35</f>
        <v/>
      </c>
      <c r="CU990">
        <f>'T_TTAFStock'!CS35</f>
        <v/>
      </c>
      <c r="CV990">
        <f>'T_TTAFStock'!CT35</f>
        <v/>
      </c>
      <c r="CW990">
        <f>'T_TTAFStock'!CU35</f>
        <v/>
      </c>
      <c r="CX990">
        <f>'T_TTAFStock'!CV35</f>
        <v/>
      </c>
      <c r="CY990">
        <f>'T_TTAFStock'!CW35</f>
        <v/>
      </c>
      <c r="CZ990">
        <f>'T_TTAFStock'!CX35</f>
        <v/>
      </c>
      <c r="DA990">
        <f>'T_TTAFStock'!CY35</f>
        <v/>
      </c>
      <c r="DB990">
        <f>'T_TTAFStock'!CZ35</f>
        <v/>
      </c>
      <c r="DC990">
        <f>'T_TTAFStock'!DA35</f>
        <v/>
      </c>
    </row>
    <row r="991">
      <c r="B991" t="inlineStr">
        <is>
          <t>自社在庫(実績,kg)</t>
        </is>
      </c>
      <c r="D991">
        <f>'T_SelfStock'!B35</f>
        <v/>
      </c>
      <c r="E991">
        <f>'T_SelfStock'!C35</f>
        <v/>
      </c>
      <c r="F991">
        <f>'T_SelfStock'!D35</f>
        <v/>
      </c>
      <c r="G991">
        <f>'T_SelfStock'!E35</f>
        <v/>
      </c>
      <c r="H991">
        <f>'T_SelfStock'!F35</f>
        <v/>
      </c>
      <c r="I991">
        <f>'T_SelfStock'!G35</f>
        <v/>
      </c>
      <c r="J991">
        <f>'T_SelfStock'!H35</f>
        <v/>
      </c>
      <c r="K991">
        <f>'T_SelfStock'!I35</f>
        <v/>
      </c>
      <c r="L991">
        <f>'T_SelfStock'!J35</f>
        <v/>
      </c>
      <c r="M991">
        <f>'T_SelfStock'!K35</f>
        <v/>
      </c>
      <c r="N991">
        <f>'T_SelfStock'!L35</f>
        <v/>
      </c>
      <c r="O991">
        <f>'T_SelfStock'!M35</f>
        <v/>
      </c>
      <c r="P991">
        <f>'T_SelfStock'!N35</f>
        <v/>
      </c>
      <c r="Q991">
        <f>'T_SelfStock'!O35</f>
        <v/>
      </c>
      <c r="R991">
        <f>'T_SelfStock'!P35</f>
        <v/>
      </c>
      <c r="S991">
        <f>'T_SelfStock'!Q35</f>
        <v/>
      </c>
      <c r="T991">
        <f>'T_SelfStock'!R35</f>
        <v/>
      </c>
      <c r="U991">
        <f>'T_SelfStock'!S35</f>
        <v/>
      </c>
      <c r="V991">
        <f>'T_SelfStock'!T35</f>
        <v/>
      </c>
      <c r="W991">
        <f>'T_SelfStock'!U35</f>
        <v/>
      </c>
      <c r="X991">
        <f>'T_SelfStock'!V35</f>
        <v/>
      </c>
      <c r="Y991">
        <f>'T_SelfStock'!W35</f>
        <v/>
      </c>
      <c r="Z991">
        <f>'T_SelfStock'!X35</f>
        <v/>
      </c>
      <c r="AA991">
        <f>'T_SelfStock'!Y35</f>
        <v/>
      </c>
      <c r="AB991">
        <f>'T_SelfStock'!Z35</f>
        <v/>
      </c>
      <c r="AC991">
        <f>'T_SelfStock'!AA35</f>
        <v/>
      </c>
      <c r="AD991">
        <f>'T_SelfStock'!AB35</f>
        <v/>
      </c>
      <c r="AE991">
        <f>'T_SelfStock'!AC35</f>
        <v/>
      </c>
      <c r="AF991">
        <f>'T_SelfStock'!AD35</f>
        <v/>
      </c>
      <c r="AG991">
        <f>'T_SelfStock'!AE35</f>
        <v/>
      </c>
      <c r="AH991">
        <f>'T_SelfStock'!AF35</f>
        <v/>
      </c>
      <c r="AI991">
        <f>'T_SelfStock'!AG35</f>
        <v/>
      </c>
      <c r="AJ991">
        <f>'T_SelfStock'!AH35</f>
        <v/>
      </c>
      <c r="AK991">
        <f>'T_SelfStock'!AI35</f>
        <v/>
      </c>
      <c r="AL991">
        <f>'T_SelfStock'!AJ35</f>
        <v/>
      </c>
      <c r="AM991">
        <f>'T_SelfStock'!AK35</f>
        <v/>
      </c>
      <c r="AN991">
        <f>'T_SelfStock'!AL35</f>
        <v/>
      </c>
      <c r="AO991">
        <f>'T_SelfStock'!AM35</f>
        <v/>
      </c>
      <c r="AP991">
        <f>'T_SelfStock'!AN35</f>
        <v/>
      </c>
      <c r="AQ991">
        <f>'T_SelfStock'!AO35</f>
        <v/>
      </c>
      <c r="AR991">
        <f>'T_SelfStock'!AP35</f>
        <v/>
      </c>
      <c r="AS991">
        <f>'T_SelfStock'!AQ35</f>
        <v/>
      </c>
      <c r="AT991">
        <f>'T_SelfStock'!AR35</f>
        <v/>
      </c>
      <c r="AU991">
        <f>'T_SelfStock'!AS35</f>
        <v/>
      </c>
      <c r="AV991">
        <f>'T_SelfStock'!AT35</f>
        <v/>
      </c>
      <c r="AW991">
        <f>'T_SelfStock'!AU35</f>
        <v/>
      </c>
      <c r="AX991">
        <f>'T_SelfStock'!AV35</f>
        <v/>
      </c>
      <c r="AY991">
        <f>'T_SelfStock'!AW35</f>
        <v/>
      </c>
      <c r="AZ991">
        <f>'T_SelfStock'!AX35</f>
        <v/>
      </c>
      <c r="BA991">
        <f>'T_SelfStock'!AY35</f>
        <v/>
      </c>
      <c r="BB991">
        <f>'T_SelfStock'!AZ35</f>
        <v/>
      </c>
      <c r="BC991">
        <f>'T_SelfStock'!BA35</f>
        <v/>
      </c>
      <c r="BD991">
        <f>'T_SelfStock'!BB35</f>
        <v/>
      </c>
      <c r="BE991">
        <f>'T_SelfStock'!BC35</f>
        <v/>
      </c>
      <c r="BF991">
        <f>'T_SelfStock'!BD35</f>
        <v/>
      </c>
      <c r="BG991">
        <f>'T_SelfStock'!BE35</f>
        <v/>
      </c>
      <c r="BH991">
        <f>'T_SelfStock'!BF35</f>
        <v/>
      </c>
      <c r="BI991">
        <f>'T_SelfStock'!BG35</f>
        <v/>
      </c>
      <c r="BJ991">
        <f>'T_SelfStock'!BH35</f>
        <v/>
      </c>
      <c r="BK991">
        <f>'T_SelfStock'!BI35</f>
        <v/>
      </c>
      <c r="BL991">
        <f>'T_SelfStock'!BJ35</f>
        <v/>
      </c>
      <c r="BM991">
        <f>'T_SelfStock'!BK35</f>
        <v/>
      </c>
      <c r="BN991">
        <f>'T_SelfStock'!BL35</f>
        <v/>
      </c>
      <c r="BO991">
        <f>'T_SelfStock'!BM35</f>
        <v/>
      </c>
      <c r="BP991">
        <f>'T_SelfStock'!BN35</f>
        <v/>
      </c>
      <c r="BQ991">
        <f>'T_SelfStock'!BO35</f>
        <v/>
      </c>
      <c r="BR991">
        <f>'T_SelfStock'!BP35</f>
        <v/>
      </c>
      <c r="BS991">
        <f>'T_SelfStock'!BQ35</f>
        <v/>
      </c>
      <c r="BT991">
        <f>'T_SelfStock'!BR35</f>
        <v/>
      </c>
      <c r="BU991">
        <f>'T_SelfStock'!BS35</f>
        <v/>
      </c>
      <c r="BV991">
        <f>'T_SelfStock'!BT35</f>
        <v/>
      </c>
      <c r="BW991">
        <f>'T_SelfStock'!BU35</f>
        <v/>
      </c>
      <c r="BX991">
        <f>'T_SelfStock'!BV35</f>
        <v/>
      </c>
      <c r="BY991">
        <f>'T_SelfStock'!BW35</f>
        <v/>
      </c>
      <c r="BZ991">
        <f>'T_SelfStock'!BX35</f>
        <v/>
      </c>
      <c r="CA991">
        <f>'T_SelfStock'!BY35</f>
        <v/>
      </c>
      <c r="CB991">
        <f>'T_SelfStock'!BZ35</f>
        <v/>
      </c>
      <c r="CC991">
        <f>'T_SelfStock'!CA35</f>
        <v/>
      </c>
      <c r="CD991">
        <f>'T_SelfStock'!CB35</f>
        <v/>
      </c>
      <c r="CE991">
        <f>'T_SelfStock'!CC35</f>
        <v/>
      </c>
      <c r="CF991">
        <f>'T_SelfStock'!CD35</f>
        <v/>
      </c>
      <c r="CG991">
        <f>'T_SelfStock'!CE35</f>
        <v/>
      </c>
      <c r="CH991">
        <f>'T_SelfStock'!CF35</f>
        <v/>
      </c>
      <c r="CI991">
        <f>'T_SelfStock'!CG35</f>
        <v/>
      </c>
      <c r="CJ991">
        <f>'T_SelfStock'!CH35</f>
        <v/>
      </c>
      <c r="CK991">
        <f>'T_SelfStock'!CI35</f>
        <v/>
      </c>
      <c r="CL991">
        <f>'T_SelfStock'!CJ35</f>
        <v/>
      </c>
      <c r="CM991">
        <f>'T_SelfStock'!CK35</f>
        <v/>
      </c>
      <c r="CN991">
        <f>'T_SelfStock'!CL35</f>
        <v/>
      </c>
      <c r="CO991">
        <f>'T_SelfStock'!CM35</f>
        <v/>
      </c>
      <c r="CP991">
        <f>'T_SelfStock'!CN35</f>
        <v/>
      </c>
      <c r="CQ991">
        <f>'T_SelfStock'!CO35</f>
        <v/>
      </c>
      <c r="CR991">
        <f>'T_SelfStock'!CP35</f>
        <v/>
      </c>
      <c r="CS991">
        <f>'T_SelfStock'!CQ35</f>
        <v/>
      </c>
      <c r="CT991">
        <f>'T_SelfStock'!CR35</f>
        <v/>
      </c>
      <c r="CU991">
        <f>'T_SelfStock'!CS35</f>
        <v/>
      </c>
      <c r="CV991">
        <f>'T_SelfStock'!CT35</f>
        <v/>
      </c>
      <c r="CW991">
        <f>'T_SelfStock'!CU35</f>
        <v/>
      </c>
      <c r="CX991">
        <f>'T_SelfStock'!CV35</f>
        <v/>
      </c>
      <c r="CY991">
        <f>'T_SelfStock'!CW35</f>
        <v/>
      </c>
      <c r="CZ991">
        <f>'T_SelfStock'!CX35</f>
        <v/>
      </c>
      <c r="DA991">
        <f>'T_SelfStock'!CY35</f>
        <v/>
      </c>
      <c r="DB991">
        <f>'T_SelfStock'!CZ35</f>
        <v/>
      </c>
      <c r="DC991">
        <f>'T_SelfStock'!DA35</f>
        <v/>
      </c>
    </row>
    <row r="992">
      <c r="B992" s="4" t="inlineStr">
        <is>
          <t>合計在庫(週末時点,kg)</t>
        </is>
      </c>
      <c r="D992">
        <f>'Grid_Stock'!B31</f>
        <v/>
      </c>
      <c r="E992">
        <f>'Grid_Stock'!C31</f>
        <v/>
      </c>
      <c r="F992">
        <f>'Grid_Stock'!D31</f>
        <v/>
      </c>
      <c r="G992">
        <f>'Grid_Stock'!E31</f>
        <v/>
      </c>
      <c r="H992">
        <f>'Grid_Stock'!F31</f>
        <v/>
      </c>
      <c r="I992">
        <f>'Grid_Stock'!G31</f>
        <v/>
      </c>
      <c r="J992">
        <f>'Grid_Stock'!H31</f>
        <v/>
      </c>
      <c r="K992">
        <f>'Grid_Stock'!I31</f>
        <v/>
      </c>
      <c r="L992">
        <f>'Grid_Stock'!J31</f>
        <v/>
      </c>
      <c r="M992">
        <f>'Grid_Stock'!K31</f>
        <v/>
      </c>
      <c r="N992">
        <f>'Grid_Stock'!L31</f>
        <v/>
      </c>
      <c r="O992">
        <f>'Grid_Stock'!M31</f>
        <v/>
      </c>
      <c r="P992">
        <f>'Grid_Stock'!N31</f>
        <v/>
      </c>
      <c r="Q992">
        <f>'Grid_Stock'!O31</f>
        <v/>
      </c>
      <c r="R992">
        <f>'Grid_Stock'!P31</f>
        <v/>
      </c>
      <c r="S992">
        <f>'Grid_Stock'!Q31</f>
        <v/>
      </c>
      <c r="T992">
        <f>'Grid_Stock'!R31</f>
        <v/>
      </c>
      <c r="U992">
        <f>'Grid_Stock'!S31</f>
        <v/>
      </c>
      <c r="V992">
        <f>'Grid_Stock'!T31</f>
        <v/>
      </c>
      <c r="W992">
        <f>'Grid_Stock'!U31</f>
        <v/>
      </c>
      <c r="X992">
        <f>'Grid_Stock'!V31</f>
        <v/>
      </c>
      <c r="Y992">
        <f>'Grid_Stock'!W31</f>
        <v/>
      </c>
      <c r="Z992">
        <f>'Grid_Stock'!X31</f>
        <v/>
      </c>
      <c r="AA992">
        <f>'Grid_Stock'!Y31</f>
        <v/>
      </c>
      <c r="AB992">
        <f>'Grid_Stock'!Z31</f>
        <v/>
      </c>
      <c r="AC992">
        <f>'Grid_Stock'!AA31</f>
        <v/>
      </c>
      <c r="AD992">
        <f>'Grid_Stock'!AB31</f>
        <v/>
      </c>
      <c r="AE992">
        <f>'Grid_Stock'!AC31</f>
        <v/>
      </c>
      <c r="AF992">
        <f>'Grid_Stock'!AD31</f>
        <v/>
      </c>
      <c r="AG992">
        <f>'Grid_Stock'!AE31</f>
        <v/>
      </c>
      <c r="AH992">
        <f>'Grid_Stock'!AF31</f>
        <v/>
      </c>
      <c r="AI992">
        <f>'Grid_Stock'!AG31</f>
        <v/>
      </c>
      <c r="AJ992">
        <f>'Grid_Stock'!AH31</f>
        <v/>
      </c>
      <c r="AK992">
        <f>'Grid_Stock'!AI31</f>
        <v/>
      </c>
      <c r="AL992">
        <f>'Grid_Stock'!AJ31</f>
        <v/>
      </c>
      <c r="AM992">
        <f>'Grid_Stock'!AK31</f>
        <v/>
      </c>
      <c r="AN992">
        <f>'Grid_Stock'!AL31</f>
        <v/>
      </c>
      <c r="AO992">
        <f>'Grid_Stock'!AM31</f>
        <v/>
      </c>
      <c r="AP992">
        <f>'Grid_Stock'!AN31</f>
        <v/>
      </c>
      <c r="AQ992">
        <f>'Grid_Stock'!AO31</f>
        <v/>
      </c>
      <c r="AR992">
        <f>'Grid_Stock'!AP31</f>
        <v/>
      </c>
      <c r="AS992">
        <f>'Grid_Stock'!AQ31</f>
        <v/>
      </c>
      <c r="AT992">
        <f>'Grid_Stock'!AR31</f>
        <v/>
      </c>
      <c r="AU992">
        <f>'Grid_Stock'!AS31</f>
        <v/>
      </c>
      <c r="AV992">
        <f>'Grid_Stock'!AT31</f>
        <v/>
      </c>
      <c r="AW992">
        <f>'Grid_Stock'!AU31</f>
        <v/>
      </c>
      <c r="AX992">
        <f>'Grid_Stock'!AV31</f>
        <v/>
      </c>
      <c r="AY992">
        <f>'Grid_Stock'!AW31</f>
        <v/>
      </c>
      <c r="AZ992">
        <f>'Grid_Stock'!AX31</f>
        <v/>
      </c>
      <c r="BA992">
        <f>'Grid_Stock'!AY31</f>
        <v/>
      </c>
      <c r="BB992">
        <f>'Grid_Stock'!AZ31</f>
        <v/>
      </c>
      <c r="BC992">
        <f>'Grid_Stock'!BA31</f>
        <v/>
      </c>
      <c r="BD992">
        <f>'Grid_Stock'!BB31</f>
        <v/>
      </c>
      <c r="BE992">
        <f>'Grid_Stock'!BC31</f>
        <v/>
      </c>
      <c r="BF992">
        <f>'Grid_Stock'!BD31</f>
        <v/>
      </c>
      <c r="BG992">
        <f>'Grid_Stock'!BE31</f>
        <v/>
      </c>
      <c r="BH992">
        <f>'Grid_Stock'!BF31</f>
        <v/>
      </c>
      <c r="BI992">
        <f>'Grid_Stock'!BG31</f>
        <v/>
      </c>
      <c r="BJ992">
        <f>'Grid_Stock'!BH31</f>
        <v/>
      </c>
      <c r="BK992">
        <f>'Grid_Stock'!BI31</f>
        <v/>
      </c>
      <c r="BL992">
        <f>'Grid_Stock'!BJ31</f>
        <v/>
      </c>
      <c r="BM992">
        <f>'Grid_Stock'!BK31</f>
        <v/>
      </c>
      <c r="BN992">
        <f>'Grid_Stock'!BL31</f>
        <v/>
      </c>
      <c r="BO992">
        <f>'Grid_Stock'!BM31</f>
        <v/>
      </c>
      <c r="BP992">
        <f>'Grid_Stock'!BN31</f>
        <v/>
      </c>
      <c r="BQ992">
        <f>'Grid_Stock'!BO31</f>
        <v/>
      </c>
      <c r="BR992">
        <f>'Grid_Stock'!BP31</f>
        <v/>
      </c>
      <c r="BS992">
        <f>'Grid_Stock'!BQ31</f>
        <v/>
      </c>
      <c r="BT992">
        <f>'Grid_Stock'!BR31</f>
        <v/>
      </c>
      <c r="BU992">
        <f>'Grid_Stock'!BS31</f>
        <v/>
      </c>
      <c r="BV992">
        <f>'Grid_Stock'!BT31</f>
        <v/>
      </c>
      <c r="BW992">
        <f>'Grid_Stock'!BU31</f>
        <v/>
      </c>
      <c r="BX992">
        <f>'Grid_Stock'!BV31</f>
        <v/>
      </c>
      <c r="BY992">
        <f>'Grid_Stock'!BW31</f>
        <v/>
      </c>
      <c r="BZ992">
        <f>'Grid_Stock'!BX31</f>
        <v/>
      </c>
      <c r="CA992">
        <f>'Grid_Stock'!BY31</f>
        <v/>
      </c>
      <c r="CB992">
        <f>'Grid_Stock'!BZ31</f>
        <v/>
      </c>
      <c r="CC992">
        <f>'Grid_Stock'!CA31</f>
        <v/>
      </c>
      <c r="CD992">
        <f>'Grid_Stock'!CB31</f>
        <v/>
      </c>
      <c r="CE992">
        <f>'Grid_Stock'!CC31</f>
        <v/>
      </c>
      <c r="CF992">
        <f>'Grid_Stock'!CD31</f>
        <v/>
      </c>
      <c r="CG992">
        <f>'Grid_Stock'!CE31</f>
        <v/>
      </c>
      <c r="CH992">
        <f>'Grid_Stock'!CF31</f>
        <v/>
      </c>
      <c r="CI992">
        <f>'Grid_Stock'!CG31</f>
        <v/>
      </c>
      <c r="CJ992">
        <f>'Grid_Stock'!CH31</f>
        <v/>
      </c>
      <c r="CK992">
        <f>'Grid_Stock'!CI31</f>
        <v/>
      </c>
      <c r="CL992">
        <f>'Grid_Stock'!CJ31</f>
        <v/>
      </c>
      <c r="CM992">
        <f>'Grid_Stock'!CK31</f>
        <v/>
      </c>
      <c r="CN992">
        <f>'Grid_Stock'!CL31</f>
        <v/>
      </c>
      <c r="CO992">
        <f>'Grid_Stock'!CM31</f>
        <v/>
      </c>
      <c r="CP992">
        <f>'Grid_Stock'!CN31</f>
        <v/>
      </c>
      <c r="CQ992">
        <f>'Grid_Stock'!CO31</f>
        <v/>
      </c>
      <c r="CR992">
        <f>'Grid_Stock'!CP31</f>
        <v/>
      </c>
      <c r="CS992">
        <f>'Grid_Stock'!CQ31</f>
        <v/>
      </c>
      <c r="CT992">
        <f>'Grid_Stock'!CR31</f>
        <v/>
      </c>
      <c r="CU992">
        <f>'Grid_Stock'!CS31</f>
        <v/>
      </c>
      <c r="CV992">
        <f>'Grid_Stock'!CT31</f>
        <v/>
      </c>
      <c r="CW992">
        <f>'Grid_Stock'!CU31</f>
        <v/>
      </c>
      <c r="CX992">
        <f>'Grid_Stock'!CV31</f>
        <v/>
      </c>
      <c r="CY992">
        <f>'Grid_Stock'!CW31</f>
        <v/>
      </c>
      <c r="CZ992">
        <f>'Grid_Stock'!CX31</f>
        <v/>
      </c>
      <c r="DA992">
        <f>'Grid_Stock'!CY31</f>
        <v/>
      </c>
      <c r="DB992">
        <f>'Grid_Stock'!CZ31</f>
        <v/>
      </c>
      <c r="DC992">
        <f>'Grid_Stock'!DA31</f>
        <v/>
      </c>
    </row>
    <row r="993">
      <c r="B993" s="16" t="inlineStr">
        <is>
          <t>（発注の目安はDashboardの基準在庫[下限/上限]と色分けを参照）</t>
        </is>
      </c>
    </row>
    <row r="995">
      <c r="A995" s="14" t="inlineStr">
        <is>
          <t>CHEM-1770</t>
        </is>
      </c>
      <c r="B995" s="14" t="inlineStr">
        <is>
          <t>RCT-39</t>
        </is>
      </c>
      <c r="C995" s="15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  <c r="S995" s="14" t="n"/>
      <c r="T995" s="14" t="n"/>
      <c r="U995" s="14" t="n"/>
      <c r="V995" s="14" t="n"/>
      <c r="W995" s="14" t="n"/>
      <c r="X995" s="14" t="n"/>
      <c r="Y995" s="14" t="n"/>
      <c r="Z995" s="14" t="n"/>
      <c r="AA995" s="14" t="n"/>
      <c r="AB995" s="14" t="n"/>
      <c r="AC995" s="14" t="n"/>
      <c r="AD995" s="14" t="n"/>
      <c r="AE995" s="14" t="n"/>
      <c r="AF995" s="14" t="n"/>
      <c r="AG995" s="14" t="n"/>
      <c r="AH995" s="14" t="n"/>
      <c r="AI995" s="14" t="n"/>
      <c r="AJ995" s="14" t="n"/>
      <c r="AK995" s="14" t="n"/>
      <c r="AL995" s="14" t="n"/>
      <c r="AM995" s="14" t="n"/>
      <c r="AN995" s="14" t="n"/>
      <c r="AO995" s="14" t="n"/>
      <c r="AP995" s="14" t="n"/>
      <c r="AQ995" s="14" t="n"/>
      <c r="AR995" s="14" t="n"/>
      <c r="AS995" s="14" t="n"/>
      <c r="AT995" s="14" t="n"/>
      <c r="AU995" s="14" t="n"/>
      <c r="AV995" s="14" t="n"/>
      <c r="AW995" s="14" t="n"/>
      <c r="AX995" s="14" t="n"/>
      <c r="AY995" s="14" t="n"/>
      <c r="AZ995" s="14" t="n"/>
      <c r="BA995" s="14" t="n"/>
      <c r="BB995" s="14" t="n"/>
      <c r="BC995" s="14" t="n"/>
      <c r="BD995" s="14" t="n"/>
      <c r="BE995" s="14" t="n"/>
      <c r="BF995" s="14" t="n"/>
      <c r="BG995" s="14" t="n"/>
      <c r="BH995" s="14" t="n"/>
      <c r="BI995" s="14" t="n"/>
      <c r="BJ995" s="14" t="n"/>
      <c r="BK995" s="14" t="n"/>
      <c r="BL995" s="14" t="n"/>
      <c r="BM995" s="14" t="n"/>
      <c r="BN995" s="14" t="n"/>
      <c r="BO995" s="14" t="n"/>
      <c r="BP995" s="14" t="n"/>
      <c r="BQ995" s="14" t="n"/>
      <c r="BR995" s="14" t="n"/>
      <c r="BS995" s="14" t="n"/>
      <c r="BT995" s="14" t="n"/>
      <c r="BU995" s="14" t="n"/>
      <c r="BV995" s="14" t="n"/>
      <c r="BW995" s="14" t="n"/>
      <c r="BX995" s="14" t="n"/>
      <c r="BY995" s="14" t="n"/>
      <c r="BZ995" s="14" t="n"/>
      <c r="CA995" s="14" t="n"/>
      <c r="CB995" s="14" t="n"/>
      <c r="CC995" s="14" t="n"/>
      <c r="CD995" s="14" t="n"/>
      <c r="CE995" s="14" t="n"/>
      <c r="CF995" s="14" t="n"/>
      <c r="CG995" s="14" t="n"/>
      <c r="CH995" s="14" t="n"/>
      <c r="CI995" s="14" t="n"/>
      <c r="CJ995" s="14" t="n"/>
      <c r="CK995" s="14" t="n"/>
      <c r="CL995" s="14" t="n"/>
      <c r="CM995" s="14" t="n"/>
      <c r="CN995" s="14" t="n"/>
      <c r="CO995" s="14" t="n"/>
      <c r="CP995" s="14" t="n"/>
      <c r="CQ995" s="14" t="n"/>
      <c r="CR995" s="14" t="n"/>
      <c r="CS995" s="14" t="n"/>
      <c r="CT995" s="14" t="n"/>
      <c r="CU995" s="14" t="n"/>
      <c r="CV995" s="14" t="n"/>
      <c r="CW995" s="14" t="n"/>
      <c r="CX995" s="14" t="n"/>
      <c r="CY995" s="14" t="n"/>
      <c r="CZ995" s="14" t="n"/>
      <c r="DA995" s="14" t="n"/>
      <c r="DB995" s="14" t="n"/>
      <c r="DC995" s="14" t="n"/>
    </row>
    <row r="996">
      <c r="B996" t="inlineStr">
        <is>
          <t>TPP-635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7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Name],$A995)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No of times used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7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Name],$A995)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s="4" t="inlineStr">
        <is>
          <t>合計使用量(kg)/週</t>
        </is>
      </c>
      <c r="D1000">
        <f>'Grid_Requirement'!B36</f>
        <v/>
      </c>
      <c r="E1000">
        <f>'Grid_Requirement'!C36</f>
        <v/>
      </c>
      <c r="F1000">
        <f>'Grid_Requirement'!D36</f>
        <v/>
      </c>
      <c r="G1000">
        <f>'Grid_Requirement'!E36</f>
        <v/>
      </c>
      <c r="H1000">
        <f>'Grid_Requirement'!F36</f>
        <v/>
      </c>
      <c r="I1000">
        <f>'Grid_Requirement'!G36</f>
        <v/>
      </c>
      <c r="J1000">
        <f>'Grid_Requirement'!H36</f>
        <v/>
      </c>
      <c r="K1000">
        <f>'Grid_Requirement'!I36</f>
        <v/>
      </c>
      <c r="L1000">
        <f>'Grid_Requirement'!J36</f>
        <v/>
      </c>
      <c r="M1000">
        <f>'Grid_Requirement'!K36</f>
        <v/>
      </c>
      <c r="N1000">
        <f>'Grid_Requirement'!L36</f>
        <v/>
      </c>
      <c r="O1000">
        <f>'Grid_Requirement'!M36</f>
        <v/>
      </c>
      <c r="P1000">
        <f>'Grid_Requirement'!N36</f>
        <v/>
      </c>
      <c r="Q1000">
        <f>'Grid_Requirement'!O36</f>
        <v/>
      </c>
      <c r="R1000">
        <f>'Grid_Requirement'!P36</f>
        <v/>
      </c>
      <c r="S1000">
        <f>'Grid_Requirement'!Q36</f>
        <v/>
      </c>
      <c r="T1000">
        <f>'Grid_Requirement'!R36</f>
        <v/>
      </c>
      <c r="U1000">
        <f>'Grid_Requirement'!S36</f>
        <v/>
      </c>
      <c r="V1000">
        <f>'Grid_Requirement'!T36</f>
        <v/>
      </c>
      <c r="W1000">
        <f>'Grid_Requirement'!U36</f>
        <v/>
      </c>
      <c r="X1000">
        <f>'Grid_Requirement'!V36</f>
        <v/>
      </c>
      <c r="Y1000">
        <f>'Grid_Requirement'!W36</f>
        <v/>
      </c>
      <c r="Z1000">
        <f>'Grid_Requirement'!X36</f>
        <v/>
      </c>
      <c r="AA1000">
        <f>'Grid_Requirement'!Y36</f>
        <v/>
      </c>
      <c r="AB1000">
        <f>'Grid_Requirement'!Z36</f>
        <v/>
      </c>
      <c r="AC1000">
        <f>'Grid_Requirement'!AA36</f>
        <v/>
      </c>
      <c r="AD1000">
        <f>'Grid_Requirement'!AB36</f>
        <v/>
      </c>
      <c r="AE1000">
        <f>'Grid_Requirement'!AC36</f>
        <v/>
      </c>
      <c r="AF1000">
        <f>'Grid_Requirement'!AD36</f>
        <v/>
      </c>
      <c r="AG1000">
        <f>'Grid_Requirement'!AE36</f>
        <v/>
      </c>
      <c r="AH1000">
        <f>'Grid_Requirement'!AF36</f>
        <v/>
      </c>
      <c r="AI1000">
        <f>'Grid_Requirement'!AG36</f>
        <v/>
      </c>
      <c r="AJ1000">
        <f>'Grid_Requirement'!AH36</f>
        <v/>
      </c>
      <c r="AK1000">
        <f>'Grid_Requirement'!AI36</f>
        <v/>
      </c>
      <c r="AL1000">
        <f>'Grid_Requirement'!AJ36</f>
        <v/>
      </c>
      <c r="AM1000">
        <f>'Grid_Requirement'!AK36</f>
        <v/>
      </c>
      <c r="AN1000">
        <f>'Grid_Requirement'!AL36</f>
        <v/>
      </c>
      <c r="AO1000">
        <f>'Grid_Requirement'!AM36</f>
        <v/>
      </c>
      <c r="AP1000">
        <f>'Grid_Requirement'!AN36</f>
        <v/>
      </c>
      <c r="AQ1000">
        <f>'Grid_Requirement'!AO36</f>
        <v/>
      </c>
      <c r="AR1000">
        <f>'Grid_Requirement'!AP36</f>
        <v/>
      </c>
      <c r="AS1000">
        <f>'Grid_Requirement'!AQ36</f>
        <v/>
      </c>
      <c r="AT1000">
        <f>'Grid_Requirement'!AR36</f>
        <v/>
      </c>
      <c r="AU1000">
        <f>'Grid_Requirement'!AS36</f>
        <v/>
      </c>
      <c r="AV1000">
        <f>'Grid_Requirement'!AT36</f>
        <v/>
      </c>
      <c r="AW1000">
        <f>'Grid_Requirement'!AU36</f>
        <v/>
      </c>
      <c r="AX1000">
        <f>'Grid_Requirement'!AV36</f>
        <v/>
      </c>
      <c r="AY1000">
        <f>'Grid_Requirement'!AW36</f>
        <v/>
      </c>
      <c r="AZ1000">
        <f>'Grid_Requirement'!AX36</f>
        <v/>
      </c>
      <c r="BA1000">
        <f>'Grid_Requirement'!AY36</f>
        <v/>
      </c>
      <c r="BB1000">
        <f>'Grid_Requirement'!AZ36</f>
        <v/>
      </c>
      <c r="BC1000">
        <f>'Grid_Requirement'!BA36</f>
        <v/>
      </c>
      <c r="BD1000">
        <f>'Grid_Requirement'!BB36</f>
        <v/>
      </c>
      <c r="BE1000">
        <f>'Grid_Requirement'!BC36</f>
        <v/>
      </c>
      <c r="BF1000">
        <f>'Grid_Requirement'!BD36</f>
        <v/>
      </c>
      <c r="BG1000">
        <f>'Grid_Requirement'!BE36</f>
        <v/>
      </c>
      <c r="BH1000">
        <f>'Grid_Requirement'!BF36</f>
        <v/>
      </c>
      <c r="BI1000">
        <f>'Grid_Requirement'!BG36</f>
        <v/>
      </c>
      <c r="BJ1000">
        <f>'Grid_Requirement'!BH36</f>
        <v/>
      </c>
      <c r="BK1000">
        <f>'Grid_Requirement'!BI36</f>
        <v/>
      </c>
      <c r="BL1000">
        <f>'Grid_Requirement'!BJ36</f>
        <v/>
      </c>
      <c r="BM1000">
        <f>'Grid_Requirement'!BK36</f>
        <v/>
      </c>
      <c r="BN1000">
        <f>'Grid_Requirement'!BL36</f>
        <v/>
      </c>
      <c r="BO1000">
        <f>'Grid_Requirement'!BM36</f>
        <v/>
      </c>
      <c r="BP1000">
        <f>'Grid_Requirement'!BN36</f>
        <v/>
      </c>
      <c r="BQ1000">
        <f>'Grid_Requirement'!BO36</f>
        <v/>
      </c>
      <c r="BR1000">
        <f>'Grid_Requirement'!BP36</f>
        <v/>
      </c>
      <c r="BS1000">
        <f>'Grid_Requirement'!BQ36</f>
        <v/>
      </c>
      <c r="BT1000">
        <f>'Grid_Requirement'!BR36</f>
        <v/>
      </c>
      <c r="BU1000">
        <f>'Grid_Requirement'!BS36</f>
        <v/>
      </c>
      <c r="BV1000">
        <f>'Grid_Requirement'!BT36</f>
        <v/>
      </c>
      <c r="BW1000">
        <f>'Grid_Requirement'!BU36</f>
        <v/>
      </c>
      <c r="BX1000">
        <f>'Grid_Requirement'!BV36</f>
        <v/>
      </c>
      <c r="BY1000">
        <f>'Grid_Requirement'!BW36</f>
        <v/>
      </c>
      <c r="BZ1000">
        <f>'Grid_Requirement'!BX36</f>
        <v/>
      </c>
      <c r="CA1000">
        <f>'Grid_Requirement'!BY36</f>
        <v/>
      </c>
      <c r="CB1000">
        <f>'Grid_Requirement'!BZ36</f>
        <v/>
      </c>
      <c r="CC1000">
        <f>'Grid_Requirement'!CA36</f>
        <v/>
      </c>
      <c r="CD1000">
        <f>'Grid_Requirement'!CB36</f>
        <v/>
      </c>
      <c r="CE1000">
        <f>'Grid_Requirement'!CC36</f>
        <v/>
      </c>
      <c r="CF1000">
        <f>'Grid_Requirement'!CD36</f>
        <v/>
      </c>
      <c r="CG1000">
        <f>'Grid_Requirement'!CE36</f>
        <v/>
      </c>
      <c r="CH1000">
        <f>'Grid_Requirement'!CF36</f>
        <v/>
      </c>
      <c r="CI1000">
        <f>'Grid_Requirement'!CG36</f>
        <v/>
      </c>
      <c r="CJ1000">
        <f>'Grid_Requirement'!CH36</f>
        <v/>
      </c>
      <c r="CK1000">
        <f>'Grid_Requirement'!CI36</f>
        <v/>
      </c>
      <c r="CL1000">
        <f>'Grid_Requirement'!CJ36</f>
        <v/>
      </c>
      <c r="CM1000">
        <f>'Grid_Requirement'!CK36</f>
        <v/>
      </c>
      <c r="CN1000">
        <f>'Grid_Requirement'!CL36</f>
        <v/>
      </c>
      <c r="CO1000">
        <f>'Grid_Requirement'!CM36</f>
        <v/>
      </c>
      <c r="CP1000">
        <f>'Grid_Requirement'!CN36</f>
        <v/>
      </c>
      <c r="CQ1000">
        <f>'Grid_Requirement'!CO36</f>
        <v/>
      </c>
      <c r="CR1000">
        <f>'Grid_Requirement'!CP36</f>
        <v/>
      </c>
      <c r="CS1000">
        <f>'Grid_Requirement'!CQ36</f>
        <v/>
      </c>
      <c r="CT1000">
        <f>'Grid_Requirement'!CR36</f>
        <v/>
      </c>
      <c r="CU1000">
        <f>'Grid_Requirement'!CS36</f>
        <v/>
      </c>
      <c r="CV1000">
        <f>'Grid_Requirement'!CT36</f>
        <v/>
      </c>
      <c r="CW1000">
        <f>'Grid_Requirement'!CU36</f>
        <v/>
      </c>
      <c r="CX1000">
        <f>'Grid_Requirement'!CV36</f>
        <v/>
      </c>
      <c r="CY1000">
        <f>'Grid_Requirement'!CW36</f>
        <v/>
      </c>
      <c r="CZ1000">
        <f>'Grid_Requirement'!CX36</f>
        <v/>
      </c>
      <c r="DA1000">
        <f>'Grid_Requirement'!CY36</f>
        <v/>
      </c>
      <c r="DB1000">
        <f>'Grid_Requirement'!CZ36</f>
        <v/>
      </c>
      <c r="DC1000">
        <f>'Grid_Requirement'!DA36</f>
        <v/>
      </c>
    </row>
    <row r="1001">
      <c r="B1001" t="inlineStr">
        <is>
          <t>TTAF在庫(実績,kg)</t>
        </is>
      </c>
      <c r="D1001">
        <f>'T_TTAFStock'!B40</f>
        <v/>
      </c>
      <c r="E1001">
        <f>'T_TTAFStock'!C40</f>
        <v/>
      </c>
      <c r="F1001">
        <f>'T_TTAFStock'!D40</f>
        <v/>
      </c>
      <c r="G1001">
        <f>'T_TTAFStock'!E40</f>
        <v/>
      </c>
      <c r="H1001">
        <f>'T_TTAFStock'!F40</f>
        <v/>
      </c>
      <c r="I1001">
        <f>'T_TTAFStock'!G40</f>
        <v/>
      </c>
      <c r="J1001">
        <f>'T_TTAFStock'!H40</f>
        <v/>
      </c>
      <c r="K1001">
        <f>'T_TTAFStock'!I40</f>
        <v/>
      </c>
      <c r="L1001">
        <f>'T_TTAFStock'!J40</f>
        <v/>
      </c>
      <c r="M1001">
        <f>'T_TTAFStock'!K40</f>
        <v/>
      </c>
      <c r="N1001">
        <f>'T_TTAFStock'!L40</f>
        <v/>
      </c>
      <c r="O1001">
        <f>'T_TTAFStock'!M40</f>
        <v/>
      </c>
      <c r="P1001">
        <f>'T_TTAFStock'!N40</f>
        <v/>
      </c>
      <c r="Q1001">
        <f>'T_TTAFStock'!O40</f>
        <v/>
      </c>
      <c r="R1001">
        <f>'T_TTAFStock'!P40</f>
        <v/>
      </c>
      <c r="S1001">
        <f>'T_TTAFStock'!Q40</f>
        <v/>
      </c>
      <c r="T1001">
        <f>'T_TTAFStock'!R40</f>
        <v/>
      </c>
      <c r="U1001">
        <f>'T_TTAFStock'!S40</f>
        <v/>
      </c>
      <c r="V1001">
        <f>'T_TTAFStock'!T40</f>
        <v/>
      </c>
      <c r="W1001">
        <f>'T_TTAFStock'!U40</f>
        <v/>
      </c>
      <c r="X1001">
        <f>'T_TTAFStock'!V40</f>
        <v/>
      </c>
      <c r="Y1001">
        <f>'T_TTAFStock'!W40</f>
        <v/>
      </c>
      <c r="Z1001">
        <f>'T_TTAFStock'!X40</f>
        <v/>
      </c>
      <c r="AA1001">
        <f>'T_TTAFStock'!Y40</f>
        <v/>
      </c>
      <c r="AB1001">
        <f>'T_TTAFStock'!Z40</f>
        <v/>
      </c>
      <c r="AC1001">
        <f>'T_TTAFStock'!AA40</f>
        <v/>
      </c>
      <c r="AD1001">
        <f>'T_TTAFStock'!AB40</f>
        <v/>
      </c>
      <c r="AE1001">
        <f>'T_TTAFStock'!AC40</f>
        <v/>
      </c>
      <c r="AF1001">
        <f>'T_TTAFStock'!AD40</f>
        <v/>
      </c>
      <c r="AG1001">
        <f>'T_TTAFStock'!AE40</f>
        <v/>
      </c>
      <c r="AH1001">
        <f>'T_TTAFStock'!AF40</f>
        <v/>
      </c>
      <c r="AI1001">
        <f>'T_TTAFStock'!AG40</f>
        <v/>
      </c>
      <c r="AJ1001">
        <f>'T_TTAFStock'!AH40</f>
        <v/>
      </c>
      <c r="AK1001">
        <f>'T_TTAFStock'!AI40</f>
        <v/>
      </c>
      <c r="AL1001">
        <f>'T_TTAFStock'!AJ40</f>
        <v/>
      </c>
      <c r="AM1001">
        <f>'T_TTAFStock'!AK40</f>
        <v/>
      </c>
      <c r="AN1001">
        <f>'T_TTAFStock'!AL40</f>
        <v/>
      </c>
      <c r="AO1001">
        <f>'T_TTAFStock'!AM40</f>
        <v/>
      </c>
      <c r="AP1001">
        <f>'T_TTAFStock'!AN40</f>
        <v/>
      </c>
      <c r="AQ1001">
        <f>'T_TTAFStock'!AO40</f>
        <v/>
      </c>
      <c r="AR1001">
        <f>'T_TTAFStock'!AP40</f>
        <v/>
      </c>
      <c r="AS1001">
        <f>'T_TTAFStock'!AQ40</f>
        <v/>
      </c>
      <c r="AT1001">
        <f>'T_TTAFStock'!AR40</f>
        <v/>
      </c>
      <c r="AU1001">
        <f>'T_TTAFStock'!AS40</f>
        <v/>
      </c>
      <c r="AV1001">
        <f>'T_TTAFStock'!AT40</f>
        <v/>
      </c>
      <c r="AW1001">
        <f>'T_TTAFStock'!AU40</f>
        <v/>
      </c>
      <c r="AX1001">
        <f>'T_TTAFStock'!AV40</f>
        <v/>
      </c>
      <c r="AY1001">
        <f>'T_TTAFStock'!AW40</f>
        <v/>
      </c>
      <c r="AZ1001">
        <f>'T_TTAFStock'!AX40</f>
        <v/>
      </c>
      <c r="BA1001">
        <f>'T_TTAFStock'!AY40</f>
        <v/>
      </c>
      <c r="BB1001">
        <f>'T_TTAFStock'!AZ40</f>
        <v/>
      </c>
      <c r="BC1001">
        <f>'T_TTAFStock'!BA40</f>
        <v/>
      </c>
      <c r="BD1001">
        <f>'T_TTAFStock'!BB40</f>
        <v/>
      </c>
      <c r="BE1001">
        <f>'T_TTAFStock'!BC40</f>
        <v/>
      </c>
      <c r="BF1001">
        <f>'T_TTAFStock'!BD40</f>
        <v/>
      </c>
      <c r="BG1001">
        <f>'T_TTAFStock'!BE40</f>
        <v/>
      </c>
      <c r="BH1001">
        <f>'T_TTAFStock'!BF40</f>
        <v/>
      </c>
      <c r="BI1001">
        <f>'T_TTAFStock'!BG40</f>
        <v/>
      </c>
      <c r="BJ1001">
        <f>'T_TTAFStock'!BH40</f>
        <v/>
      </c>
      <c r="BK1001">
        <f>'T_TTAFStock'!BI40</f>
        <v/>
      </c>
      <c r="BL1001">
        <f>'T_TTAFStock'!BJ40</f>
        <v/>
      </c>
      <c r="BM1001">
        <f>'T_TTAFStock'!BK40</f>
        <v/>
      </c>
      <c r="BN1001">
        <f>'T_TTAFStock'!BL40</f>
        <v/>
      </c>
      <c r="BO1001">
        <f>'T_TTAFStock'!BM40</f>
        <v/>
      </c>
      <c r="BP1001">
        <f>'T_TTAFStock'!BN40</f>
        <v/>
      </c>
      <c r="BQ1001">
        <f>'T_TTAFStock'!BO40</f>
        <v/>
      </c>
      <c r="BR1001">
        <f>'T_TTAFStock'!BP40</f>
        <v/>
      </c>
      <c r="BS1001">
        <f>'T_TTAFStock'!BQ40</f>
        <v/>
      </c>
      <c r="BT1001">
        <f>'T_TTAFStock'!BR40</f>
        <v/>
      </c>
      <c r="BU1001">
        <f>'T_TTAFStock'!BS40</f>
        <v/>
      </c>
      <c r="BV1001">
        <f>'T_TTAFStock'!BT40</f>
        <v/>
      </c>
      <c r="BW1001">
        <f>'T_TTAFStock'!BU40</f>
        <v/>
      </c>
      <c r="BX1001">
        <f>'T_TTAFStock'!BV40</f>
        <v/>
      </c>
      <c r="BY1001">
        <f>'T_TTAFStock'!BW40</f>
        <v/>
      </c>
      <c r="BZ1001">
        <f>'T_TTAFStock'!BX40</f>
        <v/>
      </c>
      <c r="CA1001">
        <f>'T_TTAFStock'!BY40</f>
        <v/>
      </c>
      <c r="CB1001">
        <f>'T_TTAFStock'!BZ40</f>
        <v/>
      </c>
      <c r="CC1001">
        <f>'T_TTAFStock'!CA40</f>
        <v/>
      </c>
      <c r="CD1001">
        <f>'T_TTAFStock'!CB40</f>
        <v/>
      </c>
      <c r="CE1001">
        <f>'T_TTAFStock'!CC40</f>
        <v/>
      </c>
      <c r="CF1001">
        <f>'T_TTAFStock'!CD40</f>
        <v/>
      </c>
      <c r="CG1001">
        <f>'T_TTAFStock'!CE40</f>
        <v/>
      </c>
      <c r="CH1001">
        <f>'T_TTAFStock'!CF40</f>
        <v/>
      </c>
      <c r="CI1001">
        <f>'T_TTAFStock'!CG40</f>
        <v/>
      </c>
      <c r="CJ1001">
        <f>'T_TTAFStock'!CH40</f>
        <v/>
      </c>
      <c r="CK1001">
        <f>'T_TTAFStock'!CI40</f>
        <v/>
      </c>
      <c r="CL1001">
        <f>'T_TTAFStock'!CJ40</f>
        <v/>
      </c>
      <c r="CM1001">
        <f>'T_TTAFStock'!CK40</f>
        <v/>
      </c>
      <c r="CN1001">
        <f>'T_TTAFStock'!CL40</f>
        <v/>
      </c>
      <c r="CO1001">
        <f>'T_TTAFStock'!CM40</f>
        <v/>
      </c>
      <c r="CP1001">
        <f>'T_TTAFStock'!CN40</f>
        <v/>
      </c>
      <c r="CQ1001">
        <f>'T_TTAFStock'!CO40</f>
        <v/>
      </c>
      <c r="CR1001">
        <f>'T_TTAFStock'!CP40</f>
        <v/>
      </c>
      <c r="CS1001">
        <f>'T_TTAFStock'!CQ40</f>
        <v/>
      </c>
      <c r="CT1001">
        <f>'T_TTAFStock'!CR40</f>
        <v/>
      </c>
      <c r="CU1001">
        <f>'T_TTAFStock'!CS40</f>
        <v/>
      </c>
      <c r="CV1001">
        <f>'T_TTAFStock'!CT40</f>
        <v/>
      </c>
      <c r="CW1001">
        <f>'T_TTAFStock'!CU40</f>
        <v/>
      </c>
      <c r="CX1001">
        <f>'T_TTAFStock'!CV40</f>
        <v/>
      </c>
      <c r="CY1001">
        <f>'T_TTAFStock'!CW40</f>
        <v/>
      </c>
      <c r="CZ1001">
        <f>'T_TTAFStock'!CX40</f>
        <v/>
      </c>
      <c r="DA1001">
        <f>'T_TTAFStock'!CY40</f>
        <v/>
      </c>
      <c r="DB1001">
        <f>'T_TTAFStock'!CZ40</f>
        <v/>
      </c>
      <c r="DC1001">
        <f>'T_TTAFStock'!DA40</f>
        <v/>
      </c>
    </row>
    <row r="1002">
      <c r="B1002" t="inlineStr">
        <is>
          <t>自社在庫(実績,kg)</t>
        </is>
      </c>
      <c r="D1002">
        <f>'T_SelfStock'!B40</f>
        <v/>
      </c>
      <c r="E1002">
        <f>'T_SelfStock'!C40</f>
        <v/>
      </c>
      <c r="F1002">
        <f>'T_SelfStock'!D40</f>
        <v/>
      </c>
      <c r="G1002">
        <f>'T_SelfStock'!E40</f>
        <v/>
      </c>
      <c r="H1002">
        <f>'T_SelfStock'!F40</f>
        <v/>
      </c>
      <c r="I1002">
        <f>'T_SelfStock'!G40</f>
        <v/>
      </c>
      <c r="J1002">
        <f>'T_SelfStock'!H40</f>
        <v/>
      </c>
      <c r="K1002">
        <f>'T_SelfStock'!I40</f>
        <v/>
      </c>
      <c r="L1002">
        <f>'T_SelfStock'!J40</f>
        <v/>
      </c>
      <c r="M1002">
        <f>'T_SelfStock'!K40</f>
        <v/>
      </c>
      <c r="N1002">
        <f>'T_SelfStock'!L40</f>
        <v/>
      </c>
      <c r="O1002">
        <f>'T_SelfStock'!M40</f>
        <v/>
      </c>
      <c r="P1002">
        <f>'T_SelfStock'!N40</f>
        <v/>
      </c>
      <c r="Q1002">
        <f>'T_SelfStock'!O40</f>
        <v/>
      </c>
      <c r="R1002">
        <f>'T_SelfStock'!P40</f>
        <v/>
      </c>
      <c r="S1002">
        <f>'T_SelfStock'!Q40</f>
        <v/>
      </c>
      <c r="T1002">
        <f>'T_SelfStock'!R40</f>
        <v/>
      </c>
      <c r="U1002">
        <f>'T_SelfStock'!S40</f>
        <v/>
      </c>
      <c r="V1002">
        <f>'T_SelfStock'!T40</f>
        <v/>
      </c>
      <c r="W1002">
        <f>'T_SelfStock'!U40</f>
        <v/>
      </c>
      <c r="X1002">
        <f>'T_SelfStock'!V40</f>
        <v/>
      </c>
      <c r="Y1002">
        <f>'T_SelfStock'!W40</f>
        <v/>
      </c>
      <c r="Z1002">
        <f>'T_SelfStock'!X40</f>
        <v/>
      </c>
      <c r="AA1002">
        <f>'T_SelfStock'!Y40</f>
        <v/>
      </c>
      <c r="AB1002">
        <f>'T_SelfStock'!Z40</f>
        <v/>
      </c>
      <c r="AC1002">
        <f>'T_SelfStock'!AA40</f>
        <v/>
      </c>
      <c r="AD1002">
        <f>'T_SelfStock'!AB40</f>
        <v/>
      </c>
      <c r="AE1002">
        <f>'T_SelfStock'!AC40</f>
        <v/>
      </c>
      <c r="AF1002">
        <f>'T_SelfStock'!AD40</f>
        <v/>
      </c>
      <c r="AG1002">
        <f>'T_SelfStock'!AE40</f>
        <v/>
      </c>
      <c r="AH1002">
        <f>'T_SelfStock'!AF40</f>
        <v/>
      </c>
      <c r="AI1002">
        <f>'T_SelfStock'!AG40</f>
        <v/>
      </c>
      <c r="AJ1002">
        <f>'T_SelfStock'!AH40</f>
        <v/>
      </c>
      <c r="AK1002">
        <f>'T_SelfStock'!AI40</f>
        <v/>
      </c>
      <c r="AL1002">
        <f>'T_SelfStock'!AJ40</f>
        <v/>
      </c>
      <c r="AM1002">
        <f>'T_SelfStock'!AK40</f>
        <v/>
      </c>
      <c r="AN1002">
        <f>'T_SelfStock'!AL40</f>
        <v/>
      </c>
      <c r="AO1002">
        <f>'T_SelfStock'!AM40</f>
        <v/>
      </c>
      <c r="AP1002">
        <f>'T_SelfStock'!AN40</f>
        <v/>
      </c>
      <c r="AQ1002">
        <f>'T_SelfStock'!AO40</f>
        <v/>
      </c>
      <c r="AR1002">
        <f>'T_SelfStock'!AP40</f>
        <v/>
      </c>
      <c r="AS1002">
        <f>'T_SelfStock'!AQ40</f>
        <v/>
      </c>
      <c r="AT1002">
        <f>'T_SelfStock'!AR40</f>
        <v/>
      </c>
      <c r="AU1002">
        <f>'T_SelfStock'!AS40</f>
        <v/>
      </c>
      <c r="AV1002">
        <f>'T_SelfStock'!AT40</f>
        <v/>
      </c>
      <c r="AW1002">
        <f>'T_SelfStock'!AU40</f>
        <v/>
      </c>
      <c r="AX1002">
        <f>'T_SelfStock'!AV40</f>
        <v/>
      </c>
      <c r="AY1002">
        <f>'T_SelfStock'!AW40</f>
        <v/>
      </c>
      <c r="AZ1002">
        <f>'T_SelfStock'!AX40</f>
        <v/>
      </c>
      <c r="BA1002">
        <f>'T_SelfStock'!AY40</f>
        <v/>
      </c>
      <c r="BB1002">
        <f>'T_SelfStock'!AZ40</f>
        <v/>
      </c>
      <c r="BC1002">
        <f>'T_SelfStock'!BA40</f>
        <v/>
      </c>
      <c r="BD1002">
        <f>'T_SelfStock'!BB40</f>
        <v/>
      </c>
      <c r="BE1002">
        <f>'T_SelfStock'!BC40</f>
        <v/>
      </c>
      <c r="BF1002">
        <f>'T_SelfStock'!BD40</f>
        <v/>
      </c>
      <c r="BG1002">
        <f>'T_SelfStock'!BE40</f>
        <v/>
      </c>
      <c r="BH1002">
        <f>'T_SelfStock'!BF40</f>
        <v/>
      </c>
      <c r="BI1002">
        <f>'T_SelfStock'!BG40</f>
        <v/>
      </c>
      <c r="BJ1002">
        <f>'T_SelfStock'!BH40</f>
        <v/>
      </c>
      <c r="BK1002">
        <f>'T_SelfStock'!BI40</f>
        <v/>
      </c>
      <c r="BL1002">
        <f>'T_SelfStock'!BJ40</f>
        <v/>
      </c>
      <c r="BM1002">
        <f>'T_SelfStock'!BK40</f>
        <v/>
      </c>
      <c r="BN1002">
        <f>'T_SelfStock'!BL40</f>
        <v/>
      </c>
      <c r="BO1002">
        <f>'T_SelfStock'!BM40</f>
        <v/>
      </c>
      <c r="BP1002">
        <f>'T_SelfStock'!BN40</f>
        <v/>
      </c>
      <c r="BQ1002">
        <f>'T_SelfStock'!BO40</f>
        <v/>
      </c>
      <c r="BR1002">
        <f>'T_SelfStock'!BP40</f>
        <v/>
      </c>
      <c r="BS1002">
        <f>'T_SelfStock'!BQ40</f>
        <v/>
      </c>
      <c r="BT1002">
        <f>'T_SelfStock'!BR40</f>
        <v/>
      </c>
      <c r="BU1002">
        <f>'T_SelfStock'!BS40</f>
        <v/>
      </c>
      <c r="BV1002">
        <f>'T_SelfStock'!BT40</f>
        <v/>
      </c>
      <c r="BW1002">
        <f>'T_SelfStock'!BU40</f>
        <v/>
      </c>
      <c r="BX1002">
        <f>'T_SelfStock'!BV40</f>
        <v/>
      </c>
      <c r="BY1002">
        <f>'T_SelfStock'!BW40</f>
        <v/>
      </c>
      <c r="BZ1002">
        <f>'T_SelfStock'!BX40</f>
        <v/>
      </c>
      <c r="CA1002">
        <f>'T_SelfStock'!BY40</f>
        <v/>
      </c>
      <c r="CB1002">
        <f>'T_SelfStock'!BZ40</f>
        <v/>
      </c>
      <c r="CC1002">
        <f>'T_SelfStock'!CA40</f>
        <v/>
      </c>
      <c r="CD1002">
        <f>'T_SelfStock'!CB40</f>
        <v/>
      </c>
      <c r="CE1002">
        <f>'T_SelfStock'!CC40</f>
        <v/>
      </c>
      <c r="CF1002">
        <f>'T_SelfStock'!CD40</f>
        <v/>
      </c>
      <c r="CG1002">
        <f>'T_SelfStock'!CE40</f>
        <v/>
      </c>
      <c r="CH1002">
        <f>'T_SelfStock'!CF40</f>
        <v/>
      </c>
      <c r="CI1002">
        <f>'T_SelfStock'!CG40</f>
        <v/>
      </c>
      <c r="CJ1002">
        <f>'T_SelfStock'!CH40</f>
        <v/>
      </c>
      <c r="CK1002">
        <f>'T_SelfStock'!CI40</f>
        <v/>
      </c>
      <c r="CL1002">
        <f>'T_SelfStock'!CJ40</f>
        <v/>
      </c>
      <c r="CM1002">
        <f>'T_SelfStock'!CK40</f>
        <v/>
      </c>
      <c r="CN1002">
        <f>'T_SelfStock'!CL40</f>
        <v/>
      </c>
      <c r="CO1002">
        <f>'T_SelfStock'!CM40</f>
        <v/>
      </c>
      <c r="CP1002">
        <f>'T_SelfStock'!CN40</f>
        <v/>
      </c>
      <c r="CQ1002">
        <f>'T_SelfStock'!CO40</f>
        <v/>
      </c>
      <c r="CR1002">
        <f>'T_SelfStock'!CP40</f>
        <v/>
      </c>
      <c r="CS1002">
        <f>'T_SelfStock'!CQ40</f>
        <v/>
      </c>
      <c r="CT1002">
        <f>'T_SelfStock'!CR40</f>
        <v/>
      </c>
      <c r="CU1002">
        <f>'T_SelfStock'!CS40</f>
        <v/>
      </c>
      <c r="CV1002">
        <f>'T_SelfStock'!CT40</f>
        <v/>
      </c>
      <c r="CW1002">
        <f>'T_SelfStock'!CU40</f>
        <v/>
      </c>
      <c r="CX1002">
        <f>'T_SelfStock'!CV40</f>
        <v/>
      </c>
      <c r="CY1002">
        <f>'T_SelfStock'!CW40</f>
        <v/>
      </c>
      <c r="CZ1002">
        <f>'T_SelfStock'!CX40</f>
        <v/>
      </c>
      <c r="DA1002">
        <f>'T_SelfStock'!CY40</f>
        <v/>
      </c>
      <c r="DB1002">
        <f>'T_SelfStock'!CZ40</f>
        <v/>
      </c>
      <c r="DC1002">
        <f>'T_SelfStock'!DA40</f>
        <v/>
      </c>
    </row>
    <row r="1003">
      <c r="B1003" s="4" t="inlineStr">
        <is>
          <t>合計在庫(週末時点,kg)</t>
        </is>
      </c>
      <c r="D1003">
        <f>'Grid_Stock'!B36</f>
        <v/>
      </c>
      <c r="E1003">
        <f>'Grid_Stock'!C36</f>
        <v/>
      </c>
      <c r="F1003">
        <f>'Grid_Stock'!D36</f>
        <v/>
      </c>
      <c r="G1003">
        <f>'Grid_Stock'!E36</f>
        <v/>
      </c>
      <c r="H1003">
        <f>'Grid_Stock'!F36</f>
        <v/>
      </c>
      <c r="I1003">
        <f>'Grid_Stock'!G36</f>
        <v/>
      </c>
      <c r="J1003">
        <f>'Grid_Stock'!H36</f>
        <v/>
      </c>
      <c r="K1003">
        <f>'Grid_Stock'!I36</f>
        <v/>
      </c>
      <c r="L1003">
        <f>'Grid_Stock'!J36</f>
        <v/>
      </c>
      <c r="M1003">
        <f>'Grid_Stock'!K36</f>
        <v/>
      </c>
      <c r="N1003">
        <f>'Grid_Stock'!L36</f>
        <v/>
      </c>
      <c r="O1003">
        <f>'Grid_Stock'!M36</f>
        <v/>
      </c>
      <c r="P1003">
        <f>'Grid_Stock'!N36</f>
        <v/>
      </c>
      <c r="Q1003">
        <f>'Grid_Stock'!O36</f>
        <v/>
      </c>
      <c r="R1003">
        <f>'Grid_Stock'!P36</f>
        <v/>
      </c>
      <c r="S1003">
        <f>'Grid_Stock'!Q36</f>
        <v/>
      </c>
      <c r="T1003">
        <f>'Grid_Stock'!R36</f>
        <v/>
      </c>
      <c r="U1003">
        <f>'Grid_Stock'!S36</f>
        <v/>
      </c>
      <c r="V1003">
        <f>'Grid_Stock'!T36</f>
        <v/>
      </c>
      <c r="W1003">
        <f>'Grid_Stock'!U36</f>
        <v/>
      </c>
      <c r="X1003">
        <f>'Grid_Stock'!V36</f>
        <v/>
      </c>
      <c r="Y1003">
        <f>'Grid_Stock'!W36</f>
        <v/>
      </c>
      <c r="Z1003">
        <f>'Grid_Stock'!X36</f>
        <v/>
      </c>
      <c r="AA1003">
        <f>'Grid_Stock'!Y36</f>
        <v/>
      </c>
      <c r="AB1003">
        <f>'Grid_Stock'!Z36</f>
        <v/>
      </c>
      <c r="AC1003">
        <f>'Grid_Stock'!AA36</f>
        <v/>
      </c>
      <c r="AD1003">
        <f>'Grid_Stock'!AB36</f>
        <v/>
      </c>
      <c r="AE1003">
        <f>'Grid_Stock'!AC36</f>
        <v/>
      </c>
      <c r="AF1003">
        <f>'Grid_Stock'!AD36</f>
        <v/>
      </c>
      <c r="AG1003">
        <f>'Grid_Stock'!AE36</f>
        <v/>
      </c>
      <c r="AH1003">
        <f>'Grid_Stock'!AF36</f>
        <v/>
      </c>
      <c r="AI1003">
        <f>'Grid_Stock'!AG36</f>
        <v/>
      </c>
      <c r="AJ1003">
        <f>'Grid_Stock'!AH36</f>
        <v/>
      </c>
      <c r="AK1003">
        <f>'Grid_Stock'!AI36</f>
        <v/>
      </c>
      <c r="AL1003">
        <f>'Grid_Stock'!AJ36</f>
        <v/>
      </c>
      <c r="AM1003">
        <f>'Grid_Stock'!AK36</f>
        <v/>
      </c>
      <c r="AN1003">
        <f>'Grid_Stock'!AL36</f>
        <v/>
      </c>
      <c r="AO1003">
        <f>'Grid_Stock'!AM36</f>
        <v/>
      </c>
      <c r="AP1003">
        <f>'Grid_Stock'!AN36</f>
        <v/>
      </c>
      <c r="AQ1003">
        <f>'Grid_Stock'!AO36</f>
        <v/>
      </c>
      <c r="AR1003">
        <f>'Grid_Stock'!AP36</f>
        <v/>
      </c>
      <c r="AS1003">
        <f>'Grid_Stock'!AQ36</f>
        <v/>
      </c>
      <c r="AT1003">
        <f>'Grid_Stock'!AR36</f>
        <v/>
      </c>
      <c r="AU1003">
        <f>'Grid_Stock'!AS36</f>
        <v/>
      </c>
      <c r="AV1003">
        <f>'Grid_Stock'!AT36</f>
        <v/>
      </c>
      <c r="AW1003">
        <f>'Grid_Stock'!AU36</f>
        <v/>
      </c>
      <c r="AX1003">
        <f>'Grid_Stock'!AV36</f>
        <v/>
      </c>
      <c r="AY1003">
        <f>'Grid_Stock'!AW36</f>
        <v/>
      </c>
      <c r="AZ1003">
        <f>'Grid_Stock'!AX36</f>
        <v/>
      </c>
      <c r="BA1003">
        <f>'Grid_Stock'!AY36</f>
        <v/>
      </c>
      <c r="BB1003">
        <f>'Grid_Stock'!AZ36</f>
        <v/>
      </c>
      <c r="BC1003">
        <f>'Grid_Stock'!BA36</f>
        <v/>
      </c>
      <c r="BD1003">
        <f>'Grid_Stock'!BB36</f>
        <v/>
      </c>
      <c r="BE1003">
        <f>'Grid_Stock'!BC36</f>
        <v/>
      </c>
      <c r="BF1003">
        <f>'Grid_Stock'!BD36</f>
        <v/>
      </c>
      <c r="BG1003">
        <f>'Grid_Stock'!BE36</f>
        <v/>
      </c>
      <c r="BH1003">
        <f>'Grid_Stock'!BF36</f>
        <v/>
      </c>
      <c r="BI1003">
        <f>'Grid_Stock'!BG36</f>
        <v/>
      </c>
      <c r="BJ1003">
        <f>'Grid_Stock'!BH36</f>
        <v/>
      </c>
      <c r="BK1003">
        <f>'Grid_Stock'!BI36</f>
        <v/>
      </c>
      <c r="BL1003">
        <f>'Grid_Stock'!BJ36</f>
        <v/>
      </c>
      <c r="BM1003">
        <f>'Grid_Stock'!BK36</f>
        <v/>
      </c>
      <c r="BN1003">
        <f>'Grid_Stock'!BL36</f>
        <v/>
      </c>
      <c r="BO1003">
        <f>'Grid_Stock'!BM36</f>
        <v/>
      </c>
      <c r="BP1003">
        <f>'Grid_Stock'!BN36</f>
        <v/>
      </c>
      <c r="BQ1003">
        <f>'Grid_Stock'!BO36</f>
        <v/>
      </c>
      <c r="BR1003">
        <f>'Grid_Stock'!BP36</f>
        <v/>
      </c>
      <c r="BS1003">
        <f>'Grid_Stock'!BQ36</f>
        <v/>
      </c>
      <c r="BT1003">
        <f>'Grid_Stock'!BR36</f>
        <v/>
      </c>
      <c r="BU1003">
        <f>'Grid_Stock'!BS36</f>
        <v/>
      </c>
      <c r="BV1003">
        <f>'Grid_Stock'!BT36</f>
        <v/>
      </c>
      <c r="BW1003">
        <f>'Grid_Stock'!BU36</f>
        <v/>
      </c>
      <c r="BX1003">
        <f>'Grid_Stock'!BV36</f>
        <v/>
      </c>
      <c r="BY1003">
        <f>'Grid_Stock'!BW36</f>
        <v/>
      </c>
      <c r="BZ1003">
        <f>'Grid_Stock'!BX36</f>
        <v/>
      </c>
      <c r="CA1003">
        <f>'Grid_Stock'!BY36</f>
        <v/>
      </c>
      <c r="CB1003">
        <f>'Grid_Stock'!BZ36</f>
        <v/>
      </c>
      <c r="CC1003">
        <f>'Grid_Stock'!CA36</f>
        <v/>
      </c>
      <c r="CD1003">
        <f>'Grid_Stock'!CB36</f>
        <v/>
      </c>
      <c r="CE1003">
        <f>'Grid_Stock'!CC36</f>
        <v/>
      </c>
      <c r="CF1003">
        <f>'Grid_Stock'!CD36</f>
        <v/>
      </c>
      <c r="CG1003">
        <f>'Grid_Stock'!CE36</f>
        <v/>
      </c>
      <c r="CH1003">
        <f>'Grid_Stock'!CF36</f>
        <v/>
      </c>
      <c r="CI1003">
        <f>'Grid_Stock'!CG36</f>
        <v/>
      </c>
      <c r="CJ1003">
        <f>'Grid_Stock'!CH36</f>
        <v/>
      </c>
      <c r="CK1003">
        <f>'Grid_Stock'!CI36</f>
        <v/>
      </c>
      <c r="CL1003">
        <f>'Grid_Stock'!CJ36</f>
        <v/>
      </c>
      <c r="CM1003">
        <f>'Grid_Stock'!CK36</f>
        <v/>
      </c>
      <c r="CN1003">
        <f>'Grid_Stock'!CL36</f>
        <v/>
      </c>
      <c r="CO1003">
        <f>'Grid_Stock'!CM36</f>
        <v/>
      </c>
      <c r="CP1003">
        <f>'Grid_Stock'!CN36</f>
        <v/>
      </c>
      <c r="CQ1003">
        <f>'Grid_Stock'!CO36</f>
        <v/>
      </c>
      <c r="CR1003">
        <f>'Grid_Stock'!CP36</f>
        <v/>
      </c>
      <c r="CS1003">
        <f>'Grid_Stock'!CQ36</f>
        <v/>
      </c>
      <c r="CT1003">
        <f>'Grid_Stock'!CR36</f>
        <v/>
      </c>
      <c r="CU1003">
        <f>'Grid_Stock'!CS36</f>
        <v/>
      </c>
      <c r="CV1003">
        <f>'Grid_Stock'!CT36</f>
        <v/>
      </c>
      <c r="CW1003">
        <f>'Grid_Stock'!CU36</f>
        <v/>
      </c>
      <c r="CX1003">
        <f>'Grid_Stock'!CV36</f>
        <v/>
      </c>
      <c r="CY1003">
        <f>'Grid_Stock'!CW36</f>
        <v/>
      </c>
      <c r="CZ1003">
        <f>'Grid_Stock'!CX36</f>
        <v/>
      </c>
      <c r="DA1003">
        <f>'Grid_Stock'!CY36</f>
        <v/>
      </c>
      <c r="DB1003">
        <f>'Grid_Stock'!CZ36</f>
        <v/>
      </c>
      <c r="DC1003">
        <f>'Grid_Stock'!DA36</f>
        <v/>
      </c>
    </row>
    <row r="1004">
      <c r="B1004" s="16" t="inlineStr">
        <is>
          <t>（発注の目安はDashboardの基準在庫[下限/上限]と色分けを参照）</t>
        </is>
      </c>
    </row>
    <row r="1006">
      <c r="A1006" s="14" t="inlineStr">
        <is>
          <t>5SN</t>
        </is>
      </c>
      <c r="B1006" s="14" t="inlineStr">
        <is>
          <t>5SN</t>
        </is>
      </c>
      <c r="C1006" s="15" t="n"/>
      <c r="D1006" s="14" t="n"/>
      <c r="E1006" s="14" t="n"/>
      <c r="F1006" s="14" t="n"/>
      <c r="G1006" s="14" t="n"/>
      <c r="H1006" s="14" t="n"/>
      <c r="I1006" s="14" t="n"/>
      <c r="J1006" s="14" t="n"/>
      <c r="K1006" s="14" t="n"/>
      <c r="L1006" s="14" t="n"/>
      <c r="M1006" s="14" t="n"/>
      <c r="N1006" s="14" t="n"/>
      <c r="O1006" s="14" t="n"/>
      <c r="P1006" s="14" t="n"/>
      <c r="Q1006" s="14" t="n"/>
      <c r="R1006" s="14" t="n"/>
      <c r="S1006" s="14" t="n"/>
      <c r="T1006" s="14" t="n"/>
      <c r="U1006" s="14" t="n"/>
      <c r="V1006" s="14" t="n"/>
      <c r="W1006" s="14" t="n"/>
      <c r="X1006" s="14" t="n"/>
      <c r="Y1006" s="14" t="n"/>
      <c r="Z1006" s="14" t="n"/>
      <c r="AA1006" s="14" t="n"/>
      <c r="AB1006" s="14" t="n"/>
      <c r="AC1006" s="14" t="n"/>
      <c r="AD1006" s="14" t="n"/>
      <c r="AE1006" s="14" t="n"/>
      <c r="AF1006" s="14" t="n"/>
      <c r="AG1006" s="14" t="n"/>
      <c r="AH1006" s="14" t="n"/>
      <c r="AI1006" s="14" t="n"/>
      <c r="AJ1006" s="14" t="n"/>
      <c r="AK1006" s="14" t="n"/>
      <c r="AL1006" s="14" t="n"/>
      <c r="AM1006" s="14" t="n"/>
      <c r="AN1006" s="14" t="n"/>
      <c r="AO1006" s="14" t="n"/>
      <c r="AP1006" s="14" t="n"/>
      <c r="AQ1006" s="14" t="n"/>
      <c r="AR1006" s="14" t="n"/>
      <c r="AS1006" s="14" t="n"/>
      <c r="AT1006" s="14" t="n"/>
      <c r="AU1006" s="14" t="n"/>
      <c r="AV1006" s="14" t="n"/>
      <c r="AW1006" s="14" t="n"/>
      <c r="AX1006" s="14" t="n"/>
      <c r="AY1006" s="14" t="n"/>
      <c r="AZ1006" s="14" t="n"/>
      <c r="BA1006" s="14" t="n"/>
      <c r="BB1006" s="14" t="n"/>
      <c r="BC1006" s="14" t="n"/>
      <c r="BD1006" s="14" t="n"/>
      <c r="BE1006" s="14" t="n"/>
      <c r="BF1006" s="14" t="n"/>
      <c r="BG1006" s="14" t="n"/>
      <c r="BH1006" s="14" t="n"/>
      <c r="BI1006" s="14" t="n"/>
      <c r="BJ1006" s="14" t="n"/>
      <c r="BK1006" s="14" t="n"/>
      <c r="BL1006" s="14" t="n"/>
      <c r="BM1006" s="14" t="n"/>
      <c r="BN1006" s="14" t="n"/>
      <c r="BO1006" s="14" t="n"/>
      <c r="BP1006" s="14" t="n"/>
      <c r="BQ1006" s="14" t="n"/>
      <c r="BR1006" s="14" t="n"/>
      <c r="BS1006" s="14" t="n"/>
      <c r="BT1006" s="14" t="n"/>
      <c r="BU1006" s="14" t="n"/>
      <c r="BV1006" s="14" t="n"/>
      <c r="BW1006" s="14" t="n"/>
      <c r="BX1006" s="14" t="n"/>
      <c r="BY1006" s="14" t="n"/>
      <c r="BZ1006" s="14" t="n"/>
      <c r="CA1006" s="14" t="n"/>
      <c r="CB1006" s="14" t="n"/>
      <c r="CC1006" s="14" t="n"/>
      <c r="CD1006" s="14" t="n"/>
      <c r="CE1006" s="14" t="n"/>
      <c r="CF1006" s="14" t="n"/>
      <c r="CG1006" s="14" t="n"/>
      <c r="CH1006" s="14" t="n"/>
      <c r="CI1006" s="14" t="n"/>
      <c r="CJ1006" s="14" t="n"/>
      <c r="CK1006" s="14" t="n"/>
      <c r="CL1006" s="14" t="n"/>
      <c r="CM1006" s="14" t="n"/>
      <c r="CN1006" s="14" t="n"/>
      <c r="CO1006" s="14" t="n"/>
      <c r="CP1006" s="14" t="n"/>
      <c r="CQ1006" s="14" t="n"/>
      <c r="CR1006" s="14" t="n"/>
      <c r="CS1006" s="14" t="n"/>
      <c r="CT1006" s="14" t="n"/>
      <c r="CU1006" s="14" t="n"/>
      <c r="CV1006" s="14" t="n"/>
      <c r="CW1006" s="14" t="n"/>
      <c r="CX1006" s="14" t="n"/>
      <c r="CY1006" s="14" t="n"/>
      <c r="CZ1006" s="14" t="n"/>
      <c r="DA1006" s="14" t="n"/>
      <c r="DB1006" s="14" t="n"/>
      <c r="DC1006" s="14" t="n"/>
    </row>
    <row r="1007">
      <c r="B1007" t="inlineStr">
        <is>
          <t>0Q110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7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Name],$A1006)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s="4" t="inlineStr">
        <is>
          <t>合計使用量(kg)/週</t>
        </is>
      </c>
      <c r="D1009">
        <f>'Grid_Requirement'!B40</f>
        <v/>
      </c>
      <c r="E1009">
        <f>'Grid_Requirement'!C40</f>
        <v/>
      </c>
      <c r="F1009">
        <f>'Grid_Requirement'!D40</f>
        <v/>
      </c>
      <c r="G1009">
        <f>'Grid_Requirement'!E40</f>
        <v/>
      </c>
      <c r="H1009">
        <f>'Grid_Requirement'!F40</f>
        <v/>
      </c>
      <c r="I1009">
        <f>'Grid_Requirement'!G40</f>
        <v/>
      </c>
      <c r="J1009">
        <f>'Grid_Requirement'!H40</f>
        <v/>
      </c>
      <c r="K1009">
        <f>'Grid_Requirement'!I40</f>
        <v/>
      </c>
      <c r="L1009">
        <f>'Grid_Requirement'!J40</f>
        <v/>
      </c>
      <c r="M1009">
        <f>'Grid_Requirement'!K40</f>
        <v/>
      </c>
      <c r="N1009">
        <f>'Grid_Requirement'!L40</f>
        <v/>
      </c>
      <c r="O1009">
        <f>'Grid_Requirement'!M40</f>
        <v/>
      </c>
      <c r="P1009">
        <f>'Grid_Requirement'!N40</f>
        <v/>
      </c>
      <c r="Q1009">
        <f>'Grid_Requirement'!O40</f>
        <v/>
      </c>
      <c r="R1009">
        <f>'Grid_Requirement'!P40</f>
        <v/>
      </c>
      <c r="S1009">
        <f>'Grid_Requirement'!Q40</f>
        <v/>
      </c>
      <c r="T1009">
        <f>'Grid_Requirement'!R40</f>
        <v/>
      </c>
      <c r="U1009">
        <f>'Grid_Requirement'!S40</f>
        <v/>
      </c>
      <c r="V1009">
        <f>'Grid_Requirement'!T40</f>
        <v/>
      </c>
      <c r="W1009">
        <f>'Grid_Requirement'!U40</f>
        <v/>
      </c>
      <c r="X1009">
        <f>'Grid_Requirement'!V40</f>
        <v/>
      </c>
      <c r="Y1009">
        <f>'Grid_Requirement'!W40</f>
        <v/>
      </c>
      <c r="Z1009">
        <f>'Grid_Requirement'!X40</f>
        <v/>
      </c>
      <c r="AA1009">
        <f>'Grid_Requirement'!Y40</f>
        <v/>
      </c>
      <c r="AB1009">
        <f>'Grid_Requirement'!Z40</f>
        <v/>
      </c>
      <c r="AC1009">
        <f>'Grid_Requirement'!AA40</f>
        <v/>
      </c>
      <c r="AD1009">
        <f>'Grid_Requirement'!AB40</f>
        <v/>
      </c>
      <c r="AE1009">
        <f>'Grid_Requirement'!AC40</f>
        <v/>
      </c>
      <c r="AF1009">
        <f>'Grid_Requirement'!AD40</f>
        <v/>
      </c>
      <c r="AG1009">
        <f>'Grid_Requirement'!AE40</f>
        <v/>
      </c>
      <c r="AH1009">
        <f>'Grid_Requirement'!AF40</f>
        <v/>
      </c>
      <c r="AI1009">
        <f>'Grid_Requirement'!AG40</f>
        <v/>
      </c>
      <c r="AJ1009">
        <f>'Grid_Requirement'!AH40</f>
        <v/>
      </c>
      <c r="AK1009">
        <f>'Grid_Requirement'!AI40</f>
        <v/>
      </c>
      <c r="AL1009">
        <f>'Grid_Requirement'!AJ40</f>
        <v/>
      </c>
      <c r="AM1009">
        <f>'Grid_Requirement'!AK40</f>
        <v/>
      </c>
      <c r="AN1009">
        <f>'Grid_Requirement'!AL40</f>
        <v/>
      </c>
      <c r="AO1009">
        <f>'Grid_Requirement'!AM40</f>
        <v/>
      </c>
      <c r="AP1009">
        <f>'Grid_Requirement'!AN40</f>
        <v/>
      </c>
      <c r="AQ1009">
        <f>'Grid_Requirement'!AO40</f>
        <v/>
      </c>
      <c r="AR1009">
        <f>'Grid_Requirement'!AP40</f>
        <v/>
      </c>
      <c r="AS1009">
        <f>'Grid_Requirement'!AQ40</f>
        <v/>
      </c>
      <c r="AT1009">
        <f>'Grid_Requirement'!AR40</f>
        <v/>
      </c>
      <c r="AU1009">
        <f>'Grid_Requirement'!AS40</f>
        <v/>
      </c>
      <c r="AV1009">
        <f>'Grid_Requirement'!AT40</f>
        <v/>
      </c>
      <c r="AW1009">
        <f>'Grid_Requirement'!AU40</f>
        <v/>
      </c>
      <c r="AX1009">
        <f>'Grid_Requirement'!AV40</f>
        <v/>
      </c>
      <c r="AY1009">
        <f>'Grid_Requirement'!AW40</f>
        <v/>
      </c>
      <c r="AZ1009">
        <f>'Grid_Requirement'!AX40</f>
        <v/>
      </c>
      <c r="BA1009">
        <f>'Grid_Requirement'!AY40</f>
        <v/>
      </c>
      <c r="BB1009">
        <f>'Grid_Requirement'!AZ40</f>
        <v/>
      </c>
      <c r="BC1009">
        <f>'Grid_Requirement'!BA40</f>
        <v/>
      </c>
      <c r="BD1009">
        <f>'Grid_Requirement'!BB40</f>
        <v/>
      </c>
      <c r="BE1009">
        <f>'Grid_Requirement'!BC40</f>
        <v/>
      </c>
      <c r="BF1009">
        <f>'Grid_Requirement'!BD40</f>
        <v/>
      </c>
      <c r="BG1009">
        <f>'Grid_Requirement'!BE40</f>
        <v/>
      </c>
      <c r="BH1009">
        <f>'Grid_Requirement'!BF40</f>
        <v/>
      </c>
      <c r="BI1009">
        <f>'Grid_Requirement'!BG40</f>
        <v/>
      </c>
      <c r="BJ1009">
        <f>'Grid_Requirement'!BH40</f>
        <v/>
      </c>
      <c r="BK1009">
        <f>'Grid_Requirement'!BI40</f>
        <v/>
      </c>
      <c r="BL1009">
        <f>'Grid_Requirement'!BJ40</f>
        <v/>
      </c>
      <c r="BM1009">
        <f>'Grid_Requirement'!BK40</f>
        <v/>
      </c>
      <c r="BN1009">
        <f>'Grid_Requirement'!BL40</f>
        <v/>
      </c>
      <c r="BO1009">
        <f>'Grid_Requirement'!BM40</f>
        <v/>
      </c>
      <c r="BP1009">
        <f>'Grid_Requirement'!BN40</f>
        <v/>
      </c>
      <c r="BQ1009">
        <f>'Grid_Requirement'!BO40</f>
        <v/>
      </c>
      <c r="BR1009">
        <f>'Grid_Requirement'!BP40</f>
        <v/>
      </c>
      <c r="BS1009">
        <f>'Grid_Requirement'!BQ40</f>
        <v/>
      </c>
      <c r="BT1009">
        <f>'Grid_Requirement'!BR40</f>
        <v/>
      </c>
      <c r="BU1009">
        <f>'Grid_Requirement'!BS40</f>
        <v/>
      </c>
      <c r="BV1009">
        <f>'Grid_Requirement'!BT40</f>
        <v/>
      </c>
      <c r="BW1009">
        <f>'Grid_Requirement'!BU40</f>
        <v/>
      </c>
      <c r="BX1009">
        <f>'Grid_Requirement'!BV40</f>
        <v/>
      </c>
      <c r="BY1009">
        <f>'Grid_Requirement'!BW40</f>
        <v/>
      </c>
      <c r="BZ1009">
        <f>'Grid_Requirement'!BX40</f>
        <v/>
      </c>
      <c r="CA1009">
        <f>'Grid_Requirement'!BY40</f>
        <v/>
      </c>
      <c r="CB1009">
        <f>'Grid_Requirement'!BZ40</f>
        <v/>
      </c>
      <c r="CC1009">
        <f>'Grid_Requirement'!CA40</f>
        <v/>
      </c>
      <c r="CD1009">
        <f>'Grid_Requirement'!CB40</f>
        <v/>
      </c>
      <c r="CE1009">
        <f>'Grid_Requirement'!CC40</f>
        <v/>
      </c>
      <c r="CF1009">
        <f>'Grid_Requirement'!CD40</f>
        <v/>
      </c>
      <c r="CG1009">
        <f>'Grid_Requirement'!CE40</f>
        <v/>
      </c>
      <c r="CH1009">
        <f>'Grid_Requirement'!CF40</f>
        <v/>
      </c>
      <c r="CI1009">
        <f>'Grid_Requirement'!CG40</f>
        <v/>
      </c>
      <c r="CJ1009">
        <f>'Grid_Requirement'!CH40</f>
        <v/>
      </c>
      <c r="CK1009">
        <f>'Grid_Requirement'!CI40</f>
        <v/>
      </c>
      <c r="CL1009">
        <f>'Grid_Requirement'!CJ40</f>
        <v/>
      </c>
      <c r="CM1009">
        <f>'Grid_Requirement'!CK40</f>
        <v/>
      </c>
      <c r="CN1009">
        <f>'Grid_Requirement'!CL40</f>
        <v/>
      </c>
      <c r="CO1009">
        <f>'Grid_Requirement'!CM40</f>
        <v/>
      </c>
      <c r="CP1009">
        <f>'Grid_Requirement'!CN40</f>
        <v/>
      </c>
      <c r="CQ1009">
        <f>'Grid_Requirement'!CO40</f>
        <v/>
      </c>
      <c r="CR1009">
        <f>'Grid_Requirement'!CP40</f>
        <v/>
      </c>
      <c r="CS1009">
        <f>'Grid_Requirement'!CQ40</f>
        <v/>
      </c>
      <c r="CT1009">
        <f>'Grid_Requirement'!CR40</f>
        <v/>
      </c>
      <c r="CU1009">
        <f>'Grid_Requirement'!CS40</f>
        <v/>
      </c>
      <c r="CV1009">
        <f>'Grid_Requirement'!CT40</f>
        <v/>
      </c>
      <c r="CW1009">
        <f>'Grid_Requirement'!CU40</f>
        <v/>
      </c>
      <c r="CX1009">
        <f>'Grid_Requirement'!CV40</f>
        <v/>
      </c>
      <c r="CY1009">
        <f>'Grid_Requirement'!CW40</f>
        <v/>
      </c>
      <c r="CZ1009">
        <f>'Grid_Requirement'!CX40</f>
        <v/>
      </c>
      <c r="DA1009">
        <f>'Grid_Requirement'!CY40</f>
        <v/>
      </c>
      <c r="DB1009">
        <f>'Grid_Requirement'!CZ40</f>
        <v/>
      </c>
      <c r="DC1009">
        <f>'Grid_Requirement'!DA40</f>
        <v/>
      </c>
    </row>
    <row r="1010">
      <c r="B1010" t="inlineStr">
        <is>
          <t>TTAF在庫(実績,kg)</t>
        </is>
      </c>
      <c r="D1010">
        <f>'T_TTAFStock'!B44</f>
        <v/>
      </c>
      <c r="E1010">
        <f>'T_TTAFStock'!C44</f>
        <v/>
      </c>
      <c r="F1010">
        <f>'T_TTAFStock'!D44</f>
        <v/>
      </c>
      <c r="G1010">
        <f>'T_TTAFStock'!E44</f>
        <v/>
      </c>
      <c r="H1010">
        <f>'T_TTAFStock'!F44</f>
        <v/>
      </c>
      <c r="I1010">
        <f>'T_TTAFStock'!G44</f>
        <v/>
      </c>
      <c r="J1010">
        <f>'T_TTAFStock'!H44</f>
        <v/>
      </c>
      <c r="K1010">
        <f>'T_TTAFStock'!I44</f>
        <v/>
      </c>
      <c r="L1010">
        <f>'T_TTAFStock'!J44</f>
        <v/>
      </c>
      <c r="M1010">
        <f>'T_TTAFStock'!K44</f>
        <v/>
      </c>
      <c r="N1010">
        <f>'T_TTAFStock'!L44</f>
        <v/>
      </c>
      <c r="O1010">
        <f>'T_TTAFStock'!M44</f>
        <v/>
      </c>
      <c r="P1010">
        <f>'T_TTAFStock'!N44</f>
        <v/>
      </c>
      <c r="Q1010">
        <f>'T_TTAFStock'!O44</f>
        <v/>
      </c>
      <c r="R1010">
        <f>'T_TTAFStock'!P44</f>
        <v/>
      </c>
      <c r="S1010">
        <f>'T_TTAFStock'!Q44</f>
        <v/>
      </c>
      <c r="T1010">
        <f>'T_TTAFStock'!R44</f>
        <v/>
      </c>
      <c r="U1010">
        <f>'T_TTAFStock'!S44</f>
        <v/>
      </c>
      <c r="V1010">
        <f>'T_TTAFStock'!T44</f>
        <v/>
      </c>
      <c r="W1010">
        <f>'T_TTAFStock'!U44</f>
        <v/>
      </c>
      <c r="X1010">
        <f>'T_TTAFStock'!V44</f>
        <v/>
      </c>
      <c r="Y1010">
        <f>'T_TTAFStock'!W44</f>
        <v/>
      </c>
      <c r="Z1010">
        <f>'T_TTAFStock'!X44</f>
        <v/>
      </c>
      <c r="AA1010">
        <f>'T_TTAFStock'!Y44</f>
        <v/>
      </c>
      <c r="AB1010">
        <f>'T_TTAFStock'!Z44</f>
        <v/>
      </c>
      <c r="AC1010">
        <f>'T_TTAFStock'!AA44</f>
        <v/>
      </c>
      <c r="AD1010">
        <f>'T_TTAFStock'!AB44</f>
        <v/>
      </c>
      <c r="AE1010">
        <f>'T_TTAFStock'!AC44</f>
        <v/>
      </c>
      <c r="AF1010">
        <f>'T_TTAFStock'!AD44</f>
        <v/>
      </c>
      <c r="AG1010">
        <f>'T_TTAFStock'!AE44</f>
        <v/>
      </c>
      <c r="AH1010">
        <f>'T_TTAFStock'!AF44</f>
        <v/>
      </c>
      <c r="AI1010">
        <f>'T_TTAFStock'!AG44</f>
        <v/>
      </c>
      <c r="AJ1010">
        <f>'T_TTAFStock'!AH44</f>
        <v/>
      </c>
      <c r="AK1010">
        <f>'T_TTAFStock'!AI44</f>
        <v/>
      </c>
      <c r="AL1010">
        <f>'T_TTAFStock'!AJ44</f>
        <v/>
      </c>
      <c r="AM1010">
        <f>'T_TTAFStock'!AK44</f>
        <v/>
      </c>
      <c r="AN1010">
        <f>'T_TTAFStock'!AL44</f>
        <v/>
      </c>
      <c r="AO1010">
        <f>'T_TTAFStock'!AM44</f>
        <v/>
      </c>
      <c r="AP1010">
        <f>'T_TTAFStock'!AN44</f>
        <v/>
      </c>
      <c r="AQ1010">
        <f>'T_TTAFStock'!AO44</f>
        <v/>
      </c>
      <c r="AR1010">
        <f>'T_TTAFStock'!AP44</f>
        <v/>
      </c>
      <c r="AS1010">
        <f>'T_TTAFStock'!AQ44</f>
        <v/>
      </c>
      <c r="AT1010">
        <f>'T_TTAFStock'!AR44</f>
        <v/>
      </c>
      <c r="AU1010">
        <f>'T_TTAFStock'!AS44</f>
        <v/>
      </c>
      <c r="AV1010">
        <f>'T_TTAFStock'!AT44</f>
        <v/>
      </c>
      <c r="AW1010">
        <f>'T_TTAFStock'!AU44</f>
        <v/>
      </c>
      <c r="AX1010">
        <f>'T_TTAFStock'!AV44</f>
        <v/>
      </c>
      <c r="AY1010">
        <f>'T_TTAFStock'!AW44</f>
        <v/>
      </c>
      <c r="AZ1010">
        <f>'T_TTAFStock'!AX44</f>
        <v/>
      </c>
      <c r="BA1010">
        <f>'T_TTAFStock'!AY44</f>
        <v/>
      </c>
      <c r="BB1010">
        <f>'T_TTAFStock'!AZ44</f>
        <v/>
      </c>
      <c r="BC1010">
        <f>'T_TTAFStock'!BA44</f>
        <v/>
      </c>
      <c r="BD1010">
        <f>'T_TTAFStock'!BB44</f>
        <v/>
      </c>
      <c r="BE1010">
        <f>'T_TTAFStock'!BC44</f>
        <v/>
      </c>
      <c r="BF1010">
        <f>'T_TTAFStock'!BD44</f>
        <v/>
      </c>
      <c r="BG1010">
        <f>'T_TTAFStock'!BE44</f>
        <v/>
      </c>
      <c r="BH1010">
        <f>'T_TTAFStock'!BF44</f>
        <v/>
      </c>
      <c r="BI1010">
        <f>'T_TTAFStock'!BG44</f>
        <v/>
      </c>
      <c r="BJ1010">
        <f>'T_TTAFStock'!BH44</f>
        <v/>
      </c>
      <c r="BK1010">
        <f>'T_TTAFStock'!BI44</f>
        <v/>
      </c>
      <c r="BL1010">
        <f>'T_TTAFStock'!BJ44</f>
        <v/>
      </c>
      <c r="BM1010">
        <f>'T_TTAFStock'!BK44</f>
        <v/>
      </c>
      <c r="BN1010">
        <f>'T_TTAFStock'!BL44</f>
        <v/>
      </c>
      <c r="BO1010">
        <f>'T_TTAFStock'!BM44</f>
        <v/>
      </c>
      <c r="BP1010">
        <f>'T_TTAFStock'!BN44</f>
        <v/>
      </c>
      <c r="BQ1010">
        <f>'T_TTAFStock'!BO44</f>
        <v/>
      </c>
      <c r="BR1010">
        <f>'T_TTAFStock'!BP44</f>
        <v/>
      </c>
      <c r="BS1010">
        <f>'T_TTAFStock'!BQ44</f>
        <v/>
      </c>
      <c r="BT1010">
        <f>'T_TTAFStock'!BR44</f>
        <v/>
      </c>
      <c r="BU1010">
        <f>'T_TTAFStock'!BS44</f>
        <v/>
      </c>
      <c r="BV1010">
        <f>'T_TTAFStock'!BT44</f>
        <v/>
      </c>
      <c r="BW1010">
        <f>'T_TTAFStock'!BU44</f>
        <v/>
      </c>
      <c r="BX1010">
        <f>'T_TTAFStock'!BV44</f>
        <v/>
      </c>
      <c r="BY1010">
        <f>'T_TTAFStock'!BW44</f>
        <v/>
      </c>
      <c r="BZ1010">
        <f>'T_TTAFStock'!BX44</f>
        <v/>
      </c>
      <c r="CA1010">
        <f>'T_TTAFStock'!BY44</f>
        <v/>
      </c>
      <c r="CB1010">
        <f>'T_TTAFStock'!BZ44</f>
        <v/>
      </c>
      <c r="CC1010">
        <f>'T_TTAFStock'!CA44</f>
        <v/>
      </c>
      <c r="CD1010">
        <f>'T_TTAFStock'!CB44</f>
        <v/>
      </c>
      <c r="CE1010">
        <f>'T_TTAFStock'!CC44</f>
        <v/>
      </c>
      <c r="CF1010">
        <f>'T_TTAFStock'!CD44</f>
        <v/>
      </c>
      <c r="CG1010">
        <f>'T_TTAFStock'!CE44</f>
        <v/>
      </c>
      <c r="CH1010">
        <f>'T_TTAFStock'!CF44</f>
        <v/>
      </c>
      <c r="CI1010">
        <f>'T_TTAFStock'!CG44</f>
        <v/>
      </c>
      <c r="CJ1010">
        <f>'T_TTAFStock'!CH44</f>
        <v/>
      </c>
      <c r="CK1010">
        <f>'T_TTAFStock'!CI44</f>
        <v/>
      </c>
      <c r="CL1010">
        <f>'T_TTAFStock'!CJ44</f>
        <v/>
      </c>
      <c r="CM1010">
        <f>'T_TTAFStock'!CK44</f>
        <v/>
      </c>
      <c r="CN1010">
        <f>'T_TTAFStock'!CL44</f>
        <v/>
      </c>
      <c r="CO1010">
        <f>'T_TTAFStock'!CM44</f>
        <v/>
      </c>
      <c r="CP1010">
        <f>'T_TTAFStock'!CN44</f>
        <v/>
      </c>
      <c r="CQ1010">
        <f>'T_TTAFStock'!CO44</f>
        <v/>
      </c>
      <c r="CR1010">
        <f>'T_TTAFStock'!CP44</f>
        <v/>
      </c>
      <c r="CS1010">
        <f>'T_TTAFStock'!CQ44</f>
        <v/>
      </c>
      <c r="CT1010">
        <f>'T_TTAFStock'!CR44</f>
        <v/>
      </c>
      <c r="CU1010">
        <f>'T_TTAFStock'!CS44</f>
        <v/>
      </c>
      <c r="CV1010">
        <f>'T_TTAFStock'!CT44</f>
        <v/>
      </c>
      <c r="CW1010">
        <f>'T_TTAFStock'!CU44</f>
        <v/>
      </c>
      <c r="CX1010">
        <f>'T_TTAFStock'!CV44</f>
        <v/>
      </c>
      <c r="CY1010">
        <f>'T_TTAFStock'!CW44</f>
        <v/>
      </c>
      <c r="CZ1010">
        <f>'T_TTAFStock'!CX44</f>
        <v/>
      </c>
      <c r="DA1010">
        <f>'T_TTAFStock'!CY44</f>
        <v/>
      </c>
      <c r="DB1010">
        <f>'T_TTAFStock'!CZ44</f>
        <v/>
      </c>
      <c r="DC1010">
        <f>'T_TTAFStock'!DA44</f>
        <v/>
      </c>
    </row>
    <row r="1011">
      <c r="B1011" t="inlineStr">
        <is>
          <t>自社在庫(実績,kg)</t>
        </is>
      </c>
      <c r="D1011">
        <f>'T_SelfStock'!B44</f>
        <v/>
      </c>
      <c r="E1011">
        <f>'T_SelfStock'!C44</f>
        <v/>
      </c>
      <c r="F1011">
        <f>'T_SelfStock'!D44</f>
        <v/>
      </c>
      <c r="G1011">
        <f>'T_SelfStock'!E44</f>
        <v/>
      </c>
      <c r="H1011">
        <f>'T_SelfStock'!F44</f>
        <v/>
      </c>
      <c r="I1011">
        <f>'T_SelfStock'!G44</f>
        <v/>
      </c>
      <c r="J1011">
        <f>'T_SelfStock'!H44</f>
        <v/>
      </c>
      <c r="K1011">
        <f>'T_SelfStock'!I44</f>
        <v/>
      </c>
      <c r="L1011">
        <f>'T_SelfStock'!J44</f>
        <v/>
      </c>
      <c r="M1011">
        <f>'T_SelfStock'!K44</f>
        <v/>
      </c>
      <c r="N1011">
        <f>'T_SelfStock'!L44</f>
        <v/>
      </c>
      <c r="O1011">
        <f>'T_SelfStock'!M44</f>
        <v/>
      </c>
      <c r="P1011">
        <f>'T_SelfStock'!N44</f>
        <v/>
      </c>
      <c r="Q1011">
        <f>'T_SelfStock'!O44</f>
        <v/>
      </c>
      <c r="R1011">
        <f>'T_SelfStock'!P44</f>
        <v/>
      </c>
      <c r="S1011">
        <f>'T_SelfStock'!Q44</f>
        <v/>
      </c>
      <c r="T1011">
        <f>'T_SelfStock'!R44</f>
        <v/>
      </c>
      <c r="U1011">
        <f>'T_SelfStock'!S44</f>
        <v/>
      </c>
      <c r="V1011">
        <f>'T_SelfStock'!T44</f>
        <v/>
      </c>
      <c r="W1011">
        <f>'T_SelfStock'!U44</f>
        <v/>
      </c>
      <c r="X1011">
        <f>'T_SelfStock'!V44</f>
        <v/>
      </c>
      <c r="Y1011">
        <f>'T_SelfStock'!W44</f>
        <v/>
      </c>
      <c r="Z1011">
        <f>'T_SelfStock'!X44</f>
        <v/>
      </c>
      <c r="AA1011">
        <f>'T_SelfStock'!Y44</f>
        <v/>
      </c>
      <c r="AB1011">
        <f>'T_SelfStock'!Z44</f>
        <v/>
      </c>
      <c r="AC1011">
        <f>'T_SelfStock'!AA44</f>
        <v/>
      </c>
      <c r="AD1011">
        <f>'T_SelfStock'!AB44</f>
        <v/>
      </c>
      <c r="AE1011">
        <f>'T_SelfStock'!AC44</f>
        <v/>
      </c>
      <c r="AF1011">
        <f>'T_SelfStock'!AD44</f>
        <v/>
      </c>
      <c r="AG1011">
        <f>'T_SelfStock'!AE44</f>
        <v/>
      </c>
      <c r="AH1011">
        <f>'T_SelfStock'!AF44</f>
        <v/>
      </c>
      <c r="AI1011">
        <f>'T_SelfStock'!AG44</f>
        <v/>
      </c>
      <c r="AJ1011">
        <f>'T_SelfStock'!AH44</f>
        <v/>
      </c>
      <c r="AK1011">
        <f>'T_SelfStock'!AI44</f>
        <v/>
      </c>
      <c r="AL1011">
        <f>'T_SelfStock'!AJ44</f>
        <v/>
      </c>
      <c r="AM1011">
        <f>'T_SelfStock'!AK44</f>
        <v/>
      </c>
      <c r="AN1011">
        <f>'T_SelfStock'!AL44</f>
        <v/>
      </c>
      <c r="AO1011">
        <f>'T_SelfStock'!AM44</f>
        <v/>
      </c>
      <c r="AP1011">
        <f>'T_SelfStock'!AN44</f>
        <v/>
      </c>
      <c r="AQ1011">
        <f>'T_SelfStock'!AO44</f>
        <v/>
      </c>
      <c r="AR1011">
        <f>'T_SelfStock'!AP44</f>
        <v/>
      </c>
      <c r="AS1011">
        <f>'T_SelfStock'!AQ44</f>
        <v/>
      </c>
      <c r="AT1011">
        <f>'T_SelfStock'!AR44</f>
        <v/>
      </c>
      <c r="AU1011">
        <f>'T_SelfStock'!AS44</f>
        <v/>
      </c>
      <c r="AV1011">
        <f>'T_SelfStock'!AT44</f>
        <v/>
      </c>
      <c r="AW1011">
        <f>'T_SelfStock'!AU44</f>
        <v/>
      </c>
      <c r="AX1011">
        <f>'T_SelfStock'!AV44</f>
        <v/>
      </c>
      <c r="AY1011">
        <f>'T_SelfStock'!AW44</f>
        <v/>
      </c>
      <c r="AZ1011">
        <f>'T_SelfStock'!AX44</f>
        <v/>
      </c>
      <c r="BA1011">
        <f>'T_SelfStock'!AY44</f>
        <v/>
      </c>
      <c r="BB1011">
        <f>'T_SelfStock'!AZ44</f>
        <v/>
      </c>
      <c r="BC1011">
        <f>'T_SelfStock'!BA44</f>
        <v/>
      </c>
      <c r="BD1011">
        <f>'T_SelfStock'!BB44</f>
        <v/>
      </c>
      <c r="BE1011">
        <f>'T_SelfStock'!BC44</f>
        <v/>
      </c>
      <c r="BF1011">
        <f>'T_SelfStock'!BD44</f>
        <v/>
      </c>
      <c r="BG1011">
        <f>'T_SelfStock'!BE44</f>
        <v/>
      </c>
      <c r="BH1011">
        <f>'T_SelfStock'!BF44</f>
        <v/>
      </c>
      <c r="BI1011">
        <f>'T_SelfStock'!BG44</f>
        <v/>
      </c>
      <c r="BJ1011">
        <f>'T_SelfStock'!BH44</f>
        <v/>
      </c>
      <c r="BK1011">
        <f>'T_SelfStock'!BI44</f>
        <v/>
      </c>
      <c r="BL1011">
        <f>'T_SelfStock'!BJ44</f>
        <v/>
      </c>
      <c r="BM1011">
        <f>'T_SelfStock'!BK44</f>
        <v/>
      </c>
      <c r="BN1011">
        <f>'T_SelfStock'!BL44</f>
        <v/>
      </c>
      <c r="BO1011">
        <f>'T_SelfStock'!BM44</f>
        <v/>
      </c>
      <c r="BP1011">
        <f>'T_SelfStock'!BN44</f>
        <v/>
      </c>
      <c r="BQ1011">
        <f>'T_SelfStock'!BO44</f>
        <v/>
      </c>
      <c r="BR1011">
        <f>'T_SelfStock'!BP44</f>
        <v/>
      </c>
      <c r="BS1011">
        <f>'T_SelfStock'!BQ44</f>
        <v/>
      </c>
      <c r="BT1011">
        <f>'T_SelfStock'!BR44</f>
        <v/>
      </c>
      <c r="BU1011">
        <f>'T_SelfStock'!BS44</f>
        <v/>
      </c>
      <c r="BV1011">
        <f>'T_SelfStock'!BT44</f>
        <v/>
      </c>
      <c r="BW1011">
        <f>'T_SelfStock'!BU44</f>
        <v/>
      </c>
      <c r="BX1011">
        <f>'T_SelfStock'!BV44</f>
        <v/>
      </c>
      <c r="BY1011">
        <f>'T_SelfStock'!BW44</f>
        <v/>
      </c>
      <c r="BZ1011">
        <f>'T_SelfStock'!BX44</f>
        <v/>
      </c>
      <c r="CA1011">
        <f>'T_SelfStock'!BY44</f>
        <v/>
      </c>
      <c r="CB1011">
        <f>'T_SelfStock'!BZ44</f>
        <v/>
      </c>
      <c r="CC1011">
        <f>'T_SelfStock'!CA44</f>
        <v/>
      </c>
      <c r="CD1011">
        <f>'T_SelfStock'!CB44</f>
        <v/>
      </c>
      <c r="CE1011">
        <f>'T_SelfStock'!CC44</f>
        <v/>
      </c>
      <c r="CF1011">
        <f>'T_SelfStock'!CD44</f>
        <v/>
      </c>
      <c r="CG1011">
        <f>'T_SelfStock'!CE44</f>
        <v/>
      </c>
      <c r="CH1011">
        <f>'T_SelfStock'!CF44</f>
        <v/>
      </c>
      <c r="CI1011">
        <f>'T_SelfStock'!CG44</f>
        <v/>
      </c>
      <c r="CJ1011">
        <f>'T_SelfStock'!CH44</f>
        <v/>
      </c>
      <c r="CK1011">
        <f>'T_SelfStock'!CI44</f>
        <v/>
      </c>
      <c r="CL1011">
        <f>'T_SelfStock'!CJ44</f>
        <v/>
      </c>
      <c r="CM1011">
        <f>'T_SelfStock'!CK44</f>
        <v/>
      </c>
      <c r="CN1011">
        <f>'T_SelfStock'!CL44</f>
        <v/>
      </c>
      <c r="CO1011">
        <f>'T_SelfStock'!CM44</f>
        <v/>
      </c>
      <c r="CP1011">
        <f>'T_SelfStock'!CN44</f>
        <v/>
      </c>
      <c r="CQ1011">
        <f>'T_SelfStock'!CO44</f>
        <v/>
      </c>
      <c r="CR1011">
        <f>'T_SelfStock'!CP44</f>
        <v/>
      </c>
      <c r="CS1011">
        <f>'T_SelfStock'!CQ44</f>
        <v/>
      </c>
      <c r="CT1011">
        <f>'T_SelfStock'!CR44</f>
        <v/>
      </c>
      <c r="CU1011">
        <f>'T_SelfStock'!CS44</f>
        <v/>
      </c>
      <c r="CV1011">
        <f>'T_SelfStock'!CT44</f>
        <v/>
      </c>
      <c r="CW1011">
        <f>'T_SelfStock'!CU44</f>
        <v/>
      </c>
      <c r="CX1011">
        <f>'T_SelfStock'!CV44</f>
        <v/>
      </c>
      <c r="CY1011">
        <f>'T_SelfStock'!CW44</f>
        <v/>
      </c>
      <c r="CZ1011">
        <f>'T_SelfStock'!CX44</f>
        <v/>
      </c>
      <c r="DA1011">
        <f>'T_SelfStock'!CY44</f>
        <v/>
      </c>
      <c r="DB1011">
        <f>'T_SelfStock'!CZ44</f>
        <v/>
      </c>
      <c r="DC1011">
        <f>'T_SelfStock'!DA44</f>
        <v/>
      </c>
    </row>
    <row r="1012">
      <c r="B1012" s="4" t="inlineStr">
        <is>
          <t>合計在庫(週末時点,kg)</t>
        </is>
      </c>
      <c r="D1012">
        <f>'Grid_Stock'!B40</f>
        <v/>
      </c>
      <c r="E1012">
        <f>'Grid_Stock'!C40</f>
        <v/>
      </c>
      <c r="F1012">
        <f>'Grid_Stock'!D40</f>
        <v/>
      </c>
      <c r="G1012">
        <f>'Grid_Stock'!E40</f>
        <v/>
      </c>
      <c r="H1012">
        <f>'Grid_Stock'!F40</f>
        <v/>
      </c>
      <c r="I1012">
        <f>'Grid_Stock'!G40</f>
        <v/>
      </c>
      <c r="J1012">
        <f>'Grid_Stock'!H40</f>
        <v/>
      </c>
      <c r="K1012">
        <f>'Grid_Stock'!I40</f>
        <v/>
      </c>
      <c r="L1012">
        <f>'Grid_Stock'!J40</f>
        <v/>
      </c>
      <c r="M1012">
        <f>'Grid_Stock'!K40</f>
        <v/>
      </c>
      <c r="N1012">
        <f>'Grid_Stock'!L40</f>
        <v/>
      </c>
      <c r="O1012">
        <f>'Grid_Stock'!M40</f>
        <v/>
      </c>
      <c r="P1012">
        <f>'Grid_Stock'!N40</f>
        <v/>
      </c>
      <c r="Q1012">
        <f>'Grid_Stock'!O40</f>
        <v/>
      </c>
      <c r="R1012">
        <f>'Grid_Stock'!P40</f>
        <v/>
      </c>
      <c r="S1012">
        <f>'Grid_Stock'!Q40</f>
        <v/>
      </c>
      <c r="T1012">
        <f>'Grid_Stock'!R40</f>
        <v/>
      </c>
      <c r="U1012">
        <f>'Grid_Stock'!S40</f>
        <v/>
      </c>
      <c r="V1012">
        <f>'Grid_Stock'!T40</f>
        <v/>
      </c>
      <c r="W1012">
        <f>'Grid_Stock'!U40</f>
        <v/>
      </c>
      <c r="X1012">
        <f>'Grid_Stock'!V40</f>
        <v/>
      </c>
      <c r="Y1012">
        <f>'Grid_Stock'!W40</f>
        <v/>
      </c>
      <c r="Z1012">
        <f>'Grid_Stock'!X40</f>
        <v/>
      </c>
      <c r="AA1012">
        <f>'Grid_Stock'!Y40</f>
        <v/>
      </c>
      <c r="AB1012">
        <f>'Grid_Stock'!Z40</f>
        <v/>
      </c>
      <c r="AC1012">
        <f>'Grid_Stock'!AA40</f>
        <v/>
      </c>
      <c r="AD1012">
        <f>'Grid_Stock'!AB40</f>
        <v/>
      </c>
      <c r="AE1012">
        <f>'Grid_Stock'!AC40</f>
        <v/>
      </c>
      <c r="AF1012">
        <f>'Grid_Stock'!AD40</f>
        <v/>
      </c>
      <c r="AG1012">
        <f>'Grid_Stock'!AE40</f>
        <v/>
      </c>
      <c r="AH1012">
        <f>'Grid_Stock'!AF40</f>
        <v/>
      </c>
      <c r="AI1012">
        <f>'Grid_Stock'!AG40</f>
        <v/>
      </c>
      <c r="AJ1012">
        <f>'Grid_Stock'!AH40</f>
        <v/>
      </c>
      <c r="AK1012">
        <f>'Grid_Stock'!AI40</f>
        <v/>
      </c>
      <c r="AL1012">
        <f>'Grid_Stock'!AJ40</f>
        <v/>
      </c>
      <c r="AM1012">
        <f>'Grid_Stock'!AK40</f>
        <v/>
      </c>
      <c r="AN1012">
        <f>'Grid_Stock'!AL40</f>
        <v/>
      </c>
      <c r="AO1012">
        <f>'Grid_Stock'!AM40</f>
        <v/>
      </c>
      <c r="AP1012">
        <f>'Grid_Stock'!AN40</f>
        <v/>
      </c>
      <c r="AQ1012">
        <f>'Grid_Stock'!AO40</f>
        <v/>
      </c>
      <c r="AR1012">
        <f>'Grid_Stock'!AP40</f>
        <v/>
      </c>
      <c r="AS1012">
        <f>'Grid_Stock'!AQ40</f>
        <v/>
      </c>
      <c r="AT1012">
        <f>'Grid_Stock'!AR40</f>
        <v/>
      </c>
      <c r="AU1012">
        <f>'Grid_Stock'!AS40</f>
        <v/>
      </c>
      <c r="AV1012">
        <f>'Grid_Stock'!AT40</f>
        <v/>
      </c>
      <c r="AW1012">
        <f>'Grid_Stock'!AU40</f>
        <v/>
      </c>
      <c r="AX1012">
        <f>'Grid_Stock'!AV40</f>
        <v/>
      </c>
      <c r="AY1012">
        <f>'Grid_Stock'!AW40</f>
        <v/>
      </c>
      <c r="AZ1012">
        <f>'Grid_Stock'!AX40</f>
        <v/>
      </c>
      <c r="BA1012">
        <f>'Grid_Stock'!AY40</f>
        <v/>
      </c>
      <c r="BB1012">
        <f>'Grid_Stock'!AZ40</f>
        <v/>
      </c>
      <c r="BC1012">
        <f>'Grid_Stock'!BA40</f>
        <v/>
      </c>
      <c r="BD1012">
        <f>'Grid_Stock'!BB40</f>
        <v/>
      </c>
      <c r="BE1012">
        <f>'Grid_Stock'!BC40</f>
        <v/>
      </c>
      <c r="BF1012">
        <f>'Grid_Stock'!BD40</f>
        <v/>
      </c>
      <c r="BG1012">
        <f>'Grid_Stock'!BE40</f>
        <v/>
      </c>
      <c r="BH1012">
        <f>'Grid_Stock'!BF40</f>
        <v/>
      </c>
      <c r="BI1012">
        <f>'Grid_Stock'!BG40</f>
        <v/>
      </c>
      <c r="BJ1012">
        <f>'Grid_Stock'!BH40</f>
        <v/>
      </c>
      <c r="BK1012">
        <f>'Grid_Stock'!BI40</f>
        <v/>
      </c>
      <c r="BL1012">
        <f>'Grid_Stock'!BJ40</f>
        <v/>
      </c>
      <c r="BM1012">
        <f>'Grid_Stock'!BK40</f>
        <v/>
      </c>
      <c r="BN1012">
        <f>'Grid_Stock'!BL40</f>
        <v/>
      </c>
      <c r="BO1012">
        <f>'Grid_Stock'!BM40</f>
        <v/>
      </c>
      <c r="BP1012">
        <f>'Grid_Stock'!BN40</f>
        <v/>
      </c>
      <c r="BQ1012">
        <f>'Grid_Stock'!BO40</f>
        <v/>
      </c>
      <c r="BR1012">
        <f>'Grid_Stock'!BP40</f>
        <v/>
      </c>
      <c r="BS1012">
        <f>'Grid_Stock'!BQ40</f>
        <v/>
      </c>
      <c r="BT1012">
        <f>'Grid_Stock'!BR40</f>
        <v/>
      </c>
      <c r="BU1012">
        <f>'Grid_Stock'!BS40</f>
        <v/>
      </c>
      <c r="BV1012">
        <f>'Grid_Stock'!BT40</f>
        <v/>
      </c>
      <c r="BW1012">
        <f>'Grid_Stock'!BU40</f>
        <v/>
      </c>
      <c r="BX1012">
        <f>'Grid_Stock'!BV40</f>
        <v/>
      </c>
      <c r="BY1012">
        <f>'Grid_Stock'!BW40</f>
        <v/>
      </c>
      <c r="BZ1012">
        <f>'Grid_Stock'!BX40</f>
        <v/>
      </c>
      <c r="CA1012">
        <f>'Grid_Stock'!BY40</f>
        <v/>
      </c>
      <c r="CB1012">
        <f>'Grid_Stock'!BZ40</f>
        <v/>
      </c>
      <c r="CC1012">
        <f>'Grid_Stock'!CA40</f>
        <v/>
      </c>
      <c r="CD1012">
        <f>'Grid_Stock'!CB40</f>
        <v/>
      </c>
      <c r="CE1012">
        <f>'Grid_Stock'!CC40</f>
        <v/>
      </c>
      <c r="CF1012">
        <f>'Grid_Stock'!CD40</f>
        <v/>
      </c>
      <c r="CG1012">
        <f>'Grid_Stock'!CE40</f>
        <v/>
      </c>
      <c r="CH1012">
        <f>'Grid_Stock'!CF40</f>
        <v/>
      </c>
      <c r="CI1012">
        <f>'Grid_Stock'!CG40</f>
        <v/>
      </c>
      <c r="CJ1012">
        <f>'Grid_Stock'!CH40</f>
        <v/>
      </c>
      <c r="CK1012">
        <f>'Grid_Stock'!CI40</f>
        <v/>
      </c>
      <c r="CL1012">
        <f>'Grid_Stock'!CJ40</f>
        <v/>
      </c>
      <c r="CM1012">
        <f>'Grid_Stock'!CK40</f>
        <v/>
      </c>
      <c r="CN1012">
        <f>'Grid_Stock'!CL40</f>
        <v/>
      </c>
      <c r="CO1012">
        <f>'Grid_Stock'!CM40</f>
        <v/>
      </c>
      <c r="CP1012">
        <f>'Grid_Stock'!CN40</f>
        <v/>
      </c>
      <c r="CQ1012">
        <f>'Grid_Stock'!CO40</f>
        <v/>
      </c>
      <c r="CR1012">
        <f>'Grid_Stock'!CP40</f>
        <v/>
      </c>
      <c r="CS1012">
        <f>'Grid_Stock'!CQ40</f>
        <v/>
      </c>
      <c r="CT1012">
        <f>'Grid_Stock'!CR40</f>
        <v/>
      </c>
      <c r="CU1012">
        <f>'Grid_Stock'!CS40</f>
        <v/>
      </c>
      <c r="CV1012">
        <f>'Grid_Stock'!CT40</f>
        <v/>
      </c>
      <c r="CW1012">
        <f>'Grid_Stock'!CU40</f>
        <v/>
      </c>
      <c r="CX1012">
        <f>'Grid_Stock'!CV40</f>
        <v/>
      </c>
      <c r="CY1012">
        <f>'Grid_Stock'!CW40</f>
        <v/>
      </c>
      <c r="CZ1012">
        <f>'Grid_Stock'!CX40</f>
        <v/>
      </c>
      <c r="DA1012">
        <f>'Grid_Stock'!CY40</f>
        <v/>
      </c>
      <c r="DB1012">
        <f>'Grid_Stock'!CZ40</f>
        <v/>
      </c>
      <c r="DC1012">
        <f>'Grid_Stock'!DA40</f>
        <v/>
      </c>
    </row>
    <row r="1013">
      <c r="B1013" s="16" t="inlineStr">
        <is>
          <t>（発注の目安はDashboardの基準在庫[下限/上限]と色分けを参照）</t>
        </is>
      </c>
    </row>
    <row r="1015">
      <c r="A1015" s="14" t="inlineStr">
        <is>
          <t>TDJ</t>
        </is>
      </c>
      <c r="B1015" s="14" t="inlineStr">
        <is>
          <t>(11R-08) TP156- 103-130*TG</t>
        </is>
      </c>
      <c r="C1015" s="15" t="n"/>
      <c r="D1015" s="14" t="n"/>
      <c r="E1015" s="14" t="n"/>
      <c r="F1015" s="14" t="n"/>
      <c r="G1015" s="14" t="n"/>
      <c r="H1015" s="14" t="n"/>
      <c r="I1015" s="14" t="n"/>
      <c r="J1015" s="14" t="n"/>
      <c r="K1015" s="14" t="n"/>
      <c r="L1015" s="14" t="n"/>
      <c r="M1015" s="14" t="n"/>
      <c r="N1015" s="14" t="n"/>
      <c r="O1015" s="14" t="n"/>
      <c r="P1015" s="14" t="n"/>
      <c r="Q1015" s="14" t="n"/>
      <c r="R1015" s="14" t="n"/>
      <c r="S1015" s="14" t="n"/>
      <c r="T1015" s="14" t="n"/>
      <c r="U1015" s="14" t="n"/>
      <c r="V1015" s="14" t="n"/>
      <c r="W1015" s="14" t="n"/>
      <c r="X1015" s="14" t="n"/>
      <c r="Y1015" s="14" t="n"/>
      <c r="Z1015" s="14" t="n"/>
      <c r="AA1015" s="14" t="n"/>
      <c r="AB1015" s="14" t="n"/>
      <c r="AC1015" s="14" t="n"/>
      <c r="AD1015" s="14" t="n"/>
      <c r="AE1015" s="14" t="n"/>
      <c r="AF1015" s="14" t="n"/>
      <c r="AG1015" s="14" t="n"/>
      <c r="AH1015" s="14" t="n"/>
      <c r="AI1015" s="14" t="n"/>
      <c r="AJ1015" s="14" t="n"/>
      <c r="AK1015" s="14" t="n"/>
      <c r="AL1015" s="14" t="n"/>
      <c r="AM1015" s="14" t="n"/>
      <c r="AN1015" s="14" t="n"/>
      <c r="AO1015" s="14" t="n"/>
      <c r="AP1015" s="14" t="n"/>
      <c r="AQ1015" s="14" t="n"/>
      <c r="AR1015" s="14" t="n"/>
      <c r="AS1015" s="14" t="n"/>
      <c r="AT1015" s="14" t="n"/>
      <c r="AU1015" s="14" t="n"/>
      <c r="AV1015" s="14" t="n"/>
      <c r="AW1015" s="14" t="n"/>
      <c r="AX1015" s="14" t="n"/>
      <c r="AY1015" s="14" t="n"/>
      <c r="AZ1015" s="14" t="n"/>
      <c r="BA1015" s="14" t="n"/>
      <c r="BB1015" s="14" t="n"/>
      <c r="BC1015" s="14" t="n"/>
      <c r="BD1015" s="14" t="n"/>
      <c r="BE1015" s="14" t="n"/>
      <c r="BF1015" s="14" t="n"/>
      <c r="BG1015" s="14" t="n"/>
      <c r="BH1015" s="14" t="n"/>
      <c r="BI1015" s="14" t="n"/>
      <c r="BJ1015" s="14" t="n"/>
      <c r="BK1015" s="14" t="n"/>
      <c r="BL1015" s="14" t="n"/>
      <c r="BM1015" s="14" t="n"/>
      <c r="BN1015" s="14" t="n"/>
      <c r="BO1015" s="14" t="n"/>
      <c r="BP1015" s="14" t="n"/>
      <c r="BQ1015" s="14" t="n"/>
      <c r="BR1015" s="14" t="n"/>
      <c r="BS1015" s="14" t="n"/>
      <c r="BT1015" s="14" t="n"/>
      <c r="BU1015" s="14" t="n"/>
      <c r="BV1015" s="14" t="n"/>
      <c r="BW1015" s="14" t="n"/>
      <c r="BX1015" s="14" t="n"/>
      <c r="BY1015" s="14" t="n"/>
      <c r="BZ1015" s="14" t="n"/>
      <c r="CA1015" s="14" t="n"/>
      <c r="CB1015" s="14" t="n"/>
      <c r="CC1015" s="14" t="n"/>
      <c r="CD1015" s="14" t="n"/>
      <c r="CE1015" s="14" t="n"/>
      <c r="CF1015" s="14" t="n"/>
      <c r="CG1015" s="14" t="n"/>
      <c r="CH1015" s="14" t="n"/>
      <c r="CI1015" s="14" t="n"/>
      <c r="CJ1015" s="14" t="n"/>
      <c r="CK1015" s="14" t="n"/>
      <c r="CL1015" s="14" t="n"/>
      <c r="CM1015" s="14" t="n"/>
      <c r="CN1015" s="14" t="n"/>
      <c r="CO1015" s="14" t="n"/>
      <c r="CP1015" s="14" t="n"/>
      <c r="CQ1015" s="14" t="n"/>
      <c r="CR1015" s="14" t="n"/>
      <c r="CS1015" s="14" t="n"/>
      <c r="CT1015" s="14" t="n"/>
      <c r="CU1015" s="14" t="n"/>
      <c r="CV1015" s="14" t="n"/>
      <c r="CW1015" s="14" t="n"/>
      <c r="CX1015" s="14" t="n"/>
      <c r="CY1015" s="14" t="n"/>
      <c r="CZ1015" s="14" t="n"/>
      <c r="DA1015" s="14" t="n"/>
      <c r="DB1015" s="14" t="n"/>
      <c r="DC1015" s="14" t="n"/>
    </row>
    <row r="1016">
      <c r="B1016" t="inlineStr">
        <is>
          <t>0TA30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7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Name],$A1015)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s="4" t="inlineStr">
        <is>
          <t>合計使用量(kg)/週</t>
        </is>
      </c>
      <c r="D1018">
        <f>'Grid_Requirement'!B30</f>
        <v/>
      </c>
      <c r="E1018">
        <f>'Grid_Requirement'!C30</f>
        <v/>
      </c>
      <c r="F1018">
        <f>'Grid_Requirement'!D30</f>
        <v/>
      </c>
      <c r="G1018">
        <f>'Grid_Requirement'!E30</f>
        <v/>
      </c>
      <c r="H1018">
        <f>'Grid_Requirement'!F30</f>
        <v/>
      </c>
      <c r="I1018">
        <f>'Grid_Requirement'!G30</f>
        <v/>
      </c>
      <c r="J1018">
        <f>'Grid_Requirement'!H30</f>
        <v/>
      </c>
      <c r="K1018">
        <f>'Grid_Requirement'!I30</f>
        <v/>
      </c>
      <c r="L1018">
        <f>'Grid_Requirement'!J30</f>
        <v/>
      </c>
      <c r="M1018">
        <f>'Grid_Requirement'!K30</f>
        <v/>
      </c>
      <c r="N1018">
        <f>'Grid_Requirement'!L30</f>
        <v/>
      </c>
      <c r="O1018">
        <f>'Grid_Requirement'!M30</f>
        <v/>
      </c>
      <c r="P1018">
        <f>'Grid_Requirement'!N30</f>
        <v/>
      </c>
      <c r="Q1018">
        <f>'Grid_Requirement'!O30</f>
        <v/>
      </c>
      <c r="R1018">
        <f>'Grid_Requirement'!P30</f>
        <v/>
      </c>
      <c r="S1018">
        <f>'Grid_Requirement'!Q30</f>
        <v/>
      </c>
      <c r="T1018">
        <f>'Grid_Requirement'!R30</f>
        <v/>
      </c>
      <c r="U1018">
        <f>'Grid_Requirement'!S30</f>
        <v/>
      </c>
      <c r="V1018">
        <f>'Grid_Requirement'!T30</f>
        <v/>
      </c>
      <c r="W1018">
        <f>'Grid_Requirement'!U30</f>
        <v/>
      </c>
      <c r="X1018">
        <f>'Grid_Requirement'!V30</f>
        <v/>
      </c>
      <c r="Y1018">
        <f>'Grid_Requirement'!W30</f>
        <v/>
      </c>
      <c r="Z1018">
        <f>'Grid_Requirement'!X30</f>
        <v/>
      </c>
      <c r="AA1018">
        <f>'Grid_Requirement'!Y30</f>
        <v/>
      </c>
      <c r="AB1018">
        <f>'Grid_Requirement'!Z30</f>
        <v/>
      </c>
      <c r="AC1018">
        <f>'Grid_Requirement'!AA30</f>
        <v/>
      </c>
      <c r="AD1018">
        <f>'Grid_Requirement'!AB30</f>
        <v/>
      </c>
      <c r="AE1018">
        <f>'Grid_Requirement'!AC30</f>
        <v/>
      </c>
      <c r="AF1018">
        <f>'Grid_Requirement'!AD30</f>
        <v/>
      </c>
      <c r="AG1018">
        <f>'Grid_Requirement'!AE30</f>
        <v/>
      </c>
      <c r="AH1018">
        <f>'Grid_Requirement'!AF30</f>
        <v/>
      </c>
      <c r="AI1018">
        <f>'Grid_Requirement'!AG30</f>
        <v/>
      </c>
      <c r="AJ1018">
        <f>'Grid_Requirement'!AH30</f>
        <v/>
      </c>
      <c r="AK1018">
        <f>'Grid_Requirement'!AI30</f>
        <v/>
      </c>
      <c r="AL1018">
        <f>'Grid_Requirement'!AJ30</f>
        <v/>
      </c>
      <c r="AM1018">
        <f>'Grid_Requirement'!AK30</f>
        <v/>
      </c>
      <c r="AN1018">
        <f>'Grid_Requirement'!AL30</f>
        <v/>
      </c>
      <c r="AO1018">
        <f>'Grid_Requirement'!AM30</f>
        <v/>
      </c>
      <c r="AP1018">
        <f>'Grid_Requirement'!AN30</f>
        <v/>
      </c>
      <c r="AQ1018">
        <f>'Grid_Requirement'!AO30</f>
        <v/>
      </c>
      <c r="AR1018">
        <f>'Grid_Requirement'!AP30</f>
        <v/>
      </c>
      <c r="AS1018">
        <f>'Grid_Requirement'!AQ30</f>
        <v/>
      </c>
      <c r="AT1018">
        <f>'Grid_Requirement'!AR30</f>
        <v/>
      </c>
      <c r="AU1018">
        <f>'Grid_Requirement'!AS30</f>
        <v/>
      </c>
      <c r="AV1018">
        <f>'Grid_Requirement'!AT30</f>
        <v/>
      </c>
      <c r="AW1018">
        <f>'Grid_Requirement'!AU30</f>
        <v/>
      </c>
      <c r="AX1018">
        <f>'Grid_Requirement'!AV30</f>
        <v/>
      </c>
      <c r="AY1018">
        <f>'Grid_Requirement'!AW30</f>
        <v/>
      </c>
      <c r="AZ1018">
        <f>'Grid_Requirement'!AX30</f>
        <v/>
      </c>
      <c r="BA1018">
        <f>'Grid_Requirement'!AY30</f>
        <v/>
      </c>
      <c r="BB1018">
        <f>'Grid_Requirement'!AZ30</f>
        <v/>
      </c>
      <c r="BC1018">
        <f>'Grid_Requirement'!BA30</f>
        <v/>
      </c>
      <c r="BD1018">
        <f>'Grid_Requirement'!BB30</f>
        <v/>
      </c>
      <c r="BE1018">
        <f>'Grid_Requirement'!BC30</f>
        <v/>
      </c>
      <c r="BF1018">
        <f>'Grid_Requirement'!BD30</f>
        <v/>
      </c>
      <c r="BG1018">
        <f>'Grid_Requirement'!BE30</f>
        <v/>
      </c>
      <c r="BH1018">
        <f>'Grid_Requirement'!BF30</f>
        <v/>
      </c>
      <c r="BI1018">
        <f>'Grid_Requirement'!BG30</f>
        <v/>
      </c>
      <c r="BJ1018">
        <f>'Grid_Requirement'!BH30</f>
        <v/>
      </c>
      <c r="BK1018">
        <f>'Grid_Requirement'!BI30</f>
        <v/>
      </c>
      <c r="BL1018">
        <f>'Grid_Requirement'!BJ30</f>
        <v/>
      </c>
      <c r="BM1018">
        <f>'Grid_Requirement'!BK30</f>
        <v/>
      </c>
      <c r="BN1018">
        <f>'Grid_Requirement'!BL30</f>
        <v/>
      </c>
      <c r="BO1018">
        <f>'Grid_Requirement'!BM30</f>
        <v/>
      </c>
      <c r="BP1018">
        <f>'Grid_Requirement'!BN30</f>
        <v/>
      </c>
      <c r="BQ1018">
        <f>'Grid_Requirement'!BO30</f>
        <v/>
      </c>
      <c r="BR1018">
        <f>'Grid_Requirement'!BP30</f>
        <v/>
      </c>
      <c r="BS1018">
        <f>'Grid_Requirement'!BQ30</f>
        <v/>
      </c>
      <c r="BT1018">
        <f>'Grid_Requirement'!BR30</f>
        <v/>
      </c>
      <c r="BU1018">
        <f>'Grid_Requirement'!BS30</f>
        <v/>
      </c>
      <c r="BV1018">
        <f>'Grid_Requirement'!BT30</f>
        <v/>
      </c>
      <c r="BW1018">
        <f>'Grid_Requirement'!BU30</f>
        <v/>
      </c>
      <c r="BX1018">
        <f>'Grid_Requirement'!BV30</f>
        <v/>
      </c>
      <c r="BY1018">
        <f>'Grid_Requirement'!BW30</f>
        <v/>
      </c>
      <c r="BZ1018">
        <f>'Grid_Requirement'!BX30</f>
        <v/>
      </c>
      <c r="CA1018">
        <f>'Grid_Requirement'!BY30</f>
        <v/>
      </c>
      <c r="CB1018">
        <f>'Grid_Requirement'!BZ30</f>
        <v/>
      </c>
      <c r="CC1018">
        <f>'Grid_Requirement'!CA30</f>
        <v/>
      </c>
      <c r="CD1018">
        <f>'Grid_Requirement'!CB30</f>
        <v/>
      </c>
      <c r="CE1018">
        <f>'Grid_Requirement'!CC30</f>
        <v/>
      </c>
      <c r="CF1018">
        <f>'Grid_Requirement'!CD30</f>
        <v/>
      </c>
      <c r="CG1018">
        <f>'Grid_Requirement'!CE30</f>
        <v/>
      </c>
      <c r="CH1018">
        <f>'Grid_Requirement'!CF30</f>
        <v/>
      </c>
      <c r="CI1018">
        <f>'Grid_Requirement'!CG30</f>
        <v/>
      </c>
      <c r="CJ1018">
        <f>'Grid_Requirement'!CH30</f>
        <v/>
      </c>
      <c r="CK1018">
        <f>'Grid_Requirement'!CI30</f>
        <v/>
      </c>
      <c r="CL1018">
        <f>'Grid_Requirement'!CJ30</f>
        <v/>
      </c>
      <c r="CM1018">
        <f>'Grid_Requirement'!CK30</f>
        <v/>
      </c>
      <c r="CN1018">
        <f>'Grid_Requirement'!CL30</f>
        <v/>
      </c>
      <c r="CO1018">
        <f>'Grid_Requirement'!CM30</f>
        <v/>
      </c>
      <c r="CP1018">
        <f>'Grid_Requirement'!CN30</f>
        <v/>
      </c>
      <c r="CQ1018">
        <f>'Grid_Requirement'!CO30</f>
        <v/>
      </c>
      <c r="CR1018">
        <f>'Grid_Requirement'!CP30</f>
        <v/>
      </c>
      <c r="CS1018">
        <f>'Grid_Requirement'!CQ30</f>
        <v/>
      </c>
      <c r="CT1018">
        <f>'Grid_Requirement'!CR30</f>
        <v/>
      </c>
      <c r="CU1018">
        <f>'Grid_Requirement'!CS30</f>
        <v/>
      </c>
      <c r="CV1018">
        <f>'Grid_Requirement'!CT30</f>
        <v/>
      </c>
      <c r="CW1018">
        <f>'Grid_Requirement'!CU30</f>
        <v/>
      </c>
      <c r="CX1018">
        <f>'Grid_Requirement'!CV30</f>
        <v/>
      </c>
      <c r="CY1018">
        <f>'Grid_Requirement'!CW30</f>
        <v/>
      </c>
      <c r="CZ1018">
        <f>'Grid_Requirement'!CX30</f>
        <v/>
      </c>
      <c r="DA1018">
        <f>'Grid_Requirement'!CY30</f>
        <v/>
      </c>
      <c r="DB1018">
        <f>'Grid_Requirement'!CZ30</f>
        <v/>
      </c>
      <c r="DC1018">
        <f>'Grid_Requirement'!DA30</f>
        <v/>
      </c>
    </row>
    <row r="1019">
      <c r="B1019" t="inlineStr">
        <is>
          <t>TTAF在庫(実績,kg)</t>
        </is>
      </c>
      <c r="D1019">
        <f>'T_TTAFStock'!B34</f>
        <v/>
      </c>
      <c r="E1019">
        <f>'T_TTAFStock'!C34</f>
        <v/>
      </c>
      <c r="F1019">
        <f>'T_TTAFStock'!D34</f>
        <v/>
      </c>
      <c r="G1019">
        <f>'T_TTAFStock'!E34</f>
        <v/>
      </c>
      <c r="H1019">
        <f>'T_TTAFStock'!F34</f>
        <v/>
      </c>
      <c r="I1019">
        <f>'T_TTAFStock'!G34</f>
        <v/>
      </c>
      <c r="J1019">
        <f>'T_TTAFStock'!H34</f>
        <v/>
      </c>
      <c r="K1019">
        <f>'T_TTAFStock'!I34</f>
        <v/>
      </c>
      <c r="L1019">
        <f>'T_TTAFStock'!J34</f>
        <v/>
      </c>
      <c r="M1019">
        <f>'T_TTAFStock'!K34</f>
        <v/>
      </c>
      <c r="N1019">
        <f>'T_TTAFStock'!L34</f>
        <v/>
      </c>
      <c r="O1019">
        <f>'T_TTAFStock'!M34</f>
        <v/>
      </c>
      <c r="P1019">
        <f>'T_TTAFStock'!N34</f>
        <v/>
      </c>
      <c r="Q1019">
        <f>'T_TTAFStock'!O34</f>
        <v/>
      </c>
      <c r="R1019">
        <f>'T_TTAFStock'!P34</f>
        <v/>
      </c>
      <c r="S1019">
        <f>'T_TTAFStock'!Q34</f>
        <v/>
      </c>
      <c r="T1019">
        <f>'T_TTAFStock'!R34</f>
        <v/>
      </c>
      <c r="U1019">
        <f>'T_TTAFStock'!S34</f>
        <v/>
      </c>
      <c r="V1019">
        <f>'T_TTAFStock'!T34</f>
        <v/>
      </c>
      <c r="W1019">
        <f>'T_TTAFStock'!U34</f>
        <v/>
      </c>
      <c r="X1019">
        <f>'T_TTAFStock'!V34</f>
        <v/>
      </c>
      <c r="Y1019">
        <f>'T_TTAFStock'!W34</f>
        <v/>
      </c>
      <c r="Z1019">
        <f>'T_TTAFStock'!X34</f>
        <v/>
      </c>
      <c r="AA1019">
        <f>'T_TTAFStock'!Y34</f>
        <v/>
      </c>
      <c r="AB1019">
        <f>'T_TTAFStock'!Z34</f>
        <v/>
      </c>
      <c r="AC1019">
        <f>'T_TTAFStock'!AA34</f>
        <v/>
      </c>
      <c r="AD1019">
        <f>'T_TTAFStock'!AB34</f>
        <v/>
      </c>
      <c r="AE1019">
        <f>'T_TTAFStock'!AC34</f>
        <v/>
      </c>
      <c r="AF1019">
        <f>'T_TTAFStock'!AD34</f>
        <v/>
      </c>
      <c r="AG1019">
        <f>'T_TTAFStock'!AE34</f>
        <v/>
      </c>
      <c r="AH1019">
        <f>'T_TTAFStock'!AF34</f>
        <v/>
      </c>
      <c r="AI1019">
        <f>'T_TTAFStock'!AG34</f>
        <v/>
      </c>
      <c r="AJ1019">
        <f>'T_TTAFStock'!AH34</f>
        <v/>
      </c>
      <c r="AK1019">
        <f>'T_TTAFStock'!AI34</f>
        <v/>
      </c>
      <c r="AL1019">
        <f>'T_TTAFStock'!AJ34</f>
        <v/>
      </c>
      <c r="AM1019">
        <f>'T_TTAFStock'!AK34</f>
        <v/>
      </c>
      <c r="AN1019">
        <f>'T_TTAFStock'!AL34</f>
        <v/>
      </c>
      <c r="AO1019">
        <f>'T_TTAFStock'!AM34</f>
        <v/>
      </c>
      <c r="AP1019">
        <f>'T_TTAFStock'!AN34</f>
        <v/>
      </c>
      <c r="AQ1019">
        <f>'T_TTAFStock'!AO34</f>
        <v/>
      </c>
      <c r="AR1019">
        <f>'T_TTAFStock'!AP34</f>
        <v/>
      </c>
      <c r="AS1019">
        <f>'T_TTAFStock'!AQ34</f>
        <v/>
      </c>
      <c r="AT1019">
        <f>'T_TTAFStock'!AR34</f>
        <v/>
      </c>
      <c r="AU1019">
        <f>'T_TTAFStock'!AS34</f>
        <v/>
      </c>
      <c r="AV1019">
        <f>'T_TTAFStock'!AT34</f>
        <v/>
      </c>
      <c r="AW1019">
        <f>'T_TTAFStock'!AU34</f>
        <v/>
      </c>
      <c r="AX1019">
        <f>'T_TTAFStock'!AV34</f>
        <v/>
      </c>
      <c r="AY1019">
        <f>'T_TTAFStock'!AW34</f>
        <v/>
      </c>
      <c r="AZ1019">
        <f>'T_TTAFStock'!AX34</f>
        <v/>
      </c>
      <c r="BA1019">
        <f>'T_TTAFStock'!AY34</f>
        <v/>
      </c>
      <c r="BB1019">
        <f>'T_TTAFStock'!AZ34</f>
        <v/>
      </c>
      <c r="BC1019">
        <f>'T_TTAFStock'!BA34</f>
        <v/>
      </c>
      <c r="BD1019">
        <f>'T_TTAFStock'!BB34</f>
        <v/>
      </c>
      <c r="BE1019">
        <f>'T_TTAFStock'!BC34</f>
        <v/>
      </c>
      <c r="BF1019">
        <f>'T_TTAFStock'!BD34</f>
        <v/>
      </c>
      <c r="BG1019">
        <f>'T_TTAFStock'!BE34</f>
        <v/>
      </c>
      <c r="BH1019">
        <f>'T_TTAFStock'!BF34</f>
        <v/>
      </c>
      <c r="BI1019">
        <f>'T_TTAFStock'!BG34</f>
        <v/>
      </c>
      <c r="BJ1019">
        <f>'T_TTAFStock'!BH34</f>
        <v/>
      </c>
      <c r="BK1019">
        <f>'T_TTAFStock'!BI34</f>
        <v/>
      </c>
      <c r="BL1019">
        <f>'T_TTAFStock'!BJ34</f>
        <v/>
      </c>
      <c r="BM1019">
        <f>'T_TTAFStock'!BK34</f>
        <v/>
      </c>
      <c r="BN1019">
        <f>'T_TTAFStock'!BL34</f>
        <v/>
      </c>
      <c r="BO1019">
        <f>'T_TTAFStock'!BM34</f>
        <v/>
      </c>
      <c r="BP1019">
        <f>'T_TTAFStock'!BN34</f>
        <v/>
      </c>
      <c r="BQ1019">
        <f>'T_TTAFStock'!BO34</f>
        <v/>
      </c>
      <c r="BR1019">
        <f>'T_TTAFStock'!BP34</f>
        <v/>
      </c>
      <c r="BS1019">
        <f>'T_TTAFStock'!BQ34</f>
        <v/>
      </c>
      <c r="BT1019">
        <f>'T_TTAFStock'!BR34</f>
        <v/>
      </c>
      <c r="BU1019">
        <f>'T_TTAFStock'!BS34</f>
        <v/>
      </c>
      <c r="BV1019">
        <f>'T_TTAFStock'!BT34</f>
        <v/>
      </c>
      <c r="BW1019">
        <f>'T_TTAFStock'!BU34</f>
        <v/>
      </c>
      <c r="BX1019">
        <f>'T_TTAFStock'!BV34</f>
        <v/>
      </c>
      <c r="BY1019">
        <f>'T_TTAFStock'!BW34</f>
        <v/>
      </c>
      <c r="BZ1019">
        <f>'T_TTAFStock'!BX34</f>
        <v/>
      </c>
      <c r="CA1019">
        <f>'T_TTAFStock'!BY34</f>
        <v/>
      </c>
      <c r="CB1019">
        <f>'T_TTAFStock'!BZ34</f>
        <v/>
      </c>
      <c r="CC1019">
        <f>'T_TTAFStock'!CA34</f>
        <v/>
      </c>
      <c r="CD1019">
        <f>'T_TTAFStock'!CB34</f>
        <v/>
      </c>
      <c r="CE1019">
        <f>'T_TTAFStock'!CC34</f>
        <v/>
      </c>
      <c r="CF1019">
        <f>'T_TTAFStock'!CD34</f>
        <v/>
      </c>
      <c r="CG1019">
        <f>'T_TTAFStock'!CE34</f>
        <v/>
      </c>
      <c r="CH1019">
        <f>'T_TTAFStock'!CF34</f>
        <v/>
      </c>
      <c r="CI1019">
        <f>'T_TTAFStock'!CG34</f>
        <v/>
      </c>
      <c r="CJ1019">
        <f>'T_TTAFStock'!CH34</f>
        <v/>
      </c>
      <c r="CK1019">
        <f>'T_TTAFStock'!CI34</f>
        <v/>
      </c>
      <c r="CL1019">
        <f>'T_TTAFStock'!CJ34</f>
        <v/>
      </c>
      <c r="CM1019">
        <f>'T_TTAFStock'!CK34</f>
        <v/>
      </c>
      <c r="CN1019">
        <f>'T_TTAFStock'!CL34</f>
        <v/>
      </c>
      <c r="CO1019">
        <f>'T_TTAFStock'!CM34</f>
        <v/>
      </c>
      <c r="CP1019">
        <f>'T_TTAFStock'!CN34</f>
        <v/>
      </c>
      <c r="CQ1019">
        <f>'T_TTAFStock'!CO34</f>
        <v/>
      </c>
      <c r="CR1019">
        <f>'T_TTAFStock'!CP34</f>
        <v/>
      </c>
      <c r="CS1019">
        <f>'T_TTAFStock'!CQ34</f>
        <v/>
      </c>
      <c r="CT1019">
        <f>'T_TTAFStock'!CR34</f>
        <v/>
      </c>
      <c r="CU1019">
        <f>'T_TTAFStock'!CS34</f>
        <v/>
      </c>
      <c r="CV1019">
        <f>'T_TTAFStock'!CT34</f>
        <v/>
      </c>
      <c r="CW1019">
        <f>'T_TTAFStock'!CU34</f>
        <v/>
      </c>
      <c r="CX1019">
        <f>'T_TTAFStock'!CV34</f>
        <v/>
      </c>
      <c r="CY1019">
        <f>'T_TTAFStock'!CW34</f>
        <v/>
      </c>
      <c r="CZ1019">
        <f>'T_TTAFStock'!CX34</f>
        <v/>
      </c>
      <c r="DA1019">
        <f>'T_TTAFStock'!CY34</f>
        <v/>
      </c>
      <c r="DB1019">
        <f>'T_TTAFStock'!CZ34</f>
        <v/>
      </c>
      <c r="DC1019">
        <f>'T_TTAFStock'!DA34</f>
        <v/>
      </c>
    </row>
    <row r="1020">
      <c r="B1020" t="inlineStr">
        <is>
          <t>自社在庫(実績,kg)</t>
        </is>
      </c>
      <c r="D1020">
        <f>'T_SelfStock'!B34</f>
        <v/>
      </c>
      <c r="E1020">
        <f>'T_SelfStock'!C34</f>
        <v/>
      </c>
      <c r="F1020">
        <f>'T_SelfStock'!D34</f>
        <v/>
      </c>
      <c r="G1020">
        <f>'T_SelfStock'!E34</f>
        <v/>
      </c>
      <c r="H1020">
        <f>'T_SelfStock'!F34</f>
        <v/>
      </c>
      <c r="I1020">
        <f>'T_SelfStock'!G34</f>
        <v/>
      </c>
      <c r="J1020">
        <f>'T_SelfStock'!H34</f>
        <v/>
      </c>
      <c r="K1020">
        <f>'T_SelfStock'!I34</f>
        <v/>
      </c>
      <c r="L1020">
        <f>'T_SelfStock'!J34</f>
        <v/>
      </c>
      <c r="M1020">
        <f>'T_SelfStock'!K34</f>
        <v/>
      </c>
      <c r="N1020">
        <f>'T_SelfStock'!L34</f>
        <v/>
      </c>
      <c r="O1020">
        <f>'T_SelfStock'!M34</f>
        <v/>
      </c>
      <c r="P1020">
        <f>'T_SelfStock'!N34</f>
        <v/>
      </c>
      <c r="Q1020">
        <f>'T_SelfStock'!O34</f>
        <v/>
      </c>
      <c r="R1020">
        <f>'T_SelfStock'!P34</f>
        <v/>
      </c>
      <c r="S1020">
        <f>'T_SelfStock'!Q34</f>
        <v/>
      </c>
      <c r="T1020">
        <f>'T_SelfStock'!R34</f>
        <v/>
      </c>
      <c r="U1020">
        <f>'T_SelfStock'!S34</f>
        <v/>
      </c>
      <c r="V1020">
        <f>'T_SelfStock'!T34</f>
        <v/>
      </c>
      <c r="W1020">
        <f>'T_SelfStock'!U34</f>
        <v/>
      </c>
      <c r="X1020">
        <f>'T_SelfStock'!V34</f>
        <v/>
      </c>
      <c r="Y1020">
        <f>'T_SelfStock'!W34</f>
        <v/>
      </c>
      <c r="Z1020">
        <f>'T_SelfStock'!X34</f>
        <v/>
      </c>
      <c r="AA1020">
        <f>'T_SelfStock'!Y34</f>
        <v/>
      </c>
      <c r="AB1020">
        <f>'T_SelfStock'!Z34</f>
        <v/>
      </c>
      <c r="AC1020">
        <f>'T_SelfStock'!AA34</f>
        <v/>
      </c>
      <c r="AD1020">
        <f>'T_SelfStock'!AB34</f>
        <v/>
      </c>
      <c r="AE1020">
        <f>'T_SelfStock'!AC34</f>
        <v/>
      </c>
      <c r="AF1020">
        <f>'T_SelfStock'!AD34</f>
        <v/>
      </c>
      <c r="AG1020">
        <f>'T_SelfStock'!AE34</f>
        <v/>
      </c>
      <c r="AH1020">
        <f>'T_SelfStock'!AF34</f>
        <v/>
      </c>
      <c r="AI1020">
        <f>'T_SelfStock'!AG34</f>
        <v/>
      </c>
      <c r="AJ1020">
        <f>'T_SelfStock'!AH34</f>
        <v/>
      </c>
      <c r="AK1020">
        <f>'T_SelfStock'!AI34</f>
        <v/>
      </c>
      <c r="AL1020">
        <f>'T_SelfStock'!AJ34</f>
        <v/>
      </c>
      <c r="AM1020">
        <f>'T_SelfStock'!AK34</f>
        <v/>
      </c>
      <c r="AN1020">
        <f>'T_SelfStock'!AL34</f>
        <v/>
      </c>
      <c r="AO1020">
        <f>'T_SelfStock'!AM34</f>
        <v/>
      </c>
      <c r="AP1020">
        <f>'T_SelfStock'!AN34</f>
        <v/>
      </c>
      <c r="AQ1020">
        <f>'T_SelfStock'!AO34</f>
        <v/>
      </c>
      <c r="AR1020">
        <f>'T_SelfStock'!AP34</f>
        <v/>
      </c>
      <c r="AS1020">
        <f>'T_SelfStock'!AQ34</f>
        <v/>
      </c>
      <c r="AT1020">
        <f>'T_SelfStock'!AR34</f>
        <v/>
      </c>
      <c r="AU1020">
        <f>'T_SelfStock'!AS34</f>
        <v/>
      </c>
      <c r="AV1020">
        <f>'T_SelfStock'!AT34</f>
        <v/>
      </c>
      <c r="AW1020">
        <f>'T_SelfStock'!AU34</f>
        <v/>
      </c>
      <c r="AX1020">
        <f>'T_SelfStock'!AV34</f>
        <v/>
      </c>
      <c r="AY1020">
        <f>'T_SelfStock'!AW34</f>
        <v/>
      </c>
      <c r="AZ1020">
        <f>'T_SelfStock'!AX34</f>
        <v/>
      </c>
      <c r="BA1020">
        <f>'T_SelfStock'!AY34</f>
        <v/>
      </c>
      <c r="BB1020">
        <f>'T_SelfStock'!AZ34</f>
        <v/>
      </c>
      <c r="BC1020">
        <f>'T_SelfStock'!BA34</f>
        <v/>
      </c>
      <c r="BD1020">
        <f>'T_SelfStock'!BB34</f>
        <v/>
      </c>
      <c r="BE1020">
        <f>'T_SelfStock'!BC34</f>
        <v/>
      </c>
      <c r="BF1020">
        <f>'T_SelfStock'!BD34</f>
        <v/>
      </c>
      <c r="BG1020">
        <f>'T_SelfStock'!BE34</f>
        <v/>
      </c>
      <c r="BH1020">
        <f>'T_SelfStock'!BF34</f>
        <v/>
      </c>
      <c r="BI1020">
        <f>'T_SelfStock'!BG34</f>
        <v/>
      </c>
      <c r="BJ1020">
        <f>'T_SelfStock'!BH34</f>
        <v/>
      </c>
      <c r="BK1020">
        <f>'T_SelfStock'!BI34</f>
        <v/>
      </c>
      <c r="BL1020">
        <f>'T_SelfStock'!BJ34</f>
        <v/>
      </c>
      <c r="BM1020">
        <f>'T_SelfStock'!BK34</f>
        <v/>
      </c>
      <c r="BN1020">
        <f>'T_SelfStock'!BL34</f>
        <v/>
      </c>
      <c r="BO1020">
        <f>'T_SelfStock'!BM34</f>
        <v/>
      </c>
      <c r="BP1020">
        <f>'T_SelfStock'!BN34</f>
        <v/>
      </c>
      <c r="BQ1020">
        <f>'T_SelfStock'!BO34</f>
        <v/>
      </c>
      <c r="BR1020">
        <f>'T_SelfStock'!BP34</f>
        <v/>
      </c>
      <c r="BS1020">
        <f>'T_SelfStock'!BQ34</f>
        <v/>
      </c>
      <c r="BT1020">
        <f>'T_SelfStock'!BR34</f>
        <v/>
      </c>
      <c r="BU1020">
        <f>'T_SelfStock'!BS34</f>
        <v/>
      </c>
      <c r="BV1020">
        <f>'T_SelfStock'!BT34</f>
        <v/>
      </c>
      <c r="BW1020">
        <f>'T_SelfStock'!BU34</f>
        <v/>
      </c>
      <c r="BX1020">
        <f>'T_SelfStock'!BV34</f>
        <v/>
      </c>
      <c r="BY1020">
        <f>'T_SelfStock'!BW34</f>
        <v/>
      </c>
      <c r="BZ1020">
        <f>'T_SelfStock'!BX34</f>
        <v/>
      </c>
      <c r="CA1020">
        <f>'T_SelfStock'!BY34</f>
        <v/>
      </c>
      <c r="CB1020">
        <f>'T_SelfStock'!BZ34</f>
        <v/>
      </c>
      <c r="CC1020">
        <f>'T_SelfStock'!CA34</f>
        <v/>
      </c>
      <c r="CD1020">
        <f>'T_SelfStock'!CB34</f>
        <v/>
      </c>
      <c r="CE1020">
        <f>'T_SelfStock'!CC34</f>
        <v/>
      </c>
      <c r="CF1020">
        <f>'T_SelfStock'!CD34</f>
        <v/>
      </c>
      <c r="CG1020">
        <f>'T_SelfStock'!CE34</f>
        <v/>
      </c>
      <c r="CH1020">
        <f>'T_SelfStock'!CF34</f>
        <v/>
      </c>
      <c r="CI1020">
        <f>'T_SelfStock'!CG34</f>
        <v/>
      </c>
      <c r="CJ1020">
        <f>'T_SelfStock'!CH34</f>
        <v/>
      </c>
      <c r="CK1020">
        <f>'T_SelfStock'!CI34</f>
        <v/>
      </c>
      <c r="CL1020">
        <f>'T_SelfStock'!CJ34</f>
        <v/>
      </c>
      <c r="CM1020">
        <f>'T_SelfStock'!CK34</f>
        <v/>
      </c>
      <c r="CN1020">
        <f>'T_SelfStock'!CL34</f>
        <v/>
      </c>
      <c r="CO1020">
        <f>'T_SelfStock'!CM34</f>
        <v/>
      </c>
      <c r="CP1020">
        <f>'T_SelfStock'!CN34</f>
        <v/>
      </c>
      <c r="CQ1020">
        <f>'T_SelfStock'!CO34</f>
        <v/>
      </c>
      <c r="CR1020">
        <f>'T_SelfStock'!CP34</f>
        <v/>
      </c>
      <c r="CS1020">
        <f>'T_SelfStock'!CQ34</f>
        <v/>
      </c>
      <c r="CT1020">
        <f>'T_SelfStock'!CR34</f>
        <v/>
      </c>
      <c r="CU1020">
        <f>'T_SelfStock'!CS34</f>
        <v/>
      </c>
      <c r="CV1020">
        <f>'T_SelfStock'!CT34</f>
        <v/>
      </c>
      <c r="CW1020">
        <f>'T_SelfStock'!CU34</f>
        <v/>
      </c>
      <c r="CX1020">
        <f>'T_SelfStock'!CV34</f>
        <v/>
      </c>
      <c r="CY1020">
        <f>'T_SelfStock'!CW34</f>
        <v/>
      </c>
      <c r="CZ1020">
        <f>'T_SelfStock'!CX34</f>
        <v/>
      </c>
      <c r="DA1020">
        <f>'T_SelfStock'!CY34</f>
        <v/>
      </c>
      <c r="DB1020">
        <f>'T_SelfStock'!CZ34</f>
        <v/>
      </c>
      <c r="DC1020">
        <f>'T_SelfStock'!DA34</f>
        <v/>
      </c>
    </row>
    <row r="1021">
      <c r="B1021" s="4" t="inlineStr">
        <is>
          <t>合計在庫(週末時点,kg)</t>
        </is>
      </c>
      <c r="D1021">
        <f>'Grid_Stock'!B30</f>
        <v/>
      </c>
      <c r="E1021">
        <f>'Grid_Stock'!C30</f>
        <v/>
      </c>
      <c r="F1021">
        <f>'Grid_Stock'!D30</f>
        <v/>
      </c>
      <c r="G1021">
        <f>'Grid_Stock'!E30</f>
        <v/>
      </c>
      <c r="H1021">
        <f>'Grid_Stock'!F30</f>
        <v/>
      </c>
      <c r="I1021">
        <f>'Grid_Stock'!G30</f>
        <v/>
      </c>
      <c r="J1021">
        <f>'Grid_Stock'!H30</f>
        <v/>
      </c>
      <c r="K1021">
        <f>'Grid_Stock'!I30</f>
        <v/>
      </c>
      <c r="L1021">
        <f>'Grid_Stock'!J30</f>
        <v/>
      </c>
      <c r="M1021">
        <f>'Grid_Stock'!K30</f>
        <v/>
      </c>
      <c r="N1021">
        <f>'Grid_Stock'!L30</f>
        <v/>
      </c>
      <c r="O1021">
        <f>'Grid_Stock'!M30</f>
        <v/>
      </c>
      <c r="P1021">
        <f>'Grid_Stock'!N30</f>
        <v/>
      </c>
      <c r="Q1021">
        <f>'Grid_Stock'!O30</f>
        <v/>
      </c>
      <c r="R1021">
        <f>'Grid_Stock'!P30</f>
        <v/>
      </c>
      <c r="S1021">
        <f>'Grid_Stock'!Q30</f>
        <v/>
      </c>
      <c r="T1021">
        <f>'Grid_Stock'!R30</f>
        <v/>
      </c>
      <c r="U1021">
        <f>'Grid_Stock'!S30</f>
        <v/>
      </c>
      <c r="V1021">
        <f>'Grid_Stock'!T30</f>
        <v/>
      </c>
      <c r="W1021">
        <f>'Grid_Stock'!U30</f>
        <v/>
      </c>
      <c r="X1021">
        <f>'Grid_Stock'!V30</f>
        <v/>
      </c>
      <c r="Y1021">
        <f>'Grid_Stock'!W30</f>
        <v/>
      </c>
      <c r="Z1021">
        <f>'Grid_Stock'!X30</f>
        <v/>
      </c>
      <c r="AA1021">
        <f>'Grid_Stock'!Y30</f>
        <v/>
      </c>
      <c r="AB1021">
        <f>'Grid_Stock'!Z30</f>
        <v/>
      </c>
      <c r="AC1021">
        <f>'Grid_Stock'!AA30</f>
        <v/>
      </c>
      <c r="AD1021">
        <f>'Grid_Stock'!AB30</f>
        <v/>
      </c>
      <c r="AE1021">
        <f>'Grid_Stock'!AC30</f>
        <v/>
      </c>
      <c r="AF1021">
        <f>'Grid_Stock'!AD30</f>
        <v/>
      </c>
      <c r="AG1021">
        <f>'Grid_Stock'!AE30</f>
        <v/>
      </c>
      <c r="AH1021">
        <f>'Grid_Stock'!AF30</f>
        <v/>
      </c>
      <c r="AI1021">
        <f>'Grid_Stock'!AG30</f>
        <v/>
      </c>
      <c r="AJ1021">
        <f>'Grid_Stock'!AH30</f>
        <v/>
      </c>
      <c r="AK1021">
        <f>'Grid_Stock'!AI30</f>
        <v/>
      </c>
      <c r="AL1021">
        <f>'Grid_Stock'!AJ30</f>
        <v/>
      </c>
      <c r="AM1021">
        <f>'Grid_Stock'!AK30</f>
        <v/>
      </c>
      <c r="AN1021">
        <f>'Grid_Stock'!AL30</f>
        <v/>
      </c>
      <c r="AO1021">
        <f>'Grid_Stock'!AM30</f>
        <v/>
      </c>
      <c r="AP1021">
        <f>'Grid_Stock'!AN30</f>
        <v/>
      </c>
      <c r="AQ1021">
        <f>'Grid_Stock'!AO30</f>
        <v/>
      </c>
      <c r="AR1021">
        <f>'Grid_Stock'!AP30</f>
        <v/>
      </c>
      <c r="AS1021">
        <f>'Grid_Stock'!AQ30</f>
        <v/>
      </c>
      <c r="AT1021">
        <f>'Grid_Stock'!AR30</f>
        <v/>
      </c>
      <c r="AU1021">
        <f>'Grid_Stock'!AS30</f>
        <v/>
      </c>
      <c r="AV1021">
        <f>'Grid_Stock'!AT30</f>
        <v/>
      </c>
      <c r="AW1021">
        <f>'Grid_Stock'!AU30</f>
        <v/>
      </c>
      <c r="AX1021">
        <f>'Grid_Stock'!AV30</f>
        <v/>
      </c>
      <c r="AY1021">
        <f>'Grid_Stock'!AW30</f>
        <v/>
      </c>
      <c r="AZ1021">
        <f>'Grid_Stock'!AX30</f>
        <v/>
      </c>
      <c r="BA1021">
        <f>'Grid_Stock'!AY30</f>
        <v/>
      </c>
      <c r="BB1021">
        <f>'Grid_Stock'!AZ30</f>
        <v/>
      </c>
      <c r="BC1021">
        <f>'Grid_Stock'!BA30</f>
        <v/>
      </c>
      <c r="BD1021">
        <f>'Grid_Stock'!BB30</f>
        <v/>
      </c>
      <c r="BE1021">
        <f>'Grid_Stock'!BC30</f>
        <v/>
      </c>
      <c r="BF1021">
        <f>'Grid_Stock'!BD30</f>
        <v/>
      </c>
      <c r="BG1021">
        <f>'Grid_Stock'!BE30</f>
        <v/>
      </c>
      <c r="BH1021">
        <f>'Grid_Stock'!BF30</f>
        <v/>
      </c>
      <c r="BI1021">
        <f>'Grid_Stock'!BG30</f>
        <v/>
      </c>
      <c r="BJ1021">
        <f>'Grid_Stock'!BH30</f>
        <v/>
      </c>
      <c r="BK1021">
        <f>'Grid_Stock'!BI30</f>
        <v/>
      </c>
      <c r="BL1021">
        <f>'Grid_Stock'!BJ30</f>
        <v/>
      </c>
      <c r="BM1021">
        <f>'Grid_Stock'!BK30</f>
        <v/>
      </c>
      <c r="BN1021">
        <f>'Grid_Stock'!BL30</f>
        <v/>
      </c>
      <c r="BO1021">
        <f>'Grid_Stock'!BM30</f>
        <v/>
      </c>
      <c r="BP1021">
        <f>'Grid_Stock'!BN30</f>
        <v/>
      </c>
      <c r="BQ1021">
        <f>'Grid_Stock'!BO30</f>
        <v/>
      </c>
      <c r="BR1021">
        <f>'Grid_Stock'!BP30</f>
        <v/>
      </c>
      <c r="BS1021">
        <f>'Grid_Stock'!BQ30</f>
        <v/>
      </c>
      <c r="BT1021">
        <f>'Grid_Stock'!BR30</f>
        <v/>
      </c>
      <c r="BU1021">
        <f>'Grid_Stock'!BS30</f>
        <v/>
      </c>
      <c r="BV1021">
        <f>'Grid_Stock'!BT30</f>
        <v/>
      </c>
      <c r="BW1021">
        <f>'Grid_Stock'!BU30</f>
        <v/>
      </c>
      <c r="BX1021">
        <f>'Grid_Stock'!BV30</f>
        <v/>
      </c>
      <c r="BY1021">
        <f>'Grid_Stock'!BW30</f>
        <v/>
      </c>
      <c r="BZ1021">
        <f>'Grid_Stock'!BX30</f>
        <v/>
      </c>
      <c r="CA1021">
        <f>'Grid_Stock'!BY30</f>
        <v/>
      </c>
      <c r="CB1021">
        <f>'Grid_Stock'!BZ30</f>
        <v/>
      </c>
      <c r="CC1021">
        <f>'Grid_Stock'!CA30</f>
        <v/>
      </c>
      <c r="CD1021">
        <f>'Grid_Stock'!CB30</f>
        <v/>
      </c>
      <c r="CE1021">
        <f>'Grid_Stock'!CC30</f>
        <v/>
      </c>
      <c r="CF1021">
        <f>'Grid_Stock'!CD30</f>
        <v/>
      </c>
      <c r="CG1021">
        <f>'Grid_Stock'!CE30</f>
        <v/>
      </c>
      <c r="CH1021">
        <f>'Grid_Stock'!CF30</f>
        <v/>
      </c>
      <c r="CI1021">
        <f>'Grid_Stock'!CG30</f>
        <v/>
      </c>
      <c r="CJ1021">
        <f>'Grid_Stock'!CH30</f>
        <v/>
      </c>
      <c r="CK1021">
        <f>'Grid_Stock'!CI30</f>
        <v/>
      </c>
      <c r="CL1021">
        <f>'Grid_Stock'!CJ30</f>
        <v/>
      </c>
      <c r="CM1021">
        <f>'Grid_Stock'!CK30</f>
        <v/>
      </c>
      <c r="CN1021">
        <f>'Grid_Stock'!CL30</f>
        <v/>
      </c>
      <c r="CO1021">
        <f>'Grid_Stock'!CM30</f>
        <v/>
      </c>
      <c r="CP1021">
        <f>'Grid_Stock'!CN30</f>
        <v/>
      </c>
      <c r="CQ1021">
        <f>'Grid_Stock'!CO30</f>
        <v/>
      </c>
      <c r="CR1021">
        <f>'Grid_Stock'!CP30</f>
        <v/>
      </c>
      <c r="CS1021">
        <f>'Grid_Stock'!CQ30</f>
        <v/>
      </c>
      <c r="CT1021">
        <f>'Grid_Stock'!CR30</f>
        <v/>
      </c>
      <c r="CU1021">
        <f>'Grid_Stock'!CS30</f>
        <v/>
      </c>
      <c r="CV1021">
        <f>'Grid_Stock'!CT30</f>
        <v/>
      </c>
      <c r="CW1021">
        <f>'Grid_Stock'!CU30</f>
        <v/>
      </c>
      <c r="CX1021">
        <f>'Grid_Stock'!CV30</f>
        <v/>
      </c>
      <c r="CY1021">
        <f>'Grid_Stock'!CW30</f>
        <v/>
      </c>
      <c r="CZ1021">
        <f>'Grid_Stock'!CX30</f>
        <v/>
      </c>
      <c r="DA1021">
        <f>'Grid_Stock'!CY30</f>
        <v/>
      </c>
      <c r="DB1021">
        <f>'Grid_Stock'!CZ30</f>
        <v/>
      </c>
      <c r="DC1021">
        <f>'Grid_Stock'!DA30</f>
        <v/>
      </c>
    </row>
    <row r="1022">
      <c r="B1022" s="16" t="inlineStr">
        <is>
          <t>（発注の目安はDashboardの基準在庫[下限/上限]と色分けを参照）</t>
        </is>
      </c>
    </row>
    <row r="1024">
      <c r="A1024" s="14" t="inlineStr">
        <is>
          <t>CHEM-1020</t>
        </is>
      </c>
      <c r="B1024" s="14" t="inlineStr">
        <is>
          <t>Sodium Nitrite</t>
        </is>
      </c>
      <c r="C1024" s="15" t="n"/>
      <c r="D1024" s="14" t="n"/>
      <c r="E1024" s="14" t="n"/>
      <c r="F1024" s="14" t="n"/>
      <c r="G1024" s="14" t="n"/>
      <c r="H1024" s="14" t="n"/>
      <c r="I1024" s="14" t="n"/>
      <c r="J1024" s="14" t="n"/>
      <c r="K1024" s="14" t="n"/>
      <c r="L1024" s="14" t="n"/>
      <c r="M1024" s="14" t="n"/>
      <c r="N1024" s="14" t="n"/>
      <c r="O1024" s="14" t="n"/>
      <c r="P1024" s="14" t="n"/>
      <c r="Q1024" s="14" t="n"/>
      <c r="R1024" s="14" t="n"/>
      <c r="S1024" s="14" t="n"/>
      <c r="T1024" s="14" t="n"/>
      <c r="U1024" s="14" t="n"/>
      <c r="V1024" s="14" t="n"/>
      <c r="W1024" s="14" t="n"/>
      <c r="X1024" s="14" t="n"/>
      <c r="Y1024" s="14" t="n"/>
      <c r="Z1024" s="14" t="n"/>
      <c r="AA1024" s="14" t="n"/>
      <c r="AB1024" s="14" t="n"/>
      <c r="AC1024" s="14" t="n"/>
      <c r="AD1024" s="14" t="n"/>
      <c r="AE1024" s="14" t="n"/>
      <c r="AF1024" s="14" t="n"/>
      <c r="AG1024" s="14" t="n"/>
      <c r="AH1024" s="14" t="n"/>
      <c r="AI1024" s="14" t="n"/>
      <c r="AJ1024" s="14" t="n"/>
      <c r="AK1024" s="14" t="n"/>
      <c r="AL1024" s="14" t="n"/>
      <c r="AM1024" s="14" t="n"/>
      <c r="AN1024" s="14" t="n"/>
      <c r="AO1024" s="14" t="n"/>
      <c r="AP1024" s="14" t="n"/>
      <c r="AQ1024" s="14" t="n"/>
      <c r="AR1024" s="14" t="n"/>
      <c r="AS1024" s="14" t="n"/>
      <c r="AT1024" s="14" t="n"/>
      <c r="AU1024" s="14" t="n"/>
      <c r="AV1024" s="14" t="n"/>
      <c r="AW1024" s="14" t="n"/>
      <c r="AX1024" s="14" t="n"/>
      <c r="AY1024" s="14" t="n"/>
      <c r="AZ1024" s="14" t="n"/>
      <c r="BA1024" s="14" t="n"/>
      <c r="BB1024" s="14" t="n"/>
      <c r="BC1024" s="14" t="n"/>
      <c r="BD1024" s="14" t="n"/>
      <c r="BE1024" s="14" t="n"/>
      <c r="BF1024" s="14" t="n"/>
      <c r="BG1024" s="14" t="n"/>
      <c r="BH1024" s="14" t="n"/>
      <c r="BI1024" s="14" t="n"/>
      <c r="BJ1024" s="14" t="n"/>
      <c r="BK1024" s="14" t="n"/>
      <c r="BL1024" s="14" t="n"/>
      <c r="BM1024" s="14" t="n"/>
      <c r="BN1024" s="14" t="n"/>
      <c r="BO1024" s="14" t="n"/>
      <c r="BP1024" s="14" t="n"/>
      <c r="BQ1024" s="14" t="n"/>
      <c r="BR1024" s="14" t="n"/>
      <c r="BS1024" s="14" t="n"/>
      <c r="BT1024" s="14" t="n"/>
      <c r="BU1024" s="14" t="n"/>
      <c r="BV1024" s="14" t="n"/>
      <c r="BW1024" s="14" t="n"/>
      <c r="BX1024" s="14" t="n"/>
      <c r="BY1024" s="14" t="n"/>
      <c r="BZ1024" s="14" t="n"/>
      <c r="CA1024" s="14" t="n"/>
      <c r="CB1024" s="14" t="n"/>
      <c r="CC1024" s="14" t="n"/>
      <c r="CD1024" s="14" t="n"/>
      <c r="CE1024" s="14" t="n"/>
      <c r="CF1024" s="14" t="n"/>
      <c r="CG1024" s="14" t="n"/>
      <c r="CH1024" s="14" t="n"/>
      <c r="CI1024" s="14" t="n"/>
      <c r="CJ1024" s="14" t="n"/>
      <c r="CK1024" s="14" t="n"/>
      <c r="CL1024" s="14" t="n"/>
      <c r="CM1024" s="14" t="n"/>
      <c r="CN1024" s="14" t="n"/>
      <c r="CO1024" s="14" t="n"/>
      <c r="CP1024" s="14" t="n"/>
      <c r="CQ1024" s="14" t="n"/>
      <c r="CR1024" s="14" t="n"/>
      <c r="CS1024" s="14" t="n"/>
      <c r="CT1024" s="14" t="n"/>
      <c r="CU1024" s="14" t="n"/>
      <c r="CV1024" s="14" t="n"/>
      <c r="CW1024" s="14" t="n"/>
      <c r="CX1024" s="14" t="n"/>
      <c r="CY1024" s="14" t="n"/>
      <c r="CZ1024" s="14" t="n"/>
      <c r="DA1024" s="14" t="n"/>
      <c r="DB1024" s="14" t="n"/>
      <c r="DC1024" s="14" t="n"/>
    </row>
    <row r="1025">
      <c r="B1025" t="inlineStr">
        <is>
          <t>20p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7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Name],$A1024)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s="4" t="inlineStr">
        <is>
          <t>合計使用量(kg)/週</t>
        </is>
      </c>
      <c r="D1027">
        <f>'Grid_Requirement'!B37</f>
        <v/>
      </c>
      <c r="E1027">
        <f>'Grid_Requirement'!C37</f>
        <v/>
      </c>
      <c r="F1027">
        <f>'Grid_Requirement'!D37</f>
        <v/>
      </c>
      <c r="G1027">
        <f>'Grid_Requirement'!E37</f>
        <v/>
      </c>
      <c r="H1027">
        <f>'Grid_Requirement'!F37</f>
        <v/>
      </c>
      <c r="I1027">
        <f>'Grid_Requirement'!G37</f>
        <v/>
      </c>
      <c r="J1027">
        <f>'Grid_Requirement'!H37</f>
        <v/>
      </c>
      <c r="K1027">
        <f>'Grid_Requirement'!I37</f>
        <v/>
      </c>
      <c r="L1027">
        <f>'Grid_Requirement'!J37</f>
        <v/>
      </c>
      <c r="M1027">
        <f>'Grid_Requirement'!K37</f>
        <v/>
      </c>
      <c r="N1027">
        <f>'Grid_Requirement'!L37</f>
        <v/>
      </c>
      <c r="O1027">
        <f>'Grid_Requirement'!M37</f>
        <v/>
      </c>
      <c r="P1027">
        <f>'Grid_Requirement'!N37</f>
        <v/>
      </c>
      <c r="Q1027">
        <f>'Grid_Requirement'!O37</f>
        <v/>
      </c>
      <c r="R1027">
        <f>'Grid_Requirement'!P37</f>
        <v/>
      </c>
      <c r="S1027">
        <f>'Grid_Requirement'!Q37</f>
        <v/>
      </c>
      <c r="T1027">
        <f>'Grid_Requirement'!R37</f>
        <v/>
      </c>
      <c r="U1027">
        <f>'Grid_Requirement'!S37</f>
        <v/>
      </c>
      <c r="V1027">
        <f>'Grid_Requirement'!T37</f>
        <v/>
      </c>
      <c r="W1027">
        <f>'Grid_Requirement'!U37</f>
        <v/>
      </c>
      <c r="X1027">
        <f>'Grid_Requirement'!V37</f>
        <v/>
      </c>
      <c r="Y1027">
        <f>'Grid_Requirement'!W37</f>
        <v/>
      </c>
      <c r="Z1027">
        <f>'Grid_Requirement'!X37</f>
        <v/>
      </c>
      <c r="AA1027">
        <f>'Grid_Requirement'!Y37</f>
        <v/>
      </c>
      <c r="AB1027">
        <f>'Grid_Requirement'!Z37</f>
        <v/>
      </c>
      <c r="AC1027">
        <f>'Grid_Requirement'!AA37</f>
        <v/>
      </c>
      <c r="AD1027">
        <f>'Grid_Requirement'!AB37</f>
        <v/>
      </c>
      <c r="AE1027">
        <f>'Grid_Requirement'!AC37</f>
        <v/>
      </c>
      <c r="AF1027">
        <f>'Grid_Requirement'!AD37</f>
        <v/>
      </c>
      <c r="AG1027">
        <f>'Grid_Requirement'!AE37</f>
        <v/>
      </c>
      <c r="AH1027">
        <f>'Grid_Requirement'!AF37</f>
        <v/>
      </c>
      <c r="AI1027">
        <f>'Grid_Requirement'!AG37</f>
        <v/>
      </c>
      <c r="AJ1027">
        <f>'Grid_Requirement'!AH37</f>
        <v/>
      </c>
      <c r="AK1027">
        <f>'Grid_Requirement'!AI37</f>
        <v/>
      </c>
      <c r="AL1027">
        <f>'Grid_Requirement'!AJ37</f>
        <v/>
      </c>
      <c r="AM1027">
        <f>'Grid_Requirement'!AK37</f>
        <v/>
      </c>
      <c r="AN1027">
        <f>'Grid_Requirement'!AL37</f>
        <v/>
      </c>
      <c r="AO1027">
        <f>'Grid_Requirement'!AM37</f>
        <v/>
      </c>
      <c r="AP1027">
        <f>'Grid_Requirement'!AN37</f>
        <v/>
      </c>
      <c r="AQ1027">
        <f>'Grid_Requirement'!AO37</f>
        <v/>
      </c>
      <c r="AR1027">
        <f>'Grid_Requirement'!AP37</f>
        <v/>
      </c>
      <c r="AS1027">
        <f>'Grid_Requirement'!AQ37</f>
        <v/>
      </c>
      <c r="AT1027">
        <f>'Grid_Requirement'!AR37</f>
        <v/>
      </c>
      <c r="AU1027">
        <f>'Grid_Requirement'!AS37</f>
        <v/>
      </c>
      <c r="AV1027">
        <f>'Grid_Requirement'!AT37</f>
        <v/>
      </c>
      <c r="AW1027">
        <f>'Grid_Requirement'!AU37</f>
        <v/>
      </c>
      <c r="AX1027">
        <f>'Grid_Requirement'!AV37</f>
        <v/>
      </c>
      <c r="AY1027">
        <f>'Grid_Requirement'!AW37</f>
        <v/>
      </c>
      <c r="AZ1027">
        <f>'Grid_Requirement'!AX37</f>
        <v/>
      </c>
      <c r="BA1027">
        <f>'Grid_Requirement'!AY37</f>
        <v/>
      </c>
      <c r="BB1027">
        <f>'Grid_Requirement'!AZ37</f>
        <v/>
      </c>
      <c r="BC1027">
        <f>'Grid_Requirement'!BA37</f>
        <v/>
      </c>
      <c r="BD1027">
        <f>'Grid_Requirement'!BB37</f>
        <v/>
      </c>
      <c r="BE1027">
        <f>'Grid_Requirement'!BC37</f>
        <v/>
      </c>
      <c r="BF1027">
        <f>'Grid_Requirement'!BD37</f>
        <v/>
      </c>
      <c r="BG1027">
        <f>'Grid_Requirement'!BE37</f>
        <v/>
      </c>
      <c r="BH1027">
        <f>'Grid_Requirement'!BF37</f>
        <v/>
      </c>
      <c r="BI1027">
        <f>'Grid_Requirement'!BG37</f>
        <v/>
      </c>
      <c r="BJ1027">
        <f>'Grid_Requirement'!BH37</f>
        <v/>
      </c>
      <c r="BK1027">
        <f>'Grid_Requirement'!BI37</f>
        <v/>
      </c>
      <c r="BL1027">
        <f>'Grid_Requirement'!BJ37</f>
        <v/>
      </c>
      <c r="BM1027">
        <f>'Grid_Requirement'!BK37</f>
        <v/>
      </c>
      <c r="BN1027">
        <f>'Grid_Requirement'!BL37</f>
        <v/>
      </c>
      <c r="BO1027">
        <f>'Grid_Requirement'!BM37</f>
        <v/>
      </c>
      <c r="BP1027">
        <f>'Grid_Requirement'!BN37</f>
        <v/>
      </c>
      <c r="BQ1027">
        <f>'Grid_Requirement'!BO37</f>
        <v/>
      </c>
      <c r="BR1027">
        <f>'Grid_Requirement'!BP37</f>
        <v/>
      </c>
      <c r="BS1027">
        <f>'Grid_Requirement'!BQ37</f>
        <v/>
      </c>
      <c r="BT1027">
        <f>'Grid_Requirement'!BR37</f>
        <v/>
      </c>
      <c r="BU1027">
        <f>'Grid_Requirement'!BS37</f>
        <v/>
      </c>
      <c r="BV1027">
        <f>'Grid_Requirement'!BT37</f>
        <v/>
      </c>
      <c r="BW1027">
        <f>'Grid_Requirement'!BU37</f>
        <v/>
      </c>
      <c r="BX1027">
        <f>'Grid_Requirement'!BV37</f>
        <v/>
      </c>
      <c r="BY1027">
        <f>'Grid_Requirement'!BW37</f>
        <v/>
      </c>
      <c r="BZ1027">
        <f>'Grid_Requirement'!BX37</f>
        <v/>
      </c>
      <c r="CA1027">
        <f>'Grid_Requirement'!BY37</f>
        <v/>
      </c>
      <c r="CB1027">
        <f>'Grid_Requirement'!BZ37</f>
        <v/>
      </c>
      <c r="CC1027">
        <f>'Grid_Requirement'!CA37</f>
        <v/>
      </c>
      <c r="CD1027">
        <f>'Grid_Requirement'!CB37</f>
        <v/>
      </c>
      <c r="CE1027">
        <f>'Grid_Requirement'!CC37</f>
        <v/>
      </c>
      <c r="CF1027">
        <f>'Grid_Requirement'!CD37</f>
        <v/>
      </c>
      <c r="CG1027">
        <f>'Grid_Requirement'!CE37</f>
        <v/>
      </c>
      <c r="CH1027">
        <f>'Grid_Requirement'!CF37</f>
        <v/>
      </c>
      <c r="CI1027">
        <f>'Grid_Requirement'!CG37</f>
        <v/>
      </c>
      <c r="CJ1027">
        <f>'Grid_Requirement'!CH37</f>
        <v/>
      </c>
      <c r="CK1027">
        <f>'Grid_Requirement'!CI37</f>
        <v/>
      </c>
      <c r="CL1027">
        <f>'Grid_Requirement'!CJ37</f>
        <v/>
      </c>
      <c r="CM1027">
        <f>'Grid_Requirement'!CK37</f>
        <v/>
      </c>
      <c r="CN1027">
        <f>'Grid_Requirement'!CL37</f>
        <v/>
      </c>
      <c r="CO1027">
        <f>'Grid_Requirement'!CM37</f>
        <v/>
      </c>
      <c r="CP1027">
        <f>'Grid_Requirement'!CN37</f>
        <v/>
      </c>
      <c r="CQ1027">
        <f>'Grid_Requirement'!CO37</f>
        <v/>
      </c>
      <c r="CR1027">
        <f>'Grid_Requirement'!CP37</f>
        <v/>
      </c>
      <c r="CS1027">
        <f>'Grid_Requirement'!CQ37</f>
        <v/>
      </c>
      <c r="CT1027">
        <f>'Grid_Requirement'!CR37</f>
        <v/>
      </c>
      <c r="CU1027">
        <f>'Grid_Requirement'!CS37</f>
        <v/>
      </c>
      <c r="CV1027">
        <f>'Grid_Requirement'!CT37</f>
        <v/>
      </c>
      <c r="CW1027">
        <f>'Grid_Requirement'!CU37</f>
        <v/>
      </c>
      <c r="CX1027">
        <f>'Grid_Requirement'!CV37</f>
        <v/>
      </c>
      <c r="CY1027">
        <f>'Grid_Requirement'!CW37</f>
        <v/>
      </c>
      <c r="CZ1027">
        <f>'Grid_Requirement'!CX37</f>
        <v/>
      </c>
      <c r="DA1027">
        <f>'Grid_Requirement'!CY37</f>
        <v/>
      </c>
      <c r="DB1027">
        <f>'Grid_Requirement'!CZ37</f>
        <v/>
      </c>
      <c r="DC1027">
        <f>'Grid_Requirement'!DA37</f>
        <v/>
      </c>
    </row>
    <row r="1028">
      <c r="B1028" t="inlineStr">
        <is>
          <t>TTAF在庫(実績,kg)</t>
        </is>
      </c>
      <c r="D1028">
        <f>'T_TTAFStock'!B41</f>
        <v/>
      </c>
      <c r="E1028">
        <f>'T_TTAFStock'!C41</f>
        <v/>
      </c>
      <c r="F1028">
        <f>'T_TTAFStock'!D41</f>
        <v/>
      </c>
      <c r="G1028">
        <f>'T_TTAFStock'!E41</f>
        <v/>
      </c>
      <c r="H1028">
        <f>'T_TTAFStock'!F41</f>
        <v/>
      </c>
      <c r="I1028">
        <f>'T_TTAFStock'!G41</f>
        <v/>
      </c>
      <c r="J1028">
        <f>'T_TTAFStock'!H41</f>
        <v/>
      </c>
      <c r="K1028">
        <f>'T_TTAFStock'!I41</f>
        <v/>
      </c>
      <c r="L1028">
        <f>'T_TTAFStock'!J41</f>
        <v/>
      </c>
      <c r="M1028">
        <f>'T_TTAFStock'!K41</f>
        <v/>
      </c>
      <c r="N1028">
        <f>'T_TTAFStock'!L41</f>
        <v/>
      </c>
      <c r="O1028">
        <f>'T_TTAFStock'!M41</f>
        <v/>
      </c>
      <c r="P1028">
        <f>'T_TTAFStock'!N41</f>
        <v/>
      </c>
      <c r="Q1028">
        <f>'T_TTAFStock'!O41</f>
        <v/>
      </c>
      <c r="R1028">
        <f>'T_TTAFStock'!P41</f>
        <v/>
      </c>
      <c r="S1028">
        <f>'T_TTAFStock'!Q41</f>
        <v/>
      </c>
      <c r="T1028">
        <f>'T_TTAFStock'!R41</f>
        <v/>
      </c>
      <c r="U1028">
        <f>'T_TTAFStock'!S41</f>
        <v/>
      </c>
      <c r="V1028">
        <f>'T_TTAFStock'!T41</f>
        <v/>
      </c>
      <c r="W1028">
        <f>'T_TTAFStock'!U41</f>
        <v/>
      </c>
      <c r="X1028">
        <f>'T_TTAFStock'!V41</f>
        <v/>
      </c>
      <c r="Y1028">
        <f>'T_TTAFStock'!W41</f>
        <v/>
      </c>
      <c r="Z1028">
        <f>'T_TTAFStock'!X41</f>
        <v/>
      </c>
      <c r="AA1028">
        <f>'T_TTAFStock'!Y41</f>
        <v/>
      </c>
      <c r="AB1028">
        <f>'T_TTAFStock'!Z41</f>
        <v/>
      </c>
      <c r="AC1028">
        <f>'T_TTAFStock'!AA41</f>
        <v/>
      </c>
      <c r="AD1028">
        <f>'T_TTAFStock'!AB41</f>
        <v/>
      </c>
      <c r="AE1028">
        <f>'T_TTAFStock'!AC41</f>
        <v/>
      </c>
      <c r="AF1028">
        <f>'T_TTAFStock'!AD41</f>
        <v/>
      </c>
      <c r="AG1028">
        <f>'T_TTAFStock'!AE41</f>
        <v/>
      </c>
      <c r="AH1028">
        <f>'T_TTAFStock'!AF41</f>
        <v/>
      </c>
      <c r="AI1028">
        <f>'T_TTAFStock'!AG41</f>
        <v/>
      </c>
      <c r="AJ1028">
        <f>'T_TTAFStock'!AH41</f>
        <v/>
      </c>
      <c r="AK1028">
        <f>'T_TTAFStock'!AI41</f>
        <v/>
      </c>
      <c r="AL1028">
        <f>'T_TTAFStock'!AJ41</f>
        <v/>
      </c>
      <c r="AM1028">
        <f>'T_TTAFStock'!AK41</f>
        <v/>
      </c>
      <c r="AN1028">
        <f>'T_TTAFStock'!AL41</f>
        <v/>
      </c>
      <c r="AO1028">
        <f>'T_TTAFStock'!AM41</f>
        <v/>
      </c>
      <c r="AP1028">
        <f>'T_TTAFStock'!AN41</f>
        <v/>
      </c>
      <c r="AQ1028">
        <f>'T_TTAFStock'!AO41</f>
        <v/>
      </c>
      <c r="AR1028">
        <f>'T_TTAFStock'!AP41</f>
        <v/>
      </c>
      <c r="AS1028">
        <f>'T_TTAFStock'!AQ41</f>
        <v/>
      </c>
      <c r="AT1028">
        <f>'T_TTAFStock'!AR41</f>
        <v/>
      </c>
      <c r="AU1028">
        <f>'T_TTAFStock'!AS41</f>
        <v/>
      </c>
      <c r="AV1028">
        <f>'T_TTAFStock'!AT41</f>
        <v/>
      </c>
      <c r="AW1028">
        <f>'T_TTAFStock'!AU41</f>
        <v/>
      </c>
      <c r="AX1028">
        <f>'T_TTAFStock'!AV41</f>
        <v/>
      </c>
      <c r="AY1028">
        <f>'T_TTAFStock'!AW41</f>
        <v/>
      </c>
      <c r="AZ1028">
        <f>'T_TTAFStock'!AX41</f>
        <v/>
      </c>
      <c r="BA1028">
        <f>'T_TTAFStock'!AY41</f>
        <v/>
      </c>
      <c r="BB1028">
        <f>'T_TTAFStock'!AZ41</f>
        <v/>
      </c>
      <c r="BC1028">
        <f>'T_TTAFStock'!BA41</f>
        <v/>
      </c>
      <c r="BD1028">
        <f>'T_TTAFStock'!BB41</f>
        <v/>
      </c>
      <c r="BE1028">
        <f>'T_TTAFStock'!BC41</f>
        <v/>
      </c>
      <c r="BF1028">
        <f>'T_TTAFStock'!BD41</f>
        <v/>
      </c>
      <c r="BG1028">
        <f>'T_TTAFStock'!BE41</f>
        <v/>
      </c>
      <c r="BH1028">
        <f>'T_TTAFStock'!BF41</f>
        <v/>
      </c>
      <c r="BI1028">
        <f>'T_TTAFStock'!BG41</f>
        <v/>
      </c>
      <c r="BJ1028">
        <f>'T_TTAFStock'!BH41</f>
        <v/>
      </c>
      <c r="BK1028">
        <f>'T_TTAFStock'!BI41</f>
        <v/>
      </c>
      <c r="BL1028">
        <f>'T_TTAFStock'!BJ41</f>
        <v/>
      </c>
      <c r="BM1028">
        <f>'T_TTAFStock'!BK41</f>
        <v/>
      </c>
      <c r="BN1028">
        <f>'T_TTAFStock'!BL41</f>
        <v/>
      </c>
      <c r="BO1028">
        <f>'T_TTAFStock'!BM41</f>
        <v/>
      </c>
      <c r="BP1028">
        <f>'T_TTAFStock'!BN41</f>
        <v/>
      </c>
      <c r="BQ1028">
        <f>'T_TTAFStock'!BO41</f>
        <v/>
      </c>
      <c r="BR1028">
        <f>'T_TTAFStock'!BP41</f>
        <v/>
      </c>
      <c r="BS1028">
        <f>'T_TTAFStock'!BQ41</f>
        <v/>
      </c>
      <c r="BT1028">
        <f>'T_TTAFStock'!BR41</f>
        <v/>
      </c>
      <c r="BU1028">
        <f>'T_TTAFStock'!BS41</f>
        <v/>
      </c>
      <c r="BV1028">
        <f>'T_TTAFStock'!BT41</f>
        <v/>
      </c>
      <c r="BW1028">
        <f>'T_TTAFStock'!BU41</f>
        <v/>
      </c>
      <c r="BX1028">
        <f>'T_TTAFStock'!BV41</f>
        <v/>
      </c>
      <c r="BY1028">
        <f>'T_TTAFStock'!BW41</f>
        <v/>
      </c>
      <c r="BZ1028">
        <f>'T_TTAFStock'!BX41</f>
        <v/>
      </c>
      <c r="CA1028">
        <f>'T_TTAFStock'!BY41</f>
        <v/>
      </c>
      <c r="CB1028">
        <f>'T_TTAFStock'!BZ41</f>
        <v/>
      </c>
      <c r="CC1028">
        <f>'T_TTAFStock'!CA41</f>
        <v/>
      </c>
      <c r="CD1028">
        <f>'T_TTAFStock'!CB41</f>
        <v/>
      </c>
      <c r="CE1028">
        <f>'T_TTAFStock'!CC41</f>
        <v/>
      </c>
      <c r="CF1028">
        <f>'T_TTAFStock'!CD41</f>
        <v/>
      </c>
      <c r="CG1028">
        <f>'T_TTAFStock'!CE41</f>
        <v/>
      </c>
      <c r="CH1028">
        <f>'T_TTAFStock'!CF41</f>
        <v/>
      </c>
      <c r="CI1028">
        <f>'T_TTAFStock'!CG41</f>
        <v/>
      </c>
      <c r="CJ1028">
        <f>'T_TTAFStock'!CH41</f>
        <v/>
      </c>
      <c r="CK1028">
        <f>'T_TTAFStock'!CI41</f>
        <v/>
      </c>
      <c r="CL1028">
        <f>'T_TTAFStock'!CJ41</f>
        <v/>
      </c>
      <c r="CM1028">
        <f>'T_TTAFStock'!CK41</f>
        <v/>
      </c>
      <c r="CN1028">
        <f>'T_TTAFStock'!CL41</f>
        <v/>
      </c>
      <c r="CO1028">
        <f>'T_TTAFStock'!CM41</f>
        <v/>
      </c>
      <c r="CP1028">
        <f>'T_TTAFStock'!CN41</f>
        <v/>
      </c>
      <c r="CQ1028">
        <f>'T_TTAFStock'!CO41</f>
        <v/>
      </c>
      <c r="CR1028">
        <f>'T_TTAFStock'!CP41</f>
        <v/>
      </c>
      <c r="CS1028">
        <f>'T_TTAFStock'!CQ41</f>
        <v/>
      </c>
      <c r="CT1028">
        <f>'T_TTAFStock'!CR41</f>
        <v/>
      </c>
      <c r="CU1028">
        <f>'T_TTAFStock'!CS41</f>
        <v/>
      </c>
      <c r="CV1028">
        <f>'T_TTAFStock'!CT41</f>
        <v/>
      </c>
      <c r="CW1028">
        <f>'T_TTAFStock'!CU41</f>
        <v/>
      </c>
      <c r="CX1028">
        <f>'T_TTAFStock'!CV41</f>
        <v/>
      </c>
      <c r="CY1028">
        <f>'T_TTAFStock'!CW41</f>
        <v/>
      </c>
      <c r="CZ1028">
        <f>'T_TTAFStock'!CX41</f>
        <v/>
      </c>
      <c r="DA1028">
        <f>'T_TTAFStock'!CY41</f>
        <v/>
      </c>
      <c r="DB1028">
        <f>'T_TTAFStock'!CZ41</f>
        <v/>
      </c>
      <c r="DC1028">
        <f>'T_TTAFStock'!DA41</f>
        <v/>
      </c>
    </row>
    <row r="1029">
      <c r="B1029" t="inlineStr">
        <is>
          <t>自社在庫(実績,kg)</t>
        </is>
      </c>
      <c r="D1029">
        <f>'T_SelfStock'!B41</f>
        <v/>
      </c>
      <c r="E1029">
        <f>'T_SelfStock'!C41</f>
        <v/>
      </c>
      <c r="F1029">
        <f>'T_SelfStock'!D41</f>
        <v/>
      </c>
      <c r="G1029">
        <f>'T_SelfStock'!E41</f>
        <v/>
      </c>
      <c r="H1029">
        <f>'T_SelfStock'!F41</f>
        <v/>
      </c>
      <c r="I1029">
        <f>'T_SelfStock'!G41</f>
        <v/>
      </c>
      <c r="J1029">
        <f>'T_SelfStock'!H41</f>
        <v/>
      </c>
      <c r="K1029">
        <f>'T_SelfStock'!I41</f>
        <v/>
      </c>
      <c r="L1029">
        <f>'T_SelfStock'!J41</f>
        <v/>
      </c>
      <c r="M1029">
        <f>'T_SelfStock'!K41</f>
        <v/>
      </c>
      <c r="N1029">
        <f>'T_SelfStock'!L41</f>
        <v/>
      </c>
      <c r="O1029">
        <f>'T_SelfStock'!M41</f>
        <v/>
      </c>
      <c r="P1029">
        <f>'T_SelfStock'!N41</f>
        <v/>
      </c>
      <c r="Q1029">
        <f>'T_SelfStock'!O41</f>
        <v/>
      </c>
      <c r="R1029">
        <f>'T_SelfStock'!P41</f>
        <v/>
      </c>
      <c r="S1029">
        <f>'T_SelfStock'!Q41</f>
        <v/>
      </c>
      <c r="T1029">
        <f>'T_SelfStock'!R41</f>
        <v/>
      </c>
      <c r="U1029">
        <f>'T_SelfStock'!S41</f>
        <v/>
      </c>
      <c r="V1029">
        <f>'T_SelfStock'!T41</f>
        <v/>
      </c>
      <c r="W1029">
        <f>'T_SelfStock'!U41</f>
        <v/>
      </c>
      <c r="X1029">
        <f>'T_SelfStock'!V41</f>
        <v/>
      </c>
      <c r="Y1029">
        <f>'T_SelfStock'!W41</f>
        <v/>
      </c>
      <c r="Z1029">
        <f>'T_SelfStock'!X41</f>
        <v/>
      </c>
      <c r="AA1029">
        <f>'T_SelfStock'!Y41</f>
        <v/>
      </c>
      <c r="AB1029">
        <f>'T_SelfStock'!Z41</f>
        <v/>
      </c>
      <c r="AC1029">
        <f>'T_SelfStock'!AA41</f>
        <v/>
      </c>
      <c r="AD1029">
        <f>'T_SelfStock'!AB41</f>
        <v/>
      </c>
      <c r="AE1029">
        <f>'T_SelfStock'!AC41</f>
        <v/>
      </c>
      <c r="AF1029">
        <f>'T_SelfStock'!AD41</f>
        <v/>
      </c>
      <c r="AG1029">
        <f>'T_SelfStock'!AE41</f>
        <v/>
      </c>
      <c r="AH1029">
        <f>'T_SelfStock'!AF41</f>
        <v/>
      </c>
      <c r="AI1029">
        <f>'T_SelfStock'!AG41</f>
        <v/>
      </c>
      <c r="AJ1029">
        <f>'T_SelfStock'!AH41</f>
        <v/>
      </c>
      <c r="AK1029">
        <f>'T_SelfStock'!AI41</f>
        <v/>
      </c>
      <c r="AL1029">
        <f>'T_SelfStock'!AJ41</f>
        <v/>
      </c>
      <c r="AM1029">
        <f>'T_SelfStock'!AK41</f>
        <v/>
      </c>
      <c r="AN1029">
        <f>'T_SelfStock'!AL41</f>
        <v/>
      </c>
      <c r="AO1029">
        <f>'T_SelfStock'!AM41</f>
        <v/>
      </c>
      <c r="AP1029">
        <f>'T_SelfStock'!AN41</f>
        <v/>
      </c>
      <c r="AQ1029">
        <f>'T_SelfStock'!AO41</f>
        <v/>
      </c>
      <c r="AR1029">
        <f>'T_SelfStock'!AP41</f>
        <v/>
      </c>
      <c r="AS1029">
        <f>'T_SelfStock'!AQ41</f>
        <v/>
      </c>
      <c r="AT1029">
        <f>'T_SelfStock'!AR41</f>
        <v/>
      </c>
      <c r="AU1029">
        <f>'T_SelfStock'!AS41</f>
        <v/>
      </c>
      <c r="AV1029">
        <f>'T_SelfStock'!AT41</f>
        <v/>
      </c>
      <c r="AW1029">
        <f>'T_SelfStock'!AU41</f>
        <v/>
      </c>
      <c r="AX1029">
        <f>'T_SelfStock'!AV41</f>
        <v/>
      </c>
      <c r="AY1029">
        <f>'T_SelfStock'!AW41</f>
        <v/>
      </c>
      <c r="AZ1029">
        <f>'T_SelfStock'!AX41</f>
        <v/>
      </c>
      <c r="BA1029">
        <f>'T_SelfStock'!AY41</f>
        <v/>
      </c>
      <c r="BB1029">
        <f>'T_SelfStock'!AZ41</f>
        <v/>
      </c>
      <c r="BC1029">
        <f>'T_SelfStock'!BA41</f>
        <v/>
      </c>
      <c r="BD1029">
        <f>'T_SelfStock'!BB41</f>
        <v/>
      </c>
      <c r="BE1029">
        <f>'T_SelfStock'!BC41</f>
        <v/>
      </c>
      <c r="BF1029">
        <f>'T_SelfStock'!BD41</f>
        <v/>
      </c>
      <c r="BG1029">
        <f>'T_SelfStock'!BE41</f>
        <v/>
      </c>
      <c r="BH1029">
        <f>'T_SelfStock'!BF41</f>
        <v/>
      </c>
      <c r="BI1029">
        <f>'T_SelfStock'!BG41</f>
        <v/>
      </c>
      <c r="BJ1029">
        <f>'T_SelfStock'!BH41</f>
        <v/>
      </c>
      <c r="BK1029">
        <f>'T_SelfStock'!BI41</f>
        <v/>
      </c>
      <c r="BL1029">
        <f>'T_SelfStock'!BJ41</f>
        <v/>
      </c>
      <c r="BM1029">
        <f>'T_SelfStock'!BK41</f>
        <v/>
      </c>
      <c r="BN1029">
        <f>'T_SelfStock'!BL41</f>
        <v/>
      </c>
      <c r="BO1029">
        <f>'T_SelfStock'!BM41</f>
        <v/>
      </c>
      <c r="BP1029">
        <f>'T_SelfStock'!BN41</f>
        <v/>
      </c>
      <c r="BQ1029">
        <f>'T_SelfStock'!BO41</f>
        <v/>
      </c>
      <c r="BR1029">
        <f>'T_SelfStock'!BP41</f>
        <v/>
      </c>
      <c r="BS1029">
        <f>'T_SelfStock'!BQ41</f>
        <v/>
      </c>
      <c r="BT1029">
        <f>'T_SelfStock'!BR41</f>
        <v/>
      </c>
      <c r="BU1029">
        <f>'T_SelfStock'!BS41</f>
        <v/>
      </c>
      <c r="BV1029">
        <f>'T_SelfStock'!BT41</f>
        <v/>
      </c>
      <c r="BW1029">
        <f>'T_SelfStock'!BU41</f>
        <v/>
      </c>
      <c r="BX1029">
        <f>'T_SelfStock'!BV41</f>
        <v/>
      </c>
      <c r="BY1029">
        <f>'T_SelfStock'!BW41</f>
        <v/>
      </c>
      <c r="BZ1029">
        <f>'T_SelfStock'!BX41</f>
        <v/>
      </c>
      <c r="CA1029">
        <f>'T_SelfStock'!BY41</f>
        <v/>
      </c>
      <c r="CB1029">
        <f>'T_SelfStock'!BZ41</f>
        <v/>
      </c>
      <c r="CC1029">
        <f>'T_SelfStock'!CA41</f>
        <v/>
      </c>
      <c r="CD1029">
        <f>'T_SelfStock'!CB41</f>
        <v/>
      </c>
      <c r="CE1029">
        <f>'T_SelfStock'!CC41</f>
        <v/>
      </c>
      <c r="CF1029">
        <f>'T_SelfStock'!CD41</f>
        <v/>
      </c>
      <c r="CG1029">
        <f>'T_SelfStock'!CE41</f>
        <v/>
      </c>
      <c r="CH1029">
        <f>'T_SelfStock'!CF41</f>
        <v/>
      </c>
      <c r="CI1029">
        <f>'T_SelfStock'!CG41</f>
        <v/>
      </c>
      <c r="CJ1029">
        <f>'T_SelfStock'!CH41</f>
        <v/>
      </c>
      <c r="CK1029">
        <f>'T_SelfStock'!CI41</f>
        <v/>
      </c>
      <c r="CL1029">
        <f>'T_SelfStock'!CJ41</f>
        <v/>
      </c>
      <c r="CM1029">
        <f>'T_SelfStock'!CK41</f>
        <v/>
      </c>
      <c r="CN1029">
        <f>'T_SelfStock'!CL41</f>
        <v/>
      </c>
      <c r="CO1029">
        <f>'T_SelfStock'!CM41</f>
        <v/>
      </c>
      <c r="CP1029">
        <f>'T_SelfStock'!CN41</f>
        <v/>
      </c>
      <c r="CQ1029">
        <f>'T_SelfStock'!CO41</f>
        <v/>
      </c>
      <c r="CR1029">
        <f>'T_SelfStock'!CP41</f>
        <v/>
      </c>
      <c r="CS1029">
        <f>'T_SelfStock'!CQ41</f>
        <v/>
      </c>
      <c r="CT1029">
        <f>'T_SelfStock'!CR41</f>
        <v/>
      </c>
      <c r="CU1029">
        <f>'T_SelfStock'!CS41</f>
        <v/>
      </c>
      <c r="CV1029">
        <f>'T_SelfStock'!CT41</f>
        <v/>
      </c>
      <c r="CW1029">
        <f>'T_SelfStock'!CU41</f>
        <v/>
      </c>
      <c r="CX1029">
        <f>'T_SelfStock'!CV41</f>
        <v/>
      </c>
      <c r="CY1029">
        <f>'T_SelfStock'!CW41</f>
        <v/>
      </c>
      <c r="CZ1029">
        <f>'T_SelfStock'!CX41</f>
        <v/>
      </c>
      <c r="DA1029">
        <f>'T_SelfStock'!CY41</f>
        <v/>
      </c>
      <c r="DB1029">
        <f>'T_SelfStock'!CZ41</f>
        <v/>
      </c>
      <c r="DC1029">
        <f>'T_SelfStock'!DA41</f>
        <v/>
      </c>
    </row>
    <row r="1030">
      <c r="B1030" s="4" t="inlineStr">
        <is>
          <t>合計在庫(週末時点,kg)</t>
        </is>
      </c>
      <c r="D1030">
        <f>'Grid_Stock'!B37</f>
        <v/>
      </c>
      <c r="E1030">
        <f>'Grid_Stock'!C37</f>
        <v/>
      </c>
      <c r="F1030">
        <f>'Grid_Stock'!D37</f>
        <v/>
      </c>
      <c r="G1030">
        <f>'Grid_Stock'!E37</f>
        <v/>
      </c>
      <c r="H1030">
        <f>'Grid_Stock'!F37</f>
        <v/>
      </c>
      <c r="I1030">
        <f>'Grid_Stock'!G37</f>
        <v/>
      </c>
      <c r="J1030">
        <f>'Grid_Stock'!H37</f>
        <v/>
      </c>
      <c r="K1030">
        <f>'Grid_Stock'!I37</f>
        <v/>
      </c>
      <c r="L1030">
        <f>'Grid_Stock'!J37</f>
        <v/>
      </c>
      <c r="M1030">
        <f>'Grid_Stock'!K37</f>
        <v/>
      </c>
      <c r="N1030">
        <f>'Grid_Stock'!L37</f>
        <v/>
      </c>
      <c r="O1030">
        <f>'Grid_Stock'!M37</f>
        <v/>
      </c>
      <c r="P1030">
        <f>'Grid_Stock'!N37</f>
        <v/>
      </c>
      <c r="Q1030">
        <f>'Grid_Stock'!O37</f>
        <v/>
      </c>
      <c r="R1030">
        <f>'Grid_Stock'!P37</f>
        <v/>
      </c>
      <c r="S1030">
        <f>'Grid_Stock'!Q37</f>
        <v/>
      </c>
      <c r="T1030">
        <f>'Grid_Stock'!R37</f>
        <v/>
      </c>
      <c r="U1030">
        <f>'Grid_Stock'!S37</f>
        <v/>
      </c>
      <c r="V1030">
        <f>'Grid_Stock'!T37</f>
        <v/>
      </c>
      <c r="W1030">
        <f>'Grid_Stock'!U37</f>
        <v/>
      </c>
      <c r="X1030">
        <f>'Grid_Stock'!V37</f>
        <v/>
      </c>
      <c r="Y1030">
        <f>'Grid_Stock'!W37</f>
        <v/>
      </c>
      <c r="Z1030">
        <f>'Grid_Stock'!X37</f>
        <v/>
      </c>
      <c r="AA1030">
        <f>'Grid_Stock'!Y37</f>
        <v/>
      </c>
      <c r="AB1030">
        <f>'Grid_Stock'!Z37</f>
        <v/>
      </c>
      <c r="AC1030">
        <f>'Grid_Stock'!AA37</f>
        <v/>
      </c>
      <c r="AD1030">
        <f>'Grid_Stock'!AB37</f>
        <v/>
      </c>
      <c r="AE1030">
        <f>'Grid_Stock'!AC37</f>
        <v/>
      </c>
      <c r="AF1030">
        <f>'Grid_Stock'!AD37</f>
        <v/>
      </c>
      <c r="AG1030">
        <f>'Grid_Stock'!AE37</f>
        <v/>
      </c>
      <c r="AH1030">
        <f>'Grid_Stock'!AF37</f>
        <v/>
      </c>
      <c r="AI1030">
        <f>'Grid_Stock'!AG37</f>
        <v/>
      </c>
      <c r="AJ1030">
        <f>'Grid_Stock'!AH37</f>
        <v/>
      </c>
      <c r="AK1030">
        <f>'Grid_Stock'!AI37</f>
        <v/>
      </c>
      <c r="AL1030">
        <f>'Grid_Stock'!AJ37</f>
        <v/>
      </c>
      <c r="AM1030">
        <f>'Grid_Stock'!AK37</f>
        <v/>
      </c>
      <c r="AN1030">
        <f>'Grid_Stock'!AL37</f>
        <v/>
      </c>
      <c r="AO1030">
        <f>'Grid_Stock'!AM37</f>
        <v/>
      </c>
      <c r="AP1030">
        <f>'Grid_Stock'!AN37</f>
        <v/>
      </c>
      <c r="AQ1030">
        <f>'Grid_Stock'!AO37</f>
        <v/>
      </c>
      <c r="AR1030">
        <f>'Grid_Stock'!AP37</f>
        <v/>
      </c>
      <c r="AS1030">
        <f>'Grid_Stock'!AQ37</f>
        <v/>
      </c>
      <c r="AT1030">
        <f>'Grid_Stock'!AR37</f>
        <v/>
      </c>
      <c r="AU1030">
        <f>'Grid_Stock'!AS37</f>
        <v/>
      </c>
      <c r="AV1030">
        <f>'Grid_Stock'!AT37</f>
        <v/>
      </c>
      <c r="AW1030">
        <f>'Grid_Stock'!AU37</f>
        <v/>
      </c>
      <c r="AX1030">
        <f>'Grid_Stock'!AV37</f>
        <v/>
      </c>
      <c r="AY1030">
        <f>'Grid_Stock'!AW37</f>
        <v/>
      </c>
      <c r="AZ1030">
        <f>'Grid_Stock'!AX37</f>
        <v/>
      </c>
      <c r="BA1030">
        <f>'Grid_Stock'!AY37</f>
        <v/>
      </c>
      <c r="BB1030">
        <f>'Grid_Stock'!AZ37</f>
        <v/>
      </c>
      <c r="BC1030">
        <f>'Grid_Stock'!BA37</f>
        <v/>
      </c>
      <c r="BD1030">
        <f>'Grid_Stock'!BB37</f>
        <v/>
      </c>
      <c r="BE1030">
        <f>'Grid_Stock'!BC37</f>
        <v/>
      </c>
      <c r="BF1030">
        <f>'Grid_Stock'!BD37</f>
        <v/>
      </c>
      <c r="BG1030">
        <f>'Grid_Stock'!BE37</f>
        <v/>
      </c>
      <c r="BH1030">
        <f>'Grid_Stock'!BF37</f>
        <v/>
      </c>
      <c r="BI1030">
        <f>'Grid_Stock'!BG37</f>
        <v/>
      </c>
      <c r="BJ1030">
        <f>'Grid_Stock'!BH37</f>
        <v/>
      </c>
      <c r="BK1030">
        <f>'Grid_Stock'!BI37</f>
        <v/>
      </c>
      <c r="BL1030">
        <f>'Grid_Stock'!BJ37</f>
        <v/>
      </c>
      <c r="BM1030">
        <f>'Grid_Stock'!BK37</f>
        <v/>
      </c>
      <c r="BN1030">
        <f>'Grid_Stock'!BL37</f>
        <v/>
      </c>
      <c r="BO1030">
        <f>'Grid_Stock'!BM37</f>
        <v/>
      </c>
      <c r="BP1030">
        <f>'Grid_Stock'!BN37</f>
        <v/>
      </c>
      <c r="BQ1030">
        <f>'Grid_Stock'!BO37</f>
        <v/>
      </c>
      <c r="BR1030">
        <f>'Grid_Stock'!BP37</f>
        <v/>
      </c>
      <c r="BS1030">
        <f>'Grid_Stock'!BQ37</f>
        <v/>
      </c>
      <c r="BT1030">
        <f>'Grid_Stock'!BR37</f>
        <v/>
      </c>
      <c r="BU1030">
        <f>'Grid_Stock'!BS37</f>
        <v/>
      </c>
      <c r="BV1030">
        <f>'Grid_Stock'!BT37</f>
        <v/>
      </c>
      <c r="BW1030">
        <f>'Grid_Stock'!BU37</f>
        <v/>
      </c>
      <c r="BX1030">
        <f>'Grid_Stock'!BV37</f>
        <v/>
      </c>
      <c r="BY1030">
        <f>'Grid_Stock'!BW37</f>
        <v/>
      </c>
      <c r="BZ1030">
        <f>'Grid_Stock'!BX37</f>
        <v/>
      </c>
      <c r="CA1030">
        <f>'Grid_Stock'!BY37</f>
        <v/>
      </c>
      <c r="CB1030">
        <f>'Grid_Stock'!BZ37</f>
        <v/>
      </c>
      <c r="CC1030">
        <f>'Grid_Stock'!CA37</f>
        <v/>
      </c>
      <c r="CD1030">
        <f>'Grid_Stock'!CB37</f>
        <v/>
      </c>
      <c r="CE1030">
        <f>'Grid_Stock'!CC37</f>
        <v/>
      </c>
      <c r="CF1030">
        <f>'Grid_Stock'!CD37</f>
        <v/>
      </c>
      <c r="CG1030">
        <f>'Grid_Stock'!CE37</f>
        <v/>
      </c>
      <c r="CH1030">
        <f>'Grid_Stock'!CF37</f>
        <v/>
      </c>
      <c r="CI1030">
        <f>'Grid_Stock'!CG37</f>
        <v/>
      </c>
      <c r="CJ1030">
        <f>'Grid_Stock'!CH37</f>
        <v/>
      </c>
      <c r="CK1030">
        <f>'Grid_Stock'!CI37</f>
        <v/>
      </c>
      <c r="CL1030">
        <f>'Grid_Stock'!CJ37</f>
        <v/>
      </c>
      <c r="CM1030">
        <f>'Grid_Stock'!CK37</f>
        <v/>
      </c>
      <c r="CN1030">
        <f>'Grid_Stock'!CL37</f>
        <v/>
      </c>
      <c r="CO1030">
        <f>'Grid_Stock'!CM37</f>
        <v/>
      </c>
      <c r="CP1030">
        <f>'Grid_Stock'!CN37</f>
        <v/>
      </c>
      <c r="CQ1030">
        <f>'Grid_Stock'!CO37</f>
        <v/>
      </c>
      <c r="CR1030">
        <f>'Grid_Stock'!CP37</f>
        <v/>
      </c>
      <c r="CS1030">
        <f>'Grid_Stock'!CQ37</f>
        <v/>
      </c>
      <c r="CT1030">
        <f>'Grid_Stock'!CR37</f>
        <v/>
      </c>
      <c r="CU1030">
        <f>'Grid_Stock'!CS37</f>
        <v/>
      </c>
      <c r="CV1030">
        <f>'Grid_Stock'!CT37</f>
        <v/>
      </c>
      <c r="CW1030">
        <f>'Grid_Stock'!CU37</f>
        <v/>
      </c>
      <c r="CX1030">
        <f>'Grid_Stock'!CV37</f>
        <v/>
      </c>
      <c r="CY1030">
        <f>'Grid_Stock'!CW37</f>
        <v/>
      </c>
      <c r="CZ1030">
        <f>'Grid_Stock'!CX37</f>
        <v/>
      </c>
      <c r="DA1030">
        <f>'Grid_Stock'!CY37</f>
        <v/>
      </c>
      <c r="DB1030">
        <f>'Grid_Stock'!CZ37</f>
        <v/>
      </c>
      <c r="DC1030">
        <f>'Grid_Stock'!DA37</f>
        <v/>
      </c>
    </row>
    <row r="1031">
      <c r="B1031" s="16" t="inlineStr">
        <is>
          <t>（発注の目安はDashboardの基準在庫[下限/上限]と色分けを参照）</t>
        </is>
      </c>
    </row>
    <row r="1033">
      <c r="A1033" s="14" t="inlineStr">
        <is>
          <t>Ester Film</t>
        </is>
      </c>
      <c r="B1033" s="14" t="inlineStr">
        <is>
          <t>Ester Film</t>
        </is>
      </c>
      <c r="C1033" s="15" t="n"/>
      <c r="D1033" s="14" t="n"/>
      <c r="E1033" s="14" t="n"/>
      <c r="F1033" s="14" t="n"/>
      <c r="G1033" s="14" t="n"/>
      <c r="H1033" s="14" t="n"/>
      <c r="I1033" s="14" t="n"/>
      <c r="J1033" s="14" t="n"/>
      <c r="K1033" s="14" t="n"/>
      <c r="L1033" s="14" t="n"/>
      <c r="M1033" s="14" t="n"/>
      <c r="N1033" s="14" t="n"/>
      <c r="O1033" s="14" t="n"/>
      <c r="P1033" s="14" t="n"/>
      <c r="Q1033" s="14" t="n"/>
      <c r="R1033" s="14" t="n"/>
      <c r="S1033" s="14" t="n"/>
      <c r="T1033" s="14" t="n"/>
      <c r="U1033" s="14" t="n"/>
      <c r="V1033" s="14" t="n"/>
      <c r="W1033" s="14" t="n"/>
      <c r="X1033" s="14" t="n"/>
      <c r="Y1033" s="14" t="n"/>
      <c r="Z1033" s="14" t="n"/>
      <c r="AA1033" s="14" t="n"/>
      <c r="AB1033" s="14" t="n"/>
      <c r="AC1033" s="14" t="n"/>
      <c r="AD1033" s="14" t="n"/>
      <c r="AE1033" s="14" t="n"/>
      <c r="AF1033" s="14" t="n"/>
      <c r="AG1033" s="14" t="n"/>
      <c r="AH1033" s="14" t="n"/>
      <c r="AI1033" s="14" t="n"/>
      <c r="AJ1033" s="14" t="n"/>
      <c r="AK1033" s="14" t="n"/>
      <c r="AL1033" s="14" t="n"/>
      <c r="AM1033" s="14" t="n"/>
      <c r="AN1033" s="14" t="n"/>
      <c r="AO1033" s="14" t="n"/>
      <c r="AP1033" s="14" t="n"/>
      <c r="AQ1033" s="14" t="n"/>
      <c r="AR1033" s="14" t="n"/>
      <c r="AS1033" s="14" t="n"/>
      <c r="AT1033" s="14" t="n"/>
      <c r="AU1033" s="14" t="n"/>
      <c r="AV1033" s="14" t="n"/>
      <c r="AW1033" s="14" t="n"/>
      <c r="AX1033" s="14" t="n"/>
      <c r="AY1033" s="14" t="n"/>
      <c r="AZ1033" s="14" t="n"/>
      <c r="BA1033" s="14" t="n"/>
      <c r="BB1033" s="14" t="n"/>
      <c r="BC1033" s="14" t="n"/>
      <c r="BD1033" s="14" t="n"/>
      <c r="BE1033" s="14" t="n"/>
      <c r="BF1033" s="14" t="n"/>
      <c r="BG1033" s="14" t="n"/>
      <c r="BH1033" s="14" t="n"/>
      <c r="BI1033" s="14" t="n"/>
      <c r="BJ1033" s="14" t="n"/>
      <c r="BK1033" s="14" t="n"/>
      <c r="BL1033" s="14" t="n"/>
      <c r="BM1033" s="14" t="n"/>
      <c r="BN1033" s="14" t="n"/>
      <c r="BO1033" s="14" t="n"/>
      <c r="BP1033" s="14" t="n"/>
      <c r="BQ1033" s="14" t="n"/>
      <c r="BR1033" s="14" t="n"/>
      <c r="BS1033" s="14" t="n"/>
      <c r="BT1033" s="14" t="n"/>
      <c r="BU1033" s="14" t="n"/>
      <c r="BV1033" s="14" t="n"/>
      <c r="BW1033" s="14" t="n"/>
      <c r="BX1033" s="14" t="n"/>
      <c r="BY1033" s="14" t="n"/>
      <c r="BZ1033" s="14" t="n"/>
      <c r="CA1033" s="14" t="n"/>
      <c r="CB1033" s="14" t="n"/>
      <c r="CC1033" s="14" t="n"/>
      <c r="CD1033" s="14" t="n"/>
      <c r="CE1033" s="14" t="n"/>
      <c r="CF1033" s="14" t="n"/>
      <c r="CG1033" s="14" t="n"/>
      <c r="CH1033" s="14" t="n"/>
      <c r="CI1033" s="14" t="n"/>
      <c r="CJ1033" s="14" t="n"/>
      <c r="CK1033" s="14" t="n"/>
      <c r="CL1033" s="14" t="n"/>
      <c r="CM1033" s="14" t="n"/>
      <c r="CN1033" s="14" t="n"/>
      <c r="CO1033" s="14" t="n"/>
      <c r="CP1033" s="14" t="n"/>
      <c r="CQ1033" s="14" t="n"/>
      <c r="CR1033" s="14" t="n"/>
      <c r="CS1033" s="14" t="n"/>
      <c r="CT1033" s="14" t="n"/>
      <c r="CU1033" s="14" t="n"/>
      <c r="CV1033" s="14" t="n"/>
      <c r="CW1033" s="14" t="n"/>
      <c r="CX1033" s="14" t="n"/>
      <c r="CY1033" s="14" t="n"/>
      <c r="CZ1033" s="14" t="n"/>
      <c r="DA1033" s="14" t="n"/>
      <c r="DB1033" s="14" t="n"/>
      <c r="DC1033" s="14" t="n"/>
    </row>
    <row r="1034">
      <c r="B1034" t="inlineStr">
        <is>
          <t>Ester Film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7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s="4" t="inlineStr">
        <is>
          <t>合計使用量(kg)/週</t>
        </is>
      </c>
      <c r="D1036">
        <f>'Grid_Requirement'!B38</f>
        <v/>
      </c>
      <c r="E1036">
        <f>'Grid_Requirement'!C38</f>
        <v/>
      </c>
      <c r="F1036">
        <f>'Grid_Requirement'!D38</f>
        <v/>
      </c>
      <c r="G1036">
        <f>'Grid_Requirement'!E38</f>
        <v/>
      </c>
      <c r="H1036">
        <f>'Grid_Requirement'!F38</f>
        <v/>
      </c>
      <c r="I1036">
        <f>'Grid_Requirement'!G38</f>
        <v/>
      </c>
      <c r="J1036">
        <f>'Grid_Requirement'!H38</f>
        <v/>
      </c>
      <c r="K1036">
        <f>'Grid_Requirement'!I38</f>
        <v/>
      </c>
      <c r="L1036">
        <f>'Grid_Requirement'!J38</f>
        <v/>
      </c>
      <c r="M1036">
        <f>'Grid_Requirement'!K38</f>
        <v/>
      </c>
      <c r="N1036">
        <f>'Grid_Requirement'!L38</f>
        <v/>
      </c>
      <c r="O1036">
        <f>'Grid_Requirement'!M38</f>
        <v/>
      </c>
      <c r="P1036">
        <f>'Grid_Requirement'!N38</f>
        <v/>
      </c>
      <c r="Q1036">
        <f>'Grid_Requirement'!O38</f>
        <v/>
      </c>
      <c r="R1036">
        <f>'Grid_Requirement'!P38</f>
        <v/>
      </c>
      <c r="S1036">
        <f>'Grid_Requirement'!Q38</f>
        <v/>
      </c>
      <c r="T1036">
        <f>'Grid_Requirement'!R38</f>
        <v/>
      </c>
      <c r="U1036">
        <f>'Grid_Requirement'!S38</f>
        <v/>
      </c>
      <c r="V1036">
        <f>'Grid_Requirement'!T38</f>
        <v/>
      </c>
      <c r="W1036">
        <f>'Grid_Requirement'!U38</f>
        <v/>
      </c>
      <c r="X1036">
        <f>'Grid_Requirement'!V38</f>
        <v/>
      </c>
      <c r="Y1036">
        <f>'Grid_Requirement'!W38</f>
        <v/>
      </c>
      <c r="Z1036">
        <f>'Grid_Requirement'!X38</f>
        <v/>
      </c>
      <c r="AA1036">
        <f>'Grid_Requirement'!Y38</f>
        <v/>
      </c>
      <c r="AB1036">
        <f>'Grid_Requirement'!Z38</f>
        <v/>
      </c>
      <c r="AC1036">
        <f>'Grid_Requirement'!AA38</f>
        <v/>
      </c>
      <c r="AD1036">
        <f>'Grid_Requirement'!AB38</f>
        <v/>
      </c>
      <c r="AE1036">
        <f>'Grid_Requirement'!AC38</f>
        <v/>
      </c>
      <c r="AF1036">
        <f>'Grid_Requirement'!AD38</f>
        <v/>
      </c>
      <c r="AG1036">
        <f>'Grid_Requirement'!AE38</f>
        <v/>
      </c>
      <c r="AH1036">
        <f>'Grid_Requirement'!AF38</f>
        <v/>
      </c>
      <c r="AI1036">
        <f>'Grid_Requirement'!AG38</f>
        <v/>
      </c>
      <c r="AJ1036">
        <f>'Grid_Requirement'!AH38</f>
        <v/>
      </c>
      <c r="AK1036">
        <f>'Grid_Requirement'!AI38</f>
        <v/>
      </c>
      <c r="AL1036">
        <f>'Grid_Requirement'!AJ38</f>
        <v/>
      </c>
      <c r="AM1036">
        <f>'Grid_Requirement'!AK38</f>
        <v/>
      </c>
      <c r="AN1036">
        <f>'Grid_Requirement'!AL38</f>
        <v/>
      </c>
      <c r="AO1036">
        <f>'Grid_Requirement'!AM38</f>
        <v/>
      </c>
      <c r="AP1036">
        <f>'Grid_Requirement'!AN38</f>
        <v/>
      </c>
      <c r="AQ1036">
        <f>'Grid_Requirement'!AO38</f>
        <v/>
      </c>
      <c r="AR1036">
        <f>'Grid_Requirement'!AP38</f>
        <v/>
      </c>
      <c r="AS1036">
        <f>'Grid_Requirement'!AQ38</f>
        <v/>
      </c>
      <c r="AT1036">
        <f>'Grid_Requirement'!AR38</f>
        <v/>
      </c>
      <c r="AU1036">
        <f>'Grid_Requirement'!AS38</f>
        <v/>
      </c>
      <c r="AV1036">
        <f>'Grid_Requirement'!AT38</f>
        <v/>
      </c>
      <c r="AW1036">
        <f>'Grid_Requirement'!AU38</f>
        <v/>
      </c>
      <c r="AX1036">
        <f>'Grid_Requirement'!AV38</f>
        <v/>
      </c>
      <c r="AY1036">
        <f>'Grid_Requirement'!AW38</f>
        <v/>
      </c>
      <c r="AZ1036">
        <f>'Grid_Requirement'!AX38</f>
        <v/>
      </c>
      <c r="BA1036">
        <f>'Grid_Requirement'!AY38</f>
        <v/>
      </c>
      <c r="BB1036">
        <f>'Grid_Requirement'!AZ38</f>
        <v/>
      </c>
      <c r="BC1036">
        <f>'Grid_Requirement'!BA38</f>
        <v/>
      </c>
      <c r="BD1036">
        <f>'Grid_Requirement'!BB38</f>
        <v/>
      </c>
      <c r="BE1036">
        <f>'Grid_Requirement'!BC38</f>
        <v/>
      </c>
      <c r="BF1036">
        <f>'Grid_Requirement'!BD38</f>
        <v/>
      </c>
      <c r="BG1036">
        <f>'Grid_Requirement'!BE38</f>
        <v/>
      </c>
      <c r="BH1036">
        <f>'Grid_Requirement'!BF38</f>
        <v/>
      </c>
      <c r="BI1036">
        <f>'Grid_Requirement'!BG38</f>
        <v/>
      </c>
      <c r="BJ1036">
        <f>'Grid_Requirement'!BH38</f>
        <v/>
      </c>
      <c r="BK1036">
        <f>'Grid_Requirement'!BI38</f>
        <v/>
      </c>
      <c r="BL1036">
        <f>'Grid_Requirement'!BJ38</f>
        <v/>
      </c>
      <c r="BM1036">
        <f>'Grid_Requirement'!BK38</f>
        <v/>
      </c>
      <c r="BN1036">
        <f>'Grid_Requirement'!BL38</f>
        <v/>
      </c>
      <c r="BO1036">
        <f>'Grid_Requirement'!BM38</f>
        <v/>
      </c>
      <c r="BP1036">
        <f>'Grid_Requirement'!BN38</f>
        <v/>
      </c>
      <c r="BQ1036">
        <f>'Grid_Requirement'!BO38</f>
        <v/>
      </c>
      <c r="BR1036">
        <f>'Grid_Requirement'!BP38</f>
        <v/>
      </c>
      <c r="BS1036">
        <f>'Grid_Requirement'!BQ38</f>
        <v/>
      </c>
      <c r="BT1036">
        <f>'Grid_Requirement'!BR38</f>
        <v/>
      </c>
      <c r="BU1036">
        <f>'Grid_Requirement'!BS38</f>
        <v/>
      </c>
      <c r="BV1036">
        <f>'Grid_Requirement'!BT38</f>
        <v/>
      </c>
      <c r="BW1036">
        <f>'Grid_Requirement'!BU38</f>
        <v/>
      </c>
      <c r="BX1036">
        <f>'Grid_Requirement'!BV38</f>
        <v/>
      </c>
      <c r="BY1036">
        <f>'Grid_Requirement'!BW38</f>
        <v/>
      </c>
      <c r="BZ1036">
        <f>'Grid_Requirement'!BX38</f>
        <v/>
      </c>
      <c r="CA1036">
        <f>'Grid_Requirement'!BY38</f>
        <v/>
      </c>
      <c r="CB1036">
        <f>'Grid_Requirement'!BZ38</f>
        <v/>
      </c>
      <c r="CC1036">
        <f>'Grid_Requirement'!CA38</f>
        <v/>
      </c>
      <c r="CD1036">
        <f>'Grid_Requirement'!CB38</f>
        <v/>
      </c>
      <c r="CE1036">
        <f>'Grid_Requirement'!CC38</f>
        <v/>
      </c>
      <c r="CF1036">
        <f>'Grid_Requirement'!CD38</f>
        <v/>
      </c>
      <c r="CG1036">
        <f>'Grid_Requirement'!CE38</f>
        <v/>
      </c>
      <c r="CH1036">
        <f>'Grid_Requirement'!CF38</f>
        <v/>
      </c>
      <c r="CI1036">
        <f>'Grid_Requirement'!CG38</f>
        <v/>
      </c>
      <c r="CJ1036">
        <f>'Grid_Requirement'!CH38</f>
        <v/>
      </c>
      <c r="CK1036">
        <f>'Grid_Requirement'!CI38</f>
        <v/>
      </c>
      <c r="CL1036">
        <f>'Grid_Requirement'!CJ38</f>
        <v/>
      </c>
      <c r="CM1036">
        <f>'Grid_Requirement'!CK38</f>
        <v/>
      </c>
      <c r="CN1036">
        <f>'Grid_Requirement'!CL38</f>
        <v/>
      </c>
      <c r="CO1036">
        <f>'Grid_Requirement'!CM38</f>
        <v/>
      </c>
      <c r="CP1036">
        <f>'Grid_Requirement'!CN38</f>
        <v/>
      </c>
      <c r="CQ1036">
        <f>'Grid_Requirement'!CO38</f>
        <v/>
      </c>
      <c r="CR1036">
        <f>'Grid_Requirement'!CP38</f>
        <v/>
      </c>
      <c r="CS1036">
        <f>'Grid_Requirement'!CQ38</f>
        <v/>
      </c>
      <c r="CT1036">
        <f>'Grid_Requirement'!CR38</f>
        <v/>
      </c>
      <c r="CU1036">
        <f>'Grid_Requirement'!CS38</f>
        <v/>
      </c>
      <c r="CV1036">
        <f>'Grid_Requirement'!CT38</f>
        <v/>
      </c>
      <c r="CW1036">
        <f>'Grid_Requirement'!CU38</f>
        <v/>
      </c>
      <c r="CX1036">
        <f>'Grid_Requirement'!CV38</f>
        <v/>
      </c>
      <c r="CY1036">
        <f>'Grid_Requirement'!CW38</f>
        <v/>
      </c>
      <c r="CZ1036">
        <f>'Grid_Requirement'!CX38</f>
        <v/>
      </c>
      <c r="DA1036">
        <f>'Grid_Requirement'!CY38</f>
        <v/>
      </c>
      <c r="DB1036">
        <f>'Grid_Requirement'!CZ38</f>
        <v/>
      </c>
      <c r="DC1036">
        <f>'Grid_Requirement'!DA38</f>
        <v/>
      </c>
    </row>
    <row r="1037">
      <c r="B1037" t="inlineStr">
        <is>
          <t>TTAF在庫(実績,kg)</t>
        </is>
      </c>
      <c r="D1037">
        <f>'T_TTAFStock'!B42</f>
        <v/>
      </c>
      <c r="E1037">
        <f>'T_TTAFStock'!C42</f>
        <v/>
      </c>
      <c r="F1037">
        <f>'T_TTAFStock'!D42</f>
        <v/>
      </c>
      <c r="G1037">
        <f>'T_TTAFStock'!E42</f>
        <v/>
      </c>
      <c r="H1037">
        <f>'T_TTAFStock'!F42</f>
        <v/>
      </c>
      <c r="I1037">
        <f>'T_TTAFStock'!G42</f>
        <v/>
      </c>
      <c r="J1037">
        <f>'T_TTAFStock'!H42</f>
        <v/>
      </c>
      <c r="K1037">
        <f>'T_TTAFStock'!I42</f>
        <v/>
      </c>
      <c r="L1037">
        <f>'T_TTAFStock'!J42</f>
        <v/>
      </c>
      <c r="M1037">
        <f>'T_TTAFStock'!K42</f>
        <v/>
      </c>
      <c r="N1037">
        <f>'T_TTAFStock'!L42</f>
        <v/>
      </c>
      <c r="O1037">
        <f>'T_TTAFStock'!M42</f>
        <v/>
      </c>
      <c r="P1037">
        <f>'T_TTAFStock'!N42</f>
        <v/>
      </c>
      <c r="Q1037">
        <f>'T_TTAFStock'!O42</f>
        <v/>
      </c>
      <c r="R1037">
        <f>'T_TTAFStock'!P42</f>
        <v/>
      </c>
      <c r="S1037">
        <f>'T_TTAFStock'!Q42</f>
        <v/>
      </c>
      <c r="T1037">
        <f>'T_TTAFStock'!R42</f>
        <v/>
      </c>
      <c r="U1037">
        <f>'T_TTAFStock'!S42</f>
        <v/>
      </c>
      <c r="V1037">
        <f>'T_TTAFStock'!T42</f>
        <v/>
      </c>
      <c r="W1037">
        <f>'T_TTAFStock'!U42</f>
        <v/>
      </c>
      <c r="X1037">
        <f>'T_TTAFStock'!V42</f>
        <v/>
      </c>
      <c r="Y1037">
        <f>'T_TTAFStock'!W42</f>
        <v/>
      </c>
      <c r="Z1037">
        <f>'T_TTAFStock'!X42</f>
        <v/>
      </c>
      <c r="AA1037">
        <f>'T_TTAFStock'!Y42</f>
        <v/>
      </c>
      <c r="AB1037">
        <f>'T_TTAFStock'!Z42</f>
        <v/>
      </c>
      <c r="AC1037">
        <f>'T_TTAFStock'!AA42</f>
        <v/>
      </c>
      <c r="AD1037">
        <f>'T_TTAFStock'!AB42</f>
        <v/>
      </c>
      <c r="AE1037">
        <f>'T_TTAFStock'!AC42</f>
        <v/>
      </c>
      <c r="AF1037">
        <f>'T_TTAFStock'!AD42</f>
        <v/>
      </c>
      <c r="AG1037">
        <f>'T_TTAFStock'!AE42</f>
        <v/>
      </c>
      <c r="AH1037">
        <f>'T_TTAFStock'!AF42</f>
        <v/>
      </c>
      <c r="AI1037">
        <f>'T_TTAFStock'!AG42</f>
        <v/>
      </c>
      <c r="AJ1037">
        <f>'T_TTAFStock'!AH42</f>
        <v/>
      </c>
      <c r="AK1037">
        <f>'T_TTAFStock'!AI42</f>
        <v/>
      </c>
      <c r="AL1037">
        <f>'T_TTAFStock'!AJ42</f>
        <v/>
      </c>
      <c r="AM1037">
        <f>'T_TTAFStock'!AK42</f>
        <v/>
      </c>
      <c r="AN1037">
        <f>'T_TTAFStock'!AL42</f>
        <v/>
      </c>
      <c r="AO1037">
        <f>'T_TTAFStock'!AM42</f>
        <v/>
      </c>
      <c r="AP1037">
        <f>'T_TTAFStock'!AN42</f>
        <v/>
      </c>
      <c r="AQ1037">
        <f>'T_TTAFStock'!AO42</f>
        <v/>
      </c>
      <c r="AR1037">
        <f>'T_TTAFStock'!AP42</f>
        <v/>
      </c>
      <c r="AS1037">
        <f>'T_TTAFStock'!AQ42</f>
        <v/>
      </c>
      <c r="AT1037">
        <f>'T_TTAFStock'!AR42</f>
        <v/>
      </c>
      <c r="AU1037">
        <f>'T_TTAFStock'!AS42</f>
        <v/>
      </c>
      <c r="AV1037">
        <f>'T_TTAFStock'!AT42</f>
        <v/>
      </c>
      <c r="AW1037">
        <f>'T_TTAFStock'!AU42</f>
        <v/>
      </c>
      <c r="AX1037">
        <f>'T_TTAFStock'!AV42</f>
        <v/>
      </c>
      <c r="AY1037">
        <f>'T_TTAFStock'!AW42</f>
        <v/>
      </c>
      <c r="AZ1037">
        <f>'T_TTAFStock'!AX42</f>
        <v/>
      </c>
      <c r="BA1037">
        <f>'T_TTAFStock'!AY42</f>
        <v/>
      </c>
      <c r="BB1037">
        <f>'T_TTAFStock'!AZ42</f>
        <v/>
      </c>
      <c r="BC1037">
        <f>'T_TTAFStock'!BA42</f>
        <v/>
      </c>
      <c r="BD1037">
        <f>'T_TTAFStock'!BB42</f>
        <v/>
      </c>
      <c r="BE1037">
        <f>'T_TTAFStock'!BC42</f>
        <v/>
      </c>
      <c r="BF1037">
        <f>'T_TTAFStock'!BD42</f>
        <v/>
      </c>
      <c r="BG1037">
        <f>'T_TTAFStock'!BE42</f>
        <v/>
      </c>
      <c r="BH1037">
        <f>'T_TTAFStock'!BF42</f>
        <v/>
      </c>
      <c r="BI1037">
        <f>'T_TTAFStock'!BG42</f>
        <v/>
      </c>
      <c r="BJ1037">
        <f>'T_TTAFStock'!BH42</f>
        <v/>
      </c>
      <c r="BK1037">
        <f>'T_TTAFStock'!BI42</f>
        <v/>
      </c>
      <c r="BL1037">
        <f>'T_TTAFStock'!BJ42</f>
        <v/>
      </c>
      <c r="BM1037">
        <f>'T_TTAFStock'!BK42</f>
        <v/>
      </c>
      <c r="BN1037">
        <f>'T_TTAFStock'!BL42</f>
        <v/>
      </c>
      <c r="BO1037">
        <f>'T_TTAFStock'!BM42</f>
        <v/>
      </c>
      <c r="BP1037">
        <f>'T_TTAFStock'!BN42</f>
        <v/>
      </c>
      <c r="BQ1037">
        <f>'T_TTAFStock'!BO42</f>
        <v/>
      </c>
      <c r="BR1037">
        <f>'T_TTAFStock'!BP42</f>
        <v/>
      </c>
      <c r="BS1037">
        <f>'T_TTAFStock'!BQ42</f>
        <v/>
      </c>
      <c r="BT1037">
        <f>'T_TTAFStock'!BR42</f>
        <v/>
      </c>
      <c r="BU1037">
        <f>'T_TTAFStock'!BS42</f>
        <v/>
      </c>
      <c r="BV1037">
        <f>'T_TTAFStock'!BT42</f>
        <v/>
      </c>
      <c r="BW1037">
        <f>'T_TTAFStock'!BU42</f>
        <v/>
      </c>
      <c r="BX1037">
        <f>'T_TTAFStock'!BV42</f>
        <v/>
      </c>
      <c r="BY1037">
        <f>'T_TTAFStock'!BW42</f>
        <v/>
      </c>
      <c r="BZ1037">
        <f>'T_TTAFStock'!BX42</f>
        <v/>
      </c>
      <c r="CA1037">
        <f>'T_TTAFStock'!BY42</f>
        <v/>
      </c>
      <c r="CB1037">
        <f>'T_TTAFStock'!BZ42</f>
        <v/>
      </c>
      <c r="CC1037">
        <f>'T_TTAFStock'!CA42</f>
        <v/>
      </c>
      <c r="CD1037">
        <f>'T_TTAFStock'!CB42</f>
        <v/>
      </c>
      <c r="CE1037">
        <f>'T_TTAFStock'!CC42</f>
        <v/>
      </c>
      <c r="CF1037">
        <f>'T_TTAFStock'!CD42</f>
        <v/>
      </c>
      <c r="CG1037">
        <f>'T_TTAFStock'!CE42</f>
        <v/>
      </c>
      <c r="CH1037">
        <f>'T_TTAFStock'!CF42</f>
        <v/>
      </c>
      <c r="CI1037">
        <f>'T_TTAFStock'!CG42</f>
        <v/>
      </c>
      <c r="CJ1037">
        <f>'T_TTAFStock'!CH42</f>
        <v/>
      </c>
      <c r="CK1037">
        <f>'T_TTAFStock'!CI42</f>
        <v/>
      </c>
      <c r="CL1037">
        <f>'T_TTAFStock'!CJ42</f>
        <v/>
      </c>
      <c r="CM1037">
        <f>'T_TTAFStock'!CK42</f>
        <v/>
      </c>
      <c r="CN1037">
        <f>'T_TTAFStock'!CL42</f>
        <v/>
      </c>
      <c r="CO1037">
        <f>'T_TTAFStock'!CM42</f>
        <v/>
      </c>
      <c r="CP1037">
        <f>'T_TTAFStock'!CN42</f>
        <v/>
      </c>
      <c r="CQ1037">
        <f>'T_TTAFStock'!CO42</f>
        <v/>
      </c>
      <c r="CR1037">
        <f>'T_TTAFStock'!CP42</f>
        <v/>
      </c>
      <c r="CS1037">
        <f>'T_TTAFStock'!CQ42</f>
        <v/>
      </c>
      <c r="CT1037">
        <f>'T_TTAFStock'!CR42</f>
        <v/>
      </c>
      <c r="CU1037">
        <f>'T_TTAFStock'!CS42</f>
        <v/>
      </c>
      <c r="CV1037">
        <f>'T_TTAFStock'!CT42</f>
        <v/>
      </c>
      <c r="CW1037">
        <f>'T_TTAFStock'!CU42</f>
        <v/>
      </c>
      <c r="CX1037">
        <f>'T_TTAFStock'!CV42</f>
        <v/>
      </c>
      <c r="CY1037">
        <f>'T_TTAFStock'!CW42</f>
        <v/>
      </c>
      <c r="CZ1037">
        <f>'T_TTAFStock'!CX42</f>
        <v/>
      </c>
      <c r="DA1037">
        <f>'T_TTAFStock'!CY42</f>
        <v/>
      </c>
      <c r="DB1037">
        <f>'T_TTAFStock'!CZ42</f>
        <v/>
      </c>
      <c r="DC1037">
        <f>'T_TTAFStock'!DA42</f>
        <v/>
      </c>
    </row>
    <row r="1038">
      <c r="B1038" t="inlineStr">
        <is>
          <t>自社在庫(実績,kg)</t>
        </is>
      </c>
      <c r="D1038">
        <f>'T_SelfStock'!B42</f>
        <v/>
      </c>
      <c r="E1038">
        <f>'T_SelfStock'!C42</f>
        <v/>
      </c>
      <c r="F1038">
        <f>'T_SelfStock'!D42</f>
        <v/>
      </c>
      <c r="G1038">
        <f>'T_SelfStock'!E42</f>
        <v/>
      </c>
      <c r="H1038">
        <f>'T_SelfStock'!F42</f>
        <v/>
      </c>
      <c r="I1038">
        <f>'T_SelfStock'!G42</f>
        <v/>
      </c>
      <c r="J1038">
        <f>'T_SelfStock'!H42</f>
        <v/>
      </c>
      <c r="K1038">
        <f>'T_SelfStock'!I42</f>
        <v/>
      </c>
      <c r="L1038">
        <f>'T_SelfStock'!J42</f>
        <v/>
      </c>
      <c r="M1038">
        <f>'T_SelfStock'!K42</f>
        <v/>
      </c>
      <c r="N1038">
        <f>'T_SelfStock'!L42</f>
        <v/>
      </c>
      <c r="O1038">
        <f>'T_SelfStock'!M42</f>
        <v/>
      </c>
      <c r="P1038">
        <f>'T_SelfStock'!N42</f>
        <v/>
      </c>
      <c r="Q1038">
        <f>'T_SelfStock'!O42</f>
        <v/>
      </c>
      <c r="R1038">
        <f>'T_SelfStock'!P42</f>
        <v/>
      </c>
      <c r="S1038">
        <f>'T_SelfStock'!Q42</f>
        <v/>
      </c>
      <c r="T1038">
        <f>'T_SelfStock'!R42</f>
        <v/>
      </c>
      <c r="U1038">
        <f>'T_SelfStock'!S42</f>
        <v/>
      </c>
      <c r="V1038">
        <f>'T_SelfStock'!T42</f>
        <v/>
      </c>
      <c r="W1038">
        <f>'T_SelfStock'!U42</f>
        <v/>
      </c>
      <c r="X1038">
        <f>'T_SelfStock'!V42</f>
        <v/>
      </c>
      <c r="Y1038">
        <f>'T_SelfStock'!W42</f>
        <v/>
      </c>
      <c r="Z1038">
        <f>'T_SelfStock'!X42</f>
        <v/>
      </c>
      <c r="AA1038">
        <f>'T_SelfStock'!Y42</f>
        <v/>
      </c>
      <c r="AB1038">
        <f>'T_SelfStock'!Z42</f>
        <v/>
      </c>
      <c r="AC1038">
        <f>'T_SelfStock'!AA42</f>
        <v/>
      </c>
      <c r="AD1038">
        <f>'T_SelfStock'!AB42</f>
        <v/>
      </c>
      <c r="AE1038">
        <f>'T_SelfStock'!AC42</f>
        <v/>
      </c>
      <c r="AF1038">
        <f>'T_SelfStock'!AD42</f>
        <v/>
      </c>
      <c r="AG1038">
        <f>'T_SelfStock'!AE42</f>
        <v/>
      </c>
      <c r="AH1038">
        <f>'T_SelfStock'!AF42</f>
        <v/>
      </c>
      <c r="AI1038">
        <f>'T_SelfStock'!AG42</f>
        <v/>
      </c>
      <c r="AJ1038">
        <f>'T_SelfStock'!AH42</f>
        <v/>
      </c>
      <c r="AK1038">
        <f>'T_SelfStock'!AI42</f>
        <v/>
      </c>
      <c r="AL1038">
        <f>'T_SelfStock'!AJ42</f>
        <v/>
      </c>
      <c r="AM1038">
        <f>'T_SelfStock'!AK42</f>
        <v/>
      </c>
      <c r="AN1038">
        <f>'T_SelfStock'!AL42</f>
        <v/>
      </c>
      <c r="AO1038">
        <f>'T_SelfStock'!AM42</f>
        <v/>
      </c>
      <c r="AP1038">
        <f>'T_SelfStock'!AN42</f>
        <v/>
      </c>
      <c r="AQ1038">
        <f>'T_SelfStock'!AO42</f>
        <v/>
      </c>
      <c r="AR1038">
        <f>'T_SelfStock'!AP42</f>
        <v/>
      </c>
      <c r="AS1038">
        <f>'T_SelfStock'!AQ42</f>
        <v/>
      </c>
      <c r="AT1038">
        <f>'T_SelfStock'!AR42</f>
        <v/>
      </c>
      <c r="AU1038">
        <f>'T_SelfStock'!AS42</f>
        <v/>
      </c>
      <c r="AV1038">
        <f>'T_SelfStock'!AT42</f>
        <v/>
      </c>
      <c r="AW1038">
        <f>'T_SelfStock'!AU42</f>
        <v/>
      </c>
      <c r="AX1038">
        <f>'T_SelfStock'!AV42</f>
        <v/>
      </c>
      <c r="AY1038">
        <f>'T_SelfStock'!AW42</f>
        <v/>
      </c>
      <c r="AZ1038">
        <f>'T_SelfStock'!AX42</f>
        <v/>
      </c>
      <c r="BA1038">
        <f>'T_SelfStock'!AY42</f>
        <v/>
      </c>
      <c r="BB1038">
        <f>'T_SelfStock'!AZ42</f>
        <v/>
      </c>
      <c r="BC1038">
        <f>'T_SelfStock'!BA42</f>
        <v/>
      </c>
      <c r="BD1038">
        <f>'T_SelfStock'!BB42</f>
        <v/>
      </c>
      <c r="BE1038">
        <f>'T_SelfStock'!BC42</f>
        <v/>
      </c>
      <c r="BF1038">
        <f>'T_SelfStock'!BD42</f>
        <v/>
      </c>
      <c r="BG1038">
        <f>'T_SelfStock'!BE42</f>
        <v/>
      </c>
      <c r="BH1038">
        <f>'T_SelfStock'!BF42</f>
        <v/>
      </c>
      <c r="BI1038">
        <f>'T_SelfStock'!BG42</f>
        <v/>
      </c>
      <c r="BJ1038">
        <f>'T_SelfStock'!BH42</f>
        <v/>
      </c>
      <c r="BK1038">
        <f>'T_SelfStock'!BI42</f>
        <v/>
      </c>
      <c r="BL1038">
        <f>'T_SelfStock'!BJ42</f>
        <v/>
      </c>
      <c r="BM1038">
        <f>'T_SelfStock'!BK42</f>
        <v/>
      </c>
      <c r="BN1038">
        <f>'T_SelfStock'!BL42</f>
        <v/>
      </c>
      <c r="BO1038">
        <f>'T_SelfStock'!BM42</f>
        <v/>
      </c>
      <c r="BP1038">
        <f>'T_SelfStock'!BN42</f>
        <v/>
      </c>
      <c r="BQ1038">
        <f>'T_SelfStock'!BO42</f>
        <v/>
      </c>
      <c r="BR1038">
        <f>'T_SelfStock'!BP42</f>
        <v/>
      </c>
      <c r="BS1038">
        <f>'T_SelfStock'!BQ42</f>
        <v/>
      </c>
      <c r="BT1038">
        <f>'T_SelfStock'!BR42</f>
        <v/>
      </c>
      <c r="BU1038">
        <f>'T_SelfStock'!BS42</f>
        <v/>
      </c>
      <c r="BV1038">
        <f>'T_SelfStock'!BT42</f>
        <v/>
      </c>
      <c r="BW1038">
        <f>'T_SelfStock'!BU42</f>
        <v/>
      </c>
      <c r="BX1038">
        <f>'T_SelfStock'!BV42</f>
        <v/>
      </c>
      <c r="BY1038">
        <f>'T_SelfStock'!BW42</f>
        <v/>
      </c>
      <c r="BZ1038">
        <f>'T_SelfStock'!BX42</f>
        <v/>
      </c>
      <c r="CA1038">
        <f>'T_SelfStock'!BY42</f>
        <v/>
      </c>
      <c r="CB1038">
        <f>'T_SelfStock'!BZ42</f>
        <v/>
      </c>
      <c r="CC1038">
        <f>'T_SelfStock'!CA42</f>
        <v/>
      </c>
      <c r="CD1038">
        <f>'T_SelfStock'!CB42</f>
        <v/>
      </c>
      <c r="CE1038">
        <f>'T_SelfStock'!CC42</f>
        <v/>
      </c>
      <c r="CF1038">
        <f>'T_SelfStock'!CD42</f>
        <v/>
      </c>
      <c r="CG1038">
        <f>'T_SelfStock'!CE42</f>
        <v/>
      </c>
      <c r="CH1038">
        <f>'T_SelfStock'!CF42</f>
        <v/>
      </c>
      <c r="CI1038">
        <f>'T_SelfStock'!CG42</f>
        <v/>
      </c>
      <c r="CJ1038">
        <f>'T_SelfStock'!CH42</f>
        <v/>
      </c>
      <c r="CK1038">
        <f>'T_SelfStock'!CI42</f>
        <v/>
      </c>
      <c r="CL1038">
        <f>'T_SelfStock'!CJ42</f>
        <v/>
      </c>
      <c r="CM1038">
        <f>'T_SelfStock'!CK42</f>
        <v/>
      </c>
      <c r="CN1038">
        <f>'T_SelfStock'!CL42</f>
        <v/>
      </c>
      <c r="CO1038">
        <f>'T_SelfStock'!CM42</f>
        <v/>
      </c>
      <c r="CP1038">
        <f>'T_SelfStock'!CN42</f>
        <v/>
      </c>
      <c r="CQ1038">
        <f>'T_SelfStock'!CO42</f>
        <v/>
      </c>
      <c r="CR1038">
        <f>'T_SelfStock'!CP42</f>
        <v/>
      </c>
      <c r="CS1038">
        <f>'T_SelfStock'!CQ42</f>
        <v/>
      </c>
      <c r="CT1038">
        <f>'T_SelfStock'!CR42</f>
        <v/>
      </c>
      <c r="CU1038">
        <f>'T_SelfStock'!CS42</f>
        <v/>
      </c>
      <c r="CV1038">
        <f>'T_SelfStock'!CT42</f>
        <v/>
      </c>
      <c r="CW1038">
        <f>'T_SelfStock'!CU42</f>
        <v/>
      </c>
      <c r="CX1038">
        <f>'T_SelfStock'!CV42</f>
        <v/>
      </c>
      <c r="CY1038">
        <f>'T_SelfStock'!CW42</f>
        <v/>
      </c>
      <c r="CZ1038">
        <f>'T_SelfStock'!CX42</f>
        <v/>
      </c>
      <c r="DA1038">
        <f>'T_SelfStock'!CY42</f>
        <v/>
      </c>
      <c r="DB1038">
        <f>'T_SelfStock'!CZ42</f>
        <v/>
      </c>
      <c r="DC1038">
        <f>'T_SelfStock'!DA42</f>
        <v/>
      </c>
    </row>
    <row r="1039">
      <c r="B1039" s="4" t="inlineStr">
        <is>
          <t>合計在庫(週末時点,kg)</t>
        </is>
      </c>
      <c r="D1039">
        <f>'Grid_Stock'!B38</f>
        <v/>
      </c>
      <c r="E1039">
        <f>'Grid_Stock'!C38</f>
        <v/>
      </c>
      <c r="F1039">
        <f>'Grid_Stock'!D38</f>
        <v/>
      </c>
      <c r="G1039">
        <f>'Grid_Stock'!E38</f>
        <v/>
      </c>
      <c r="H1039">
        <f>'Grid_Stock'!F38</f>
        <v/>
      </c>
      <c r="I1039">
        <f>'Grid_Stock'!G38</f>
        <v/>
      </c>
      <c r="J1039">
        <f>'Grid_Stock'!H38</f>
        <v/>
      </c>
      <c r="K1039">
        <f>'Grid_Stock'!I38</f>
        <v/>
      </c>
      <c r="L1039">
        <f>'Grid_Stock'!J38</f>
        <v/>
      </c>
      <c r="M1039">
        <f>'Grid_Stock'!K38</f>
        <v/>
      </c>
      <c r="N1039">
        <f>'Grid_Stock'!L38</f>
        <v/>
      </c>
      <c r="O1039">
        <f>'Grid_Stock'!M38</f>
        <v/>
      </c>
      <c r="P1039">
        <f>'Grid_Stock'!N38</f>
        <v/>
      </c>
      <c r="Q1039">
        <f>'Grid_Stock'!O38</f>
        <v/>
      </c>
      <c r="R1039">
        <f>'Grid_Stock'!P38</f>
        <v/>
      </c>
      <c r="S1039">
        <f>'Grid_Stock'!Q38</f>
        <v/>
      </c>
      <c r="T1039">
        <f>'Grid_Stock'!R38</f>
        <v/>
      </c>
      <c r="U1039">
        <f>'Grid_Stock'!S38</f>
        <v/>
      </c>
      <c r="V1039">
        <f>'Grid_Stock'!T38</f>
        <v/>
      </c>
      <c r="W1039">
        <f>'Grid_Stock'!U38</f>
        <v/>
      </c>
      <c r="X1039">
        <f>'Grid_Stock'!V38</f>
        <v/>
      </c>
      <c r="Y1039">
        <f>'Grid_Stock'!W38</f>
        <v/>
      </c>
      <c r="Z1039">
        <f>'Grid_Stock'!X38</f>
        <v/>
      </c>
      <c r="AA1039">
        <f>'Grid_Stock'!Y38</f>
        <v/>
      </c>
      <c r="AB1039">
        <f>'Grid_Stock'!Z38</f>
        <v/>
      </c>
      <c r="AC1039">
        <f>'Grid_Stock'!AA38</f>
        <v/>
      </c>
      <c r="AD1039">
        <f>'Grid_Stock'!AB38</f>
        <v/>
      </c>
      <c r="AE1039">
        <f>'Grid_Stock'!AC38</f>
        <v/>
      </c>
      <c r="AF1039">
        <f>'Grid_Stock'!AD38</f>
        <v/>
      </c>
      <c r="AG1039">
        <f>'Grid_Stock'!AE38</f>
        <v/>
      </c>
      <c r="AH1039">
        <f>'Grid_Stock'!AF38</f>
        <v/>
      </c>
      <c r="AI1039">
        <f>'Grid_Stock'!AG38</f>
        <v/>
      </c>
      <c r="AJ1039">
        <f>'Grid_Stock'!AH38</f>
        <v/>
      </c>
      <c r="AK1039">
        <f>'Grid_Stock'!AI38</f>
        <v/>
      </c>
      <c r="AL1039">
        <f>'Grid_Stock'!AJ38</f>
        <v/>
      </c>
      <c r="AM1039">
        <f>'Grid_Stock'!AK38</f>
        <v/>
      </c>
      <c r="AN1039">
        <f>'Grid_Stock'!AL38</f>
        <v/>
      </c>
      <c r="AO1039">
        <f>'Grid_Stock'!AM38</f>
        <v/>
      </c>
      <c r="AP1039">
        <f>'Grid_Stock'!AN38</f>
        <v/>
      </c>
      <c r="AQ1039">
        <f>'Grid_Stock'!AO38</f>
        <v/>
      </c>
      <c r="AR1039">
        <f>'Grid_Stock'!AP38</f>
        <v/>
      </c>
      <c r="AS1039">
        <f>'Grid_Stock'!AQ38</f>
        <v/>
      </c>
      <c r="AT1039">
        <f>'Grid_Stock'!AR38</f>
        <v/>
      </c>
      <c r="AU1039">
        <f>'Grid_Stock'!AS38</f>
        <v/>
      </c>
      <c r="AV1039">
        <f>'Grid_Stock'!AT38</f>
        <v/>
      </c>
      <c r="AW1039">
        <f>'Grid_Stock'!AU38</f>
        <v/>
      </c>
      <c r="AX1039">
        <f>'Grid_Stock'!AV38</f>
        <v/>
      </c>
      <c r="AY1039">
        <f>'Grid_Stock'!AW38</f>
        <v/>
      </c>
      <c r="AZ1039">
        <f>'Grid_Stock'!AX38</f>
        <v/>
      </c>
      <c r="BA1039">
        <f>'Grid_Stock'!AY38</f>
        <v/>
      </c>
      <c r="BB1039">
        <f>'Grid_Stock'!AZ38</f>
        <v/>
      </c>
      <c r="BC1039">
        <f>'Grid_Stock'!BA38</f>
        <v/>
      </c>
      <c r="BD1039">
        <f>'Grid_Stock'!BB38</f>
        <v/>
      </c>
      <c r="BE1039">
        <f>'Grid_Stock'!BC38</f>
        <v/>
      </c>
      <c r="BF1039">
        <f>'Grid_Stock'!BD38</f>
        <v/>
      </c>
      <c r="BG1039">
        <f>'Grid_Stock'!BE38</f>
        <v/>
      </c>
      <c r="BH1039">
        <f>'Grid_Stock'!BF38</f>
        <v/>
      </c>
      <c r="BI1039">
        <f>'Grid_Stock'!BG38</f>
        <v/>
      </c>
      <c r="BJ1039">
        <f>'Grid_Stock'!BH38</f>
        <v/>
      </c>
      <c r="BK1039">
        <f>'Grid_Stock'!BI38</f>
        <v/>
      </c>
      <c r="BL1039">
        <f>'Grid_Stock'!BJ38</f>
        <v/>
      </c>
      <c r="BM1039">
        <f>'Grid_Stock'!BK38</f>
        <v/>
      </c>
      <c r="BN1039">
        <f>'Grid_Stock'!BL38</f>
        <v/>
      </c>
      <c r="BO1039">
        <f>'Grid_Stock'!BM38</f>
        <v/>
      </c>
      <c r="BP1039">
        <f>'Grid_Stock'!BN38</f>
        <v/>
      </c>
      <c r="BQ1039">
        <f>'Grid_Stock'!BO38</f>
        <v/>
      </c>
      <c r="BR1039">
        <f>'Grid_Stock'!BP38</f>
        <v/>
      </c>
      <c r="BS1039">
        <f>'Grid_Stock'!BQ38</f>
        <v/>
      </c>
      <c r="BT1039">
        <f>'Grid_Stock'!BR38</f>
        <v/>
      </c>
      <c r="BU1039">
        <f>'Grid_Stock'!BS38</f>
        <v/>
      </c>
      <c r="BV1039">
        <f>'Grid_Stock'!BT38</f>
        <v/>
      </c>
      <c r="BW1039">
        <f>'Grid_Stock'!BU38</f>
        <v/>
      </c>
      <c r="BX1039">
        <f>'Grid_Stock'!BV38</f>
        <v/>
      </c>
      <c r="BY1039">
        <f>'Grid_Stock'!BW38</f>
        <v/>
      </c>
      <c r="BZ1039">
        <f>'Grid_Stock'!BX38</f>
        <v/>
      </c>
      <c r="CA1039">
        <f>'Grid_Stock'!BY38</f>
        <v/>
      </c>
      <c r="CB1039">
        <f>'Grid_Stock'!BZ38</f>
        <v/>
      </c>
      <c r="CC1039">
        <f>'Grid_Stock'!CA38</f>
        <v/>
      </c>
      <c r="CD1039">
        <f>'Grid_Stock'!CB38</f>
        <v/>
      </c>
      <c r="CE1039">
        <f>'Grid_Stock'!CC38</f>
        <v/>
      </c>
      <c r="CF1039">
        <f>'Grid_Stock'!CD38</f>
        <v/>
      </c>
      <c r="CG1039">
        <f>'Grid_Stock'!CE38</f>
        <v/>
      </c>
      <c r="CH1039">
        <f>'Grid_Stock'!CF38</f>
        <v/>
      </c>
      <c r="CI1039">
        <f>'Grid_Stock'!CG38</f>
        <v/>
      </c>
      <c r="CJ1039">
        <f>'Grid_Stock'!CH38</f>
        <v/>
      </c>
      <c r="CK1039">
        <f>'Grid_Stock'!CI38</f>
        <v/>
      </c>
      <c r="CL1039">
        <f>'Grid_Stock'!CJ38</f>
        <v/>
      </c>
      <c r="CM1039">
        <f>'Grid_Stock'!CK38</f>
        <v/>
      </c>
      <c r="CN1039">
        <f>'Grid_Stock'!CL38</f>
        <v/>
      </c>
      <c r="CO1039">
        <f>'Grid_Stock'!CM38</f>
        <v/>
      </c>
      <c r="CP1039">
        <f>'Grid_Stock'!CN38</f>
        <v/>
      </c>
      <c r="CQ1039">
        <f>'Grid_Stock'!CO38</f>
        <v/>
      </c>
      <c r="CR1039">
        <f>'Grid_Stock'!CP38</f>
        <v/>
      </c>
      <c r="CS1039">
        <f>'Grid_Stock'!CQ38</f>
        <v/>
      </c>
      <c r="CT1039">
        <f>'Grid_Stock'!CR38</f>
        <v/>
      </c>
      <c r="CU1039">
        <f>'Grid_Stock'!CS38</f>
        <v/>
      </c>
      <c r="CV1039">
        <f>'Grid_Stock'!CT38</f>
        <v/>
      </c>
      <c r="CW1039">
        <f>'Grid_Stock'!CU38</f>
        <v/>
      </c>
      <c r="CX1039">
        <f>'Grid_Stock'!CV38</f>
        <v/>
      </c>
      <c r="CY1039">
        <f>'Grid_Stock'!CW38</f>
        <v/>
      </c>
      <c r="CZ1039">
        <f>'Grid_Stock'!CX38</f>
        <v/>
      </c>
      <c r="DA1039">
        <f>'Grid_Stock'!CY38</f>
        <v/>
      </c>
      <c r="DB1039">
        <f>'Grid_Stock'!CZ38</f>
        <v/>
      </c>
      <c r="DC1039">
        <f>'Grid_Stock'!DA38</f>
        <v/>
      </c>
    </row>
    <row r="1040">
      <c r="B1040" s="16" t="inlineStr">
        <is>
          <t>（発注の目安はDashboardの基準在庫[下限/上限]と色分けを参照）</t>
        </is>
      </c>
    </row>
    <row r="1042">
      <c r="A1042" s="14" t="inlineStr">
        <is>
          <t>3TP</t>
        </is>
      </c>
      <c r="B1042" s="14" t="inlineStr">
        <is>
          <t>3TP</t>
        </is>
      </c>
      <c r="C1042" s="15" t="n"/>
      <c r="D1042" s="14" t="n"/>
      <c r="E1042" s="14" t="n"/>
      <c r="F1042" s="14" t="n"/>
      <c r="G1042" s="14" t="n"/>
      <c r="H1042" s="14" t="n"/>
      <c r="I1042" s="14" t="n"/>
      <c r="J1042" s="14" t="n"/>
      <c r="K1042" s="14" t="n"/>
      <c r="L1042" s="14" t="n"/>
      <c r="M1042" s="14" t="n"/>
      <c r="N1042" s="14" t="n"/>
      <c r="O1042" s="14" t="n"/>
      <c r="P1042" s="14" t="n"/>
      <c r="Q1042" s="14" t="n"/>
      <c r="R1042" s="14" t="n"/>
      <c r="S1042" s="14" t="n"/>
      <c r="T1042" s="14" t="n"/>
      <c r="U1042" s="14" t="n"/>
      <c r="V1042" s="14" t="n"/>
      <c r="W1042" s="14" t="n"/>
      <c r="X1042" s="14" t="n"/>
      <c r="Y1042" s="14" t="n"/>
      <c r="Z1042" s="14" t="n"/>
      <c r="AA1042" s="14" t="n"/>
      <c r="AB1042" s="14" t="n"/>
      <c r="AC1042" s="14" t="n"/>
      <c r="AD1042" s="14" t="n"/>
      <c r="AE1042" s="14" t="n"/>
      <c r="AF1042" s="14" t="n"/>
      <c r="AG1042" s="14" t="n"/>
      <c r="AH1042" s="14" t="n"/>
      <c r="AI1042" s="14" t="n"/>
      <c r="AJ1042" s="14" t="n"/>
      <c r="AK1042" s="14" t="n"/>
      <c r="AL1042" s="14" t="n"/>
      <c r="AM1042" s="14" t="n"/>
      <c r="AN1042" s="14" t="n"/>
      <c r="AO1042" s="14" t="n"/>
      <c r="AP1042" s="14" t="n"/>
      <c r="AQ1042" s="14" t="n"/>
      <c r="AR1042" s="14" t="n"/>
      <c r="AS1042" s="14" t="n"/>
      <c r="AT1042" s="14" t="n"/>
      <c r="AU1042" s="14" t="n"/>
      <c r="AV1042" s="14" t="n"/>
      <c r="AW1042" s="14" t="n"/>
      <c r="AX1042" s="14" t="n"/>
      <c r="AY1042" s="14" t="n"/>
      <c r="AZ1042" s="14" t="n"/>
      <c r="BA1042" s="14" t="n"/>
      <c r="BB1042" s="14" t="n"/>
      <c r="BC1042" s="14" t="n"/>
      <c r="BD1042" s="14" t="n"/>
      <c r="BE1042" s="14" t="n"/>
      <c r="BF1042" s="14" t="n"/>
      <c r="BG1042" s="14" t="n"/>
      <c r="BH1042" s="14" t="n"/>
      <c r="BI1042" s="14" t="n"/>
      <c r="BJ1042" s="14" t="n"/>
      <c r="BK1042" s="14" t="n"/>
      <c r="BL1042" s="14" t="n"/>
      <c r="BM1042" s="14" t="n"/>
      <c r="BN1042" s="14" t="n"/>
      <c r="BO1042" s="14" t="n"/>
      <c r="BP1042" s="14" t="n"/>
      <c r="BQ1042" s="14" t="n"/>
      <c r="BR1042" s="14" t="n"/>
      <c r="BS1042" s="14" t="n"/>
      <c r="BT1042" s="14" t="n"/>
      <c r="BU1042" s="14" t="n"/>
      <c r="BV1042" s="14" t="n"/>
      <c r="BW1042" s="14" t="n"/>
      <c r="BX1042" s="14" t="n"/>
      <c r="BY1042" s="14" t="n"/>
      <c r="BZ1042" s="14" t="n"/>
      <c r="CA1042" s="14" t="n"/>
      <c r="CB1042" s="14" t="n"/>
      <c r="CC1042" s="14" t="n"/>
      <c r="CD1042" s="14" t="n"/>
      <c r="CE1042" s="14" t="n"/>
      <c r="CF1042" s="14" t="n"/>
      <c r="CG1042" s="14" t="n"/>
      <c r="CH1042" s="14" t="n"/>
      <c r="CI1042" s="14" t="n"/>
      <c r="CJ1042" s="14" t="n"/>
      <c r="CK1042" s="14" t="n"/>
      <c r="CL1042" s="14" t="n"/>
      <c r="CM1042" s="14" t="n"/>
      <c r="CN1042" s="14" t="n"/>
      <c r="CO1042" s="14" t="n"/>
      <c r="CP1042" s="14" t="n"/>
      <c r="CQ1042" s="14" t="n"/>
      <c r="CR1042" s="14" t="n"/>
      <c r="CS1042" s="14" t="n"/>
      <c r="CT1042" s="14" t="n"/>
      <c r="CU1042" s="14" t="n"/>
      <c r="CV1042" s="14" t="n"/>
      <c r="CW1042" s="14" t="n"/>
      <c r="CX1042" s="14" t="n"/>
      <c r="CY1042" s="14" t="n"/>
      <c r="CZ1042" s="14" t="n"/>
      <c r="DA1042" s="14" t="n"/>
      <c r="DB1042" s="14" t="n"/>
      <c r="DC1042" s="14" t="n"/>
    </row>
    <row r="1043">
      <c r="B1043" t="inlineStr">
        <is>
          <t>F2290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7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Name],$A1042)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s="4" t="inlineStr">
        <is>
          <t>合計使用量(kg)/週</t>
        </is>
      </c>
      <c r="D1045">
        <f>'Grid_Requirement'!B44</f>
        <v/>
      </c>
      <c r="E1045">
        <f>'Grid_Requirement'!C44</f>
        <v/>
      </c>
      <c r="F1045">
        <f>'Grid_Requirement'!D44</f>
        <v/>
      </c>
      <c r="G1045">
        <f>'Grid_Requirement'!E44</f>
        <v/>
      </c>
      <c r="H1045">
        <f>'Grid_Requirement'!F44</f>
        <v/>
      </c>
      <c r="I1045">
        <f>'Grid_Requirement'!G44</f>
        <v/>
      </c>
      <c r="J1045">
        <f>'Grid_Requirement'!H44</f>
        <v/>
      </c>
      <c r="K1045">
        <f>'Grid_Requirement'!I44</f>
        <v/>
      </c>
      <c r="L1045">
        <f>'Grid_Requirement'!J44</f>
        <v/>
      </c>
      <c r="M1045">
        <f>'Grid_Requirement'!K44</f>
        <v/>
      </c>
      <c r="N1045">
        <f>'Grid_Requirement'!L44</f>
        <v/>
      </c>
      <c r="O1045">
        <f>'Grid_Requirement'!M44</f>
        <v/>
      </c>
      <c r="P1045">
        <f>'Grid_Requirement'!N44</f>
        <v/>
      </c>
      <c r="Q1045">
        <f>'Grid_Requirement'!O44</f>
        <v/>
      </c>
      <c r="R1045">
        <f>'Grid_Requirement'!P44</f>
        <v/>
      </c>
      <c r="S1045">
        <f>'Grid_Requirement'!Q44</f>
        <v/>
      </c>
      <c r="T1045">
        <f>'Grid_Requirement'!R44</f>
        <v/>
      </c>
      <c r="U1045">
        <f>'Grid_Requirement'!S44</f>
        <v/>
      </c>
      <c r="V1045">
        <f>'Grid_Requirement'!T44</f>
        <v/>
      </c>
      <c r="W1045">
        <f>'Grid_Requirement'!U44</f>
        <v/>
      </c>
      <c r="X1045">
        <f>'Grid_Requirement'!V44</f>
        <v/>
      </c>
      <c r="Y1045">
        <f>'Grid_Requirement'!W44</f>
        <v/>
      </c>
      <c r="Z1045">
        <f>'Grid_Requirement'!X44</f>
        <v/>
      </c>
      <c r="AA1045">
        <f>'Grid_Requirement'!Y44</f>
        <v/>
      </c>
      <c r="AB1045">
        <f>'Grid_Requirement'!Z44</f>
        <v/>
      </c>
      <c r="AC1045">
        <f>'Grid_Requirement'!AA44</f>
        <v/>
      </c>
      <c r="AD1045">
        <f>'Grid_Requirement'!AB44</f>
        <v/>
      </c>
      <c r="AE1045">
        <f>'Grid_Requirement'!AC44</f>
        <v/>
      </c>
      <c r="AF1045">
        <f>'Grid_Requirement'!AD44</f>
        <v/>
      </c>
      <c r="AG1045">
        <f>'Grid_Requirement'!AE44</f>
        <v/>
      </c>
      <c r="AH1045">
        <f>'Grid_Requirement'!AF44</f>
        <v/>
      </c>
      <c r="AI1045">
        <f>'Grid_Requirement'!AG44</f>
        <v/>
      </c>
      <c r="AJ1045">
        <f>'Grid_Requirement'!AH44</f>
        <v/>
      </c>
      <c r="AK1045">
        <f>'Grid_Requirement'!AI44</f>
        <v/>
      </c>
      <c r="AL1045">
        <f>'Grid_Requirement'!AJ44</f>
        <v/>
      </c>
      <c r="AM1045">
        <f>'Grid_Requirement'!AK44</f>
        <v/>
      </c>
      <c r="AN1045">
        <f>'Grid_Requirement'!AL44</f>
        <v/>
      </c>
      <c r="AO1045">
        <f>'Grid_Requirement'!AM44</f>
        <v/>
      </c>
      <c r="AP1045">
        <f>'Grid_Requirement'!AN44</f>
        <v/>
      </c>
      <c r="AQ1045">
        <f>'Grid_Requirement'!AO44</f>
        <v/>
      </c>
      <c r="AR1045">
        <f>'Grid_Requirement'!AP44</f>
        <v/>
      </c>
      <c r="AS1045">
        <f>'Grid_Requirement'!AQ44</f>
        <v/>
      </c>
      <c r="AT1045">
        <f>'Grid_Requirement'!AR44</f>
        <v/>
      </c>
      <c r="AU1045">
        <f>'Grid_Requirement'!AS44</f>
        <v/>
      </c>
      <c r="AV1045">
        <f>'Grid_Requirement'!AT44</f>
        <v/>
      </c>
      <c r="AW1045">
        <f>'Grid_Requirement'!AU44</f>
        <v/>
      </c>
      <c r="AX1045">
        <f>'Grid_Requirement'!AV44</f>
        <v/>
      </c>
      <c r="AY1045">
        <f>'Grid_Requirement'!AW44</f>
        <v/>
      </c>
      <c r="AZ1045">
        <f>'Grid_Requirement'!AX44</f>
        <v/>
      </c>
      <c r="BA1045">
        <f>'Grid_Requirement'!AY44</f>
        <v/>
      </c>
      <c r="BB1045">
        <f>'Grid_Requirement'!AZ44</f>
        <v/>
      </c>
      <c r="BC1045">
        <f>'Grid_Requirement'!BA44</f>
        <v/>
      </c>
      <c r="BD1045">
        <f>'Grid_Requirement'!BB44</f>
        <v/>
      </c>
      <c r="BE1045">
        <f>'Grid_Requirement'!BC44</f>
        <v/>
      </c>
      <c r="BF1045">
        <f>'Grid_Requirement'!BD44</f>
        <v/>
      </c>
      <c r="BG1045">
        <f>'Grid_Requirement'!BE44</f>
        <v/>
      </c>
      <c r="BH1045">
        <f>'Grid_Requirement'!BF44</f>
        <v/>
      </c>
      <c r="BI1045">
        <f>'Grid_Requirement'!BG44</f>
        <v/>
      </c>
      <c r="BJ1045">
        <f>'Grid_Requirement'!BH44</f>
        <v/>
      </c>
      <c r="BK1045">
        <f>'Grid_Requirement'!BI44</f>
        <v/>
      </c>
      <c r="BL1045">
        <f>'Grid_Requirement'!BJ44</f>
        <v/>
      </c>
      <c r="BM1045">
        <f>'Grid_Requirement'!BK44</f>
        <v/>
      </c>
      <c r="BN1045">
        <f>'Grid_Requirement'!BL44</f>
        <v/>
      </c>
      <c r="BO1045">
        <f>'Grid_Requirement'!BM44</f>
        <v/>
      </c>
      <c r="BP1045">
        <f>'Grid_Requirement'!BN44</f>
        <v/>
      </c>
      <c r="BQ1045">
        <f>'Grid_Requirement'!BO44</f>
        <v/>
      </c>
      <c r="BR1045">
        <f>'Grid_Requirement'!BP44</f>
        <v/>
      </c>
      <c r="BS1045">
        <f>'Grid_Requirement'!BQ44</f>
        <v/>
      </c>
      <c r="BT1045">
        <f>'Grid_Requirement'!BR44</f>
        <v/>
      </c>
      <c r="BU1045">
        <f>'Grid_Requirement'!BS44</f>
        <v/>
      </c>
      <c r="BV1045">
        <f>'Grid_Requirement'!BT44</f>
        <v/>
      </c>
      <c r="BW1045">
        <f>'Grid_Requirement'!BU44</f>
        <v/>
      </c>
      <c r="BX1045">
        <f>'Grid_Requirement'!BV44</f>
        <v/>
      </c>
      <c r="BY1045">
        <f>'Grid_Requirement'!BW44</f>
        <v/>
      </c>
      <c r="BZ1045">
        <f>'Grid_Requirement'!BX44</f>
        <v/>
      </c>
      <c r="CA1045">
        <f>'Grid_Requirement'!BY44</f>
        <v/>
      </c>
      <c r="CB1045">
        <f>'Grid_Requirement'!BZ44</f>
        <v/>
      </c>
      <c r="CC1045">
        <f>'Grid_Requirement'!CA44</f>
        <v/>
      </c>
      <c r="CD1045">
        <f>'Grid_Requirement'!CB44</f>
        <v/>
      </c>
      <c r="CE1045">
        <f>'Grid_Requirement'!CC44</f>
        <v/>
      </c>
      <c r="CF1045">
        <f>'Grid_Requirement'!CD44</f>
        <v/>
      </c>
      <c r="CG1045">
        <f>'Grid_Requirement'!CE44</f>
        <v/>
      </c>
      <c r="CH1045">
        <f>'Grid_Requirement'!CF44</f>
        <v/>
      </c>
      <c r="CI1045">
        <f>'Grid_Requirement'!CG44</f>
        <v/>
      </c>
      <c r="CJ1045">
        <f>'Grid_Requirement'!CH44</f>
        <v/>
      </c>
      <c r="CK1045">
        <f>'Grid_Requirement'!CI44</f>
        <v/>
      </c>
      <c r="CL1045">
        <f>'Grid_Requirement'!CJ44</f>
        <v/>
      </c>
      <c r="CM1045">
        <f>'Grid_Requirement'!CK44</f>
        <v/>
      </c>
      <c r="CN1045">
        <f>'Grid_Requirement'!CL44</f>
        <v/>
      </c>
      <c r="CO1045">
        <f>'Grid_Requirement'!CM44</f>
        <v/>
      </c>
      <c r="CP1045">
        <f>'Grid_Requirement'!CN44</f>
        <v/>
      </c>
      <c r="CQ1045">
        <f>'Grid_Requirement'!CO44</f>
        <v/>
      </c>
      <c r="CR1045">
        <f>'Grid_Requirement'!CP44</f>
        <v/>
      </c>
      <c r="CS1045">
        <f>'Grid_Requirement'!CQ44</f>
        <v/>
      </c>
      <c r="CT1045">
        <f>'Grid_Requirement'!CR44</f>
        <v/>
      </c>
      <c r="CU1045">
        <f>'Grid_Requirement'!CS44</f>
        <v/>
      </c>
      <c r="CV1045">
        <f>'Grid_Requirement'!CT44</f>
        <v/>
      </c>
      <c r="CW1045">
        <f>'Grid_Requirement'!CU44</f>
        <v/>
      </c>
      <c r="CX1045">
        <f>'Grid_Requirement'!CV44</f>
        <v/>
      </c>
      <c r="CY1045">
        <f>'Grid_Requirement'!CW44</f>
        <v/>
      </c>
      <c r="CZ1045">
        <f>'Grid_Requirement'!CX44</f>
        <v/>
      </c>
      <c r="DA1045">
        <f>'Grid_Requirement'!CY44</f>
        <v/>
      </c>
      <c r="DB1045">
        <f>'Grid_Requirement'!CZ44</f>
        <v/>
      </c>
      <c r="DC1045">
        <f>'Grid_Requirement'!DA44</f>
        <v/>
      </c>
    </row>
    <row r="1046">
      <c r="B1046" t="inlineStr">
        <is>
          <t>TTAF在庫(実績,kg)</t>
        </is>
      </c>
      <c r="D1046">
        <f>'T_TTAFStock'!B48</f>
        <v/>
      </c>
      <c r="E1046">
        <f>'T_TTAFStock'!C48</f>
        <v/>
      </c>
      <c r="F1046">
        <f>'T_TTAFStock'!D48</f>
        <v/>
      </c>
      <c r="G1046">
        <f>'T_TTAFStock'!E48</f>
        <v/>
      </c>
      <c r="H1046">
        <f>'T_TTAFStock'!F48</f>
        <v/>
      </c>
      <c r="I1046">
        <f>'T_TTAFStock'!G48</f>
        <v/>
      </c>
      <c r="J1046">
        <f>'T_TTAFStock'!H48</f>
        <v/>
      </c>
      <c r="K1046">
        <f>'T_TTAFStock'!I48</f>
        <v/>
      </c>
      <c r="L1046">
        <f>'T_TTAFStock'!J48</f>
        <v/>
      </c>
      <c r="M1046">
        <f>'T_TTAFStock'!K48</f>
        <v/>
      </c>
      <c r="N1046">
        <f>'T_TTAFStock'!L48</f>
        <v/>
      </c>
      <c r="O1046">
        <f>'T_TTAFStock'!M48</f>
        <v/>
      </c>
      <c r="P1046">
        <f>'T_TTAFStock'!N48</f>
        <v/>
      </c>
      <c r="Q1046">
        <f>'T_TTAFStock'!O48</f>
        <v/>
      </c>
      <c r="R1046">
        <f>'T_TTAFStock'!P48</f>
        <v/>
      </c>
      <c r="S1046">
        <f>'T_TTAFStock'!Q48</f>
        <v/>
      </c>
      <c r="T1046">
        <f>'T_TTAFStock'!R48</f>
        <v/>
      </c>
      <c r="U1046">
        <f>'T_TTAFStock'!S48</f>
        <v/>
      </c>
      <c r="V1046">
        <f>'T_TTAFStock'!T48</f>
        <v/>
      </c>
      <c r="W1046">
        <f>'T_TTAFStock'!U48</f>
        <v/>
      </c>
      <c r="X1046">
        <f>'T_TTAFStock'!V48</f>
        <v/>
      </c>
      <c r="Y1046">
        <f>'T_TTAFStock'!W48</f>
        <v/>
      </c>
      <c r="Z1046">
        <f>'T_TTAFStock'!X48</f>
        <v/>
      </c>
      <c r="AA1046">
        <f>'T_TTAFStock'!Y48</f>
        <v/>
      </c>
      <c r="AB1046">
        <f>'T_TTAFStock'!Z48</f>
        <v/>
      </c>
      <c r="AC1046">
        <f>'T_TTAFStock'!AA48</f>
        <v/>
      </c>
      <c r="AD1046">
        <f>'T_TTAFStock'!AB48</f>
        <v/>
      </c>
      <c r="AE1046">
        <f>'T_TTAFStock'!AC48</f>
        <v/>
      </c>
      <c r="AF1046">
        <f>'T_TTAFStock'!AD48</f>
        <v/>
      </c>
      <c r="AG1046">
        <f>'T_TTAFStock'!AE48</f>
        <v/>
      </c>
      <c r="AH1046">
        <f>'T_TTAFStock'!AF48</f>
        <v/>
      </c>
      <c r="AI1046">
        <f>'T_TTAFStock'!AG48</f>
        <v/>
      </c>
      <c r="AJ1046">
        <f>'T_TTAFStock'!AH48</f>
        <v/>
      </c>
      <c r="AK1046">
        <f>'T_TTAFStock'!AI48</f>
        <v/>
      </c>
      <c r="AL1046">
        <f>'T_TTAFStock'!AJ48</f>
        <v/>
      </c>
      <c r="AM1046">
        <f>'T_TTAFStock'!AK48</f>
        <v/>
      </c>
      <c r="AN1046">
        <f>'T_TTAFStock'!AL48</f>
        <v/>
      </c>
      <c r="AO1046">
        <f>'T_TTAFStock'!AM48</f>
        <v/>
      </c>
      <c r="AP1046">
        <f>'T_TTAFStock'!AN48</f>
        <v/>
      </c>
      <c r="AQ1046">
        <f>'T_TTAFStock'!AO48</f>
        <v/>
      </c>
      <c r="AR1046">
        <f>'T_TTAFStock'!AP48</f>
        <v/>
      </c>
      <c r="AS1046">
        <f>'T_TTAFStock'!AQ48</f>
        <v/>
      </c>
      <c r="AT1046">
        <f>'T_TTAFStock'!AR48</f>
        <v/>
      </c>
      <c r="AU1046">
        <f>'T_TTAFStock'!AS48</f>
        <v/>
      </c>
      <c r="AV1046">
        <f>'T_TTAFStock'!AT48</f>
        <v/>
      </c>
      <c r="AW1046">
        <f>'T_TTAFStock'!AU48</f>
        <v/>
      </c>
      <c r="AX1046">
        <f>'T_TTAFStock'!AV48</f>
        <v/>
      </c>
      <c r="AY1046">
        <f>'T_TTAFStock'!AW48</f>
        <v/>
      </c>
      <c r="AZ1046">
        <f>'T_TTAFStock'!AX48</f>
        <v/>
      </c>
      <c r="BA1046">
        <f>'T_TTAFStock'!AY48</f>
        <v/>
      </c>
      <c r="BB1046">
        <f>'T_TTAFStock'!AZ48</f>
        <v/>
      </c>
      <c r="BC1046">
        <f>'T_TTAFStock'!BA48</f>
        <v/>
      </c>
      <c r="BD1046">
        <f>'T_TTAFStock'!BB48</f>
        <v/>
      </c>
      <c r="BE1046">
        <f>'T_TTAFStock'!BC48</f>
        <v/>
      </c>
      <c r="BF1046">
        <f>'T_TTAFStock'!BD48</f>
        <v/>
      </c>
      <c r="BG1046">
        <f>'T_TTAFStock'!BE48</f>
        <v/>
      </c>
      <c r="BH1046">
        <f>'T_TTAFStock'!BF48</f>
        <v/>
      </c>
      <c r="BI1046">
        <f>'T_TTAFStock'!BG48</f>
        <v/>
      </c>
      <c r="BJ1046">
        <f>'T_TTAFStock'!BH48</f>
        <v/>
      </c>
      <c r="BK1046">
        <f>'T_TTAFStock'!BI48</f>
        <v/>
      </c>
      <c r="BL1046">
        <f>'T_TTAFStock'!BJ48</f>
        <v/>
      </c>
      <c r="BM1046">
        <f>'T_TTAFStock'!BK48</f>
        <v/>
      </c>
      <c r="BN1046">
        <f>'T_TTAFStock'!BL48</f>
        <v/>
      </c>
      <c r="BO1046">
        <f>'T_TTAFStock'!BM48</f>
        <v/>
      </c>
      <c r="BP1046">
        <f>'T_TTAFStock'!BN48</f>
        <v/>
      </c>
      <c r="BQ1046">
        <f>'T_TTAFStock'!BO48</f>
        <v/>
      </c>
      <c r="BR1046">
        <f>'T_TTAFStock'!BP48</f>
        <v/>
      </c>
      <c r="BS1046">
        <f>'T_TTAFStock'!BQ48</f>
        <v/>
      </c>
      <c r="BT1046">
        <f>'T_TTAFStock'!BR48</f>
        <v/>
      </c>
      <c r="BU1046">
        <f>'T_TTAFStock'!BS48</f>
        <v/>
      </c>
      <c r="BV1046">
        <f>'T_TTAFStock'!BT48</f>
        <v/>
      </c>
      <c r="BW1046">
        <f>'T_TTAFStock'!BU48</f>
        <v/>
      </c>
      <c r="BX1046">
        <f>'T_TTAFStock'!BV48</f>
        <v/>
      </c>
      <c r="BY1046">
        <f>'T_TTAFStock'!BW48</f>
        <v/>
      </c>
      <c r="BZ1046">
        <f>'T_TTAFStock'!BX48</f>
        <v/>
      </c>
      <c r="CA1046">
        <f>'T_TTAFStock'!BY48</f>
        <v/>
      </c>
      <c r="CB1046">
        <f>'T_TTAFStock'!BZ48</f>
        <v/>
      </c>
      <c r="CC1046">
        <f>'T_TTAFStock'!CA48</f>
        <v/>
      </c>
      <c r="CD1046">
        <f>'T_TTAFStock'!CB48</f>
        <v/>
      </c>
      <c r="CE1046">
        <f>'T_TTAFStock'!CC48</f>
        <v/>
      </c>
      <c r="CF1046">
        <f>'T_TTAFStock'!CD48</f>
        <v/>
      </c>
      <c r="CG1046">
        <f>'T_TTAFStock'!CE48</f>
        <v/>
      </c>
      <c r="CH1046">
        <f>'T_TTAFStock'!CF48</f>
        <v/>
      </c>
      <c r="CI1046">
        <f>'T_TTAFStock'!CG48</f>
        <v/>
      </c>
      <c r="CJ1046">
        <f>'T_TTAFStock'!CH48</f>
        <v/>
      </c>
      <c r="CK1046">
        <f>'T_TTAFStock'!CI48</f>
        <v/>
      </c>
      <c r="CL1046">
        <f>'T_TTAFStock'!CJ48</f>
        <v/>
      </c>
      <c r="CM1046">
        <f>'T_TTAFStock'!CK48</f>
        <v/>
      </c>
      <c r="CN1046">
        <f>'T_TTAFStock'!CL48</f>
        <v/>
      </c>
      <c r="CO1046">
        <f>'T_TTAFStock'!CM48</f>
        <v/>
      </c>
      <c r="CP1046">
        <f>'T_TTAFStock'!CN48</f>
        <v/>
      </c>
      <c r="CQ1046">
        <f>'T_TTAFStock'!CO48</f>
        <v/>
      </c>
      <c r="CR1046">
        <f>'T_TTAFStock'!CP48</f>
        <v/>
      </c>
      <c r="CS1046">
        <f>'T_TTAFStock'!CQ48</f>
        <v/>
      </c>
      <c r="CT1046">
        <f>'T_TTAFStock'!CR48</f>
        <v/>
      </c>
      <c r="CU1046">
        <f>'T_TTAFStock'!CS48</f>
        <v/>
      </c>
      <c r="CV1046">
        <f>'T_TTAFStock'!CT48</f>
        <v/>
      </c>
      <c r="CW1046">
        <f>'T_TTAFStock'!CU48</f>
        <v/>
      </c>
      <c r="CX1046">
        <f>'T_TTAFStock'!CV48</f>
        <v/>
      </c>
      <c r="CY1046">
        <f>'T_TTAFStock'!CW48</f>
        <v/>
      </c>
      <c r="CZ1046">
        <f>'T_TTAFStock'!CX48</f>
        <v/>
      </c>
      <c r="DA1046">
        <f>'T_TTAFStock'!CY48</f>
        <v/>
      </c>
      <c r="DB1046">
        <f>'T_TTAFStock'!CZ48</f>
        <v/>
      </c>
      <c r="DC1046">
        <f>'T_TTAFStock'!DA48</f>
        <v/>
      </c>
    </row>
    <row r="1047">
      <c r="B1047" t="inlineStr">
        <is>
          <t>自社在庫(実績,kg)</t>
        </is>
      </c>
      <c r="D1047">
        <f>'T_SelfStock'!B48</f>
        <v/>
      </c>
      <c r="E1047">
        <f>'T_SelfStock'!C48</f>
        <v/>
      </c>
      <c r="F1047">
        <f>'T_SelfStock'!D48</f>
        <v/>
      </c>
      <c r="G1047">
        <f>'T_SelfStock'!E48</f>
        <v/>
      </c>
      <c r="H1047">
        <f>'T_SelfStock'!F48</f>
        <v/>
      </c>
      <c r="I1047">
        <f>'T_SelfStock'!G48</f>
        <v/>
      </c>
      <c r="J1047">
        <f>'T_SelfStock'!H48</f>
        <v/>
      </c>
      <c r="K1047">
        <f>'T_SelfStock'!I48</f>
        <v/>
      </c>
      <c r="L1047">
        <f>'T_SelfStock'!J48</f>
        <v/>
      </c>
      <c r="M1047">
        <f>'T_SelfStock'!K48</f>
        <v/>
      </c>
      <c r="N1047">
        <f>'T_SelfStock'!L48</f>
        <v/>
      </c>
      <c r="O1047">
        <f>'T_SelfStock'!M48</f>
        <v/>
      </c>
      <c r="P1047">
        <f>'T_SelfStock'!N48</f>
        <v/>
      </c>
      <c r="Q1047">
        <f>'T_SelfStock'!O48</f>
        <v/>
      </c>
      <c r="R1047">
        <f>'T_SelfStock'!P48</f>
        <v/>
      </c>
      <c r="S1047">
        <f>'T_SelfStock'!Q48</f>
        <v/>
      </c>
      <c r="T1047">
        <f>'T_SelfStock'!R48</f>
        <v/>
      </c>
      <c r="U1047">
        <f>'T_SelfStock'!S48</f>
        <v/>
      </c>
      <c r="V1047">
        <f>'T_SelfStock'!T48</f>
        <v/>
      </c>
      <c r="W1047">
        <f>'T_SelfStock'!U48</f>
        <v/>
      </c>
      <c r="X1047">
        <f>'T_SelfStock'!V48</f>
        <v/>
      </c>
      <c r="Y1047">
        <f>'T_SelfStock'!W48</f>
        <v/>
      </c>
      <c r="Z1047">
        <f>'T_SelfStock'!X48</f>
        <v/>
      </c>
      <c r="AA1047">
        <f>'T_SelfStock'!Y48</f>
        <v/>
      </c>
      <c r="AB1047">
        <f>'T_SelfStock'!Z48</f>
        <v/>
      </c>
      <c r="AC1047">
        <f>'T_SelfStock'!AA48</f>
        <v/>
      </c>
      <c r="AD1047">
        <f>'T_SelfStock'!AB48</f>
        <v/>
      </c>
      <c r="AE1047">
        <f>'T_SelfStock'!AC48</f>
        <v/>
      </c>
      <c r="AF1047">
        <f>'T_SelfStock'!AD48</f>
        <v/>
      </c>
      <c r="AG1047">
        <f>'T_SelfStock'!AE48</f>
        <v/>
      </c>
      <c r="AH1047">
        <f>'T_SelfStock'!AF48</f>
        <v/>
      </c>
      <c r="AI1047">
        <f>'T_SelfStock'!AG48</f>
        <v/>
      </c>
      <c r="AJ1047">
        <f>'T_SelfStock'!AH48</f>
        <v/>
      </c>
      <c r="AK1047">
        <f>'T_SelfStock'!AI48</f>
        <v/>
      </c>
      <c r="AL1047">
        <f>'T_SelfStock'!AJ48</f>
        <v/>
      </c>
      <c r="AM1047">
        <f>'T_SelfStock'!AK48</f>
        <v/>
      </c>
      <c r="AN1047">
        <f>'T_SelfStock'!AL48</f>
        <v/>
      </c>
      <c r="AO1047">
        <f>'T_SelfStock'!AM48</f>
        <v/>
      </c>
      <c r="AP1047">
        <f>'T_SelfStock'!AN48</f>
        <v/>
      </c>
      <c r="AQ1047">
        <f>'T_SelfStock'!AO48</f>
        <v/>
      </c>
      <c r="AR1047">
        <f>'T_SelfStock'!AP48</f>
        <v/>
      </c>
      <c r="AS1047">
        <f>'T_SelfStock'!AQ48</f>
        <v/>
      </c>
      <c r="AT1047">
        <f>'T_SelfStock'!AR48</f>
        <v/>
      </c>
      <c r="AU1047">
        <f>'T_SelfStock'!AS48</f>
        <v/>
      </c>
      <c r="AV1047">
        <f>'T_SelfStock'!AT48</f>
        <v/>
      </c>
      <c r="AW1047">
        <f>'T_SelfStock'!AU48</f>
        <v/>
      </c>
      <c r="AX1047">
        <f>'T_SelfStock'!AV48</f>
        <v/>
      </c>
      <c r="AY1047">
        <f>'T_SelfStock'!AW48</f>
        <v/>
      </c>
      <c r="AZ1047">
        <f>'T_SelfStock'!AX48</f>
        <v/>
      </c>
      <c r="BA1047">
        <f>'T_SelfStock'!AY48</f>
        <v/>
      </c>
      <c r="BB1047">
        <f>'T_SelfStock'!AZ48</f>
        <v/>
      </c>
      <c r="BC1047">
        <f>'T_SelfStock'!BA48</f>
        <v/>
      </c>
      <c r="BD1047">
        <f>'T_SelfStock'!BB48</f>
        <v/>
      </c>
      <c r="BE1047">
        <f>'T_SelfStock'!BC48</f>
        <v/>
      </c>
      <c r="BF1047">
        <f>'T_SelfStock'!BD48</f>
        <v/>
      </c>
      <c r="BG1047">
        <f>'T_SelfStock'!BE48</f>
        <v/>
      </c>
      <c r="BH1047">
        <f>'T_SelfStock'!BF48</f>
        <v/>
      </c>
      <c r="BI1047">
        <f>'T_SelfStock'!BG48</f>
        <v/>
      </c>
      <c r="BJ1047">
        <f>'T_SelfStock'!BH48</f>
        <v/>
      </c>
      <c r="BK1047">
        <f>'T_SelfStock'!BI48</f>
        <v/>
      </c>
      <c r="BL1047">
        <f>'T_SelfStock'!BJ48</f>
        <v/>
      </c>
      <c r="BM1047">
        <f>'T_SelfStock'!BK48</f>
        <v/>
      </c>
      <c r="BN1047">
        <f>'T_SelfStock'!BL48</f>
        <v/>
      </c>
      <c r="BO1047">
        <f>'T_SelfStock'!BM48</f>
        <v/>
      </c>
      <c r="BP1047">
        <f>'T_SelfStock'!BN48</f>
        <v/>
      </c>
      <c r="BQ1047">
        <f>'T_SelfStock'!BO48</f>
        <v/>
      </c>
      <c r="BR1047">
        <f>'T_SelfStock'!BP48</f>
        <v/>
      </c>
      <c r="BS1047">
        <f>'T_SelfStock'!BQ48</f>
        <v/>
      </c>
      <c r="BT1047">
        <f>'T_SelfStock'!BR48</f>
        <v/>
      </c>
      <c r="BU1047">
        <f>'T_SelfStock'!BS48</f>
        <v/>
      </c>
      <c r="BV1047">
        <f>'T_SelfStock'!BT48</f>
        <v/>
      </c>
      <c r="BW1047">
        <f>'T_SelfStock'!BU48</f>
        <v/>
      </c>
      <c r="BX1047">
        <f>'T_SelfStock'!BV48</f>
        <v/>
      </c>
      <c r="BY1047">
        <f>'T_SelfStock'!BW48</f>
        <v/>
      </c>
      <c r="BZ1047">
        <f>'T_SelfStock'!BX48</f>
        <v/>
      </c>
      <c r="CA1047">
        <f>'T_SelfStock'!BY48</f>
        <v/>
      </c>
      <c r="CB1047">
        <f>'T_SelfStock'!BZ48</f>
        <v/>
      </c>
      <c r="CC1047">
        <f>'T_SelfStock'!CA48</f>
        <v/>
      </c>
      <c r="CD1047">
        <f>'T_SelfStock'!CB48</f>
        <v/>
      </c>
      <c r="CE1047">
        <f>'T_SelfStock'!CC48</f>
        <v/>
      </c>
      <c r="CF1047">
        <f>'T_SelfStock'!CD48</f>
        <v/>
      </c>
      <c r="CG1047">
        <f>'T_SelfStock'!CE48</f>
        <v/>
      </c>
      <c r="CH1047">
        <f>'T_SelfStock'!CF48</f>
        <v/>
      </c>
      <c r="CI1047">
        <f>'T_SelfStock'!CG48</f>
        <v/>
      </c>
      <c r="CJ1047">
        <f>'T_SelfStock'!CH48</f>
        <v/>
      </c>
      <c r="CK1047">
        <f>'T_SelfStock'!CI48</f>
        <v/>
      </c>
      <c r="CL1047">
        <f>'T_SelfStock'!CJ48</f>
        <v/>
      </c>
      <c r="CM1047">
        <f>'T_SelfStock'!CK48</f>
        <v/>
      </c>
      <c r="CN1047">
        <f>'T_SelfStock'!CL48</f>
        <v/>
      </c>
      <c r="CO1047">
        <f>'T_SelfStock'!CM48</f>
        <v/>
      </c>
      <c r="CP1047">
        <f>'T_SelfStock'!CN48</f>
        <v/>
      </c>
      <c r="CQ1047">
        <f>'T_SelfStock'!CO48</f>
        <v/>
      </c>
      <c r="CR1047">
        <f>'T_SelfStock'!CP48</f>
        <v/>
      </c>
      <c r="CS1047">
        <f>'T_SelfStock'!CQ48</f>
        <v/>
      </c>
      <c r="CT1047">
        <f>'T_SelfStock'!CR48</f>
        <v/>
      </c>
      <c r="CU1047">
        <f>'T_SelfStock'!CS48</f>
        <v/>
      </c>
      <c r="CV1047">
        <f>'T_SelfStock'!CT48</f>
        <v/>
      </c>
      <c r="CW1047">
        <f>'T_SelfStock'!CU48</f>
        <v/>
      </c>
      <c r="CX1047">
        <f>'T_SelfStock'!CV48</f>
        <v/>
      </c>
      <c r="CY1047">
        <f>'T_SelfStock'!CW48</f>
        <v/>
      </c>
      <c r="CZ1047">
        <f>'T_SelfStock'!CX48</f>
        <v/>
      </c>
      <c r="DA1047">
        <f>'T_SelfStock'!CY48</f>
        <v/>
      </c>
      <c r="DB1047">
        <f>'T_SelfStock'!CZ48</f>
        <v/>
      </c>
      <c r="DC1047">
        <f>'T_SelfStock'!DA48</f>
        <v/>
      </c>
    </row>
    <row r="1048">
      <c r="B1048" s="4" t="inlineStr">
        <is>
          <t>合計在庫(週末時点,kg)</t>
        </is>
      </c>
      <c r="D1048">
        <f>'Grid_Stock'!B44</f>
        <v/>
      </c>
      <c r="E1048">
        <f>'Grid_Stock'!C44</f>
        <v/>
      </c>
      <c r="F1048">
        <f>'Grid_Stock'!D44</f>
        <v/>
      </c>
      <c r="G1048">
        <f>'Grid_Stock'!E44</f>
        <v/>
      </c>
      <c r="H1048">
        <f>'Grid_Stock'!F44</f>
        <v/>
      </c>
      <c r="I1048">
        <f>'Grid_Stock'!G44</f>
        <v/>
      </c>
      <c r="J1048">
        <f>'Grid_Stock'!H44</f>
        <v/>
      </c>
      <c r="K1048">
        <f>'Grid_Stock'!I44</f>
        <v/>
      </c>
      <c r="L1048">
        <f>'Grid_Stock'!J44</f>
        <v/>
      </c>
      <c r="M1048">
        <f>'Grid_Stock'!K44</f>
        <v/>
      </c>
      <c r="N1048">
        <f>'Grid_Stock'!L44</f>
        <v/>
      </c>
      <c r="O1048">
        <f>'Grid_Stock'!M44</f>
        <v/>
      </c>
      <c r="P1048">
        <f>'Grid_Stock'!N44</f>
        <v/>
      </c>
      <c r="Q1048">
        <f>'Grid_Stock'!O44</f>
        <v/>
      </c>
      <c r="R1048">
        <f>'Grid_Stock'!P44</f>
        <v/>
      </c>
      <c r="S1048">
        <f>'Grid_Stock'!Q44</f>
        <v/>
      </c>
      <c r="T1048">
        <f>'Grid_Stock'!R44</f>
        <v/>
      </c>
      <c r="U1048">
        <f>'Grid_Stock'!S44</f>
        <v/>
      </c>
      <c r="V1048">
        <f>'Grid_Stock'!T44</f>
        <v/>
      </c>
      <c r="W1048">
        <f>'Grid_Stock'!U44</f>
        <v/>
      </c>
      <c r="X1048">
        <f>'Grid_Stock'!V44</f>
        <v/>
      </c>
      <c r="Y1048">
        <f>'Grid_Stock'!W44</f>
        <v/>
      </c>
      <c r="Z1048">
        <f>'Grid_Stock'!X44</f>
        <v/>
      </c>
      <c r="AA1048">
        <f>'Grid_Stock'!Y44</f>
        <v/>
      </c>
      <c r="AB1048">
        <f>'Grid_Stock'!Z44</f>
        <v/>
      </c>
      <c r="AC1048">
        <f>'Grid_Stock'!AA44</f>
        <v/>
      </c>
      <c r="AD1048">
        <f>'Grid_Stock'!AB44</f>
        <v/>
      </c>
      <c r="AE1048">
        <f>'Grid_Stock'!AC44</f>
        <v/>
      </c>
      <c r="AF1048">
        <f>'Grid_Stock'!AD44</f>
        <v/>
      </c>
      <c r="AG1048">
        <f>'Grid_Stock'!AE44</f>
        <v/>
      </c>
      <c r="AH1048">
        <f>'Grid_Stock'!AF44</f>
        <v/>
      </c>
      <c r="AI1048">
        <f>'Grid_Stock'!AG44</f>
        <v/>
      </c>
      <c r="AJ1048">
        <f>'Grid_Stock'!AH44</f>
        <v/>
      </c>
      <c r="AK1048">
        <f>'Grid_Stock'!AI44</f>
        <v/>
      </c>
      <c r="AL1048">
        <f>'Grid_Stock'!AJ44</f>
        <v/>
      </c>
      <c r="AM1048">
        <f>'Grid_Stock'!AK44</f>
        <v/>
      </c>
      <c r="AN1048">
        <f>'Grid_Stock'!AL44</f>
        <v/>
      </c>
      <c r="AO1048">
        <f>'Grid_Stock'!AM44</f>
        <v/>
      </c>
      <c r="AP1048">
        <f>'Grid_Stock'!AN44</f>
        <v/>
      </c>
      <c r="AQ1048">
        <f>'Grid_Stock'!AO44</f>
        <v/>
      </c>
      <c r="AR1048">
        <f>'Grid_Stock'!AP44</f>
        <v/>
      </c>
      <c r="AS1048">
        <f>'Grid_Stock'!AQ44</f>
        <v/>
      </c>
      <c r="AT1048">
        <f>'Grid_Stock'!AR44</f>
        <v/>
      </c>
      <c r="AU1048">
        <f>'Grid_Stock'!AS44</f>
        <v/>
      </c>
      <c r="AV1048">
        <f>'Grid_Stock'!AT44</f>
        <v/>
      </c>
      <c r="AW1048">
        <f>'Grid_Stock'!AU44</f>
        <v/>
      </c>
      <c r="AX1048">
        <f>'Grid_Stock'!AV44</f>
        <v/>
      </c>
      <c r="AY1048">
        <f>'Grid_Stock'!AW44</f>
        <v/>
      </c>
      <c r="AZ1048">
        <f>'Grid_Stock'!AX44</f>
        <v/>
      </c>
      <c r="BA1048">
        <f>'Grid_Stock'!AY44</f>
        <v/>
      </c>
      <c r="BB1048">
        <f>'Grid_Stock'!AZ44</f>
        <v/>
      </c>
      <c r="BC1048">
        <f>'Grid_Stock'!BA44</f>
        <v/>
      </c>
      <c r="BD1048">
        <f>'Grid_Stock'!BB44</f>
        <v/>
      </c>
      <c r="BE1048">
        <f>'Grid_Stock'!BC44</f>
        <v/>
      </c>
      <c r="BF1048">
        <f>'Grid_Stock'!BD44</f>
        <v/>
      </c>
      <c r="BG1048">
        <f>'Grid_Stock'!BE44</f>
        <v/>
      </c>
      <c r="BH1048">
        <f>'Grid_Stock'!BF44</f>
        <v/>
      </c>
      <c r="BI1048">
        <f>'Grid_Stock'!BG44</f>
        <v/>
      </c>
      <c r="BJ1048">
        <f>'Grid_Stock'!BH44</f>
        <v/>
      </c>
      <c r="BK1048">
        <f>'Grid_Stock'!BI44</f>
        <v/>
      </c>
      <c r="BL1048">
        <f>'Grid_Stock'!BJ44</f>
        <v/>
      </c>
      <c r="BM1048">
        <f>'Grid_Stock'!BK44</f>
        <v/>
      </c>
      <c r="BN1048">
        <f>'Grid_Stock'!BL44</f>
        <v/>
      </c>
      <c r="BO1048">
        <f>'Grid_Stock'!BM44</f>
        <v/>
      </c>
      <c r="BP1048">
        <f>'Grid_Stock'!BN44</f>
        <v/>
      </c>
      <c r="BQ1048">
        <f>'Grid_Stock'!BO44</f>
        <v/>
      </c>
      <c r="BR1048">
        <f>'Grid_Stock'!BP44</f>
        <v/>
      </c>
      <c r="BS1048">
        <f>'Grid_Stock'!BQ44</f>
        <v/>
      </c>
      <c r="BT1048">
        <f>'Grid_Stock'!BR44</f>
        <v/>
      </c>
      <c r="BU1048">
        <f>'Grid_Stock'!BS44</f>
        <v/>
      </c>
      <c r="BV1048">
        <f>'Grid_Stock'!BT44</f>
        <v/>
      </c>
      <c r="BW1048">
        <f>'Grid_Stock'!BU44</f>
        <v/>
      </c>
      <c r="BX1048">
        <f>'Grid_Stock'!BV44</f>
        <v/>
      </c>
      <c r="BY1048">
        <f>'Grid_Stock'!BW44</f>
        <v/>
      </c>
      <c r="BZ1048">
        <f>'Grid_Stock'!BX44</f>
        <v/>
      </c>
      <c r="CA1048">
        <f>'Grid_Stock'!BY44</f>
        <v/>
      </c>
      <c r="CB1048">
        <f>'Grid_Stock'!BZ44</f>
        <v/>
      </c>
      <c r="CC1048">
        <f>'Grid_Stock'!CA44</f>
        <v/>
      </c>
      <c r="CD1048">
        <f>'Grid_Stock'!CB44</f>
        <v/>
      </c>
      <c r="CE1048">
        <f>'Grid_Stock'!CC44</f>
        <v/>
      </c>
      <c r="CF1048">
        <f>'Grid_Stock'!CD44</f>
        <v/>
      </c>
      <c r="CG1048">
        <f>'Grid_Stock'!CE44</f>
        <v/>
      </c>
      <c r="CH1048">
        <f>'Grid_Stock'!CF44</f>
        <v/>
      </c>
      <c r="CI1048">
        <f>'Grid_Stock'!CG44</f>
        <v/>
      </c>
      <c r="CJ1048">
        <f>'Grid_Stock'!CH44</f>
        <v/>
      </c>
      <c r="CK1048">
        <f>'Grid_Stock'!CI44</f>
        <v/>
      </c>
      <c r="CL1048">
        <f>'Grid_Stock'!CJ44</f>
        <v/>
      </c>
      <c r="CM1048">
        <f>'Grid_Stock'!CK44</f>
        <v/>
      </c>
      <c r="CN1048">
        <f>'Grid_Stock'!CL44</f>
        <v/>
      </c>
      <c r="CO1048">
        <f>'Grid_Stock'!CM44</f>
        <v/>
      </c>
      <c r="CP1048">
        <f>'Grid_Stock'!CN44</f>
        <v/>
      </c>
      <c r="CQ1048">
        <f>'Grid_Stock'!CO44</f>
        <v/>
      </c>
      <c r="CR1048">
        <f>'Grid_Stock'!CP44</f>
        <v/>
      </c>
      <c r="CS1048">
        <f>'Grid_Stock'!CQ44</f>
        <v/>
      </c>
      <c r="CT1048">
        <f>'Grid_Stock'!CR44</f>
        <v/>
      </c>
      <c r="CU1048">
        <f>'Grid_Stock'!CS44</f>
        <v/>
      </c>
      <c r="CV1048">
        <f>'Grid_Stock'!CT44</f>
        <v/>
      </c>
      <c r="CW1048">
        <f>'Grid_Stock'!CU44</f>
        <v/>
      </c>
      <c r="CX1048">
        <f>'Grid_Stock'!CV44</f>
        <v/>
      </c>
      <c r="CY1048">
        <f>'Grid_Stock'!CW44</f>
        <v/>
      </c>
      <c r="CZ1048">
        <f>'Grid_Stock'!CX44</f>
        <v/>
      </c>
      <c r="DA1048">
        <f>'Grid_Stock'!CY44</f>
        <v/>
      </c>
      <c r="DB1048">
        <f>'Grid_Stock'!CZ44</f>
        <v/>
      </c>
      <c r="DC1048">
        <f>'Grid_Stock'!DA44</f>
        <v/>
      </c>
    </row>
    <row r="1049">
      <c r="B1049" s="16" t="inlineStr">
        <is>
          <t>（発注の目安はDashboardの基準在庫[下限/上限]と色分けを参照）</t>
        </is>
      </c>
    </row>
    <row r="1051">
      <c r="A1051" s="14" t="inlineStr">
        <is>
          <t>9RN</t>
        </is>
      </c>
      <c r="B1051" s="14" t="inlineStr">
        <is>
          <t>N30S89R11WF7  4FK13117080</t>
        </is>
      </c>
      <c r="C1051" s="15" t="n"/>
      <c r="D1051" s="14" t="n"/>
      <c r="E1051" s="14" t="n"/>
      <c r="F1051" s="14" t="n"/>
      <c r="G1051" s="14" t="n"/>
      <c r="H1051" s="14" t="n"/>
      <c r="I1051" s="14" t="n"/>
      <c r="J1051" s="14" t="n"/>
      <c r="K1051" s="14" t="n"/>
      <c r="L1051" s="14" t="n"/>
      <c r="M1051" s="14" t="n"/>
      <c r="N1051" s="14" t="n"/>
      <c r="O1051" s="14" t="n"/>
      <c r="P1051" s="14" t="n"/>
      <c r="Q1051" s="14" t="n"/>
      <c r="R1051" s="14" t="n"/>
      <c r="S1051" s="14" t="n"/>
      <c r="T1051" s="14" t="n"/>
      <c r="U1051" s="14" t="n"/>
      <c r="V1051" s="14" t="n"/>
      <c r="W1051" s="14" t="n"/>
      <c r="X1051" s="14" t="n"/>
      <c r="Y1051" s="14" t="n"/>
      <c r="Z1051" s="14" t="n"/>
      <c r="AA1051" s="14" t="n"/>
      <c r="AB1051" s="14" t="n"/>
      <c r="AC1051" s="14" t="n"/>
      <c r="AD1051" s="14" t="n"/>
      <c r="AE1051" s="14" t="n"/>
      <c r="AF1051" s="14" t="n"/>
      <c r="AG1051" s="14" t="n"/>
      <c r="AH1051" s="14" t="n"/>
      <c r="AI1051" s="14" t="n"/>
      <c r="AJ1051" s="14" t="n"/>
      <c r="AK1051" s="14" t="n"/>
      <c r="AL1051" s="14" t="n"/>
      <c r="AM1051" s="14" t="n"/>
      <c r="AN1051" s="14" t="n"/>
      <c r="AO1051" s="14" t="n"/>
      <c r="AP1051" s="14" t="n"/>
      <c r="AQ1051" s="14" t="n"/>
      <c r="AR1051" s="14" t="n"/>
      <c r="AS1051" s="14" t="n"/>
      <c r="AT1051" s="14" t="n"/>
      <c r="AU1051" s="14" t="n"/>
      <c r="AV1051" s="14" t="n"/>
      <c r="AW1051" s="14" t="n"/>
      <c r="AX1051" s="14" t="n"/>
      <c r="AY1051" s="14" t="n"/>
      <c r="AZ1051" s="14" t="n"/>
      <c r="BA1051" s="14" t="n"/>
      <c r="BB1051" s="14" t="n"/>
      <c r="BC1051" s="14" t="n"/>
      <c r="BD1051" s="14" t="n"/>
      <c r="BE1051" s="14" t="n"/>
      <c r="BF1051" s="14" t="n"/>
      <c r="BG1051" s="14" t="n"/>
      <c r="BH1051" s="14" t="n"/>
      <c r="BI1051" s="14" t="n"/>
      <c r="BJ1051" s="14" t="n"/>
      <c r="BK1051" s="14" t="n"/>
      <c r="BL1051" s="14" t="n"/>
      <c r="BM1051" s="14" t="n"/>
      <c r="BN1051" s="14" t="n"/>
      <c r="BO1051" s="14" t="n"/>
      <c r="BP1051" s="14" t="n"/>
      <c r="BQ1051" s="14" t="n"/>
      <c r="BR1051" s="14" t="n"/>
      <c r="BS1051" s="14" t="n"/>
      <c r="BT1051" s="14" t="n"/>
      <c r="BU1051" s="14" t="n"/>
      <c r="BV1051" s="14" t="n"/>
      <c r="BW1051" s="14" t="n"/>
      <c r="BX1051" s="14" t="n"/>
      <c r="BY1051" s="14" t="n"/>
      <c r="BZ1051" s="14" t="n"/>
      <c r="CA1051" s="14" t="n"/>
      <c r="CB1051" s="14" t="n"/>
      <c r="CC1051" s="14" t="n"/>
      <c r="CD1051" s="14" t="n"/>
      <c r="CE1051" s="14" t="n"/>
      <c r="CF1051" s="14" t="n"/>
      <c r="CG1051" s="14" t="n"/>
      <c r="CH1051" s="14" t="n"/>
      <c r="CI1051" s="14" t="n"/>
      <c r="CJ1051" s="14" t="n"/>
      <c r="CK1051" s="14" t="n"/>
      <c r="CL1051" s="14" t="n"/>
      <c r="CM1051" s="14" t="n"/>
      <c r="CN1051" s="14" t="n"/>
      <c r="CO1051" s="14" t="n"/>
      <c r="CP1051" s="14" t="n"/>
      <c r="CQ1051" s="14" t="n"/>
      <c r="CR1051" s="14" t="n"/>
      <c r="CS1051" s="14" t="n"/>
      <c r="CT1051" s="14" t="n"/>
      <c r="CU1051" s="14" t="n"/>
      <c r="CV1051" s="14" t="n"/>
      <c r="CW1051" s="14" t="n"/>
      <c r="CX1051" s="14" t="n"/>
      <c r="CY1051" s="14" t="n"/>
      <c r="CZ1051" s="14" t="n"/>
      <c r="DA1051" s="14" t="n"/>
      <c r="DB1051" s="14" t="n"/>
      <c r="DC1051" s="14" t="n"/>
    </row>
    <row r="1052">
      <c r="B1052" t="inlineStr">
        <is>
          <t>K0050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7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Name],$A1051)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s="4" t="inlineStr">
        <is>
          <t>合計使用量(kg)/週</t>
        </is>
      </c>
      <c r="D1054">
        <f>'Grid_Requirement'!B14</f>
        <v/>
      </c>
      <c r="E1054">
        <f>'Grid_Requirement'!C14</f>
        <v/>
      </c>
      <c r="F1054">
        <f>'Grid_Requirement'!D14</f>
        <v/>
      </c>
      <c r="G1054">
        <f>'Grid_Requirement'!E14</f>
        <v/>
      </c>
      <c r="H1054">
        <f>'Grid_Requirement'!F14</f>
        <v/>
      </c>
      <c r="I1054">
        <f>'Grid_Requirement'!G14</f>
        <v/>
      </c>
      <c r="J1054">
        <f>'Grid_Requirement'!H14</f>
        <v/>
      </c>
      <c r="K1054">
        <f>'Grid_Requirement'!I14</f>
        <v/>
      </c>
      <c r="L1054">
        <f>'Grid_Requirement'!J14</f>
        <v/>
      </c>
      <c r="M1054">
        <f>'Grid_Requirement'!K14</f>
        <v/>
      </c>
      <c r="N1054">
        <f>'Grid_Requirement'!L14</f>
        <v/>
      </c>
      <c r="O1054">
        <f>'Grid_Requirement'!M14</f>
        <v/>
      </c>
      <c r="P1054">
        <f>'Grid_Requirement'!N14</f>
        <v/>
      </c>
      <c r="Q1054">
        <f>'Grid_Requirement'!O14</f>
        <v/>
      </c>
      <c r="R1054">
        <f>'Grid_Requirement'!P14</f>
        <v/>
      </c>
      <c r="S1054">
        <f>'Grid_Requirement'!Q14</f>
        <v/>
      </c>
      <c r="T1054">
        <f>'Grid_Requirement'!R14</f>
        <v/>
      </c>
      <c r="U1054">
        <f>'Grid_Requirement'!S14</f>
        <v/>
      </c>
      <c r="V1054">
        <f>'Grid_Requirement'!T14</f>
        <v/>
      </c>
      <c r="W1054">
        <f>'Grid_Requirement'!U14</f>
        <v/>
      </c>
      <c r="X1054">
        <f>'Grid_Requirement'!V14</f>
        <v/>
      </c>
      <c r="Y1054">
        <f>'Grid_Requirement'!W14</f>
        <v/>
      </c>
      <c r="Z1054">
        <f>'Grid_Requirement'!X14</f>
        <v/>
      </c>
      <c r="AA1054">
        <f>'Grid_Requirement'!Y14</f>
        <v/>
      </c>
      <c r="AB1054">
        <f>'Grid_Requirement'!Z14</f>
        <v/>
      </c>
      <c r="AC1054">
        <f>'Grid_Requirement'!AA14</f>
        <v/>
      </c>
      <c r="AD1054">
        <f>'Grid_Requirement'!AB14</f>
        <v/>
      </c>
      <c r="AE1054">
        <f>'Grid_Requirement'!AC14</f>
        <v/>
      </c>
      <c r="AF1054">
        <f>'Grid_Requirement'!AD14</f>
        <v/>
      </c>
      <c r="AG1054">
        <f>'Grid_Requirement'!AE14</f>
        <v/>
      </c>
      <c r="AH1054">
        <f>'Grid_Requirement'!AF14</f>
        <v/>
      </c>
      <c r="AI1054">
        <f>'Grid_Requirement'!AG14</f>
        <v/>
      </c>
      <c r="AJ1054">
        <f>'Grid_Requirement'!AH14</f>
        <v/>
      </c>
      <c r="AK1054">
        <f>'Grid_Requirement'!AI14</f>
        <v/>
      </c>
      <c r="AL1054">
        <f>'Grid_Requirement'!AJ14</f>
        <v/>
      </c>
      <c r="AM1054">
        <f>'Grid_Requirement'!AK14</f>
        <v/>
      </c>
      <c r="AN1054">
        <f>'Grid_Requirement'!AL14</f>
        <v/>
      </c>
      <c r="AO1054">
        <f>'Grid_Requirement'!AM14</f>
        <v/>
      </c>
      <c r="AP1054">
        <f>'Grid_Requirement'!AN14</f>
        <v/>
      </c>
      <c r="AQ1054">
        <f>'Grid_Requirement'!AO14</f>
        <v/>
      </c>
      <c r="AR1054">
        <f>'Grid_Requirement'!AP14</f>
        <v/>
      </c>
      <c r="AS1054">
        <f>'Grid_Requirement'!AQ14</f>
        <v/>
      </c>
      <c r="AT1054">
        <f>'Grid_Requirement'!AR14</f>
        <v/>
      </c>
      <c r="AU1054">
        <f>'Grid_Requirement'!AS14</f>
        <v/>
      </c>
      <c r="AV1054">
        <f>'Grid_Requirement'!AT14</f>
        <v/>
      </c>
      <c r="AW1054">
        <f>'Grid_Requirement'!AU14</f>
        <v/>
      </c>
      <c r="AX1054">
        <f>'Grid_Requirement'!AV14</f>
        <v/>
      </c>
      <c r="AY1054">
        <f>'Grid_Requirement'!AW14</f>
        <v/>
      </c>
      <c r="AZ1054">
        <f>'Grid_Requirement'!AX14</f>
        <v/>
      </c>
      <c r="BA1054">
        <f>'Grid_Requirement'!AY14</f>
        <v/>
      </c>
      <c r="BB1054">
        <f>'Grid_Requirement'!AZ14</f>
        <v/>
      </c>
      <c r="BC1054">
        <f>'Grid_Requirement'!BA14</f>
        <v/>
      </c>
      <c r="BD1054">
        <f>'Grid_Requirement'!BB14</f>
        <v/>
      </c>
      <c r="BE1054">
        <f>'Grid_Requirement'!BC14</f>
        <v/>
      </c>
      <c r="BF1054">
        <f>'Grid_Requirement'!BD14</f>
        <v/>
      </c>
      <c r="BG1054">
        <f>'Grid_Requirement'!BE14</f>
        <v/>
      </c>
      <c r="BH1054">
        <f>'Grid_Requirement'!BF14</f>
        <v/>
      </c>
      <c r="BI1054">
        <f>'Grid_Requirement'!BG14</f>
        <v/>
      </c>
      <c r="BJ1054">
        <f>'Grid_Requirement'!BH14</f>
        <v/>
      </c>
      <c r="BK1054">
        <f>'Grid_Requirement'!BI14</f>
        <v/>
      </c>
      <c r="BL1054">
        <f>'Grid_Requirement'!BJ14</f>
        <v/>
      </c>
      <c r="BM1054">
        <f>'Grid_Requirement'!BK14</f>
        <v/>
      </c>
      <c r="BN1054">
        <f>'Grid_Requirement'!BL14</f>
        <v/>
      </c>
      <c r="BO1054">
        <f>'Grid_Requirement'!BM14</f>
        <v/>
      </c>
      <c r="BP1054">
        <f>'Grid_Requirement'!BN14</f>
        <v/>
      </c>
      <c r="BQ1054">
        <f>'Grid_Requirement'!BO14</f>
        <v/>
      </c>
      <c r="BR1054">
        <f>'Grid_Requirement'!BP14</f>
        <v/>
      </c>
      <c r="BS1054">
        <f>'Grid_Requirement'!BQ14</f>
        <v/>
      </c>
      <c r="BT1054">
        <f>'Grid_Requirement'!BR14</f>
        <v/>
      </c>
      <c r="BU1054">
        <f>'Grid_Requirement'!BS14</f>
        <v/>
      </c>
      <c r="BV1054">
        <f>'Grid_Requirement'!BT14</f>
        <v/>
      </c>
      <c r="BW1054">
        <f>'Grid_Requirement'!BU14</f>
        <v/>
      </c>
      <c r="BX1054">
        <f>'Grid_Requirement'!BV14</f>
        <v/>
      </c>
      <c r="BY1054">
        <f>'Grid_Requirement'!BW14</f>
        <v/>
      </c>
      <c r="BZ1054">
        <f>'Grid_Requirement'!BX14</f>
        <v/>
      </c>
      <c r="CA1054">
        <f>'Grid_Requirement'!BY14</f>
        <v/>
      </c>
      <c r="CB1054">
        <f>'Grid_Requirement'!BZ14</f>
        <v/>
      </c>
      <c r="CC1054">
        <f>'Grid_Requirement'!CA14</f>
        <v/>
      </c>
      <c r="CD1054">
        <f>'Grid_Requirement'!CB14</f>
        <v/>
      </c>
      <c r="CE1054">
        <f>'Grid_Requirement'!CC14</f>
        <v/>
      </c>
      <c r="CF1054">
        <f>'Grid_Requirement'!CD14</f>
        <v/>
      </c>
      <c r="CG1054">
        <f>'Grid_Requirement'!CE14</f>
        <v/>
      </c>
      <c r="CH1054">
        <f>'Grid_Requirement'!CF14</f>
        <v/>
      </c>
      <c r="CI1054">
        <f>'Grid_Requirement'!CG14</f>
        <v/>
      </c>
      <c r="CJ1054">
        <f>'Grid_Requirement'!CH14</f>
        <v/>
      </c>
      <c r="CK1054">
        <f>'Grid_Requirement'!CI14</f>
        <v/>
      </c>
      <c r="CL1054">
        <f>'Grid_Requirement'!CJ14</f>
        <v/>
      </c>
      <c r="CM1054">
        <f>'Grid_Requirement'!CK14</f>
        <v/>
      </c>
      <c r="CN1054">
        <f>'Grid_Requirement'!CL14</f>
        <v/>
      </c>
      <c r="CO1054">
        <f>'Grid_Requirement'!CM14</f>
        <v/>
      </c>
      <c r="CP1054">
        <f>'Grid_Requirement'!CN14</f>
        <v/>
      </c>
      <c r="CQ1054">
        <f>'Grid_Requirement'!CO14</f>
        <v/>
      </c>
      <c r="CR1054">
        <f>'Grid_Requirement'!CP14</f>
        <v/>
      </c>
      <c r="CS1054">
        <f>'Grid_Requirement'!CQ14</f>
        <v/>
      </c>
      <c r="CT1054">
        <f>'Grid_Requirement'!CR14</f>
        <v/>
      </c>
      <c r="CU1054">
        <f>'Grid_Requirement'!CS14</f>
        <v/>
      </c>
      <c r="CV1054">
        <f>'Grid_Requirement'!CT14</f>
        <v/>
      </c>
      <c r="CW1054">
        <f>'Grid_Requirement'!CU14</f>
        <v/>
      </c>
      <c r="CX1054">
        <f>'Grid_Requirement'!CV14</f>
        <v/>
      </c>
      <c r="CY1054">
        <f>'Grid_Requirement'!CW14</f>
        <v/>
      </c>
      <c r="CZ1054">
        <f>'Grid_Requirement'!CX14</f>
        <v/>
      </c>
      <c r="DA1054">
        <f>'Grid_Requirement'!CY14</f>
        <v/>
      </c>
      <c r="DB1054">
        <f>'Grid_Requirement'!CZ14</f>
        <v/>
      </c>
      <c r="DC1054">
        <f>'Grid_Requirement'!DA14</f>
        <v/>
      </c>
    </row>
    <row r="1055">
      <c r="B1055" t="inlineStr">
        <is>
          <t>TTAF在庫(実績,kg)</t>
        </is>
      </c>
      <c r="D1055">
        <f>'T_TTAFStock'!B18</f>
        <v/>
      </c>
      <c r="E1055">
        <f>'T_TTAFStock'!C18</f>
        <v/>
      </c>
      <c r="F1055">
        <f>'T_TTAFStock'!D18</f>
        <v/>
      </c>
      <c r="G1055">
        <f>'T_TTAFStock'!E18</f>
        <v/>
      </c>
      <c r="H1055">
        <f>'T_TTAFStock'!F18</f>
        <v/>
      </c>
      <c r="I1055">
        <f>'T_TTAFStock'!G18</f>
        <v/>
      </c>
      <c r="J1055">
        <f>'T_TTAFStock'!H18</f>
        <v/>
      </c>
      <c r="K1055">
        <f>'T_TTAFStock'!I18</f>
        <v/>
      </c>
      <c r="L1055">
        <f>'T_TTAFStock'!J18</f>
        <v/>
      </c>
      <c r="M1055">
        <f>'T_TTAFStock'!K18</f>
        <v/>
      </c>
      <c r="N1055">
        <f>'T_TTAFStock'!L18</f>
        <v/>
      </c>
      <c r="O1055">
        <f>'T_TTAFStock'!M18</f>
        <v/>
      </c>
      <c r="P1055">
        <f>'T_TTAFStock'!N18</f>
        <v/>
      </c>
      <c r="Q1055">
        <f>'T_TTAFStock'!O18</f>
        <v/>
      </c>
      <c r="R1055">
        <f>'T_TTAFStock'!P18</f>
        <v/>
      </c>
      <c r="S1055">
        <f>'T_TTAFStock'!Q18</f>
        <v/>
      </c>
      <c r="T1055">
        <f>'T_TTAFStock'!R18</f>
        <v/>
      </c>
      <c r="U1055">
        <f>'T_TTAFStock'!S18</f>
        <v/>
      </c>
      <c r="V1055">
        <f>'T_TTAFStock'!T18</f>
        <v/>
      </c>
      <c r="W1055">
        <f>'T_TTAFStock'!U18</f>
        <v/>
      </c>
      <c r="X1055">
        <f>'T_TTAFStock'!V18</f>
        <v/>
      </c>
      <c r="Y1055">
        <f>'T_TTAFStock'!W18</f>
        <v/>
      </c>
      <c r="Z1055">
        <f>'T_TTAFStock'!X18</f>
        <v/>
      </c>
      <c r="AA1055">
        <f>'T_TTAFStock'!Y18</f>
        <v/>
      </c>
      <c r="AB1055">
        <f>'T_TTAFStock'!Z18</f>
        <v/>
      </c>
      <c r="AC1055">
        <f>'T_TTAFStock'!AA18</f>
        <v/>
      </c>
      <c r="AD1055">
        <f>'T_TTAFStock'!AB18</f>
        <v/>
      </c>
      <c r="AE1055">
        <f>'T_TTAFStock'!AC18</f>
        <v/>
      </c>
      <c r="AF1055">
        <f>'T_TTAFStock'!AD18</f>
        <v/>
      </c>
      <c r="AG1055">
        <f>'T_TTAFStock'!AE18</f>
        <v/>
      </c>
      <c r="AH1055">
        <f>'T_TTAFStock'!AF18</f>
        <v/>
      </c>
      <c r="AI1055">
        <f>'T_TTAFStock'!AG18</f>
        <v/>
      </c>
      <c r="AJ1055">
        <f>'T_TTAFStock'!AH18</f>
        <v/>
      </c>
      <c r="AK1055">
        <f>'T_TTAFStock'!AI18</f>
        <v/>
      </c>
      <c r="AL1055">
        <f>'T_TTAFStock'!AJ18</f>
        <v/>
      </c>
      <c r="AM1055">
        <f>'T_TTAFStock'!AK18</f>
        <v/>
      </c>
      <c r="AN1055">
        <f>'T_TTAFStock'!AL18</f>
        <v/>
      </c>
      <c r="AO1055">
        <f>'T_TTAFStock'!AM18</f>
        <v/>
      </c>
      <c r="AP1055">
        <f>'T_TTAFStock'!AN18</f>
        <v/>
      </c>
      <c r="AQ1055">
        <f>'T_TTAFStock'!AO18</f>
        <v/>
      </c>
      <c r="AR1055">
        <f>'T_TTAFStock'!AP18</f>
        <v/>
      </c>
      <c r="AS1055">
        <f>'T_TTAFStock'!AQ18</f>
        <v/>
      </c>
      <c r="AT1055">
        <f>'T_TTAFStock'!AR18</f>
        <v/>
      </c>
      <c r="AU1055">
        <f>'T_TTAFStock'!AS18</f>
        <v/>
      </c>
      <c r="AV1055">
        <f>'T_TTAFStock'!AT18</f>
        <v/>
      </c>
      <c r="AW1055">
        <f>'T_TTAFStock'!AU18</f>
        <v/>
      </c>
      <c r="AX1055">
        <f>'T_TTAFStock'!AV18</f>
        <v/>
      </c>
      <c r="AY1055">
        <f>'T_TTAFStock'!AW18</f>
        <v/>
      </c>
      <c r="AZ1055">
        <f>'T_TTAFStock'!AX18</f>
        <v/>
      </c>
      <c r="BA1055">
        <f>'T_TTAFStock'!AY18</f>
        <v/>
      </c>
      <c r="BB1055">
        <f>'T_TTAFStock'!AZ18</f>
        <v/>
      </c>
      <c r="BC1055">
        <f>'T_TTAFStock'!BA18</f>
        <v/>
      </c>
      <c r="BD1055">
        <f>'T_TTAFStock'!BB18</f>
        <v/>
      </c>
      <c r="BE1055">
        <f>'T_TTAFStock'!BC18</f>
        <v/>
      </c>
      <c r="BF1055">
        <f>'T_TTAFStock'!BD18</f>
        <v/>
      </c>
      <c r="BG1055">
        <f>'T_TTAFStock'!BE18</f>
        <v/>
      </c>
      <c r="BH1055">
        <f>'T_TTAFStock'!BF18</f>
        <v/>
      </c>
      <c r="BI1055">
        <f>'T_TTAFStock'!BG18</f>
        <v/>
      </c>
      <c r="BJ1055">
        <f>'T_TTAFStock'!BH18</f>
        <v/>
      </c>
      <c r="BK1055">
        <f>'T_TTAFStock'!BI18</f>
        <v/>
      </c>
      <c r="BL1055">
        <f>'T_TTAFStock'!BJ18</f>
        <v/>
      </c>
      <c r="BM1055">
        <f>'T_TTAFStock'!BK18</f>
        <v/>
      </c>
      <c r="BN1055">
        <f>'T_TTAFStock'!BL18</f>
        <v/>
      </c>
      <c r="BO1055">
        <f>'T_TTAFStock'!BM18</f>
        <v/>
      </c>
      <c r="BP1055">
        <f>'T_TTAFStock'!BN18</f>
        <v/>
      </c>
      <c r="BQ1055">
        <f>'T_TTAFStock'!BO18</f>
        <v/>
      </c>
      <c r="BR1055">
        <f>'T_TTAFStock'!BP18</f>
        <v/>
      </c>
      <c r="BS1055">
        <f>'T_TTAFStock'!BQ18</f>
        <v/>
      </c>
      <c r="BT1055">
        <f>'T_TTAFStock'!BR18</f>
        <v/>
      </c>
      <c r="BU1055">
        <f>'T_TTAFStock'!BS18</f>
        <v/>
      </c>
      <c r="BV1055">
        <f>'T_TTAFStock'!BT18</f>
        <v/>
      </c>
      <c r="BW1055">
        <f>'T_TTAFStock'!BU18</f>
        <v/>
      </c>
      <c r="BX1055">
        <f>'T_TTAFStock'!BV18</f>
        <v/>
      </c>
      <c r="BY1055">
        <f>'T_TTAFStock'!BW18</f>
        <v/>
      </c>
      <c r="BZ1055">
        <f>'T_TTAFStock'!BX18</f>
        <v/>
      </c>
      <c r="CA1055">
        <f>'T_TTAFStock'!BY18</f>
        <v/>
      </c>
      <c r="CB1055">
        <f>'T_TTAFStock'!BZ18</f>
        <v/>
      </c>
      <c r="CC1055">
        <f>'T_TTAFStock'!CA18</f>
        <v/>
      </c>
      <c r="CD1055">
        <f>'T_TTAFStock'!CB18</f>
        <v/>
      </c>
      <c r="CE1055">
        <f>'T_TTAFStock'!CC18</f>
        <v/>
      </c>
      <c r="CF1055">
        <f>'T_TTAFStock'!CD18</f>
        <v/>
      </c>
      <c r="CG1055">
        <f>'T_TTAFStock'!CE18</f>
        <v/>
      </c>
      <c r="CH1055">
        <f>'T_TTAFStock'!CF18</f>
        <v/>
      </c>
      <c r="CI1055">
        <f>'T_TTAFStock'!CG18</f>
        <v/>
      </c>
      <c r="CJ1055">
        <f>'T_TTAFStock'!CH18</f>
        <v/>
      </c>
      <c r="CK1055">
        <f>'T_TTAFStock'!CI18</f>
        <v/>
      </c>
      <c r="CL1055">
        <f>'T_TTAFStock'!CJ18</f>
        <v/>
      </c>
      <c r="CM1055">
        <f>'T_TTAFStock'!CK18</f>
        <v/>
      </c>
      <c r="CN1055">
        <f>'T_TTAFStock'!CL18</f>
        <v/>
      </c>
      <c r="CO1055">
        <f>'T_TTAFStock'!CM18</f>
        <v/>
      </c>
      <c r="CP1055">
        <f>'T_TTAFStock'!CN18</f>
        <v/>
      </c>
      <c r="CQ1055">
        <f>'T_TTAFStock'!CO18</f>
        <v/>
      </c>
      <c r="CR1055">
        <f>'T_TTAFStock'!CP18</f>
        <v/>
      </c>
      <c r="CS1055">
        <f>'T_TTAFStock'!CQ18</f>
        <v/>
      </c>
      <c r="CT1055">
        <f>'T_TTAFStock'!CR18</f>
        <v/>
      </c>
      <c r="CU1055">
        <f>'T_TTAFStock'!CS18</f>
        <v/>
      </c>
      <c r="CV1055">
        <f>'T_TTAFStock'!CT18</f>
        <v/>
      </c>
      <c r="CW1055">
        <f>'T_TTAFStock'!CU18</f>
        <v/>
      </c>
      <c r="CX1055">
        <f>'T_TTAFStock'!CV18</f>
        <v/>
      </c>
      <c r="CY1055">
        <f>'T_TTAFStock'!CW18</f>
        <v/>
      </c>
      <c r="CZ1055">
        <f>'T_TTAFStock'!CX18</f>
        <v/>
      </c>
      <c r="DA1055">
        <f>'T_TTAFStock'!CY18</f>
        <v/>
      </c>
      <c r="DB1055">
        <f>'T_TTAFStock'!CZ18</f>
        <v/>
      </c>
      <c r="DC1055">
        <f>'T_TTAFStock'!DA18</f>
        <v/>
      </c>
    </row>
    <row r="1056">
      <c r="B1056" t="inlineStr">
        <is>
          <t>自社在庫(実績,kg)</t>
        </is>
      </c>
      <c r="D1056">
        <f>'T_SelfStock'!B18</f>
        <v/>
      </c>
      <c r="E1056">
        <f>'T_SelfStock'!C18</f>
        <v/>
      </c>
      <c r="F1056">
        <f>'T_SelfStock'!D18</f>
        <v/>
      </c>
      <c r="G1056">
        <f>'T_SelfStock'!E18</f>
        <v/>
      </c>
      <c r="H1056">
        <f>'T_SelfStock'!F18</f>
        <v/>
      </c>
      <c r="I1056">
        <f>'T_SelfStock'!G18</f>
        <v/>
      </c>
      <c r="J1056">
        <f>'T_SelfStock'!H18</f>
        <v/>
      </c>
      <c r="K1056">
        <f>'T_SelfStock'!I18</f>
        <v/>
      </c>
      <c r="L1056">
        <f>'T_SelfStock'!J18</f>
        <v/>
      </c>
      <c r="M1056">
        <f>'T_SelfStock'!K18</f>
        <v/>
      </c>
      <c r="N1056">
        <f>'T_SelfStock'!L18</f>
        <v/>
      </c>
      <c r="O1056">
        <f>'T_SelfStock'!M18</f>
        <v/>
      </c>
      <c r="P1056">
        <f>'T_SelfStock'!N18</f>
        <v/>
      </c>
      <c r="Q1056">
        <f>'T_SelfStock'!O18</f>
        <v/>
      </c>
      <c r="R1056">
        <f>'T_SelfStock'!P18</f>
        <v/>
      </c>
      <c r="S1056">
        <f>'T_SelfStock'!Q18</f>
        <v/>
      </c>
      <c r="T1056">
        <f>'T_SelfStock'!R18</f>
        <v/>
      </c>
      <c r="U1056">
        <f>'T_SelfStock'!S18</f>
        <v/>
      </c>
      <c r="V1056">
        <f>'T_SelfStock'!T18</f>
        <v/>
      </c>
      <c r="W1056">
        <f>'T_SelfStock'!U18</f>
        <v/>
      </c>
      <c r="X1056">
        <f>'T_SelfStock'!V18</f>
        <v/>
      </c>
      <c r="Y1056">
        <f>'T_SelfStock'!W18</f>
        <v/>
      </c>
      <c r="Z1056">
        <f>'T_SelfStock'!X18</f>
        <v/>
      </c>
      <c r="AA1056">
        <f>'T_SelfStock'!Y18</f>
        <v/>
      </c>
      <c r="AB1056">
        <f>'T_SelfStock'!Z18</f>
        <v/>
      </c>
      <c r="AC1056">
        <f>'T_SelfStock'!AA18</f>
        <v/>
      </c>
      <c r="AD1056">
        <f>'T_SelfStock'!AB18</f>
        <v/>
      </c>
      <c r="AE1056">
        <f>'T_SelfStock'!AC18</f>
        <v/>
      </c>
      <c r="AF1056">
        <f>'T_SelfStock'!AD18</f>
        <v/>
      </c>
      <c r="AG1056">
        <f>'T_SelfStock'!AE18</f>
        <v/>
      </c>
      <c r="AH1056">
        <f>'T_SelfStock'!AF18</f>
        <v/>
      </c>
      <c r="AI1056">
        <f>'T_SelfStock'!AG18</f>
        <v/>
      </c>
      <c r="AJ1056">
        <f>'T_SelfStock'!AH18</f>
        <v/>
      </c>
      <c r="AK1056">
        <f>'T_SelfStock'!AI18</f>
        <v/>
      </c>
      <c r="AL1056">
        <f>'T_SelfStock'!AJ18</f>
        <v/>
      </c>
      <c r="AM1056">
        <f>'T_SelfStock'!AK18</f>
        <v/>
      </c>
      <c r="AN1056">
        <f>'T_SelfStock'!AL18</f>
        <v/>
      </c>
      <c r="AO1056">
        <f>'T_SelfStock'!AM18</f>
        <v/>
      </c>
      <c r="AP1056">
        <f>'T_SelfStock'!AN18</f>
        <v/>
      </c>
      <c r="AQ1056">
        <f>'T_SelfStock'!AO18</f>
        <v/>
      </c>
      <c r="AR1056">
        <f>'T_SelfStock'!AP18</f>
        <v/>
      </c>
      <c r="AS1056">
        <f>'T_SelfStock'!AQ18</f>
        <v/>
      </c>
      <c r="AT1056">
        <f>'T_SelfStock'!AR18</f>
        <v/>
      </c>
      <c r="AU1056">
        <f>'T_SelfStock'!AS18</f>
        <v/>
      </c>
      <c r="AV1056">
        <f>'T_SelfStock'!AT18</f>
        <v/>
      </c>
      <c r="AW1056">
        <f>'T_SelfStock'!AU18</f>
        <v/>
      </c>
      <c r="AX1056">
        <f>'T_SelfStock'!AV18</f>
        <v/>
      </c>
      <c r="AY1056">
        <f>'T_SelfStock'!AW18</f>
        <v/>
      </c>
      <c r="AZ1056">
        <f>'T_SelfStock'!AX18</f>
        <v/>
      </c>
      <c r="BA1056">
        <f>'T_SelfStock'!AY18</f>
        <v/>
      </c>
      <c r="BB1056">
        <f>'T_SelfStock'!AZ18</f>
        <v/>
      </c>
      <c r="BC1056">
        <f>'T_SelfStock'!BA18</f>
        <v/>
      </c>
      <c r="BD1056">
        <f>'T_SelfStock'!BB18</f>
        <v/>
      </c>
      <c r="BE1056">
        <f>'T_SelfStock'!BC18</f>
        <v/>
      </c>
      <c r="BF1056">
        <f>'T_SelfStock'!BD18</f>
        <v/>
      </c>
      <c r="BG1056">
        <f>'T_SelfStock'!BE18</f>
        <v/>
      </c>
      <c r="BH1056">
        <f>'T_SelfStock'!BF18</f>
        <v/>
      </c>
      <c r="BI1056">
        <f>'T_SelfStock'!BG18</f>
        <v/>
      </c>
      <c r="BJ1056">
        <f>'T_SelfStock'!BH18</f>
        <v/>
      </c>
      <c r="BK1056">
        <f>'T_SelfStock'!BI18</f>
        <v/>
      </c>
      <c r="BL1056">
        <f>'T_SelfStock'!BJ18</f>
        <v/>
      </c>
      <c r="BM1056">
        <f>'T_SelfStock'!BK18</f>
        <v/>
      </c>
      <c r="BN1056">
        <f>'T_SelfStock'!BL18</f>
        <v/>
      </c>
      <c r="BO1056">
        <f>'T_SelfStock'!BM18</f>
        <v/>
      </c>
      <c r="BP1056">
        <f>'T_SelfStock'!BN18</f>
        <v/>
      </c>
      <c r="BQ1056">
        <f>'T_SelfStock'!BO18</f>
        <v/>
      </c>
      <c r="BR1056">
        <f>'T_SelfStock'!BP18</f>
        <v/>
      </c>
      <c r="BS1056">
        <f>'T_SelfStock'!BQ18</f>
        <v/>
      </c>
      <c r="BT1056">
        <f>'T_SelfStock'!BR18</f>
        <v/>
      </c>
      <c r="BU1056">
        <f>'T_SelfStock'!BS18</f>
        <v/>
      </c>
      <c r="BV1056">
        <f>'T_SelfStock'!BT18</f>
        <v/>
      </c>
      <c r="BW1056">
        <f>'T_SelfStock'!BU18</f>
        <v/>
      </c>
      <c r="BX1056">
        <f>'T_SelfStock'!BV18</f>
        <v/>
      </c>
      <c r="BY1056">
        <f>'T_SelfStock'!BW18</f>
        <v/>
      </c>
      <c r="BZ1056">
        <f>'T_SelfStock'!BX18</f>
        <v/>
      </c>
      <c r="CA1056">
        <f>'T_SelfStock'!BY18</f>
        <v/>
      </c>
      <c r="CB1056">
        <f>'T_SelfStock'!BZ18</f>
        <v/>
      </c>
      <c r="CC1056">
        <f>'T_SelfStock'!CA18</f>
        <v/>
      </c>
      <c r="CD1056">
        <f>'T_SelfStock'!CB18</f>
        <v/>
      </c>
      <c r="CE1056">
        <f>'T_SelfStock'!CC18</f>
        <v/>
      </c>
      <c r="CF1056">
        <f>'T_SelfStock'!CD18</f>
        <v/>
      </c>
      <c r="CG1056">
        <f>'T_SelfStock'!CE18</f>
        <v/>
      </c>
      <c r="CH1056">
        <f>'T_SelfStock'!CF18</f>
        <v/>
      </c>
      <c r="CI1056">
        <f>'T_SelfStock'!CG18</f>
        <v/>
      </c>
      <c r="CJ1056">
        <f>'T_SelfStock'!CH18</f>
        <v/>
      </c>
      <c r="CK1056">
        <f>'T_SelfStock'!CI18</f>
        <v/>
      </c>
      <c r="CL1056">
        <f>'T_SelfStock'!CJ18</f>
        <v/>
      </c>
      <c r="CM1056">
        <f>'T_SelfStock'!CK18</f>
        <v/>
      </c>
      <c r="CN1056">
        <f>'T_SelfStock'!CL18</f>
        <v/>
      </c>
      <c r="CO1056">
        <f>'T_SelfStock'!CM18</f>
        <v/>
      </c>
      <c r="CP1056">
        <f>'T_SelfStock'!CN18</f>
        <v/>
      </c>
      <c r="CQ1056">
        <f>'T_SelfStock'!CO18</f>
        <v/>
      </c>
      <c r="CR1056">
        <f>'T_SelfStock'!CP18</f>
        <v/>
      </c>
      <c r="CS1056">
        <f>'T_SelfStock'!CQ18</f>
        <v/>
      </c>
      <c r="CT1056">
        <f>'T_SelfStock'!CR18</f>
        <v/>
      </c>
      <c r="CU1056">
        <f>'T_SelfStock'!CS18</f>
        <v/>
      </c>
      <c r="CV1056">
        <f>'T_SelfStock'!CT18</f>
        <v/>
      </c>
      <c r="CW1056">
        <f>'T_SelfStock'!CU18</f>
        <v/>
      </c>
      <c r="CX1056">
        <f>'T_SelfStock'!CV18</f>
        <v/>
      </c>
      <c r="CY1056">
        <f>'T_SelfStock'!CW18</f>
        <v/>
      </c>
      <c r="CZ1056">
        <f>'T_SelfStock'!CX18</f>
        <v/>
      </c>
      <c r="DA1056">
        <f>'T_SelfStock'!CY18</f>
        <v/>
      </c>
      <c r="DB1056">
        <f>'T_SelfStock'!CZ18</f>
        <v/>
      </c>
      <c r="DC1056">
        <f>'T_SelfStock'!DA18</f>
        <v/>
      </c>
    </row>
    <row r="1057">
      <c r="B1057" s="4" t="inlineStr">
        <is>
          <t>合計在庫(週末時点,kg)</t>
        </is>
      </c>
      <c r="D1057">
        <f>'Grid_Stock'!B14</f>
        <v/>
      </c>
      <c r="E1057">
        <f>'Grid_Stock'!C14</f>
        <v/>
      </c>
      <c r="F1057">
        <f>'Grid_Stock'!D14</f>
        <v/>
      </c>
      <c r="G1057">
        <f>'Grid_Stock'!E14</f>
        <v/>
      </c>
      <c r="H1057">
        <f>'Grid_Stock'!F14</f>
        <v/>
      </c>
      <c r="I1057">
        <f>'Grid_Stock'!G14</f>
        <v/>
      </c>
      <c r="J1057">
        <f>'Grid_Stock'!H14</f>
        <v/>
      </c>
      <c r="K1057">
        <f>'Grid_Stock'!I14</f>
        <v/>
      </c>
      <c r="L1057">
        <f>'Grid_Stock'!J14</f>
        <v/>
      </c>
      <c r="M1057">
        <f>'Grid_Stock'!K14</f>
        <v/>
      </c>
      <c r="N1057">
        <f>'Grid_Stock'!L14</f>
        <v/>
      </c>
      <c r="O1057">
        <f>'Grid_Stock'!M14</f>
        <v/>
      </c>
      <c r="P1057">
        <f>'Grid_Stock'!N14</f>
        <v/>
      </c>
      <c r="Q1057">
        <f>'Grid_Stock'!O14</f>
        <v/>
      </c>
      <c r="R1057">
        <f>'Grid_Stock'!P14</f>
        <v/>
      </c>
      <c r="S1057">
        <f>'Grid_Stock'!Q14</f>
        <v/>
      </c>
      <c r="T1057">
        <f>'Grid_Stock'!R14</f>
        <v/>
      </c>
      <c r="U1057">
        <f>'Grid_Stock'!S14</f>
        <v/>
      </c>
      <c r="V1057">
        <f>'Grid_Stock'!T14</f>
        <v/>
      </c>
      <c r="W1057">
        <f>'Grid_Stock'!U14</f>
        <v/>
      </c>
      <c r="X1057">
        <f>'Grid_Stock'!V14</f>
        <v/>
      </c>
      <c r="Y1057">
        <f>'Grid_Stock'!W14</f>
        <v/>
      </c>
      <c r="Z1057">
        <f>'Grid_Stock'!X14</f>
        <v/>
      </c>
      <c r="AA1057">
        <f>'Grid_Stock'!Y14</f>
        <v/>
      </c>
      <c r="AB1057">
        <f>'Grid_Stock'!Z14</f>
        <v/>
      </c>
      <c r="AC1057">
        <f>'Grid_Stock'!AA14</f>
        <v/>
      </c>
      <c r="AD1057">
        <f>'Grid_Stock'!AB14</f>
        <v/>
      </c>
      <c r="AE1057">
        <f>'Grid_Stock'!AC14</f>
        <v/>
      </c>
      <c r="AF1057">
        <f>'Grid_Stock'!AD14</f>
        <v/>
      </c>
      <c r="AG1057">
        <f>'Grid_Stock'!AE14</f>
        <v/>
      </c>
      <c r="AH1057">
        <f>'Grid_Stock'!AF14</f>
        <v/>
      </c>
      <c r="AI1057">
        <f>'Grid_Stock'!AG14</f>
        <v/>
      </c>
      <c r="AJ1057">
        <f>'Grid_Stock'!AH14</f>
        <v/>
      </c>
      <c r="AK1057">
        <f>'Grid_Stock'!AI14</f>
        <v/>
      </c>
      <c r="AL1057">
        <f>'Grid_Stock'!AJ14</f>
        <v/>
      </c>
      <c r="AM1057">
        <f>'Grid_Stock'!AK14</f>
        <v/>
      </c>
      <c r="AN1057">
        <f>'Grid_Stock'!AL14</f>
        <v/>
      </c>
      <c r="AO1057">
        <f>'Grid_Stock'!AM14</f>
        <v/>
      </c>
      <c r="AP1057">
        <f>'Grid_Stock'!AN14</f>
        <v/>
      </c>
      <c r="AQ1057">
        <f>'Grid_Stock'!AO14</f>
        <v/>
      </c>
      <c r="AR1057">
        <f>'Grid_Stock'!AP14</f>
        <v/>
      </c>
      <c r="AS1057">
        <f>'Grid_Stock'!AQ14</f>
        <v/>
      </c>
      <c r="AT1057">
        <f>'Grid_Stock'!AR14</f>
        <v/>
      </c>
      <c r="AU1057">
        <f>'Grid_Stock'!AS14</f>
        <v/>
      </c>
      <c r="AV1057">
        <f>'Grid_Stock'!AT14</f>
        <v/>
      </c>
      <c r="AW1057">
        <f>'Grid_Stock'!AU14</f>
        <v/>
      </c>
      <c r="AX1057">
        <f>'Grid_Stock'!AV14</f>
        <v/>
      </c>
      <c r="AY1057">
        <f>'Grid_Stock'!AW14</f>
        <v/>
      </c>
      <c r="AZ1057">
        <f>'Grid_Stock'!AX14</f>
        <v/>
      </c>
      <c r="BA1057">
        <f>'Grid_Stock'!AY14</f>
        <v/>
      </c>
      <c r="BB1057">
        <f>'Grid_Stock'!AZ14</f>
        <v/>
      </c>
      <c r="BC1057">
        <f>'Grid_Stock'!BA14</f>
        <v/>
      </c>
      <c r="BD1057">
        <f>'Grid_Stock'!BB14</f>
        <v/>
      </c>
      <c r="BE1057">
        <f>'Grid_Stock'!BC14</f>
        <v/>
      </c>
      <c r="BF1057">
        <f>'Grid_Stock'!BD14</f>
        <v/>
      </c>
      <c r="BG1057">
        <f>'Grid_Stock'!BE14</f>
        <v/>
      </c>
      <c r="BH1057">
        <f>'Grid_Stock'!BF14</f>
        <v/>
      </c>
      <c r="BI1057">
        <f>'Grid_Stock'!BG14</f>
        <v/>
      </c>
      <c r="BJ1057">
        <f>'Grid_Stock'!BH14</f>
        <v/>
      </c>
      <c r="BK1057">
        <f>'Grid_Stock'!BI14</f>
        <v/>
      </c>
      <c r="BL1057">
        <f>'Grid_Stock'!BJ14</f>
        <v/>
      </c>
      <c r="BM1057">
        <f>'Grid_Stock'!BK14</f>
        <v/>
      </c>
      <c r="BN1057">
        <f>'Grid_Stock'!BL14</f>
        <v/>
      </c>
      <c r="BO1057">
        <f>'Grid_Stock'!BM14</f>
        <v/>
      </c>
      <c r="BP1057">
        <f>'Grid_Stock'!BN14</f>
        <v/>
      </c>
      <c r="BQ1057">
        <f>'Grid_Stock'!BO14</f>
        <v/>
      </c>
      <c r="BR1057">
        <f>'Grid_Stock'!BP14</f>
        <v/>
      </c>
      <c r="BS1057">
        <f>'Grid_Stock'!BQ14</f>
        <v/>
      </c>
      <c r="BT1057">
        <f>'Grid_Stock'!BR14</f>
        <v/>
      </c>
      <c r="BU1057">
        <f>'Grid_Stock'!BS14</f>
        <v/>
      </c>
      <c r="BV1057">
        <f>'Grid_Stock'!BT14</f>
        <v/>
      </c>
      <c r="BW1057">
        <f>'Grid_Stock'!BU14</f>
        <v/>
      </c>
      <c r="BX1057">
        <f>'Grid_Stock'!BV14</f>
        <v/>
      </c>
      <c r="BY1057">
        <f>'Grid_Stock'!BW14</f>
        <v/>
      </c>
      <c r="BZ1057">
        <f>'Grid_Stock'!BX14</f>
        <v/>
      </c>
      <c r="CA1057">
        <f>'Grid_Stock'!BY14</f>
        <v/>
      </c>
      <c r="CB1057">
        <f>'Grid_Stock'!BZ14</f>
        <v/>
      </c>
      <c r="CC1057">
        <f>'Grid_Stock'!CA14</f>
        <v/>
      </c>
      <c r="CD1057">
        <f>'Grid_Stock'!CB14</f>
        <v/>
      </c>
      <c r="CE1057">
        <f>'Grid_Stock'!CC14</f>
        <v/>
      </c>
      <c r="CF1057">
        <f>'Grid_Stock'!CD14</f>
        <v/>
      </c>
      <c r="CG1057">
        <f>'Grid_Stock'!CE14</f>
        <v/>
      </c>
      <c r="CH1057">
        <f>'Grid_Stock'!CF14</f>
        <v/>
      </c>
      <c r="CI1057">
        <f>'Grid_Stock'!CG14</f>
        <v/>
      </c>
      <c r="CJ1057">
        <f>'Grid_Stock'!CH14</f>
        <v/>
      </c>
      <c r="CK1057">
        <f>'Grid_Stock'!CI14</f>
        <v/>
      </c>
      <c r="CL1057">
        <f>'Grid_Stock'!CJ14</f>
        <v/>
      </c>
      <c r="CM1057">
        <f>'Grid_Stock'!CK14</f>
        <v/>
      </c>
      <c r="CN1057">
        <f>'Grid_Stock'!CL14</f>
        <v/>
      </c>
      <c r="CO1057">
        <f>'Grid_Stock'!CM14</f>
        <v/>
      </c>
      <c r="CP1057">
        <f>'Grid_Stock'!CN14</f>
        <v/>
      </c>
      <c r="CQ1057">
        <f>'Grid_Stock'!CO14</f>
        <v/>
      </c>
      <c r="CR1057">
        <f>'Grid_Stock'!CP14</f>
        <v/>
      </c>
      <c r="CS1057">
        <f>'Grid_Stock'!CQ14</f>
        <v/>
      </c>
      <c r="CT1057">
        <f>'Grid_Stock'!CR14</f>
        <v/>
      </c>
      <c r="CU1057">
        <f>'Grid_Stock'!CS14</f>
        <v/>
      </c>
      <c r="CV1057">
        <f>'Grid_Stock'!CT14</f>
        <v/>
      </c>
      <c r="CW1057">
        <f>'Grid_Stock'!CU14</f>
        <v/>
      </c>
      <c r="CX1057">
        <f>'Grid_Stock'!CV14</f>
        <v/>
      </c>
      <c r="CY1057">
        <f>'Grid_Stock'!CW14</f>
        <v/>
      </c>
      <c r="CZ1057">
        <f>'Grid_Stock'!CX14</f>
        <v/>
      </c>
      <c r="DA1057">
        <f>'Grid_Stock'!CY14</f>
        <v/>
      </c>
      <c r="DB1057">
        <f>'Grid_Stock'!CZ14</f>
        <v/>
      </c>
      <c r="DC1057">
        <f>'Grid_Stock'!DA14</f>
        <v/>
      </c>
    </row>
    <row r="1058">
      <c r="B1058" s="16" t="inlineStr">
        <is>
          <t>（発注の目安はDashboardの基準在庫[下限/上限]と色分けを参照）</t>
        </is>
      </c>
    </row>
    <row r="1060">
      <c r="A1060" s="14" t="inlineStr">
        <is>
          <t>PP Film</t>
        </is>
      </c>
      <c r="B1060" s="14" t="inlineStr">
        <is>
          <t>PP Film</t>
        </is>
      </c>
      <c r="C1060" s="15" t="n"/>
      <c r="D1060" s="14" t="n"/>
      <c r="E1060" s="14" t="n"/>
      <c r="F1060" s="14" t="n"/>
      <c r="G1060" s="14" t="n"/>
      <c r="H1060" s="14" t="n"/>
      <c r="I1060" s="14" t="n"/>
      <c r="J1060" s="14" t="n"/>
      <c r="K1060" s="14" t="n"/>
      <c r="L1060" s="14" t="n"/>
      <c r="M1060" s="14" t="n"/>
      <c r="N1060" s="14" t="n"/>
      <c r="O1060" s="14" t="n"/>
      <c r="P1060" s="14" t="n"/>
      <c r="Q1060" s="14" t="n"/>
      <c r="R1060" s="14" t="n"/>
      <c r="S1060" s="14" t="n"/>
      <c r="T1060" s="14" t="n"/>
      <c r="U1060" s="14" t="n"/>
      <c r="V1060" s="14" t="n"/>
      <c r="W1060" s="14" t="n"/>
      <c r="X1060" s="14" t="n"/>
      <c r="Y1060" s="14" t="n"/>
      <c r="Z1060" s="14" t="n"/>
      <c r="AA1060" s="14" t="n"/>
      <c r="AB1060" s="14" t="n"/>
      <c r="AC1060" s="14" t="n"/>
      <c r="AD1060" s="14" t="n"/>
      <c r="AE1060" s="14" t="n"/>
      <c r="AF1060" s="14" t="n"/>
      <c r="AG1060" s="14" t="n"/>
      <c r="AH1060" s="14" t="n"/>
      <c r="AI1060" s="14" t="n"/>
      <c r="AJ1060" s="14" t="n"/>
      <c r="AK1060" s="14" t="n"/>
      <c r="AL1060" s="14" t="n"/>
      <c r="AM1060" s="14" t="n"/>
      <c r="AN1060" s="14" t="n"/>
      <c r="AO1060" s="14" t="n"/>
      <c r="AP1060" s="14" t="n"/>
      <c r="AQ1060" s="14" t="n"/>
      <c r="AR1060" s="14" t="n"/>
      <c r="AS1060" s="14" t="n"/>
      <c r="AT1060" s="14" t="n"/>
      <c r="AU1060" s="14" t="n"/>
      <c r="AV1060" s="14" t="n"/>
      <c r="AW1060" s="14" t="n"/>
      <c r="AX1060" s="14" t="n"/>
      <c r="AY1060" s="14" t="n"/>
      <c r="AZ1060" s="14" t="n"/>
      <c r="BA1060" s="14" t="n"/>
      <c r="BB1060" s="14" t="n"/>
      <c r="BC1060" s="14" t="n"/>
      <c r="BD1060" s="14" t="n"/>
      <c r="BE1060" s="14" t="n"/>
      <c r="BF1060" s="14" t="n"/>
      <c r="BG1060" s="14" t="n"/>
      <c r="BH1060" s="14" t="n"/>
      <c r="BI1060" s="14" t="n"/>
      <c r="BJ1060" s="14" t="n"/>
      <c r="BK1060" s="14" t="n"/>
      <c r="BL1060" s="14" t="n"/>
      <c r="BM1060" s="14" t="n"/>
      <c r="BN1060" s="14" t="n"/>
      <c r="BO1060" s="14" t="n"/>
      <c r="BP1060" s="14" t="n"/>
      <c r="BQ1060" s="14" t="n"/>
      <c r="BR1060" s="14" t="n"/>
      <c r="BS1060" s="14" t="n"/>
      <c r="BT1060" s="14" t="n"/>
      <c r="BU1060" s="14" t="n"/>
      <c r="BV1060" s="14" t="n"/>
      <c r="BW1060" s="14" t="n"/>
      <c r="BX1060" s="14" t="n"/>
      <c r="BY1060" s="14" t="n"/>
      <c r="BZ1060" s="14" t="n"/>
      <c r="CA1060" s="14" t="n"/>
      <c r="CB1060" s="14" t="n"/>
      <c r="CC1060" s="14" t="n"/>
      <c r="CD1060" s="14" t="n"/>
      <c r="CE1060" s="14" t="n"/>
      <c r="CF1060" s="14" t="n"/>
      <c r="CG1060" s="14" t="n"/>
      <c r="CH1060" s="14" t="n"/>
      <c r="CI1060" s="14" t="n"/>
      <c r="CJ1060" s="14" t="n"/>
      <c r="CK1060" s="14" t="n"/>
      <c r="CL1060" s="14" t="n"/>
      <c r="CM1060" s="14" t="n"/>
      <c r="CN1060" s="14" t="n"/>
      <c r="CO1060" s="14" t="n"/>
      <c r="CP1060" s="14" t="n"/>
      <c r="CQ1060" s="14" t="n"/>
      <c r="CR1060" s="14" t="n"/>
      <c r="CS1060" s="14" t="n"/>
      <c r="CT1060" s="14" t="n"/>
      <c r="CU1060" s="14" t="n"/>
      <c r="CV1060" s="14" t="n"/>
      <c r="CW1060" s="14" t="n"/>
      <c r="CX1060" s="14" t="n"/>
      <c r="CY1060" s="14" t="n"/>
      <c r="CZ1060" s="14" t="n"/>
      <c r="DA1060" s="14" t="n"/>
      <c r="DB1060" s="14" t="n"/>
      <c r="DC1060" s="14" t="n"/>
    </row>
    <row r="1061">
      <c r="B1061" t="inlineStr">
        <is>
          <t>PP Film</t>
        </is>
      </c>
      <c r="C1061" t="inlineStr">
        <is>
          <t>No. of batches</t>
        </is>
      </c>
      <c r="D1061">
        <f>IFERROR(INDEX(PP_Grid[#Data],$DD1061,2),0)</f>
        <v/>
      </c>
      <c r="E1061">
        <f>IFERROR(INDEX(PP_Grid[#Data],$DD1061,3),0)</f>
        <v/>
      </c>
      <c r="F1061">
        <f>IFERROR(INDEX(PP_Grid[#Data],$DD1061,4),0)</f>
        <v/>
      </c>
      <c r="G1061">
        <f>IFERROR(INDEX(PP_Grid[#Data],$DD1061,5),0)</f>
        <v/>
      </c>
      <c r="H1061">
        <f>IFERROR(INDEX(PP_Grid[#Data],$DD1061,6),0)</f>
        <v/>
      </c>
      <c r="I1061">
        <f>IFERROR(INDEX(PP_Grid[#Data],$DD1061,7),0)</f>
        <v/>
      </c>
      <c r="J1061">
        <f>IFERROR(INDEX(PP_Grid[#Data],$DD1061,8),0)</f>
        <v/>
      </c>
      <c r="K1061">
        <f>IFERROR(INDEX(PP_Grid[#Data],$DD1061,9),0)</f>
        <v/>
      </c>
      <c r="L1061">
        <f>IFERROR(INDEX(PP_Grid[#Data],$DD1061,10),0)</f>
        <v/>
      </c>
      <c r="M1061">
        <f>IFERROR(INDEX(PP_Grid[#Data],$DD1061,11),0)</f>
        <v/>
      </c>
      <c r="N1061">
        <f>IFERROR(INDEX(PP_Grid[#Data],$DD1061,12),0)</f>
        <v/>
      </c>
      <c r="O1061">
        <f>IFERROR(INDEX(PP_Grid[#Data],$DD1061,13),0)</f>
        <v/>
      </c>
      <c r="P1061">
        <f>IFERROR(INDEX(PP_Grid[#Data],$DD1061,14),0)</f>
        <v/>
      </c>
      <c r="Q1061">
        <f>IFERROR(INDEX(PP_Grid[#Data],$DD1061,15),0)</f>
        <v/>
      </c>
      <c r="R1061">
        <f>IFERROR(INDEX(PP_Grid[#Data],$DD1061,16),0)</f>
        <v/>
      </c>
      <c r="S1061">
        <f>IFERROR(INDEX(PP_Grid[#Data],$DD1061,17),0)</f>
        <v/>
      </c>
      <c r="T1061">
        <f>IFERROR(INDEX(PP_Grid[#Data],$DD1061,18),0)</f>
        <v/>
      </c>
      <c r="U1061">
        <f>IFERROR(INDEX(PP_Grid[#Data],$DD1061,19),0)</f>
        <v/>
      </c>
      <c r="V1061">
        <f>IFERROR(INDEX(PP_Grid[#Data],$DD1061,20),0)</f>
        <v/>
      </c>
      <c r="W1061">
        <f>IFERROR(INDEX(PP_Grid[#Data],$DD1061,21),0)</f>
        <v/>
      </c>
      <c r="X1061">
        <f>IFERROR(INDEX(PP_Grid[#Data],$DD1061,22),0)</f>
        <v/>
      </c>
      <c r="Y1061">
        <f>IFERROR(INDEX(PP_Grid[#Data],$DD1061,23),0)</f>
        <v/>
      </c>
      <c r="Z1061">
        <f>IFERROR(INDEX(PP_Grid[#Data],$DD1061,24),0)</f>
        <v/>
      </c>
      <c r="AA1061">
        <f>IFERROR(INDEX(PP_Grid[#Data],$DD1061,25),0)</f>
        <v/>
      </c>
      <c r="AB1061">
        <f>IFERROR(INDEX(PP_Grid[#Data],$DD1061,26),0)</f>
        <v/>
      </c>
      <c r="AC1061">
        <f>IFERROR(INDEX(PP_Grid[#Data],$DD1061,27),0)</f>
        <v/>
      </c>
      <c r="AD1061">
        <f>IFERROR(INDEX(PP_Grid[#Data],$DD1061,28),0)</f>
        <v/>
      </c>
      <c r="AE1061">
        <f>IFERROR(INDEX(PP_Grid[#Data],$DD1061,29),0)</f>
        <v/>
      </c>
      <c r="AF1061">
        <f>IFERROR(INDEX(PP_Grid[#Data],$DD1061,30),0)</f>
        <v/>
      </c>
      <c r="AG1061">
        <f>IFERROR(INDEX(PP_Grid[#Data],$DD1061,31),0)</f>
        <v/>
      </c>
      <c r="AH1061">
        <f>IFERROR(INDEX(PP_Grid[#Data],$DD1061,32),0)</f>
        <v/>
      </c>
      <c r="AI1061">
        <f>IFERROR(INDEX(PP_Grid[#Data],$DD1061,33),0)</f>
        <v/>
      </c>
      <c r="AJ1061">
        <f>IFERROR(INDEX(PP_Grid[#Data],$DD1061,34),0)</f>
        <v/>
      </c>
      <c r="AK1061">
        <f>IFERROR(INDEX(PP_Grid[#Data],$DD1061,35),0)</f>
        <v/>
      </c>
      <c r="AL1061">
        <f>IFERROR(INDEX(PP_Grid[#Data],$DD1061,36),0)</f>
        <v/>
      </c>
      <c r="AM1061">
        <f>IFERROR(INDEX(PP_Grid[#Data],$DD1061,37),0)</f>
        <v/>
      </c>
      <c r="AN1061">
        <f>IFERROR(INDEX(PP_Grid[#Data],$DD1061,38),0)</f>
        <v/>
      </c>
      <c r="AO1061">
        <f>IFERROR(INDEX(PP_Grid[#Data],$DD1061,39),0)</f>
        <v/>
      </c>
      <c r="AP1061">
        <f>IFERROR(INDEX(PP_Grid[#Data],$DD1061,40),0)</f>
        <v/>
      </c>
      <c r="AQ1061">
        <f>IFERROR(INDEX(PP_Grid[#Data],$DD1061,41),0)</f>
        <v/>
      </c>
      <c r="AR1061">
        <f>IFERROR(INDEX(PP_Grid[#Data],$DD1061,42),0)</f>
        <v/>
      </c>
      <c r="AS1061">
        <f>IFERROR(INDEX(PP_Grid[#Data],$DD1061,43),0)</f>
        <v/>
      </c>
      <c r="AT1061">
        <f>IFERROR(INDEX(PP_Grid[#Data],$DD1061,44),0)</f>
        <v/>
      </c>
      <c r="AU1061">
        <f>IFERROR(INDEX(PP_Grid[#Data],$DD1061,45),0)</f>
        <v/>
      </c>
      <c r="AV1061">
        <f>IFERROR(INDEX(PP_Grid[#Data],$DD1061,46),0)</f>
        <v/>
      </c>
      <c r="AW1061">
        <f>IFERROR(INDEX(PP_Grid[#Data],$DD1061,47),0)</f>
        <v/>
      </c>
      <c r="AX1061">
        <f>IFERROR(INDEX(PP_Grid[#Data],$DD1061,48),0)</f>
        <v/>
      </c>
      <c r="AY1061">
        <f>IFERROR(INDEX(PP_Grid[#Data],$DD1061,49),0)</f>
        <v/>
      </c>
      <c r="AZ1061">
        <f>IFERROR(INDEX(PP_Grid[#Data],$DD1061,50),0)</f>
        <v/>
      </c>
      <c r="BA1061">
        <f>IFERROR(INDEX(PP_Grid[#Data],$DD1061,51),0)</f>
        <v/>
      </c>
      <c r="BB1061">
        <f>IFERROR(INDEX(PP_Grid[#Data],$DD1061,52),0)</f>
        <v/>
      </c>
      <c r="BC1061">
        <f>IFERROR(INDEX(PP_Grid[#Data],$DD1061,53),0)</f>
        <v/>
      </c>
      <c r="BD1061">
        <f>IFERROR(INDEX(PP_Grid[#Data],$DD1061,54),0)</f>
        <v/>
      </c>
      <c r="BE1061">
        <f>IFERROR(INDEX(PP_Grid[#Data],$DD1061,55),0)</f>
        <v/>
      </c>
      <c r="BF1061">
        <f>IFERROR(INDEX(PP_Grid[#Data],$DD1061,56),0)</f>
        <v/>
      </c>
      <c r="BG1061">
        <f>IFERROR(INDEX(PP_Grid[#Data],$DD1061,57),0)</f>
        <v/>
      </c>
      <c r="BH1061">
        <f>IFERROR(INDEX(PP_Grid[#Data],$DD1061,58),0)</f>
        <v/>
      </c>
      <c r="BI1061">
        <f>IFERROR(INDEX(PP_Grid[#Data],$DD1061,59),0)</f>
        <v/>
      </c>
      <c r="BJ1061">
        <f>IFERROR(INDEX(PP_Grid[#Data],$DD1061,60),0)</f>
        <v/>
      </c>
      <c r="BK1061">
        <f>IFERROR(INDEX(PP_Grid[#Data],$DD1061,61),0)</f>
        <v/>
      </c>
      <c r="BL1061">
        <f>IFERROR(INDEX(PP_Grid[#Data],$DD1061,62),0)</f>
        <v/>
      </c>
      <c r="BM1061">
        <f>IFERROR(INDEX(PP_Grid[#Data],$DD1061,63),0)</f>
        <v/>
      </c>
      <c r="BN1061">
        <f>IFERROR(INDEX(PP_Grid[#Data],$DD1061,64),0)</f>
        <v/>
      </c>
      <c r="BO1061">
        <f>IFERROR(INDEX(PP_Grid[#Data],$DD1061,65),0)</f>
        <v/>
      </c>
      <c r="BP1061">
        <f>IFERROR(INDEX(PP_Grid[#Data],$DD1061,66),0)</f>
        <v/>
      </c>
      <c r="BQ1061">
        <f>IFERROR(INDEX(PP_Grid[#Data],$DD1061,67),0)</f>
        <v/>
      </c>
      <c r="BR1061">
        <f>IFERROR(INDEX(PP_Grid[#Data],$DD1061,68),0)</f>
        <v/>
      </c>
      <c r="BS1061">
        <f>IFERROR(INDEX(PP_Grid[#Data],$DD1061,69),0)</f>
        <v/>
      </c>
      <c r="BT1061">
        <f>IFERROR(INDEX(PP_Grid[#Data],$DD1061,70),0)</f>
        <v/>
      </c>
      <c r="BU1061">
        <f>IFERROR(INDEX(PP_Grid[#Data],$DD1061,71),0)</f>
        <v/>
      </c>
      <c r="BV1061">
        <f>IFERROR(INDEX(PP_Grid[#Data],$DD1061,72),0)</f>
        <v/>
      </c>
      <c r="BW1061">
        <f>IFERROR(INDEX(PP_Grid[#Data],$DD1061,73),0)</f>
        <v/>
      </c>
      <c r="BX1061">
        <f>IFERROR(INDEX(PP_Grid[#Data],$DD1061,74),0)</f>
        <v/>
      </c>
      <c r="BY1061">
        <f>IFERROR(INDEX(PP_Grid[#Data],$DD1061,75),0)</f>
        <v/>
      </c>
      <c r="BZ1061">
        <f>IFERROR(INDEX(PP_Grid[#Data],$DD1061,76),0)</f>
        <v/>
      </c>
      <c r="CA1061">
        <f>IFERROR(INDEX(PP_Grid[#Data],$DD1061,77),0)</f>
        <v/>
      </c>
      <c r="CB1061">
        <f>IFERROR(INDEX(PP_Grid[#Data],$DD1061,78),0)</f>
        <v/>
      </c>
      <c r="CC1061">
        <f>IFERROR(INDEX(PP_Grid[#Data],$DD1061,79),0)</f>
        <v/>
      </c>
      <c r="CD1061">
        <f>IFERROR(INDEX(PP_Grid[#Data],$DD1061,80),0)</f>
        <v/>
      </c>
      <c r="CE1061">
        <f>IFERROR(INDEX(PP_Grid[#Data],$DD1061,81),0)</f>
        <v/>
      </c>
      <c r="CF1061">
        <f>IFERROR(INDEX(PP_Grid[#Data],$DD1061,82),0)</f>
        <v/>
      </c>
      <c r="CG1061">
        <f>IFERROR(INDEX(PP_Grid[#Data],$DD1061,83),0)</f>
        <v/>
      </c>
      <c r="CH1061">
        <f>IFERROR(INDEX(PP_Grid[#Data],$DD1061,84),0)</f>
        <v/>
      </c>
      <c r="CI1061">
        <f>IFERROR(INDEX(PP_Grid[#Data],$DD1061,85),0)</f>
        <v/>
      </c>
      <c r="CJ1061">
        <f>IFERROR(INDEX(PP_Grid[#Data],$DD1061,86),0)</f>
        <v/>
      </c>
      <c r="CK1061">
        <f>IFERROR(INDEX(PP_Grid[#Data],$DD1061,87),0)</f>
        <v/>
      </c>
      <c r="CL1061">
        <f>IFERROR(INDEX(PP_Grid[#Data],$DD1061,88),0)</f>
        <v/>
      </c>
      <c r="CM1061">
        <f>IFERROR(INDEX(PP_Grid[#Data],$DD1061,89),0)</f>
        <v/>
      </c>
      <c r="CN1061">
        <f>IFERROR(INDEX(PP_Grid[#Data],$DD1061,90),0)</f>
        <v/>
      </c>
      <c r="CO1061">
        <f>IFERROR(INDEX(PP_Grid[#Data],$DD1061,91),0)</f>
        <v/>
      </c>
      <c r="CP1061">
        <f>IFERROR(INDEX(PP_Grid[#Data],$DD1061,92),0)</f>
        <v/>
      </c>
      <c r="CQ1061">
        <f>IFERROR(INDEX(PP_Grid[#Data],$DD1061,93),0)</f>
        <v/>
      </c>
      <c r="CR1061">
        <f>IFERROR(INDEX(PP_Grid[#Data],$DD1061,94),0)</f>
        <v/>
      </c>
      <c r="CS1061">
        <f>IFERROR(INDEX(PP_Grid[#Data],$DD1061,95),0)</f>
        <v/>
      </c>
      <c r="CT1061">
        <f>IFERROR(INDEX(PP_Grid[#Data],$DD1061,96),0)</f>
        <v/>
      </c>
      <c r="CU1061">
        <f>IFERROR(INDEX(PP_Grid[#Data],$DD1061,97),0)</f>
        <v/>
      </c>
      <c r="CV1061">
        <f>IFERROR(INDEX(PP_Grid[#Data],$DD1061,98),0)</f>
        <v/>
      </c>
      <c r="CW1061">
        <f>IFERROR(INDEX(PP_Grid[#Data],$DD1061,99),0)</f>
        <v/>
      </c>
      <c r="CX1061">
        <f>IFERROR(INDEX(PP_Grid[#Data],$DD1061,100),0)</f>
        <v/>
      </c>
      <c r="CY1061">
        <f>IFERROR(INDEX(PP_Grid[#Data],$DD1061,101),0)</f>
        <v/>
      </c>
      <c r="CZ1061">
        <f>IFERROR(INDEX(PP_Grid[#Data],$DD1061,102),0)</f>
        <v/>
      </c>
      <c r="DA1061">
        <f>IFERROR(INDEX(PP_Grid[#Data],$DD1061,103),0)</f>
        <v/>
      </c>
      <c r="DB1061">
        <f>IFERROR(INDEX(PP_Grid[#Data],$DD1061,104),0)</f>
        <v/>
      </c>
      <c r="DC1061">
        <f>IFERROR(INDEX(PP_Grid[#Data],$DD1061,105),0)</f>
        <v/>
      </c>
      <c r="DD1061" s="7">
        <f>IFERROR(MATCH($B1061,PP_Grid[Intermediate],0),99999)</f>
        <v/>
      </c>
    </row>
    <row r="1062">
      <c r="B1062" t="inlineStr">
        <is>
          <t>使用量(kg)</t>
        </is>
      </c>
      <c r="C1062">
        <f>SUMIFS(M_BOM[RM_Qty_Per_Batch],M_BOM[Intermediate],$B1061,M_BOM[Part Name],$A1060)</f>
        <v/>
      </c>
      <c r="D1062">
        <f>$C1062*D1061</f>
        <v/>
      </c>
      <c r="E1062">
        <f>$C1062*E1061</f>
        <v/>
      </c>
      <c r="F1062">
        <f>$C1062*F1061</f>
        <v/>
      </c>
      <c r="G1062">
        <f>$C1062*G1061</f>
        <v/>
      </c>
      <c r="H1062">
        <f>$C1062*H1061</f>
        <v/>
      </c>
      <c r="I1062">
        <f>$C1062*I1061</f>
        <v/>
      </c>
      <c r="J1062">
        <f>$C1062*J1061</f>
        <v/>
      </c>
      <c r="K1062">
        <f>$C1062*K1061</f>
        <v/>
      </c>
      <c r="L1062">
        <f>$C1062*L1061</f>
        <v/>
      </c>
      <c r="M1062">
        <f>$C1062*M1061</f>
        <v/>
      </c>
      <c r="N1062">
        <f>$C1062*N1061</f>
        <v/>
      </c>
      <c r="O1062">
        <f>$C1062*O1061</f>
        <v/>
      </c>
      <c r="P1062">
        <f>$C1062*P1061</f>
        <v/>
      </c>
      <c r="Q1062">
        <f>$C1062*Q1061</f>
        <v/>
      </c>
      <c r="R1062">
        <f>$C1062*R1061</f>
        <v/>
      </c>
      <c r="S1062">
        <f>$C1062*S1061</f>
        <v/>
      </c>
      <c r="T1062">
        <f>$C1062*T1061</f>
        <v/>
      </c>
      <c r="U1062">
        <f>$C1062*U1061</f>
        <v/>
      </c>
      <c r="V1062">
        <f>$C1062*V1061</f>
        <v/>
      </c>
      <c r="W1062">
        <f>$C1062*W1061</f>
        <v/>
      </c>
      <c r="X1062">
        <f>$C1062*X1061</f>
        <v/>
      </c>
      <c r="Y1062">
        <f>$C1062*Y1061</f>
        <v/>
      </c>
      <c r="Z1062">
        <f>$C1062*Z1061</f>
        <v/>
      </c>
      <c r="AA1062">
        <f>$C1062*AA1061</f>
        <v/>
      </c>
      <c r="AB1062">
        <f>$C1062*AB1061</f>
        <v/>
      </c>
      <c r="AC1062">
        <f>$C1062*AC1061</f>
        <v/>
      </c>
      <c r="AD1062">
        <f>$C1062*AD1061</f>
        <v/>
      </c>
      <c r="AE1062">
        <f>$C1062*AE1061</f>
        <v/>
      </c>
      <c r="AF1062">
        <f>$C1062*AF1061</f>
        <v/>
      </c>
      <c r="AG1062">
        <f>$C1062*AG1061</f>
        <v/>
      </c>
      <c r="AH1062">
        <f>$C1062*AH1061</f>
        <v/>
      </c>
      <c r="AI1062">
        <f>$C1062*AI1061</f>
        <v/>
      </c>
      <c r="AJ1062">
        <f>$C1062*AJ1061</f>
        <v/>
      </c>
      <c r="AK1062">
        <f>$C1062*AK1061</f>
        <v/>
      </c>
      <c r="AL1062">
        <f>$C1062*AL1061</f>
        <v/>
      </c>
      <c r="AM1062">
        <f>$C1062*AM1061</f>
        <v/>
      </c>
      <c r="AN1062">
        <f>$C1062*AN1061</f>
        <v/>
      </c>
      <c r="AO1062">
        <f>$C1062*AO1061</f>
        <v/>
      </c>
      <c r="AP1062">
        <f>$C1062*AP1061</f>
        <v/>
      </c>
      <c r="AQ1062">
        <f>$C1062*AQ1061</f>
        <v/>
      </c>
      <c r="AR1062">
        <f>$C1062*AR1061</f>
        <v/>
      </c>
      <c r="AS1062">
        <f>$C1062*AS1061</f>
        <v/>
      </c>
      <c r="AT1062">
        <f>$C1062*AT1061</f>
        <v/>
      </c>
      <c r="AU1062">
        <f>$C1062*AU1061</f>
        <v/>
      </c>
      <c r="AV1062">
        <f>$C1062*AV1061</f>
        <v/>
      </c>
      <c r="AW1062">
        <f>$C1062*AW1061</f>
        <v/>
      </c>
      <c r="AX1062">
        <f>$C1062*AX1061</f>
        <v/>
      </c>
      <c r="AY1062">
        <f>$C1062*AY1061</f>
        <v/>
      </c>
      <c r="AZ1062">
        <f>$C1062*AZ1061</f>
        <v/>
      </c>
      <c r="BA1062">
        <f>$C1062*BA1061</f>
        <v/>
      </c>
      <c r="BB1062">
        <f>$C1062*BB1061</f>
        <v/>
      </c>
      <c r="BC1062">
        <f>$C1062*BC1061</f>
        <v/>
      </c>
      <c r="BD1062">
        <f>$C1062*BD1061</f>
        <v/>
      </c>
      <c r="BE1062">
        <f>$C1062*BE1061</f>
        <v/>
      </c>
      <c r="BF1062">
        <f>$C1062*BF1061</f>
        <v/>
      </c>
      <c r="BG1062">
        <f>$C1062*BG1061</f>
        <v/>
      </c>
      <c r="BH1062">
        <f>$C1062*BH1061</f>
        <v/>
      </c>
      <c r="BI1062">
        <f>$C1062*BI1061</f>
        <v/>
      </c>
      <c r="BJ1062">
        <f>$C1062*BJ1061</f>
        <v/>
      </c>
      <c r="BK1062">
        <f>$C1062*BK1061</f>
        <v/>
      </c>
      <c r="BL1062">
        <f>$C1062*BL1061</f>
        <v/>
      </c>
      <c r="BM1062">
        <f>$C1062*BM1061</f>
        <v/>
      </c>
      <c r="BN1062">
        <f>$C1062*BN1061</f>
        <v/>
      </c>
      <c r="BO1062">
        <f>$C1062*BO1061</f>
        <v/>
      </c>
      <c r="BP1062">
        <f>$C1062*BP1061</f>
        <v/>
      </c>
      <c r="BQ1062">
        <f>$C1062*BQ1061</f>
        <v/>
      </c>
      <c r="BR1062">
        <f>$C1062*BR1061</f>
        <v/>
      </c>
      <c r="BS1062">
        <f>$C1062*BS1061</f>
        <v/>
      </c>
      <c r="BT1062">
        <f>$C1062*BT1061</f>
        <v/>
      </c>
      <c r="BU1062">
        <f>$C1062*BU1061</f>
        <v/>
      </c>
      <c r="BV1062">
        <f>$C1062*BV1061</f>
        <v/>
      </c>
      <c r="BW1062">
        <f>$C1062*BW1061</f>
        <v/>
      </c>
      <c r="BX1062">
        <f>$C1062*BX1061</f>
        <v/>
      </c>
      <c r="BY1062">
        <f>$C1062*BY1061</f>
        <v/>
      </c>
      <c r="BZ1062">
        <f>$C1062*BZ1061</f>
        <v/>
      </c>
      <c r="CA1062">
        <f>$C1062*CA1061</f>
        <v/>
      </c>
      <c r="CB1062">
        <f>$C1062*CB1061</f>
        <v/>
      </c>
      <c r="CC1062">
        <f>$C1062*CC1061</f>
        <v/>
      </c>
      <c r="CD1062">
        <f>$C1062*CD1061</f>
        <v/>
      </c>
      <c r="CE1062">
        <f>$C1062*CE1061</f>
        <v/>
      </c>
      <c r="CF1062">
        <f>$C1062*CF1061</f>
        <v/>
      </c>
      <c r="CG1062">
        <f>$C1062*CG1061</f>
        <v/>
      </c>
      <c r="CH1062">
        <f>$C1062*CH1061</f>
        <v/>
      </c>
      <c r="CI1062">
        <f>$C1062*CI1061</f>
        <v/>
      </c>
      <c r="CJ1062">
        <f>$C1062*CJ1061</f>
        <v/>
      </c>
      <c r="CK1062">
        <f>$C1062*CK1061</f>
        <v/>
      </c>
      <c r="CL1062">
        <f>$C1062*CL1061</f>
        <v/>
      </c>
      <c r="CM1062">
        <f>$C1062*CM1061</f>
        <v/>
      </c>
      <c r="CN1062">
        <f>$C1062*CN1061</f>
        <v/>
      </c>
      <c r="CO1062">
        <f>$C1062*CO1061</f>
        <v/>
      </c>
      <c r="CP1062">
        <f>$C1062*CP1061</f>
        <v/>
      </c>
      <c r="CQ1062">
        <f>$C1062*CQ1061</f>
        <v/>
      </c>
      <c r="CR1062">
        <f>$C1062*CR1061</f>
        <v/>
      </c>
      <c r="CS1062">
        <f>$C1062*CS1061</f>
        <v/>
      </c>
      <c r="CT1062">
        <f>$C1062*CT1061</f>
        <v/>
      </c>
      <c r="CU1062">
        <f>$C1062*CU1061</f>
        <v/>
      </c>
      <c r="CV1062">
        <f>$C1062*CV1061</f>
        <v/>
      </c>
      <c r="CW1062">
        <f>$C1062*CW1061</f>
        <v/>
      </c>
      <c r="CX1062">
        <f>$C1062*CX1061</f>
        <v/>
      </c>
      <c r="CY1062">
        <f>$C1062*CY1061</f>
        <v/>
      </c>
      <c r="CZ1062">
        <f>$C1062*CZ1061</f>
        <v/>
      </c>
      <c r="DA1062">
        <f>$C1062*DA1061</f>
        <v/>
      </c>
      <c r="DB1062">
        <f>$C1062*DB1061</f>
        <v/>
      </c>
      <c r="DC1062">
        <f>$C1062*DC1061</f>
        <v/>
      </c>
    </row>
    <row r="1063">
      <c r="B1063" s="4" t="inlineStr">
        <is>
          <t>合計使用量(kg)/週</t>
        </is>
      </c>
      <c r="D1063">
        <f>'Grid_Requirement'!B39</f>
        <v/>
      </c>
      <c r="E1063">
        <f>'Grid_Requirement'!C39</f>
        <v/>
      </c>
      <c r="F1063">
        <f>'Grid_Requirement'!D39</f>
        <v/>
      </c>
      <c r="G1063">
        <f>'Grid_Requirement'!E39</f>
        <v/>
      </c>
      <c r="H1063">
        <f>'Grid_Requirement'!F39</f>
        <v/>
      </c>
      <c r="I1063">
        <f>'Grid_Requirement'!G39</f>
        <v/>
      </c>
      <c r="J1063">
        <f>'Grid_Requirement'!H39</f>
        <v/>
      </c>
      <c r="K1063">
        <f>'Grid_Requirement'!I39</f>
        <v/>
      </c>
      <c r="L1063">
        <f>'Grid_Requirement'!J39</f>
        <v/>
      </c>
      <c r="M1063">
        <f>'Grid_Requirement'!K39</f>
        <v/>
      </c>
      <c r="N1063">
        <f>'Grid_Requirement'!L39</f>
        <v/>
      </c>
      <c r="O1063">
        <f>'Grid_Requirement'!M39</f>
        <v/>
      </c>
      <c r="P1063">
        <f>'Grid_Requirement'!N39</f>
        <v/>
      </c>
      <c r="Q1063">
        <f>'Grid_Requirement'!O39</f>
        <v/>
      </c>
      <c r="R1063">
        <f>'Grid_Requirement'!P39</f>
        <v/>
      </c>
      <c r="S1063">
        <f>'Grid_Requirement'!Q39</f>
        <v/>
      </c>
      <c r="T1063">
        <f>'Grid_Requirement'!R39</f>
        <v/>
      </c>
      <c r="U1063">
        <f>'Grid_Requirement'!S39</f>
        <v/>
      </c>
      <c r="V1063">
        <f>'Grid_Requirement'!T39</f>
        <v/>
      </c>
      <c r="W1063">
        <f>'Grid_Requirement'!U39</f>
        <v/>
      </c>
      <c r="X1063">
        <f>'Grid_Requirement'!V39</f>
        <v/>
      </c>
      <c r="Y1063">
        <f>'Grid_Requirement'!W39</f>
        <v/>
      </c>
      <c r="Z1063">
        <f>'Grid_Requirement'!X39</f>
        <v/>
      </c>
      <c r="AA1063">
        <f>'Grid_Requirement'!Y39</f>
        <v/>
      </c>
      <c r="AB1063">
        <f>'Grid_Requirement'!Z39</f>
        <v/>
      </c>
      <c r="AC1063">
        <f>'Grid_Requirement'!AA39</f>
        <v/>
      </c>
      <c r="AD1063">
        <f>'Grid_Requirement'!AB39</f>
        <v/>
      </c>
      <c r="AE1063">
        <f>'Grid_Requirement'!AC39</f>
        <v/>
      </c>
      <c r="AF1063">
        <f>'Grid_Requirement'!AD39</f>
        <v/>
      </c>
      <c r="AG1063">
        <f>'Grid_Requirement'!AE39</f>
        <v/>
      </c>
      <c r="AH1063">
        <f>'Grid_Requirement'!AF39</f>
        <v/>
      </c>
      <c r="AI1063">
        <f>'Grid_Requirement'!AG39</f>
        <v/>
      </c>
      <c r="AJ1063">
        <f>'Grid_Requirement'!AH39</f>
        <v/>
      </c>
      <c r="AK1063">
        <f>'Grid_Requirement'!AI39</f>
        <v/>
      </c>
      <c r="AL1063">
        <f>'Grid_Requirement'!AJ39</f>
        <v/>
      </c>
      <c r="AM1063">
        <f>'Grid_Requirement'!AK39</f>
        <v/>
      </c>
      <c r="AN1063">
        <f>'Grid_Requirement'!AL39</f>
        <v/>
      </c>
      <c r="AO1063">
        <f>'Grid_Requirement'!AM39</f>
        <v/>
      </c>
      <c r="AP1063">
        <f>'Grid_Requirement'!AN39</f>
        <v/>
      </c>
      <c r="AQ1063">
        <f>'Grid_Requirement'!AO39</f>
        <v/>
      </c>
      <c r="AR1063">
        <f>'Grid_Requirement'!AP39</f>
        <v/>
      </c>
      <c r="AS1063">
        <f>'Grid_Requirement'!AQ39</f>
        <v/>
      </c>
      <c r="AT1063">
        <f>'Grid_Requirement'!AR39</f>
        <v/>
      </c>
      <c r="AU1063">
        <f>'Grid_Requirement'!AS39</f>
        <v/>
      </c>
      <c r="AV1063">
        <f>'Grid_Requirement'!AT39</f>
        <v/>
      </c>
      <c r="AW1063">
        <f>'Grid_Requirement'!AU39</f>
        <v/>
      </c>
      <c r="AX1063">
        <f>'Grid_Requirement'!AV39</f>
        <v/>
      </c>
      <c r="AY1063">
        <f>'Grid_Requirement'!AW39</f>
        <v/>
      </c>
      <c r="AZ1063">
        <f>'Grid_Requirement'!AX39</f>
        <v/>
      </c>
      <c r="BA1063">
        <f>'Grid_Requirement'!AY39</f>
        <v/>
      </c>
      <c r="BB1063">
        <f>'Grid_Requirement'!AZ39</f>
        <v/>
      </c>
      <c r="BC1063">
        <f>'Grid_Requirement'!BA39</f>
        <v/>
      </c>
      <c r="BD1063">
        <f>'Grid_Requirement'!BB39</f>
        <v/>
      </c>
      <c r="BE1063">
        <f>'Grid_Requirement'!BC39</f>
        <v/>
      </c>
      <c r="BF1063">
        <f>'Grid_Requirement'!BD39</f>
        <v/>
      </c>
      <c r="BG1063">
        <f>'Grid_Requirement'!BE39</f>
        <v/>
      </c>
      <c r="BH1063">
        <f>'Grid_Requirement'!BF39</f>
        <v/>
      </c>
      <c r="BI1063">
        <f>'Grid_Requirement'!BG39</f>
        <v/>
      </c>
      <c r="BJ1063">
        <f>'Grid_Requirement'!BH39</f>
        <v/>
      </c>
      <c r="BK1063">
        <f>'Grid_Requirement'!BI39</f>
        <v/>
      </c>
      <c r="BL1063">
        <f>'Grid_Requirement'!BJ39</f>
        <v/>
      </c>
      <c r="BM1063">
        <f>'Grid_Requirement'!BK39</f>
        <v/>
      </c>
      <c r="BN1063">
        <f>'Grid_Requirement'!BL39</f>
        <v/>
      </c>
      <c r="BO1063">
        <f>'Grid_Requirement'!BM39</f>
        <v/>
      </c>
      <c r="BP1063">
        <f>'Grid_Requirement'!BN39</f>
        <v/>
      </c>
      <c r="BQ1063">
        <f>'Grid_Requirement'!BO39</f>
        <v/>
      </c>
      <c r="BR1063">
        <f>'Grid_Requirement'!BP39</f>
        <v/>
      </c>
      <c r="BS1063">
        <f>'Grid_Requirement'!BQ39</f>
        <v/>
      </c>
      <c r="BT1063">
        <f>'Grid_Requirement'!BR39</f>
        <v/>
      </c>
      <c r="BU1063">
        <f>'Grid_Requirement'!BS39</f>
        <v/>
      </c>
      <c r="BV1063">
        <f>'Grid_Requirement'!BT39</f>
        <v/>
      </c>
      <c r="BW1063">
        <f>'Grid_Requirement'!BU39</f>
        <v/>
      </c>
      <c r="BX1063">
        <f>'Grid_Requirement'!BV39</f>
        <v/>
      </c>
      <c r="BY1063">
        <f>'Grid_Requirement'!BW39</f>
        <v/>
      </c>
      <c r="BZ1063">
        <f>'Grid_Requirement'!BX39</f>
        <v/>
      </c>
      <c r="CA1063">
        <f>'Grid_Requirement'!BY39</f>
        <v/>
      </c>
      <c r="CB1063">
        <f>'Grid_Requirement'!BZ39</f>
        <v/>
      </c>
      <c r="CC1063">
        <f>'Grid_Requirement'!CA39</f>
        <v/>
      </c>
      <c r="CD1063">
        <f>'Grid_Requirement'!CB39</f>
        <v/>
      </c>
      <c r="CE1063">
        <f>'Grid_Requirement'!CC39</f>
        <v/>
      </c>
      <c r="CF1063">
        <f>'Grid_Requirement'!CD39</f>
        <v/>
      </c>
      <c r="CG1063">
        <f>'Grid_Requirement'!CE39</f>
        <v/>
      </c>
      <c r="CH1063">
        <f>'Grid_Requirement'!CF39</f>
        <v/>
      </c>
      <c r="CI1063">
        <f>'Grid_Requirement'!CG39</f>
        <v/>
      </c>
      <c r="CJ1063">
        <f>'Grid_Requirement'!CH39</f>
        <v/>
      </c>
      <c r="CK1063">
        <f>'Grid_Requirement'!CI39</f>
        <v/>
      </c>
      <c r="CL1063">
        <f>'Grid_Requirement'!CJ39</f>
        <v/>
      </c>
      <c r="CM1063">
        <f>'Grid_Requirement'!CK39</f>
        <v/>
      </c>
      <c r="CN1063">
        <f>'Grid_Requirement'!CL39</f>
        <v/>
      </c>
      <c r="CO1063">
        <f>'Grid_Requirement'!CM39</f>
        <v/>
      </c>
      <c r="CP1063">
        <f>'Grid_Requirement'!CN39</f>
        <v/>
      </c>
      <c r="CQ1063">
        <f>'Grid_Requirement'!CO39</f>
        <v/>
      </c>
      <c r="CR1063">
        <f>'Grid_Requirement'!CP39</f>
        <v/>
      </c>
      <c r="CS1063">
        <f>'Grid_Requirement'!CQ39</f>
        <v/>
      </c>
      <c r="CT1063">
        <f>'Grid_Requirement'!CR39</f>
        <v/>
      </c>
      <c r="CU1063">
        <f>'Grid_Requirement'!CS39</f>
        <v/>
      </c>
      <c r="CV1063">
        <f>'Grid_Requirement'!CT39</f>
        <v/>
      </c>
      <c r="CW1063">
        <f>'Grid_Requirement'!CU39</f>
        <v/>
      </c>
      <c r="CX1063">
        <f>'Grid_Requirement'!CV39</f>
        <v/>
      </c>
      <c r="CY1063">
        <f>'Grid_Requirement'!CW39</f>
        <v/>
      </c>
      <c r="CZ1063">
        <f>'Grid_Requirement'!CX39</f>
        <v/>
      </c>
      <c r="DA1063">
        <f>'Grid_Requirement'!CY39</f>
        <v/>
      </c>
      <c r="DB1063">
        <f>'Grid_Requirement'!CZ39</f>
        <v/>
      </c>
      <c r="DC1063">
        <f>'Grid_Requirement'!DA39</f>
        <v/>
      </c>
    </row>
    <row r="1064">
      <c r="B1064" t="inlineStr">
        <is>
          <t>TTAF在庫(実績,kg)</t>
        </is>
      </c>
      <c r="D1064">
        <f>'T_TTAFStock'!B43</f>
        <v/>
      </c>
      <c r="E1064">
        <f>'T_TTAFStock'!C43</f>
        <v/>
      </c>
      <c r="F1064">
        <f>'T_TTAFStock'!D43</f>
        <v/>
      </c>
      <c r="G1064">
        <f>'T_TTAFStock'!E43</f>
        <v/>
      </c>
      <c r="H1064">
        <f>'T_TTAFStock'!F43</f>
        <v/>
      </c>
      <c r="I1064">
        <f>'T_TTAFStock'!G43</f>
        <v/>
      </c>
      <c r="J1064">
        <f>'T_TTAFStock'!H43</f>
        <v/>
      </c>
      <c r="K1064">
        <f>'T_TTAFStock'!I43</f>
        <v/>
      </c>
      <c r="L1064">
        <f>'T_TTAFStock'!J43</f>
        <v/>
      </c>
      <c r="M1064">
        <f>'T_TTAFStock'!K43</f>
        <v/>
      </c>
      <c r="N1064">
        <f>'T_TTAFStock'!L43</f>
        <v/>
      </c>
      <c r="O1064">
        <f>'T_TTAFStock'!M43</f>
        <v/>
      </c>
      <c r="P1064">
        <f>'T_TTAFStock'!N43</f>
        <v/>
      </c>
      <c r="Q1064">
        <f>'T_TTAFStock'!O43</f>
        <v/>
      </c>
      <c r="R1064">
        <f>'T_TTAFStock'!P43</f>
        <v/>
      </c>
      <c r="S1064">
        <f>'T_TTAFStock'!Q43</f>
        <v/>
      </c>
      <c r="T1064">
        <f>'T_TTAFStock'!R43</f>
        <v/>
      </c>
      <c r="U1064">
        <f>'T_TTAFStock'!S43</f>
        <v/>
      </c>
      <c r="V1064">
        <f>'T_TTAFStock'!T43</f>
        <v/>
      </c>
      <c r="W1064">
        <f>'T_TTAFStock'!U43</f>
        <v/>
      </c>
      <c r="X1064">
        <f>'T_TTAFStock'!V43</f>
        <v/>
      </c>
      <c r="Y1064">
        <f>'T_TTAFStock'!W43</f>
        <v/>
      </c>
      <c r="Z1064">
        <f>'T_TTAFStock'!X43</f>
        <v/>
      </c>
      <c r="AA1064">
        <f>'T_TTAFStock'!Y43</f>
        <v/>
      </c>
      <c r="AB1064">
        <f>'T_TTAFStock'!Z43</f>
        <v/>
      </c>
      <c r="AC1064">
        <f>'T_TTAFStock'!AA43</f>
        <v/>
      </c>
      <c r="AD1064">
        <f>'T_TTAFStock'!AB43</f>
        <v/>
      </c>
      <c r="AE1064">
        <f>'T_TTAFStock'!AC43</f>
        <v/>
      </c>
      <c r="AF1064">
        <f>'T_TTAFStock'!AD43</f>
        <v/>
      </c>
      <c r="AG1064">
        <f>'T_TTAFStock'!AE43</f>
        <v/>
      </c>
      <c r="AH1064">
        <f>'T_TTAFStock'!AF43</f>
        <v/>
      </c>
      <c r="AI1064">
        <f>'T_TTAFStock'!AG43</f>
        <v/>
      </c>
      <c r="AJ1064">
        <f>'T_TTAFStock'!AH43</f>
        <v/>
      </c>
      <c r="AK1064">
        <f>'T_TTAFStock'!AI43</f>
        <v/>
      </c>
      <c r="AL1064">
        <f>'T_TTAFStock'!AJ43</f>
        <v/>
      </c>
      <c r="AM1064">
        <f>'T_TTAFStock'!AK43</f>
        <v/>
      </c>
      <c r="AN1064">
        <f>'T_TTAFStock'!AL43</f>
        <v/>
      </c>
      <c r="AO1064">
        <f>'T_TTAFStock'!AM43</f>
        <v/>
      </c>
      <c r="AP1064">
        <f>'T_TTAFStock'!AN43</f>
        <v/>
      </c>
      <c r="AQ1064">
        <f>'T_TTAFStock'!AO43</f>
        <v/>
      </c>
      <c r="AR1064">
        <f>'T_TTAFStock'!AP43</f>
        <v/>
      </c>
      <c r="AS1064">
        <f>'T_TTAFStock'!AQ43</f>
        <v/>
      </c>
      <c r="AT1064">
        <f>'T_TTAFStock'!AR43</f>
        <v/>
      </c>
      <c r="AU1064">
        <f>'T_TTAFStock'!AS43</f>
        <v/>
      </c>
      <c r="AV1064">
        <f>'T_TTAFStock'!AT43</f>
        <v/>
      </c>
      <c r="AW1064">
        <f>'T_TTAFStock'!AU43</f>
        <v/>
      </c>
      <c r="AX1064">
        <f>'T_TTAFStock'!AV43</f>
        <v/>
      </c>
      <c r="AY1064">
        <f>'T_TTAFStock'!AW43</f>
        <v/>
      </c>
      <c r="AZ1064">
        <f>'T_TTAFStock'!AX43</f>
        <v/>
      </c>
      <c r="BA1064">
        <f>'T_TTAFStock'!AY43</f>
        <v/>
      </c>
      <c r="BB1064">
        <f>'T_TTAFStock'!AZ43</f>
        <v/>
      </c>
      <c r="BC1064">
        <f>'T_TTAFStock'!BA43</f>
        <v/>
      </c>
      <c r="BD1064">
        <f>'T_TTAFStock'!BB43</f>
        <v/>
      </c>
      <c r="BE1064">
        <f>'T_TTAFStock'!BC43</f>
        <v/>
      </c>
      <c r="BF1064">
        <f>'T_TTAFStock'!BD43</f>
        <v/>
      </c>
      <c r="BG1064">
        <f>'T_TTAFStock'!BE43</f>
        <v/>
      </c>
      <c r="BH1064">
        <f>'T_TTAFStock'!BF43</f>
        <v/>
      </c>
      <c r="BI1064">
        <f>'T_TTAFStock'!BG43</f>
        <v/>
      </c>
      <c r="BJ1064">
        <f>'T_TTAFStock'!BH43</f>
        <v/>
      </c>
      <c r="BK1064">
        <f>'T_TTAFStock'!BI43</f>
        <v/>
      </c>
      <c r="BL1064">
        <f>'T_TTAFStock'!BJ43</f>
        <v/>
      </c>
      <c r="BM1064">
        <f>'T_TTAFStock'!BK43</f>
        <v/>
      </c>
      <c r="BN1064">
        <f>'T_TTAFStock'!BL43</f>
        <v/>
      </c>
      <c r="BO1064">
        <f>'T_TTAFStock'!BM43</f>
        <v/>
      </c>
      <c r="BP1064">
        <f>'T_TTAFStock'!BN43</f>
        <v/>
      </c>
      <c r="BQ1064">
        <f>'T_TTAFStock'!BO43</f>
        <v/>
      </c>
      <c r="BR1064">
        <f>'T_TTAFStock'!BP43</f>
        <v/>
      </c>
      <c r="BS1064">
        <f>'T_TTAFStock'!BQ43</f>
        <v/>
      </c>
      <c r="BT1064">
        <f>'T_TTAFStock'!BR43</f>
        <v/>
      </c>
      <c r="BU1064">
        <f>'T_TTAFStock'!BS43</f>
        <v/>
      </c>
      <c r="BV1064">
        <f>'T_TTAFStock'!BT43</f>
        <v/>
      </c>
      <c r="BW1064">
        <f>'T_TTAFStock'!BU43</f>
        <v/>
      </c>
      <c r="BX1064">
        <f>'T_TTAFStock'!BV43</f>
        <v/>
      </c>
      <c r="BY1064">
        <f>'T_TTAFStock'!BW43</f>
        <v/>
      </c>
      <c r="BZ1064">
        <f>'T_TTAFStock'!BX43</f>
        <v/>
      </c>
      <c r="CA1064">
        <f>'T_TTAFStock'!BY43</f>
        <v/>
      </c>
      <c r="CB1064">
        <f>'T_TTAFStock'!BZ43</f>
        <v/>
      </c>
      <c r="CC1064">
        <f>'T_TTAFStock'!CA43</f>
        <v/>
      </c>
      <c r="CD1064">
        <f>'T_TTAFStock'!CB43</f>
        <v/>
      </c>
      <c r="CE1064">
        <f>'T_TTAFStock'!CC43</f>
        <v/>
      </c>
      <c r="CF1064">
        <f>'T_TTAFStock'!CD43</f>
        <v/>
      </c>
      <c r="CG1064">
        <f>'T_TTAFStock'!CE43</f>
        <v/>
      </c>
      <c r="CH1064">
        <f>'T_TTAFStock'!CF43</f>
        <v/>
      </c>
      <c r="CI1064">
        <f>'T_TTAFStock'!CG43</f>
        <v/>
      </c>
      <c r="CJ1064">
        <f>'T_TTAFStock'!CH43</f>
        <v/>
      </c>
      <c r="CK1064">
        <f>'T_TTAFStock'!CI43</f>
        <v/>
      </c>
      <c r="CL1064">
        <f>'T_TTAFStock'!CJ43</f>
        <v/>
      </c>
      <c r="CM1064">
        <f>'T_TTAFStock'!CK43</f>
        <v/>
      </c>
      <c r="CN1064">
        <f>'T_TTAFStock'!CL43</f>
        <v/>
      </c>
      <c r="CO1064">
        <f>'T_TTAFStock'!CM43</f>
        <v/>
      </c>
      <c r="CP1064">
        <f>'T_TTAFStock'!CN43</f>
        <v/>
      </c>
      <c r="CQ1064">
        <f>'T_TTAFStock'!CO43</f>
        <v/>
      </c>
      <c r="CR1064">
        <f>'T_TTAFStock'!CP43</f>
        <v/>
      </c>
      <c r="CS1064">
        <f>'T_TTAFStock'!CQ43</f>
        <v/>
      </c>
      <c r="CT1064">
        <f>'T_TTAFStock'!CR43</f>
        <v/>
      </c>
      <c r="CU1064">
        <f>'T_TTAFStock'!CS43</f>
        <v/>
      </c>
      <c r="CV1064">
        <f>'T_TTAFStock'!CT43</f>
        <v/>
      </c>
      <c r="CW1064">
        <f>'T_TTAFStock'!CU43</f>
        <v/>
      </c>
      <c r="CX1064">
        <f>'T_TTAFStock'!CV43</f>
        <v/>
      </c>
      <c r="CY1064">
        <f>'T_TTAFStock'!CW43</f>
        <v/>
      </c>
      <c r="CZ1064">
        <f>'T_TTAFStock'!CX43</f>
        <v/>
      </c>
      <c r="DA1064">
        <f>'T_TTAFStock'!CY43</f>
        <v/>
      </c>
      <c r="DB1064">
        <f>'T_TTAFStock'!CZ43</f>
        <v/>
      </c>
      <c r="DC1064">
        <f>'T_TTAFStock'!DA43</f>
        <v/>
      </c>
    </row>
    <row r="1065">
      <c r="B1065" t="inlineStr">
        <is>
          <t>自社在庫(実績,kg)</t>
        </is>
      </c>
      <c r="D1065">
        <f>'T_SelfStock'!B43</f>
        <v/>
      </c>
      <c r="E1065">
        <f>'T_SelfStock'!C43</f>
        <v/>
      </c>
      <c r="F1065">
        <f>'T_SelfStock'!D43</f>
        <v/>
      </c>
      <c r="G1065">
        <f>'T_SelfStock'!E43</f>
        <v/>
      </c>
      <c r="H1065">
        <f>'T_SelfStock'!F43</f>
        <v/>
      </c>
      <c r="I1065">
        <f>'T_SelfStock'!G43</f>
        <v/>
      </c>
      <c r="J1065">
        <f>'T_SelfStock'!H43</f>
        <v/>
      </c>
      <c r="K1065">
        <f>'T_SelfStock'!I43</f>
        <v/>
      </c>
      <c r="L1065">
        <f>'T_SelfStock'!J43</f>
        <v/>
      </c>
      <c r="M1065">
        <f>'T_SelfStock'!K43</f>
        <v/>
      </c>
      <c r="N1065">
        <f>'T_SelfStock'!L43</f>
        <v/>
      </c>
      <c r="O1065">
        <f>'T_SelfStock'!M43</f>
        <v/>
      </c>
      <c r="P1065">
        <f>'T_SelfStock'!N43</f>
        <v/>
      </c>
      <c r="Q1065">
        <f>'T_SelfStock'!O43</f>
        <v/>
      </c>
      <c r="R1065">
        <f>'T_SelfStock'!P43</f>
        <v/>
      </c>
      <c r="S1065">
        <f>'T_SelfStock'!Q43</f>
        <v/>
      </c>
      <c r="T1065">
        <f>'T_SelfStock'!R43</f>
        <v/>
      </c>
      <c r="U1065">
        <f>'T_SelfStock'!S43</f>
        <v/>
      </c>
      <c r="V1065">
        <f>'T_SelfStock'!T43</f>
        <v/>
      </c>
      <c r="W1065">
        <f>'T_SelfStock'!U43</f>
        <v/>
      </c>
      <c r="X1065">
        <f>'T_SelfStock'!V43</f>
        <v/>
      </c>
      <c r="Y1065">
        <f>'T_SelfStock'!W43</f>
        <v/>
      </c>
      <c r="Z1065">
        <f>'T_SelfStock'!X43</f>
        <v/>
      </c>
      <c r="AA1065">
        <f>'T_SelfStock'!Y43</f>
        <v/>
      </c>
      <c r="AB1065">
        <f>'T_SelfStock'!Z43</f>
        <v/>
      </c>
      <c r="AC1065">
        <f>'T_SelfStock'!AA43</f>
        <v/>
      </c>
      <c r="AD1065">
        <f>'T_SelfStock'!AB43</f>
        <v/>
      </c>
      <c r="AE1065">
        <f>'T_SelfStock'!AC43</f>
        <v/>
      </c>
      <c r="AF1065">
        <f>'T_SelfStock'!AD43</f>
        <v/>
      </c>
      <c r="AG1065">
        <f>'T_SelfStock'!AE43</f>
        <v/>
      </c>
      <c r="AH1065">
        <f>'T_SelfStock'!AF43</f>
        <v/>
      </c>
      <c r="AI1065">
        <f>'T_SelfStock'!AG43</f>
        <v/>
      </c>
      <c r="AJ1065">
        <f>'T_SelfStock'!AH43</f>
        <v/>
      </c>
      <c r="AK1065">
        <f>'T_SelfStock'!AI43</f>
        <v/>
      </c>
      <c r="AL1065">
        <f>'T_SelfStock'!AJ43</f>
        <v/>
      </c>
      <c r="AM1065">
        <f>'T_SelfStock'!AK43</f>
        <v/>
      </c>
      <c r="AN1065">
        <f>'T_SelfStock'!AL43</f>
        <v/>
      </c>
      <c r="AO1065">
        <f>'T_SelfStock'!AM43</f>
        <v/>
      </c>
      <c r="AP1065">
        <f>'T_SelfStock'!AN43</f>
        <v/>
      </c>
      <c r="AQ1065">
        <f>'T_SelfStock'!AO43</f>
        <v/>
      </c>
      <c r="AR1065">
        <f>'T_SelfStock'!AP43</f>
        <v/>
      </c>
      <c r="AS1065">
        <f>'T_SelfStock'!AQ43</f>
        <v/>
      </c>
      <c r="AT1065">
        <f>'T_SelfStock'!AR43</f>
        <v/>
      </c>
      <c r="AU1065">
        <f>'T_SelfStock'!AS43</f>
        <v/>
      </c>
      <c r="AV1065">
        <f>'T_SelfStock'!AT43</f>
        <v/>
      </c>
      <c r="AW1065">
        <f>'T_SelfStock'!AU43</f>
        <v/>
      </c>
      <c r="AX1065">
        <f>'T_SelfStock'!AV43</f>
        <v/>
      </c>
      <c r="AY1065">
        <f>'T_SelfStock'!AW43</f>
        <v/>
      </c>
      <c r="AZ1065">
        <f>'T_SelfStock'!AX43</f>
        <v/>
      </c>
      <c r="BA1065">
        <f>'T_SelfStock'!AY43</f>
        <v/>
      </c>
      <c r="BB1065">
        <f>'T_SelfStock'!AZ43</f>
        <v/>
      </c>
      <c r="BC1065">
        <f>'T_SelfStock'!BA43</f>
        <v/>
      </c>
      <c r="BD1065">
        <f>'T_SelfStock'!BB43</f>
        <v/>
      </c>
      <c r="BE1065">
        <f>'T_SelfStock'!BC43</f>
        <v/>
      </c>
      <c r="BF1065">
        <f>'T_SelfStock'!BD43</f>
        <v/>
      </c>
      <c r="BG1065">
        <f>'T_SelfStock'!BE43</f>
        <v/>
      </c>
      <c r="BH1065">
        <f>'T_SelfStock'!BF43</f>
        <v/>
      </c>
      <c r="BI1065">
        <f>'T_SelfStock'!BG43</f>
        <v/>
      </c>
      <c r="BJ1065">
        <f>'T_SelfStock'!BH43</f>
        <v/>
      </c>
      <c r="BK1065">
        <f>'T_SelfStock'!BI43</f>
        <v/>
      </c>
      <c r="BL1065">
        <f>'T_SelfStock'!BJ43</f>
        <v/>
      </c>
      <c r="BM1065">
        <f>'T_SelfStock'!BK43</f>
        <v/>
      </c>
      <c r="BN1065">
        <f>'T_SelfStock'!BL43</f>
        <v/>
      </c>
      <c r="BO1065">
        <f>'T_SelfStock'!BM43</f>
        <v/>
      </c>
      <c r="BP1065">
        <f>'T_SelfStock'!BN43</f>
        <v/>
      </c>
      <c r="BQ1065">
        <f>'T_SelfStock'!BO43</f>
        <v/>
      </c>
      <c r="BR1065">
        <f>'T_SelfStock'!BP43</f>
        <v/>
      </c>
      <c r="BS1065">
        <f>'T_SelfStock'!BQ43</f>
        <v/>
      </c>
      <c r="BT1065">
        <f>'T_SelfStock'!BR43</f>
        <v/>
      </c>
      <c r="BU1065">
        <f>'T_SelfStock'!BS43</f>
        <v/>
      </c>
      <c r="BV1065">
        <f>'T_SelfStock'!BT43</f>
        <v/>
      </c>
      <c r="BW1065">
        <f>'T_SelfStock'!BU43</f>
        <v/>
      </c>
      <c r="BX1065">
        <f>'T_SelfStock'!BV43</f>
        <v/>
      </c>
      <c r="BY1065">
        <f>'T_SelfStock'!BW43</f>
        <v/>
      </c>
      <c r="BZ1065">
        <f>'T_SelfStock'!BX43</f>
        <v/>
      </c>
      <c r="CA1065">
        <f>'T_SelfStock'!BY43</f>
        <v/>
      </c>
      <c r="CB1065">
        <f>'T_SelfStock'!BZ43</f>
        <v/>
      </c>
      <c r="CC1065">
        <f>'T_SelfStock'!CA43</f>
        <v/>
      </c>
      <c r="CD1065">
        <f>'T_SelfStock'!CB43</f>
        <v/>
      </c>
      <c r="CE1065">
        <f>'T_SelfStock'!CC43</f>
        <v/>
      </c>
      <c r="CF1065">
        <f>'T_SelfStock'!CD43</f>
        <v/>
      </c>
      <c r="CG1065">
        <f>'T_SelfStock'!CE43</f>
        <v/>
      </c>
      <c r="CH1065">
        <f>'T_SelfStock'!CF43</f>
        <v/>
      </c>
      <c r="CI1065">
        <f>'T_SelfStock'!CG43</f>
        <v/>
      </c>
      <c r="CJ1065">
        <f>'T_SelfStock'!CH43</f>
        <v/>
      </c>
      <c r="CK1065">
        <f>'T_SelfStock'!CI43</f>
        <v/>
      </c>
      <c r="CL1065">
        <f>'T_SelfStock'!CJ43</f>
        <v/>
      </c>
      <c r="CM1065">
        <f>'T_SelfStock'!CK43</f>
        <v/>
      </c>
      <c r="CN1065">
        <f>'T_SelfStock'!CL43</f>
        <v/>
      </c>
      <c r="CO1065">
        <f>'T_SelfStock'!CM43</f>
        <v/>
      </c>
      <c r="CP1065">
        <f>'T_SelfStock'!CN43</f>
        <v/>
      </c>
      <c r="CQ1065">
        <f>'T_SelfStock'!CO43</f>
        <v/>
      </c>
      <c r="CR1065">
        <f>'T_SelfStock'!CP43</f>
        <v/>
      </c>
      <c r="CS1065">
        <f>'T_SelfStock'!CQ43</f>
        <v/>
      </c>
      <c r="CT1065">
        <f>'T_SelfStock'!CR43</f>
        <v/>
      </c>
      <c r="CU1065">
        <f>'T_SelfStock'!CS43</f>
        <v/>
      </c>
      <c r="CV1065">
        <f>'T_SelfStock'!CT43</f>
        <v/>
      </c>
      <c r="CW1065">
        <f>'T_SelfStock'!CU43</f>
        <v/>
      </c>
      <c r="CX1065">
        <f>'T_SelfStock'!CV43</f>
        <v/>
      </c>
      <c r="CY1065">
        <f>'T_SelfStock'!CW43</f>
        <v/>
      </c>
      <c r="CZ1065">
        <f>'T_SelfStock'!CX43</f>
        <v/>
      </c>
      <c r="DA1065">
        <f>'T_SelfStock'!CY43</f>
        <v/>
      </c>
      <c r="DB1065">
        <f>'T_SelfStock'!CZ43</f>
        <v/>
      </c>
      <c r="DC1065">
        <f>'T_SelfStock'!DA43</f>
        <v/>
      </c>
    </row>
    <row r="1066">
      <c r="B1066" s="4" t="inlineStr">
        <is>
          <t>合計在庫(週末時点,kg)</t>
        </is>
      </c>
      <c r="D1066">
        <f>'Grid_Stock'!B39</f>
        <v/>
      </c>
      <c r="E1066">
        <f>'Grid_Stock'!C39</f>
        <v/>
      </c>
      <c r="F1066">
        <f>'Grid_Stock'!D39</f>
        <v/>
      </c>
      <c r="G1066">
        <f>'Grid_Stock'!E39</f>
        <v/>
      </c>
      <c r="H1066">
        <f>'Grid_Stock'!F39</f>
        <v/>
      </c>
      <c r="I1066">
        <f>'Grid_Stock'!G39</f>
        <v/>
      </c>
      <c r="J1066">
        <f>'Grid_Stock'!H39</f>
        <v/>
      </c>
      <c r="K1066">
        <f>'Grid_Stock'!I39</f>
        <v/>
      </c>
      <c r="L1066">
        <f>'Grid_Stock'!J39</f>
        <v/>
      </c>
      <c r="M1066">
        <f>'Grid_Stock'!K39</f>
        <v/>
      </c>
      <c r="N1066">
        <f>'Grid_Stock'!L39</f>
        <v/>
      </c>
      <c r="O1066">
        <f>'Grid_Stock'!M39</f>
        <v/>
      </c>
      <c r="P1066">
        <f>'Grid_Stock'!N39</f>
        <v/>
      </c>
      <c r="Q1066">
        <f>'Grid_Stock'!O39</f>
        <v/>
      </c>
      <c r="R1066">
        <f>'Grid_Stock'!P39</f>
        <v/>
      </c>
      <c r="S1066">
        <f>'Grid_Stock'!Q39</f>
        <v/>
      </c>
      <c r="T1066">
        <f>'Grid_Stock'!R39</f>
        <v/>
      </c>
      <c r="U1066">
        <f>'Grid_Stock'!S39</f>
        <v/>
      </c>
      <c r="V1066">
        <f>'Grid_Stock'!T39</f>
        <v/>
      </c>
      <c r="W1066">
        <f>'Grid_Stock'!U39</f>
        <v/>
      </c>
      <c r="X1066">
        <f>'Grid_Stock'!V39</f>
        <v/>
      </c>
      <c r="Y1066">
        <f>'Grid_Stock'!W39</f>
        <v/>
      </c>
      <c r="Z1066">
        <f>'Grid_Stock'!X39</f>
        <v/>
      </c>
      <c r="AA1066">
        <f>'Grid_Stock'!Y39</f>
        <v/>
      </c>
      <c r="AB1066">
        <f>'Grid_Stock'!Z39</f>
        <v/>
      </c>
      <c r="AC1066">
        <f>'Grid_Stock'!AA39</f>
        <v/>
      </c>
      <c r="AD1066">
        <f>'Grid_Stock'!AB39</f>
        <v/>
      </c>
      <c r="AE1066">
        <f>'Grid_Stock'!AC39</f>
        <v/>
      </c>
      <c r="AF1066">
        <f>'Grid_Stock'!AD39</f>
        <v/>
      </c>
      <c r="AG1066">
        <f>'Grid_Stock'!AE39</f>
        <v/>
      </c>
      <c r="AH1066">
        <f>'Grid_Stock'!AF39</f>
        <v/>
      </c>
      <c r="AI1066">
        <f>'Grid_Stock'!AG39</f>
        <v/>
      </c>
      <c r="AJ1066">
        <f>'Grid_Stock'!AH39</f>
        <v/>
      </c>
      <c r="AK1066">
        <f>'Grid_Stock'!AI39</f>
        <v/>
      </c>
      <c r="AL1066">
        <f>'Grid_Stock'!AJ39</f>
        <v/>
      </c>
      <c r="AM1066">
        <f>'Grid_Stock'!AK39</f>
        <v/>
      </c>
      <c r="AN1066">
        <f>'Grid_Stock'!AL39</f>
        <v/>
      </c>
      <c r="AO1066">
        <f>'Grid_Stock'!AM39</f>
        <v/>
      </c>
      <c r="AP1066">
        <f>'Grid_Stock'!AN39</f>
        <v/>
      </c>
      <c r="AQ1066">
        <f>'Grid_Stock'!AO39</f>
        <v/>
      </c>
      <c r="AR1066">
        <f>'Grid_Stock'!AP39</f>
        <v/>
      </c>
      <c r="AS1066">
        <f>'Grid_Stock'!AQ39</f>
        <v/>
      </c>
      <c r="AT1066">
        <f>'Grid_Stock'!AR39</f>
        <v/>
      </c>
      <c r="AU1066">
        <f>'Grid_Stock'!AS39</f>
        <v/>
      </c>
      <c r="AV1066">
        <f>'Grid_Stock'!AT39</f>
        <v/>
      </c>
      <c r="AW1066">
        <f>'Grid_Stock'!AU39</f>
        <v/>
      </c>
      <c r="AX1066">
        <f>'Grid_Stock'!AV39</f>
        <v/>
      </c>
      <c r="AY1066">
        <f>'Grid_Stock'!AW39</f>
        <v/>
      </c>
      <c r="AZ1066">
        <f>'Grid_Stock'!AX39</f>
        <v/>
      </c>
      <c r="BA1066">
        <f>'Grid_Stock'!AY39</f>
        <v/>
      </c>
      <c r="BB1066">
        <f>'Grid_Stock'!AZ39</f>
        <v/>
      </c>
      <c r="BC1066">
        <f>'Grid_Stock'!BA39</f>
        <v/>
      </c>
      <c r="BD1066">
        <f>'Grid_Stock'!BB39</f>
        <v/>
      </c>
      <c r="BE1066">
        <f>'Grid_Stock'!BC39</f>
        <v/>
      </c>
      <c r="BF1066">
        <f>'Grid_Stock'!BD39</f>
        <v/>
      </c>
      <c r="BG1066">
        <f>'Grid_Stock'!BE39</f>
        <v/>
      </c>
      <c r="BH1066">
        <f>'Grid_Stock'!BF39</f>
        <v/>
      </c>
      <c r="BI1066">
        <f>'Grid_Stock'!BG39</f>
        <v/>
      </c>
      <c r="BJ1066">
        <f>'Grid_Stock'!BH39</f>
        <v/>
      </c>
      <c r="BK1066">
        <f>'Grid_Stock'!BI39</f>
        <v/>
      </c>
      <c r="BL1066">
        <f>'Grid_Stock'!BJ39</f>
        <v/>
      </c>
      <c r="BM1066">
        <f>'Grid_Stock'!BK39</f>
        <v/>
      </c>
      <c r="BN1066">
        <f>'Grid_Stock'!BL39</f>
        <v/>
      </c>
      <c r="BO1066">
        <f>'Grid_Stock'!BM39</f>
        <v/>
      </c>
      <c r="BP1066">
        <f>'Grid_Stock'!BN39</f>
        <v/>
      </c>
      <c r="BQ1066">
        <f>'Grid_Stock'!BO39</f>
        <v/>
      </c>
      <c r="BR1066">
        <f>'Grid_Stock'!BP39</f>
        <v/>
      </c>
      <c r="BS1066">
        <f>'Grid_Stock'!BQ39</f>
        <v/>
      </c>
      <c r="BT1066">
        <f>'Grid_Stock'!BR39</f>
        <v/>
      </c>
      <c r="BU1066">
        <f>'Grid_Stock'!BS39</f>
        <v/>
      </c>
      <c r="BV1066">
        <f>'Grid_Stock'!BT39</f>
        <v/>
      </c>
      <c r="BW1066">
        <f>'Grid_Stock'!BU39</f>
        <v/>
      </c>
      <c r="BX1066">
        <f>'Grid_Stock'!BV39</f>
        <v/>
      </c>
      <c r="BY1066">
        <f>'Grid_Stock'!BW39</f>
        <v/>
      </c>
      <c r="BZ1066">
        <f>'Grid_Stock'!BX39</f>
        <v/>
      </c>
      <c r="CA1066">
        <f>'Grid_Stock'!BY39</f>
        <v/>
      </c>
      <c r="CB1066">
        <f>'Grid_Stock'!BZ39</f>
        <v/>
      </c>
      <c r="CC1066">
        <f>'Grid_Stock'!CA39</f>
        <v/>
      </c>
      <c r="CD1066">
        <f>'Grid_Stock'!CB39</f>
        <v/>
      </c>
      <c r="CE1066">
        <f>'Grid_Stock'!CC39</f>
        <v/>
      </c>
      <c r="CF1066">
        <f>'Grid_Stock'!CD39</f>
        <v/>
      </c>
      <c r="CG1066">
        <f>'Grid_Stock'!CE39</f>
        <v/>
      </c>
      <c r="CH1066">
        <f>'Grid_Stock'!CF39</f>
        <v/>
      </c>
      <c r="CI1066">
        <f>'Grid_Stock'!CG39</f>
        <v/>
      </c>
      <c r="CJ1066">
        <f>'Grid_Stock'!CH39</f>
        <v/>
      </c>
      <c r="CK1066">
        <f>'Grid_Stock'!CI39</f>
        <v/>
      </c>
      <c r="CL1066">
        <f>'Grid_Stock'!CJ39</f>
        <v/>
      </c>
      <c r="CM1066">
        <f>'Grid_Stock'!CK39</f>
        <v/>
      </c>
      <c r="CN1066">
        <f>'Grid_Stock'!CL39</f>
        <v/>
      </c>
      <c r="CO1066">
        <f>'Grid_Stock'!CM39</f>
        <v/>
      </c>
      <c r="CP1066">
        <f>'Grid_Stock'!CN39</f>
        <v/>
      </c>
      <c r="CQ1066">
        <f>'Grid_Stock'!CO39</f>
        <v/>
      </c>
      <c r="CR1066">
        <f>'Grid_Stock'!CP39</f>
        <v/>
      </c>
      <c r="CS1066">
        <f>'Grid_Stock'!CQ39</f>
        <v/>
      </c>
      <c r="CT1066">
        <f>'Grid_Stock'!CR39</f>
        <v/>
      </c>
      <c r="CU1066">
        <f>'Grid_Stock'!CS39</f>
        <v/>
      </c>
      <c r="CV1066">
        <f>'Grid_Stock'!CT39</f>
        <v/>
      </c>
      <c r="CW1066">
        <f>'Grid_Stock'!CU39</f>
        <v/>
      </c>
      <c r="CX1066">
        <f>'Grid_Stock'!CV39</f>
        <v/>
      </c>
      <c r="CY1066">
        <f>'Grid_Stock'!CW39</f>
        <v/>
      </c>
      <c r="CZ1066">
        <f>'Grid_Stock'!CX39</f>
        <v/>
      </c>
      <c r="DA1066">
        <f>'Grid_Stock'!CY39</f>
        <v/>
      </c>
      <c r="DB1066">
        <f>'Grid_Stock'!CZ39</f>
        <v/>
      </c>
      <c r="DC1066">
        <f>'Grid_Stock'!DA39</f>
        <v/>
      </c>
    </row>
    <row r="1067">
      <c r="B1067" s="16" t="inlineStr">
        <is>
          <t>（発注の目安はDashboardの基準在庫[下限/上限]と色分けを参照）</t>
        </is>
      </c>
    </row>
    <row r="1069">
      <c r="A1069" s="14" t="inlineStr">
        <is>
          <t>CHEM-1820</t>
        </is>
      </c>
      <c r="B1069" s="14" t="inlineStr">
        <is>
          <t>JCK-472</t>
        </is>
      </c>
      <c r="C1069" s="15" t="n"/>
      <c r="D1069" s="14" t="n"/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  <c r="T1069" s="14" t="n"/>
      <c r="U1069" s="14" t="n"/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4" t="n"/>
      <c r="AO1069" s="14" t="n"/>
      <c r="AP1069" s="14" t="n"/>
      <c r="AQ1069" s="14" t="n"/>
      <c r="AR1069" s="14" t="n"/>
      <c r="AS1069" s="14" t="n"/>
      <c r="AT1069" s="14" t="n"/>
      <c r="AU1069" s="14" t="n"/>
      <c r="AV1069" s="14" t="n"/>
      <c r="AW1069" s="14" t="n"/>
      <c r="AX1069" s="14" t="n"/>
      <c r="AY1069" s="14" t="n"/>
      <c r="AZ1069" s="14" t="n"/>
      <c r="BA1069" s="14" t="n"/>
      <c r="BB1069" s="14" t="n"/>
      <c r="BC1069" s="14" t="n"/>
      <c r="BD1069" s="14" t="n"/>
      <c r="BE1069" s="14" t="n"/>
      <c r="BF1069" s="14" t="n"/>
      <c r="BG1069" s="14" t="n"/>
      <c r="BH1069" s="14" t="n"/>
      <c r="BI1069" s="14" t="n"/>
      <c r="BJ1069" s="14" t="n"/>
      <c r="BK1069" s="14" t="n"/>
      <c r="BL1069" s="14" t="n"/>
      <c r="BM1069" s="14" t="n"/>
      <c r="BN1069" s="14" t="n"/>
      <c r="BO1069" s="14" t="n"/>
      <c r="BP1069" s="14" t="n"/>
      <c r="BQ1069" s="14" t="n"/>
      <c r="BR1069" s="14" t="n"/>
      <c r="BS1069" s="14" t="n"/>
      <c r="BT1069" s="14" t="n"/>
      <c r="BU1069" s="14" t="n"/>
      <c r="BV1069" s="14" t="n"/>
      <c r="BW1069" s="14" t="n"/>
      <c r="BX1069" s="14" t="n"/>
      <c r="BY1069" s="14" t="n"/>
      <c r="BZ1069" s="14" t="n"/>
      <c r="CA1069" s="14" t="n"/>
      <c r="CB1069" s="14" t="n"/>
      <c r="CC1069" s="14" t="n"/>
      <c r="CD1069" s="14" t="n"/>
      <c r="CE1069" s="14" t="n"/>
      <c r="CF1069" s="14" t="n"/>
      <c r="CG1069" s="14" t="n"/>
      <c r="CH1069" s="14" t="n"/>
      <c r="CI1069" s="14" t="n"/>
      <c r="CJ1069" s="14" t="n"/>
      <c r="CK1069" s="14" t="n"/>
      <c r="CL1069" s="14" t="n"/>
      <c r="CM1069" s="14" t="n"/>
      <c r="CN1069" s="14" t="n"/>
      <c r="CO1069" s="14" t="n"/>
      <c r="CP1069" s="14" t="n"/>
      <c r="CQ1069" s="14" t="n"/>
      <c r="CR1069" s="14" t="n"/>
      <c r="CS1069" s="14" t="n"/>
      <c r="CT1069" s="14" t="n"/>
      <c r="CU1069" s="14" t="n"/>
      <c r="CV1069" s="14" t="n"/>
      <c r="CW1069" s="14" t="n"/>
      <c r="CX1069" s="14" t="n"/>
      <c r="CY1069" s="14" t="n"/>
      <c r="CZ1069" s="14" t="n"/>
      <c r="DA1069" s="14" t="n"/>
      <c r="DB1069" s="14" t="n"/>
      <c r="DC1069" s="14" t="n"/>
    </row>
    <row r="1070">
      <c r="B1070" t="inlineStr">
        <is>
          <t>TPP-1459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7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TPP-1466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7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t="inlineStr">
        <is>
          <t>TSP-219</t>
        </is>
      </c>
      <c r="C1074" t="inlineStr">
        <is>
          <t>No. of batches</t>
        </is>
      </c>
      <c r="D1074">
        <f>IFERROR(INDEX(PP_Grid[#Data],$DD1074,2),0)</f>
        <v/>
      </c>
      <c r="E1074">
        <f>IFERROR(INDEX(PP_Grid[#Data],$DD1074,3),0)</f>
        <v/>
      </c>
      <c r="F1074">
        <f>IFERROR(INDEX(PP_Grid[#Data],$DD1074,4),0)</f>
        <v/>
      </c>
      <c r="G1074">
        <f>IFERROR(INDEX(PP_Grid[#Data],$DD1074,5),0)</f>
        <v/>
      </c>
      <c r="H1074">
        <f>IFERROR(INDEX(PP_Grid[#Data],$DD1074,6),0)</f>
        <v/>
      </c>
      <c r="I1074">
        <f>IFERROR(INDEX(PP_Grid[#Data],$DD1074,7),0)</f>
        <v/>
      </c>
      <c r="J1074">
        <f>IFERROR(INDEX(PP_Grid[#Data],$DD1074,8),0)</f>
        <v/>
      </c>
      <c r="K1074">
        <f>IFERROR(INDEX(PP_Grid[#Data],$DD1074,9),0)</f>
        <v/>
      </c>
      <c r="L1074">
        <f>IFERROR(INDEX(PP_Grid[#Data],$DD1074,10),0)</f>
        <v/>
      </c>
      <c r="M1074">
        <f>IFERROR(INDEX(PP_Grid[#Data],$DD1074,11),0)</f>
        <v/>
      </c>
      <c r="N1074">
        <f>IFERROR(INDEX(PP_Grid[#Data],$DD1074,12),0)</f>
        <v/>
      </c>
      <c r="O1074">
        <f>IFERROR(INDEX(PP_Grid[#Data],$DD1074,13),0)</f>
        <v/>
      </c>
      <c r="P1074">
        <f>IFERROR(INDEX(PP_Grid[#Data],$DD1074,14),0)</f>
        <v/>
      </c>
      <c r="Q1074">
        <f>IFERROR(INDEX(PP_Grid[#Data],$DD1074,15),0)</f>
        <v/>
      </c>
      <c r="R1074">
        <f>IFERROR(INDEX(PP_Grid[#Data],$DD1074,16),0)</f>
        <v/>
      </c>
      <c r="S1074">
        <f>IFERROR(INDEX(PP_Grid[#Data],$DD1074,17),0)</f>
        <v/>
      </c>
      <c r="T1074">
        <f>IFERROR(INDEX(PP_Grid[#Data],$DD1074,18),0)</f>
        <v/>
      </c>
      <c r="U1074">
        <f>IFERROR(INDEX(PP_Grid[#Data],$DD1074,19),0)</f>
        <v/>
      </c>
      <c r="V1074">
        <f>IFERROR(INDEX(PP_Grid[#Data],$DD1074,20),0)</f>
        <v/>
      </c>
      <c r="W1074">
        <f>IFERROR(INDEX(PP_Grid[#Data],$DD1074,21),0)</f>
        <v/>
      </c>
      <c r="X1074">
        <f>IFERROR(INDEX(PP_Grid[#Data],$DD1074,22),0)</f>
        <v/>
      </c>
      <c r="Y1074">
        <f>IFERROR(INDEX(PP_Grid[#Data],$DD1074,23),0)</f>
        <v/>
      </c>
      <c r="Z1074">
        <f>IFERROR(INDEX(PP_Grid[#Data],$DD1074,24),0)</f>
        <v/>
      </c>
      <c r="AA1074">
        <f>IFERROR(INDEX(PP_Grid[#Data],$DD1074,25),0)</f>
        <v/>
      </c>
      <c r="AB1074">
        <f>IFERROR(INDEX(PP_Grid[#Data],$DD1074,26),0)</f>
        <v/>
      </c>
      <c r="AC1074">
        <f>IFERROR(INDEX(PP_Grid[#Data],$DD1074,27),0)</f>
        <v/>
      </c>
      <c r="AD1074">
        <f>IFERROR(INDEX(PP_Grid[#Data],$DD1074,28),0)</f>
        <v/>
      </c>
      <c r="AE1074">
        <f>IFERROR(INDEX(PP_Grid[#Data],$DD1074,29),0)</f>
        <v/>
      </c>
      <c r="AF1074">
        <f>IFERROR(INDEX(PP_Grid[#Data],$DD1074,30),0)</f>
        <v/>
      </c>
      <c r="AG1074">
        <f>IFERROR(INDEX(PP_Grid[#Data],$DD1074,31),0)</f>
        <v/>
      </c>
      <c r="AH1074">
        <f>IFERROR(INDEX(PP_Grid[#Data],$DD1074,32),0)</f>
        <v/>
      </c>
      <c r="AI1074">
        <f>IFERROR(INDEX(PP_Grid[#Data],$DD1074,33),0)</f>
        <v/>
      </c>
      <c r="AJ1074">
        <f>IFERROR(INDEX(PP_Grid[#Data],$DD1074,34),0)</f>
        <v/>
      </c>
      <c r="AK1074">
        <f>IFERROR(INDEX(PP_Grid[#Data],$DD1074,35),0)</f>
        <v/>
      </c>
      <c r="AL1074">
        <f>IFERROR(INDEX(PP_Grid[#Data],$DD1074,36),0)</f>
        <v/>
      </c>
      <c r="AM1074">
        <f>IFERROR(INDEX(PP_Grid[#Data],$DD1074,37),0)</f>
        <v/>
      </c>
      <c r="AN1074">
        <f>IFERROR(INDEX(PP_Grid[#Data],$DD1074,38),0)</f>
        <v/>
      </c>
      <c r="AO1074">
        <f>IFERROR(INDEX(PP_Grid[#Data],$DD1074,39),0)</f>
        <v/>
      </c>
      <c r="AP1074">
        <f>IFERROR(INDEX(PP_Grid[#Data],$DD1074,40),0)</f>
        <v/>
      </c>
      <c r="AQ1074">
        <f>IFERROR(INDEX(PP_Grid[#Data],$DD1074,41),0)</f>
        <v/>
      </c>
      <c r="AR1074">
        <f>IFERROR(INDEX(PP_Grid[#Data],$DD1074,42),0)</f>
        <v/>
      </c>
      <c r="AS1074">
        <f>IFERROR(INDEX(PP_Grid[#Data],$DD1074,43),0)</f>
        <v/>
      </c>
      <c r="AT1074">
        <f>IFERROR(INDEX(PP_Grid[#Data],$DD1074,44),0)</f>
        <v/>
      </c>
      <c r="AU1074">
        <f>IFERROR(INDEX(PP_Grid[#Data],$DD1074,45),0)</f>
        <v/>
      </c>
      <c r="AV1074">
        <f>IFERROR(INDEX(PP_Grid[#Data],$DD1074,46),0)</f>
        <v/>
      </c>
      <c r="AW1074">
        <f>IFERROR(INDEX(PP_Grid[#Data],$DD1074,47),0)</f>
        <v/>
      </c>
      <c r="AX1074">
        <f>IFERROR(INDEX(PP_Grid[#Data],$DD1074,48),0)</f>
        <v/>
      </c>
      <c r="AY1074">
        <f>IFERROR(INDEX(PP_Grid[#Data],$DD1074,49),0)</f>
        <v/>
      </c>
      <c r="AZ1074">
        <f>IFERROR(INDEX(PP_Grid[#Data],$DD1074,50),0)</f>
        <v/>
      </c>
      <c r="BA1074">
        <f>IFERROR(INDEX(PP_Grid[#Data],$DD1074,51),0)</f>
        <v/>
      </c>
      <c r="BB1074">
        <f>IFERROR(INDEX(PP_Grid[#Data],$DD1074,52),0)</f>
        <v/>
      </c>
      <c r="BC1074">
        <f>IFERROR(INDEX(PP_Grid[#Data],$DD1074,53),0)</f>
        <v/>
      </c>
      <c r="BD1074">
        <f>IFERROR(INDEX(PP_Grid[#Data],$DD1074,54),0)</f>
        <v/>
      </c>
      <c r="BE1074">
        <f>IFERROR(INDEX(PP_Grid[#Data],$DD1074,55),0)</f>
        <v/>
      </c>
      <c r="BF1074">
        <f>IFERROR(INDEX(PP_Grid[#Data],$DD1074,56),0)</f>
        <v/>
      </c>
      <c r="BG1074">
        <f>IFERROR(INDEX(PP_Grid[#Data],$DD1074,57),0)</f>
        <v/>
      </c>
      <c r="BH1074">
        <f>IFERROR(INDEX(PP_Grid[#Data],$DD1074,58),0)</f>
        <v/>
      </c>
      <c r="BI1074">
        <f>IFERROR(INDEX(PP_Grid[#Data],$DD1074,59),0)</f>
        <v/>
      </c>
      <c r="BJ1074">
        <f>IFERROR(INDEX(PP_Grid[#Data],$DD1074,60),0)</f>
        <v/>
      </c>
      <c r="BK1074">
        <f>IFERROR(INDEX(PP_Grid[#Data],$DD1074,61),0)</f>
        <v/>
      </c>
      <c r="BL1074">
        <f>IFERROR(INDEX(PP_Grid[#Data],$DD1074,62),0)</f>
        <v/>
      </c>
      <c r="BM1074">
        <f>IFERROR(INDEX(PP_Grid[#Data],$DD1074,63),0)</f>
        <v/>
      </c>
      <c r="BN1074">
        <f>IFERROR(INDEX(PP_Grid[#Data],$DD1074,64),0)</f>
        <v/>
      </c>
      <c r="BO1074">
        <f>IFERROR(INDEX(PP_Grid[#Data],$DD1074,65),0)</f>
        <v/>
      </c>
      <c r="BP1074">
        <f>IFERROR(INDEX(PP_Grid[#Data],$DD1074,66),0)</f>
        <v/>
      </c>
      <c r="BQ1074">
        <f>IFERROR(INDEX(PP_Grid[#Data],$DD1074,67),0)</f>
        <v/>
      </c>
      <c r="BR1074">
        <f>IFERROR(INDEX(PP_Grid[#Data],$DD1074,68),0)</f>
        <v/>
      </c>
      <c r="BS1074">
        <f>IFERROR(INDEX(PP_Grid[#Data],$DD1074,69),0)</f>
        <v/>
      </c>
      <c r="BT1074">
        <f>IFERROR(INDEX(PP_Grid[#Data],$DD1074,70),0)</f>
        <v/>
      </c>
      <c r="BU1074">
        <f>IFERROR(INDEX(PP_Grid[#Data],$DD1074,71),0)</f>
        <v/>
      </c>
      <c r="BV1074">
        <f>IFERROR(INDEX(PP_Grid[#Data],$DD1074,72),0)</f>
        <v/>
      </c>
      <c r="BW1074">
        <f>IFERROR(INDEX(PP_Grid[#Data],$DD1074,73),0)</f>
        <v/>
      </c>
      <c r="BX1074">
        <f>IFERROR(INDEX(PP_Grid[#Data],$DD1074,74),0)</f>
        <v/>
      </c>
      <c r="BY1074">
        <f>IFERROR(INDEX(PP_Grid[#Data],$DD1074,75),0)</f>
        <v/>
      </c>
      <c r="BZ1074">
        <f>IFERROR(INDEX(PP_Grid[#Data],$DD1074,76),0)</f>
        <v/>
      </c>
      <c r="CA1074">
        <f>IFERROR(INDEX(PP_Grid[#Data],$DD1074,77),0)</f>
        <v/>
      </c>
      <c r="CB1074">
        <f>IFERROR(INDEX(PP_Grid[#Data],$DD1074,78),0)</f>
        <v/>
      </c>
      <c r="CC1074">
        <f>IFERROR(INDEX(PP_Grid[#Data],$DD1074,79),0)</f>
        <v/>
      </c>
      <c r="CD1074">
        <f>IFERROR(INDEX(PP_Grid[#Data],$DD1074,80),0)</f>
        <v/>
      </c>
      <c r="CE1074">
        <f>IFERROR(INDEX(PP_Grid[#Data],$DD1074,81),0)</f>
        <v/>
      </c>
      <c r="CF1074">
        <f>IFERROR(INDEX(PP_Grid[#Data],$DD1074,82),0)</f>
        <v/>
      </c>
      <c r="CG1074">
        <f>IFERROR(INDEX(PP_Grid[#Data],$DD1074,83),0)</f>
        <v/>
      </c>
      <c r="CH1074">
        <f>IFERROR(INDEX(PP_Grid[#Data],$DD1074,84),0)</f>
        <v/>
      </c>
      <c r="CI1074">
        <f>IFERROR(INDEX(PP_Grid[#Data],$DD1074,85),0)</f>
        <v/>
      </c>
      <c r="CJ1074">
        <f>IFERROR(INDEX(PP_Grid[#Data],$DD1074,86),0)</f>
        <v/>
      </c>
      <c r="CK1074">
        <f>IFERROR(INDEX(PP_Grid[#Data],$DD1074,87),0)</f>
        <v/>
      </c>
      <c r="CL1074">
        <f>IFERROR(INDEX(PP_Grid[#Data],$DD1074,88),0)</f>
        <v/>
      </c>
      <c r="CM1074">
        <f>IFERROR(INDEX(PP_Grid[#Data],$DD1074,89),0)</f>
        <v/>
      </c>
      <c r="CN1074">
        <f>IFERROR(INDEX(PP_Grid[#Data],$DD1074,90),0)</f>
        <v/>
      </c>
      <c r="CO1074">
        <f>IFERROR(INDEX(PP_Grid[#Data],$DD1074,91),0)</f>
        <v/>
      </c>
      <c r="CP1074">
        <f>IFERROR(INDEX(PP_Grid[#Data],$DD1074,92),0)</f>
        <v/>
      </c>
      <c r="CQ1074">
        <f>IFERROR(INDEX(PP_Grid[#Data],$DD1074,93),0)</f>
        <v/>
      </c>
      <c r="CR1074">
        <f>IFERROR(INDEX(PP_Grid[#Data],$DD1074,94),0)</f>
        <v/>
      </c>
      <c r="CS1074">
        <f>IFERROR(INDEX(PP_Grid[#Data],$DD1074,95),0)</f>
        <v/>
      </c>
      <c r="CT1074">
        <f>IFERROR(INDEX(PP_Grid[#Data],$DD1074,96),0)</f>
        <v/>
      </c>
      <c r="CU1074">
        <f>IFERROR(INDEX(PP_Grid[#Data],$DD1074,97),0)</f>
        <v/>
      </c>
      <c r="CV1074">
        <f>IFERROR(INDEX(PP_Grid[#Data],$DD1074,98),0)</f>
        <v/>
      </c>
      <c r="CW1074">
        <f>IFERROR(INDEX(PP_Grid[#Data],$DD1074,99),0)</f>
        <v/>
      </c>
      <c r="CX1074">
        <f>IFERROR(INDEX(PP_Grid[#Data],$DD1074,100),0)</f>
        <v/>
      </c>
      <c r="CY1074">
        <f>IFERROR(INDEX(PP_Grid[#Data],$DD1074,101),0)</f>
        <v/>
      </c>
      <c r="CZ1074">
        <f>IFERROR(INDEX(PP_Grid[#Data],$DD1074,102),0)</f>
        <v/>
      </c>
      <c r="DA1074">
        <f>IFERROR(INDEX(PP_Grid[#Data],$DD1074,103),0)</f>
        <v/>
      </c>
      <c r="DB1074">
        <f>IFERROR(INDEX(PP_Grid[#Data],$DD1074,104),0)</f>
        <v/>
      </c>
      <c r="DC1074">
        <f>IFERROR(INDEX(PP_Grid[#Data],$DD1074,105),0)</f>
        <v/>
      </c>
      <c r="DD1074" s="7">
        <f>IFERROR(MATCH($B1074,PP_Grid[Intermediate],0),99999)</f>
        <v/>
      </c>
    </row>
    <row r="1075">
      <c r="B1075" t="inlineStr">
        <is>
          <t>使用量(kg)</t>
        </is>
      </c>
      <c r="C1075">
        <f>SUMIFS(M_BOM[RM_Qty_Per_Batch],M_BOM[Intermediate],$B1074,M_BOM[Part Name],$A1069)</f>
        <v/>
      </c>
      <c r="D1075">
        <f>$C1075*D1074</f>
        <v/>
      </c>
      <c r="E1075">
        <f>$C1075*E1074</f>
        <v/>
      </c>
      <c r="F1075">
        <f>$C1075*F1074</f>
        <v/>
      </c>
      <c r="G1075">
        <f>$C1075*G1074</f>
        <v/>
      </c>
      <c r="H1075">
        <f>$C1075*H1074</f>
        <v/>
      </c>
      <c r="I1075">
        <f>$C1075*I1074</f>
        <v/>
      </c>
      <c r="J1075">
        <f>$C1075*J1074</f>
        <v/>
      </c>
      <c r="K1075">
        <f>$C1075*K1074</f>
        <v/>
      </c>
      <c r="L1075">
        <f>$C1075*L1074</f>
        <v/>
      </c>
      <c r="M1075">
        <f>$C1075*M1074</f>
        <v/>
      </c>
      <c r="N1075">
        <f>$C1075*N1074</f>
        <v/>
      </c>
      <c r="O1075">
        <f>$C1075*O1074</f>
        <v/>
      </c>
      <c r="P1075">
        <f>$C1075*P1074</f>
        <v/>
      </c>
      <c r="Q1075">
        <f>$C1075*Q1074</f>
        <v/>
      </c>
      <c r="R1075">
        <f>$C1075*R1074</f>
        <v/>
      </c>
      <c r="S1075">
        <f>$C1075*S1074</f>
        <v/>
      </c>
      <c r="T1075">
        <f>$C1075*T1074</f>
        <v/>
      </c>
      <c r="U1075">
        <f>$C1075*U1074</f>
        <v/>
      </c>
      <c r="V1075">
        <f>$C1075*V1074</f>
        <v/>
      </c>
      <c r="W1075">
        <f>$C1075*W1074</f>
        <v/>
      </c>
      <c r="X1075">
        <f>$C1075*X1074</f>
        <v/>
      </c>
      <c r="Y1075">
        <f>$C1075*Y1074</f>
        <v/>
      </c>
      <c r="Z1075">
        <f>$C1075*Z1074</f>
        <v/>
      </c>
      <c r="AA1075">
        <f>$C1075*AA1074</f>
        <v/>
      </c>
      <c r="AB1075">
        <f>$C1075*AB1074</f>
        <v/>
      </c>
      <c r="AC1075">
        <f>$C1075*AC1074</f>
        <v/>
      </c>
      <c r="AD1075">
        <f>$C1075*AD1074</f>
        <v/>
      </c>
      <c r="AE1075">
        <f>$C1075*AE1074</f>
        <v/>
      </c>
      <c r="AF1075">
        <f>$C1075*AF1074</f>
        <v/>
      </c>
      <c r="AG1075">
        <f>$C1075*AG1074</f>
        <v/>
      </c>
      <c r="AH1075">
        <f>$C1075*AH1074</f>
        <v/>
      </c>
      <c r="AI1075">
        <f>$C1075*AI1074</f>
        <v/>
      </c>
      <c r="AJ1075">
        <f>$C1075*AJ1074</f>
        <v/>
      </c>
      <c r="AK1075">
        <f>$C1075*AK1074</f>
        <v/>
      </c>
      <c r="AL1075">
        <f>$C1075*AL1074</f>
        <v/>
      </c>
      <c r="AM1075">
        <f>$C1075*AM1074</f>
        <v/>
      </c>
      <c r="AN1075">
        <f>$C1075*AN1074</f>
        <v/>
      </c>
      <c r="AO1075">
        <f>$C1075*AO1074</f>
        <v/>
      </c>
      <c r="AP1075">
        <f>$C1075*AP1074</f>
        <v/>
      </c>
      <c r="AQ1075">
        <f>$C1075*AQ1074</f>
        <v/>
      </c>
      <c r="AR1075">
        <f>$C1075*AR1074</f>
        <v/>
      </c>
      <c r="AS1075">
        <f>$C1075*AS1074</f>
        <v/>
      </c>
      <c r="AT1075">
        <f>$C1075*AT1074</f>
        <v/>
      </c>
      <c r="AU1075">
        <f>$C1075*AU1074</f>
        <v/>
      </c>
      <c r="AV1075">
        <f>$C1075*AV1074</f>
        <v/>
      </c>
      <c r="AW1075">
        <f>$C1075*AW1074</f>
        <v/>
      </c>
      <c r="AX1075">
        <f>$C1075*AX1074</f>
        <v/>
      </c>
      <c r="AY1075">
        <f>$C1075*AY1074</f>
        <v/>
      </c>
      <c r="AZ1075">
        <f>$C1075*AZ1074</f>
        <v/>
      </c>
      <c r="BA1075">
        <f>$C1075*BA1074</f>
        <v/>
      </c>
      <c r="BB1075">
        <f>$C1075*BB1074</f>
        <v/>
      </c>
      <c r="BC1075">
        <f>$C1075*BC1074</f>
        <v/>
      </c>
      <c r="BD1075">
        <f>$C1075*BD1074</f>
        <v/>
      </c>
      <c r="BE1075">
        <f>$C1075*BE1074</f>
        <v/>
      </c>
      <c r="BF1075">
        <f>$C1075*BF1074</f>
        <v/>
      </c>
      <c r="BG1075">
        <f>$C1075*BG1074</f>
        <v/>
      </c>
      <c r="BH1075">
        <f>$C1075*BH1074</f>
        <v/>
      </c>
      <c r="BI1075">
        <f>$C1075*BI1074</f>
        <v/>
      </c>
      <c r="BJ1075">
        <f>$C1075*BJ1074</f>
        <v/>
      </c>
      <c r="BK1075">
        <f>$C1075*BK1074</f>
        <v/>
      </c>
      <c r="BL1075">
        <f>$C1075*BL1074</f>
        <v/>
      </c>
      <c r="BM1075">
        <f>$C1075*BM1074</f>
        <v/>
      </c>
      <c r="BN1075">
        <f>$C1075*BN1074</f>
        <v/>
      </c>
      <c r="BO1075">
        <f>$C1075*BO1074</f>
        <v/>
      </c>
      <c r="BP1075">
        <f>$C1075*BP1074</f>
        <v/>
      </c>
      <c r="BQ1075">
        <f>$C1075*BQ1074</f>
        <v/>
      </c>
      <c r="BR1075">
        <f>$C1075*BR1074</f>
        <v/>
      </c>
      <c r="BS1075">
        <f>$C1075*BS1074</f>
        <v/>
      </c>
      <c r="BT1075">
        <f>$C1075*BT1074</f>
        <v/>
      </c>
      <c r="BU1075">
        <f>$C1075*BU1074</f>
        <v/>
      </c>
      <c r="BV1075">
        <f>$C1075*BV1074</f>
        <v/>
      </c>
      <c r="BW1075">
        <f>$C1075*BW1074</f>
        <v/>
      </c>
      <c r="BX1075">
        <f>$C1075*BX1074</f>
        <v/>
      </c>
      <c r="BY1075">
        <f>$C1075*BY1074</f>
        <v/>
      </c>
      <c r="BZ1075">
        <f>$C1075*BZ1074</f>
        <v/>
      </c>
      <c r="CA1075">
        <f>$C1075*CA1074</f>
        <v/>
      </c>
      <c r="CB1075">
        <f>$C1075*CB1074</f>
        <v/>
      </c>
      <c r="CC1075">
        <f>$C1075*CC1074</f>
        <v/>
      </c>
      <c r="CD1075">
        <f>$C1075*CD1074</f>
        <v/>
      </c>
      <c r="CE1075">
        <f>$C1075*CE1074</f>
        <v/>
      </c>
      <c r="CF1075">
        <f>$C1075*CF1074</f>
        <v/>
      </c>
      <c r="CG1075">
        <f>$C1075*CG1074</f>
        <v/>
      </c>
      <c r="CH1075">
        <f>$C1075*CH1074</f>
        <v/>
      </c>
      <c r="CI1075">
        <f>$C1075*CI1074</f>
        <v/>
      </c>
      <c r="CJ1075">
        <f>$C1075*CJ1074</f>
        <v/>
      </c>
      <c r="CK1075">
        <f>$C1075*CK1074</f>
        <v/>
      </c>
      <c r="CL1075">
        <f>$C1075*CL1074</f>
        <v/>
      </c>
      <c r="CM1075">
        <f>$C1075*CM1074</f>
        <v/>
      </c>
      <c r="CN1075">
        <f>$C1075*CN1074</f>
        <v/>
      </c>
      <c r="CO1075">
        <f>$C1075*CO1074</f>
        <v/>
      </c>
      <c r="CP1075">
        <f>$C1075*CP1074</f>
        <v/>
      </c>
      <c r="CQ1075">
        <f>$C1075*CQ1074</f>
        <v/>
      </c>
      <c r="CR1075">
        <f>$C1075*CR1074</f>
        <v/>
      </c>
      <c r="CS1075">
        <f>$C1075*CS1074</f>
        <v/>
      </c>
      <c r="CT1075">
        <f>$C1075*CT1074</f>
        <v/>
      </c>
      <c r="CU1075">
        <f>$C1075*CU1074</f>
        <v/>
      </c>
      <c r="CV1075">
        <f>$C1075*CV1074</f>
        <v/>
      </c>
      <c r="CW1075">
        <f>$C1075*CW1074</f>
        <v/>
      </c>
      <c r="CX1075">
        <f>$C1075*CX1074</f>
        <v/>
      </c>
      <c r="CY1075">
        <f>$C1075*CY1074</f>
        <v/>
      </c>
      <c r="CZ1075">
        <f>$C1075*CZ1074</f>
        <v/>
      </c>
      <c r="DA1075">
        <f>$C1075*DA1074</f>
        <v/>
      </c>
      <c r="DB1075">
        <f>$C1075*DB1074</f>
        <v/>
      </c>
      <c r="DC1075">
        <f>$C1075*DC1074</f>
        <v/>
      </c>
    </row>
    <row r="1076">
      <c r="B1076" s="4" t="inlineStr">
        <is>
          <t>合計使用量(kg)/週</t>
        </is>
      </c>
      <c r="D1076">
        <f>'Grid_Requirement'!B28</f>
        <v/>
      </c>
      <c r="E1076">
        <f>'Grid_Requirement'!C28</f>
        <v/>
      </c>
      <c r="F1076">
        <f>'Grid_Requirement'!D28</f>
        <v/>
      </c>
      <c r="G1076">
        <f>'Grid_Requirement'!E28</f>
        <v/>
      </c>
      <c r="H1076">
        <f>'Grid_Requirement'!F28</f>
        <v/>
      </c>
      <c r="I1076">
        <f>'Grid_Requirement'!G28</f>
        <v/>
      </c>
      <c r="J1076">
        <f>'Grid_Requirement'!H28</f>
        <v/>
      </c>
      <c r="K1076">
        <f>'Grid_Requirement'!I28</f>
        <v/>
      </c>
      <c r="L1076">
        <f>'Grid_Requirement'!J28</f>
        <v/>
      </c>
      <c r="M1076">
        <f>'Grid_Requirement'!K28</f>
        <v/>
      </c>
      <c r="N1076">
        <f>'Grid_Requirement'!L28</f>
        <v/>
      </c>
      <c r="O1076">
        <f>'Grid_Requirement'!M28</f>
        <v/>
      </c>
      <c r="P1076">
        <f>'Grid_Requirement'!N28</f>
        <v/>
      </c>
      <c r="Q1076">
        <f>'Grid_Requirement'!O28</f>
        <v/>
      </c>
      <c r="R1076">
        <f>'Grid_Requirement'!P28</f>
        <v/>
      </c>
      <c r="S1076">
        <f>'Grid_Requirement'!Q28</f>
        <v/>
      </c>
      <c r="T1076">
        <f>'Grid_Requirement'!R28</f>
        <v/>
      </c>
      <c r="U1076">
        <f>'Grid_Requirement'!S28</f>
        <v/>
      </c>
      <c r="V1076">
        <f>'Grid_Requirement'!T28</f>
        <v/>
      </c>
      <c r="W1076">
        <f>'Grid_Requirement'!U28</f>
        <v/>
      </c>
      <c r="X1076">
        <f>'Grid_Requirement'!V28</f>
        <v/>
      </c>
      <c r="Y1076">
        <f>'Grid_Requirement'!W28</f>
        <v/>
      </c>
      <c r="Z1076">
        <f>'Grid_Requirement'!X28</f>
        <v/>
      </c>
      <c r="AA1076">
        <f>'Grid_Requirement'!Y28</f>
        <v/>
      </c>
      <c r="AB1076">
        <f>'Grid_Requirement'!Z28</f>
        <v/>
      </c>
      <c r="AC1076">
        <f>'Grid_Requirement'!AA28</f>
        <v/>
      </c>
      <c r="AD1076">
        <f>'Grid_Requirement'!AB28</f>
        <v/>
      </c>
      <c r="AE1076">
        <f>'Grid_Requirement'!AC28</f>
        <v/>
      </c>
      <c r="AF1076">
        <f>'Grid_Requirement'!AD28</f>
        <v/>
      </c>
      <c r="AG1076">
        <f>'Grid_Requirement'!AE28</f>
        <v/>
      </c>
      <c r="AH1076">
        <f>'Grid_Requirement'!AF28</f>
        <v/>
      </c>
      <c r="AI1076">
        <f>'Grid_Requirement'!AG28</f>
        <v/>
      </c>
      <c r="AJ1076">
        <f>'Grid_Requirement'!AH28</f>
        <v/>
      </c>
      <c r="AK1076">
        <f>'Grid_Requirement'!AI28</f>
        <v/>
      </c>
      <c r="AL1076">
        <f>'Grid_Requirement'!AJ28</f>
        <v/>
      </c>
      <c r="AM1076">
        <f>'Grid_Requirement'!AK28</f>
        <v/>
      </c>
      <c r="AN1076">
        <f>'Grid_Requirement'!AL28</f>
        <v/>
      </c>
      <c r="AO1076">
        <f>'Grid_Requirement'!AM28</f>
        <v/>
      </c>
      <c r="AP1076">
        <f>'Grid_Requirement'!AN28</f>
        <v/>
      </c>
      <c r="AQ1076">
        <f>'Grid_Requirement'!AO28</f>
        <v/>
      </c>
      <c r="AR1076">
        <f>'Grid_Requirement'!AP28</f>
        <v/>
      </c>
      <c r="AS1076">
        <f>'Grid_Requirement'!AQ28</f>
        <v/>
      </c>
      <c r="AT1076">
        <f>'Grid_Requirement'!AR28</f>
        <v/>
      </c>
      <c r="AU1076">
        <f>'Grid_Requirement'!AS28</f>
        <v/>
      </c>
      <c r="AV1076">
        <f>'Grid_Requirement'!AT28</f>
        <v/>
      </c>
      <c r="AW1076">
        <f>'Grid_Requirement'!AU28</f>
        <v/>
      </c>
      <c r="AX1076">
        <f>'Grid_Requirement'!AV28</f>
        <v/>
      </c>
      <c r="AY1076">
        <f>'Grid_Requirement'!AW28</f>
        <v/>
      </c>
      <c r="AZ1076">
        <f>'Grid_Requirement'!AX28</f>
        <v/>
      </c>
      <c r="BA1076">
        <f>'Grid_Requirement'!AY28</f>
        <v/>
      </c>
      <c r="BB1076">
        <f>'Grid_Requirement'!AZ28</f>
        <v/>
      </c>
      <c r="BC1076">
        <f>'Grid_Requirement'!BA28</f>
        <v/>
      </c>
      <c r="BD1076">
        <f>'Grid_Requirement'!BB28</f>
        <v/>
      </c>
      <c r="BE1076">
        <f>'Grid_Requirement'!BC28</f>
        <v/>
      </c>
      <c r="BF1076">
        <f>'Grid_Requirement'!BD28</f>
        <v/>
      </c>
      <c r="BG1076">
        <f>'Grid_Requirement'!BE28</f>
        <v/>
      </c>
      <c r="BH1076">
        <f>'Grid_Requirement'!BF28</f>
        <v/>
      </c>
      <c r="BI1076">
        <f>'Grid_Requirement'!BG28</f>
        <v/>
      </c>
      <c r="BJ1076">
        <f>'Grid_Requirement'!BH28</f>
        <v/>
      </c>
      <c r="BK1076">
        <f>'Grid_Requirement'!BI28</f>
        <v/>
      </c>
      <c r="BL1076">
        <f>'Grid_Requirement'!BJ28</f>
        <v/>
      </c>
      <c r="BM1076">
        <f>'Grid_Requirement'!BK28</f>
        <v/>
      </c>
      <c r="BN1076">
        <f>'Grid_Requirement'!BL28</f>
        <v/>
      </c>
      <c r="BO1076">
        <f>'Grid_Requirement'!BM28</f>
        <v/>
      </c>
      <c r="BP1076">
        <f>'Grid_Requirement'!BN28</f>
        <v/>
      </c>
      <c r="BQ1076">
        <f>'Grid_Requirement'!BO28</f>
        <v/>
      </c>
      <c r="BR1076">
        <f>'Grid_Requirement'!BP28</f>
        <v/>
      </c>
      <c r="BS1076">
        <f>'Grid_Requirement'!BQ28</f>
        <v/>
      </c>
      <c r="BT1076">
        <f>'Grid_Requirement'!BR28</f>
        <v/>
      </c>
      <c r="BU1076">
        <f>'Grid_Requirement'!BS28</f>
        <v/>
      </c>
      <c r="BV1076">
        <f>'Grid_Requirement'!BT28</f>
        <v/>
      </c>
      <c r="BW1076">
        <f>'Grid_Requirement'!BU28</f>
        <v/>
      </c>
      <c r="BX1076">
        <f>'Grid_Requirement'!BV28</f>
        <v/>
      </c>
      <c r="BY1076">
        <f>'Grid_Requirement'!BW28</f>
        <v/>
      </c>
      <c r="BZ1076">
        <f>'Grid_Requirement'!BX28</f>
        <v/>
      </c>
      <c r="CA1076">
        <f>'Grid_Requirement'!BY28</f>
        <v/>
      </c>
      <c r="CB1076">
        <f>'Grid_Requirement'!BZ28</f>
        <v/>
      </c>
      <c r="CC1076">
        <f>'Grid_Requirement'!CA28</f>
        <v/>
      </c>
      <c r="CD1076">
        <f>'Grid_Requirement'!CB28</f>
        <v/>
      </c>
      <c r="CE1076">
        <f>'Grid_Requirement'!CC28</f>
        <v/>
      </c>
      <c r="CF1076">
        <f>'Grid_Requirement'!CD28</f>
        <v/>
      </c>
      <c r="CG1076">
        <f>'Grid_Requirement'!CE28</f>
        <v/>
      </c>
      <c r="CH1076">
        <f>'Grid_Requirement'!CF28</f>
        <v/>
      </c>
      <c r="CI1076">
        <f>'Grid_Requirement'!CG28</f>
        <v/>
      </c>
      <c r="CJ1076">
        <f>'Grid_Requirement'!CH28</f>
        <v/>
      </c>
      <c r="CK1076">
        <f>'Grid_Requirement'!CI28</f>
        <v/>
      </c>
      <c r="CL1076">
        <f>'Grid_Requirement'!CJ28</f>
        <v/>
      </c>
      <c r="CM1076">
        <f>'Grid_Requirement'!CK28</f>
        <v/>
      </c>
      <c r="CN1076">
        <f>'Grid_Requirement'!CL28</f>
        <v/>
      </c>
      <c r="CO1076">
        <f>'Grid_Requirement'!CM28</f>
        <v/>
      </c>
      <c r="CP1076">
        <f>'Grid_Requirement'!CN28</f>
        <v/>
      </c>
      <c r="CQ1076">
        <f>'Grid_Requirement'!CO28</f>
        <v/>
      </c>
      <c r="CR1076">
        <f>'Grid_Requirement'!CP28</f>
        <v/>
      </c>
      <c r="CS1076">
        <f>'Grid_Requirement'!CQ28</f>
        <v/>
      </c>
      <c r="CT1076">
        <f>'Grid_Requirement'!CR28</f>
        <v/>
      </c>
      <c r="CU1076">
        <f>'Grid_Requirement'!CS28</f>
        <v/>
      </c>
      <c r="CV1076">
        <f>'Grid_Requirement'!CT28</f>
        <v/>
      </c>
      <c r="CW1076">
        <f>'Grid_Requirement'!CU28</f>
        <v/>
      </c>
      <c r="CX1076">
        <f>'Grid_Requirement'!CV28</f>
        <v/>
      </c>
      <c r="CY1076">
        <f>'Grid_Requirement'!CW28</f>
        <v/>
      </c>
      <c r="CZ1076">
        <f>'Grid_Requirement'!CX28</f>
        <v/>
      </c>
      <c r="DA1076">
        <f>'Grid_Requirement'!CY28</f>
        <v/>
      </c>
      <c r="DB1076">
        <f>'Grid_Requirement'!CZ28</f>
        <v/>
      </c>
      <c r="DC1076">
        <f>'Grid_Requirement'!DA28</f>
        <v/>
      </c>
    </row>
    <row r="1077">
      <c r="B1077" t="inlineStr">
        <is>
          <t>TTAF在庫(実績,kg)</t>
        </is>
      </c>
      <c r="D1077">
        <f>'T_TTAFStock'!B32</f>
        <v/>
      </c>
      <c r="E1077">
        <f>'T_TTAFStock'!C32</f>
        <v/>
      </c>
      <c r="F1077">
        <f>'T_TTAFStock'!D32</f>
        <v/>
      </c>
      <c r="G1077">
        <f>'T_TTAFStock'!E32</f>
        <v/>
      </c>
      <c r="H1077">
        <f>'T_TTAFStock'!F32</f>
        <v/>
      </c>
      <c r="I1077">
        <f>'T_TTAFStock'!G32</f>
        <v/>
      </c>
      <c r="J1077">
        <f>'T_TTAFStock'!H32</f>
        <v/>
      </c>
      <c r="K1077">
        <f>'T_TTAFStock'!I32</f>
        <v/>
      </c>
      <c r="L1077">
        <f>'T_TTAFStock'!J32</f>
        <v/>
      </c>
      <c r="M1077">
        <f>'T_TTAFStock'!K32</f>
        <v/>
      </c>
      <c r="N1077">
        <f>'T_TTAFStock'!L32</f>
        <v/>
      </c>
      <c r="O1077">
        <f>'T_TTAFStock'!M32</f>
        <v/>
      </c>
      <c r="P1077">
        <f>'T_TTAFStock'!N32</f>
        <v/>
      </c>
      <c r="Q1077">
        <f>'T_TTAFStock'!O32</f>
        <v/>
      </c>
      <c r="R1077">
        <f>'T_TTAFStock'!P32</f>
        <v/>
      </c>
      <c r="S1077">
        <f>'T_TTAFStock'!Q32</f>
        <v/>
      </c>
      <c r="T1077">
        <f>'T_TTAFStock'!R32</f>
        <v/>
      </c>
      <c r="U1077">
        <f>'T_TTAFStock'!S32</f>
        <v/>
      </c>
      <c r="V1077">
        <f>'T_TTAFStock'!T32</f>
        <v/>
      </c>
      <c r="W1077">
        <f>'T_TTAFStock'!U32</f>
        <v/>
      </c>
      <c r="X1077">
        <f>'T_TTAFStock'!V32</f>
        <v/>
      </c>
      <c r="Y1077">
        <f>'T_TTAFStock'!W32</f>
        <v/>
      </c>
      <c r="Z1077">
        <f>'T_TTAFStock'!X32</f>
        <v/>
      </c>
      <c r="AA1077">
        <f>'T_TTAFStock'!Y32</f>
        <v/>
      </c>
      <c r="AB1077">
        <f>'T_TTAFStock'!Z32</f>
        <v/>
      </c>
      <c r="AC1077">
        <f>'T_TTAFStock'!AA32</f>
        <v/>
      </c>
      <c r="AD1077">
        <f>'T_TTAFStock'!AB32</f>
        <v/>
      </c>
      <c r="AE1077">
        <f>'T_TTAFStock'!AC32</f>
        <v/>
      </c>
      <c r="AF1077">
        <f>'T_TTAFStock'!AD32</f>
        <v/>
      </c>
      <c r="AG1077">
        <f>'T_TTAFStock'!AE32</f>
        <v/>
      </c>
      <c r="AH1077">
        <f>'T_TTAFStock'!AF32</f>
        <v/>
      </c>
      <c r="AI1077">
        <f>'T_TTAFStock'!AG32</f>
        <v/>
      </c>
      <c r="AJ1077">
        <f>'T_TTAFStock'!AH32</f>
        <v/>
      </c>
      <c r="AK1077">
        <f>'T_TTAFStock'!AI32</f>
        <v/>
      </c>
      <c r="AL1077">
        <f>'T_TTAFStock'!AJ32</f>
        <v/>
      </c>
      <c r="AM1077">
        <f>'T_TTAFStock'!AK32</f>
        <v/>
      </c>
      <c r="AN1077">
        <f>'T_TTAFStock'!AL32</f>
        <v/>
      </c>
      <c r="AO1077">
        <f>'T_TTAFStock'!AM32</f>
        <v/>
      </c>
      <c r="AP1077">
        <f>'T_TTAFStock'!AN32</f>
        <v/>
      </c>
      <c r="AQ1077">
        <f>'T_TTAFStock'!AO32</f>
        <v/>
      </c>
      <c r="AR1077">
        <f>'T_TTAFStock'!AP32</f>
        <v/>
      </c>
      <c r="AS1077">
        <f>'T_TTAFStock'!AQ32</f>
        <v/>
      </c>
      <c r="AT1077">
        <f>'T_TTAFStock'!AR32</f>
        <v/>
      </c>
      <c r="AU1077">
        <f>'T_TTAFStock'!AS32</f>
        <v/>
      </c>
      <c r="AV1077">
        <f>'T_TTAFStock'!AT32</f>
        <v/>
      </c>
      <c r="AW1077">
        <f>'T_TTAFStock'!AU32</f>
        <v/>
      </c>
      <c r="AX1077">
        <f>'T_TTAFStock'!AV32</f>
        <v/>
      </c>
      <c r="AY1077">
        <f>'T_TTAFStock'!AW32</f>
        <v/>
      </c>
      <c r="AZ1077">
        <f>'T_TTAFStock'!AX32</f>
        <v/>
      </c>
      <c r="BA1077">
        <f>'T_TTAFStock'!AY32</f>
        <v/>
      </c>
      <c r="BB1077">
        <f>'T_TTAFStock'!AZ32</f>
        <v/>
      </c>
      <c r="BC1077">
        <f>'T_TTAFStock'!BA32</f>
        <v/>
      </c>
      <c r="BD1077">
        <f>'T_TTAFStock'!BB32</f>
        <v/>
      </c>
      <c r="BE1077">
        <f>'T_TTAFStock'!BC32</f>
        <v/>
      </c>
      <c r="BF1077">
        <f>'T_TTAFStock'!BD32</f>
        <v/>
      </c>
      <c r="BG1077">
        <f>'T_TTAFStock'!BE32</f>
        <v/>
      </c>
      <c r="BH1077">
        <f>'T_TTAFStock'!BF32</f>
        <v/>
      </c>
      <c r="BI1077">
        <f>'T_TTAFStock'!BG32</f>
        <v/>
      </c>
      <c r="BJ1077">
        <f>'T_TTAFStock'!BH32</f>
        <v/>
      </c>
      <c r="BK1077">
        <f>'T_TTAFStock'!BI32</f>
        <v/>
      </c>
      <c r="BL1077">
        <f>'T_TTAFStock'!BJ32</f>
        <v/>
      </c>
      <c r="BM1077">
        <f>'T_TTAFStock'!BK32</f>
        <v/>
      </c>
      <c r="BN1077">
        <f>'T_TTAFStock'!BL32</f>
        <v/>
      </c>
      <c r="BO1077">
        <f>'T_TTAFStock'!BM32</f>
        <v/>
      </c>
      <c r="BP1077">
        <f>'T_TTAFStock'!BN32</f>
        <v/>
      </c>
      <c r="BQ1077">
        <f>'T_TTAFStock'!BO32</f>
        <v/>
      </c>
      <c r="BR1077">
        <f>'T_TTAFStock'!BP32</f>
        <v/>
      </c>
      <c r="BS1077">
        <f>'T_TTAFStock'!BQ32</f>
        <v/>
      </c>
      <c r="BT1077">
        <f>'T_TTAFStock'!BR32</f>
        <v/>
      </c>
      <c r="BU1077">
        <f>'T_TTAFStock'!BS32</f>
        <v/>
      </c>
      <c r="BV1077">
        <f>'T_TTAFStock'!BT32</f>
        <v/>
      </c>
      <c r="BW1077">
        <f>'T_TTAFStock'!BU32</f>
        <v/>
      </c>
      <c r="BX1077">
        <f>'T_TTAFStock'!BV32</f>
        <v/>
      </c>
      <c r="BY1077">
        <f>'T_TTAFStock'!BW32</f>
        <v/>
      </c>
      <c r="BZ1077">
        <f>'T_TTAFStock'!BX32</f>
        <v/>
      </c>
      <c r="CA1077">
        <f>'T_TTAFStock'!BY32</f>
        <v/>
      </c>
      <c r="CB1077">
        <f>'T_TTAFStock'!BZ32</f>
        <v/>
      </c>
      <c r="CC1077">
        <f>'T_TTAFStock'!CA32</f>
        <v/>
      </c>
      <c r="CD1077">
        <f>'T_TTAFStock'!CB32</f>
        <v/>
      </c>
      <c r="CE1077">
        <f>'T_TTAFStock'!CC32</f>
        <v/>
      </c>
      <c r="CF1077">
        <f>'T_TTAFStock'!CD32</f>
        <v/>
      </c>
      <c r="CG1077">
        <f>'T_TTAFStock'!CE32</f>
        <v/>
      </c>
      <c r="CH1077">
        <f>'T_TTAFStock'!CF32</f>
        <v/>
      </c>
      <c r="CI1077">
        <f>'T_TTAFStock'!CG32</f>
        <v/>
      </c>
      <c r="CJ1077">
        <f>'T_TTAFStock'!CH32</f>
        <v/>
      </c>
      <c r="CK1077">
        <f>'T_TTAFStock'!CI32</f>
        <v/>
      </c>
      <c r="CL1077">
        <f>'T_TTAFStock'!CJ32</f>
        <v/>
      </c>
      <c r="CM1077">
        <f>'T_TTAFStock'!CK32</f>
        <v/>
      </c>
      <c r="CN1077">
        <f>'T_TTAFStock'!CL32</f>
        <v/>
      </c>
      <c r="CO1077">
        <f>'T_TTAFStock'!CM32</f>
        <v/>
      </c>
      <c r="CP1077">
        <f>'T_TTAFStock'!CN32</f>
        <v/>
      </c>
      <c r="CQ1077">
        <f>'T_TTAFStock'!CO32</f>
        <v/>
      </c>
      <c r="CR1077">
        <f>'T_TTAFStock'!CP32</f>
        <v/>
      </c>
      <c r="CS1077">
        <f>'T_TTAFStock'!CQ32</f>
        <v/>
      </c>
      <c r="CT1077">
        <f>'T_TTAFStock'!CR32</f>
        <v/>
      </c>
      <c r="CU1077">
        <f>'T_TTAFStock'!CS32</f>
        <v/>
      </c>
      <c r="CV1077">
        <f>'T_TTAFStock'!CT32</f>
        <v/>
      </c>
      <c r="CW1077">
        <f>'T_TTAFStock'!CU32</f>
        <v/>
      </c>
      <c r="CX1077">
        <f>'T_TTAFStock'!CV32</f>
        <v/>
      </c>
      <c r="CY1077">
        <f>'T_TTAFStock'!CW32</f>
        <v/>
      </c>
      <c r="CZ1077">
        <f>'T_TTAFStock'!CX32</f>
        <v/>
      </c>
      <c r="DA1077">
        <f>'T_TTAFStock'!CY32</f>
        <v/>
      </c>
      <c r="DB1077">
        <f>'T_TTAFStock'!CZ32</f>
        <v/>
      </c>
      <c r="DC1077">
        <f>'T_TTAFStock'!DA32</f>
        <v/>
      </c>
    </row>
    <row r="1078">
      <c r="B1078" t="inlineStr">
        <is>
          <t>自社在庫(実績,kg)</t>
        </is>
      </c>
      <c r="D1078">
        <f>'T_SelfStock'!B32</f>
        <v/>
      </c>
      <c r="E1078">
        <f>'T_SelfStock'!C32</f>
        <v/>
      </c>
      <c r="F1078">
        <f>'T_SelfStock'!D32</f>
        <v/>
      </c>
      <c r="G1078">
        <f>'T_SelfStock'!E32</f>
        <v/>
      </c>
      <c r="H1078">
        <f>'T_SelfStock'!F32</f>
        <v/>
      </c>
      <c r="I1078">
        <f>'T_SelfStock'!G32</f>
        <v/>
      </c>
      <c r="J1078">
        <f>'T_SelfStock'!H32</f>
        <v/>
      </c>
      <c r="K1078">
        <f>'T_SelfStock'!I32</f>
        <v/>
      </c>
      <c r="L1078">
        <f>'T_SelfStock'!J32</f>
        <v/>
      </c>
      <c r="M1078">
        <f>'T_SelfStock'!K32</f>
        <v/>
      </c>
      <c r="N1078">
        <f>'T_SelfStock'!L32</f>
        <v/>
      </c>
      <c r="O1078">
        <f>'T_SelfStock'!M32</f>
        <v/>
      </c>
      <c r="P1078">
        <f>'T_SelfStock'!N32</f>
        <v/>
      </c>
      <c r="Q1078">
        <f>'T_SelfStock'!O32</f>
        <v/>
      </c>
      <c r="R1078">
        <f>'T_SelfStock'!P32</f>
        <v/>
      </c>
      <c r="S1078">
        <f>'T_SelfStock'!Q32</f>
        <v/>
      </c>
      <c r="T1078">
        <f>'T_SelfStock'!R32</f>
        <v/>
      </c>
      <c r="U1078">
        <f>'T_SelfStock'!S32</f>
        <v/>
      </c>
      <c r="V1078">
        <f>'T_SelfStock'!T32</f>
        <v/>
      </c>
      <c r="W1078">
        <f>'T_SelfStock'!U32</f>
        <v/>
      </c>
      <c r="X1078">
        <f>'T_SelfStock'!V32</f>
        <v/>
      </c>
      <c r="Y1078">
        <f>'T_SelfStock'!W32</f>
        <v/>
      </c>
      <c r="Z1078">
        <f>'T_SelfStock'!X32</f>
        <v/>
      </c>
      <c r="AA1078">
        <f>'T_SelfStock'!Y32</f>
        <v/>
      </c>
      <c r="AB1078">
        <f>'T_SelfStock'!Z32</f>
        <v/>
      </c>
      <c r="AC1078">
        <f>'T_SelfStock'!AA32</f>
        <v/>
      </c>
      <c r="AD1078">
        <f>'T_SelfStock'!AB32</f>
        <v/>
      </c>
      <c r="AE1078">
        <f>'T_SelfStock'!AC32</f>
        <v/>
      </c>
      <c r="AF1078">
        <f>'T_SelfStock'!AD32</f>
        <v/>
      </c>
      <c r="AG1078">
        <f>'T_SelfStock'!AE32</f>
        <v/>
      </c>
      <c r="AH1078">
        <f>'T_SelfStock'!AF32</f>
        <v/>
      </c>
      <c r="AI1078">
        <f>'T_SelfStock'!AG32</f>
        <v/>
      </c>
      <c r="AJ1078">
        <f>'T_SelfStock'!AH32</f>
        <v/>
      </c>
      <c r="AK1078">
        <f>'T_SelfStock'!AI32</f>
        <v/>
      </c>
      <c r="AL1078">
        <f>'T_SelfStock'!AJ32</f>
        <v/>
      </c>
      <c r="AM1078">
        <f>'T_SelfStock'!AK32</f>
        <v/>
      </c>
      <c r="AN1078">
        <f>'T_SelfStock'!AL32</f>
        <v/>
      </c>
      <c r="AO1078">
        <f>'T_SelfStock'!AM32</f>
        <v/>
      </c>
      <c r="AP1078">
        <f>'T_SelfStock'!AN32</f>
        <v/>
      </c>
      <c r="AQ1078">
        <f>'T_SelfStock'!AO32</f>
        <v/>
      </c>
      <c r="AR1078">
        <f>'T_SelfStock'!AP32</f>
        <v/>
      </c>
      <c r="AS1078">
        <f>'T_SelfStock'!AQ32</f>
        <v/>
      </c>
      <c r="AT1078">
        <f>'T_SelfStock'!AR32</f>
        <v/>
      </c>
      <c r="AU1078">
        <f>'T_SelfStock'!AS32</f>
        <v/>
      </c>
      <c r="AV1078">
        <f>'T_SelfStock'!AT32</f>
        <v/>
      </c>
      <c r="AW1078">
        <f>'T_SelfStock'!AU32</f>
        <v/>
      </c>
      <c r="AX1078">
        <f>'T_SelfStock'!AV32</f>
        <v/>
      </c>
      <c r="AY1078">
        <f>'T_SelfStock'!AW32</f>
        <v/>
      </c>
      <c r="AZ1078">
        <f>'T_SelfStock'!AX32</f>
        <v/>
      </c>
      <c r="BA1078">
        <f>'T_SelfStock'!AY32</f>
        <v/>
      </c>
      <c r="BB1078">
        <f>'T_SelfStock'!AZ32</f>
        <v/>
      </c>
      <c r="BC1078">
        <f>'T_SelfStock'!BA32</f>
        <v/>
      </c>
      <c r="BD1078">
        <f>'T_SelfStock'!BB32</f>
        <v/>
      </c>
      <c r="BE1078">
        <f>'T_SelfStock'!BC32</f>
        <v/>
      </c>
      <c r="BF1078">
        <f>'T_SelfStock'!BD32</f>
        <v/>
      </c>
      <c r="BG1078">
        <f>'T_SelfStock'!BE32</f>
        <v/>
      </c>
      <c r="BH1078">
        <f>'T_SelfStock'!BF32</f>
        <v/>
      </c>
      <c r="BI1078">
        <f>'T_SelfStock'!BG32</f>
        <v/>
      </c>
      <c r="BJ1078">
        <f>'T_SelfStock'!BH32</f>
        <v/>
      </c>
      <c r="BK1078">
        <f>'T_SelfStock'!BI32</f>
        <v/>
      </c>
      <c r="BL1078">
        <f>'T_SelfStock'!BJ32</f>
        <v/>
      </c>
      <c r="BM1078">
        <f>'T_SelfStock'!BK32</f>
        <v/>
      </c>
      <c r="BN1078">
        <f>'T_SelfStock'!BL32</f>
        <v/>
      </c>
      <c r="BO1078">
        <f>'T_SelfStock'!BM32</f>
        <v/>
      </c>
      <c r="BP1078">
        <f>'T_SelfStock'!BN32</f>
        <v/>
      </c>
      <c r="BQ1078">
        <f>'T_SelfStock'!BO32</f>
        <v/>
      </c>
      <c r="BR1078">
        <f>'T_SelfStock'!BP32</f>
        <v/>
      </c>
      <c r="BS1078">
        <f>'T_SelfStock'!BQ32</f>
        <v/>
      </c>
      <c r="BT1078">
        <f>'T_SelfStock'!BR32</f>
        <v/>
      </c>
      <c r="BU1078">
        <f>'T_SelfStock'!BS32</f>
        <v/>
      </c>
      <c r="BV1078">
        <f>'T_SelfStock'!BT32</f>
        <v/>
      </c>
      <c r="BW1078">
        <f>'T_SelfStock'!BU32</f>
        <v/>
      </c>
      <c r="BX1078">
        <f>'T_SelfStock'!BV32</f>
        <v/>
      </c>
      <c r="BY1078">
        <f>'T_SelfStock'!BW32</f>
        <v/>
      </c>
      <c r="BZ1078">
        <f>'T_SelfStock'!BX32</f>
        <v/>
      </c>
      <c r="CA1078">
        <f>'T_SelfStock'!BY32</f>
        <v/>
      </c>
      <c r="CB1078">
        <f>'T_SelfStock'!BZ32</f>
        <v/>
      </c>
      <c r="CC1078">
        <f>'T_SelfStock'!CA32</f>
        <v/>
      </c>
      <c r="CD1078">
        <f>'T_SelfStock'!CB32</f>
        <v/>
      </c>
      <c r="CE1078">
        <f>'T_SelfStock'!CC32</f>
        <v/>
      </c>
      <c r="CF1078">
        <f>'T_SelfStock'!CD32</f>
        <v/>
      </c>
      <c r="CG1078">
        <f>'T_SelfStock'!CE32</f>
        <v/>
      </c>
      <c r="CH1078">
        <f>'T_SelfStock'!CF32</f>
        <v/>
      </c>
      <c r="CI1078">
        <f>'T_SelfStock'!CG32</f>
        <v/>
      </c>
      <c r="CJ1078">
        <f>'T_SelfStock'!CH32</f>
        <v/>
      </c>
      <c r="CK1078">
        <f>'T_SelfStock'!CI32</f>
        <v/>
      </c>
      <c r="CL1078">
        <f>'T_SelfStock'!CJ32</f>
        <v/>
      </c>
      <c r="CM1078">
        <f>'T_SelfStock'!CK32</f>
        <v/>
      </c>
      <c r="CN1078">
        <f>'T_SelfStock'!CL32</f>
        <v/>
      </c>
      <c r="CO1078">
        <f>'T_SelfStock'!CM32</f>
        <v/>
      </c>
      <c r="CP1078">
        <f>'T_SelfStock'!CN32</f>
        <v/>
      </c>
      <c r="CQ1078">
        <f>'T_SelfStock'!CO32</f>
        <v/>
      </c>
      <c r="CR1078">
        <f>'T_SelfStock'!CP32</f>
        <v/>
      </c>
      <c r="CS1078">
        <f>'T_SelfStock'!CQ32</f>
        <v/>
      </c>
      <c r="CT1078">
        <f>'T_SelfStock'!CR32</f>
        <v/>
      </c>
      <c r="CU1078">
        <f>'T_SelfStock'!CS32</f>
        <v/>
      </c>
      <c r="CV1078">
        <f>'T_SelfStock'!CT32</f>
        <v/>
      </c>
      <c r="CW1078">
        <f>'T_SelfStock'!CU32</f>
        <v/>
      </c>
      <c r="CX1078">
        <f>'T_SelfStock'!CV32</f>
        <v/>
      </c>
      <c r="CY1078">
        <f>'T_SelfStock'!CW32</f>
        <v/>
      </c>
      <c r="CZ1078">
        <f>'T_SelfStock'!CX32</f>
        <v/>
      </c>
      <c r="DA1078">
        <f>'T_SelfStock'!CY32</f>
        <v/>
      </c>
      <c r="DB1078">
        <f>'T_SelfStock'!CZ32</f>
        <v/>
      </c>
      <c r="DC1078">
        <f>'T_SelfStock'!DA32</f>
        <v/>
      </c>
    </row>
    <row r="1079">
      <c r="B1079" s="4" t="inlineStr">
        <is>
          <t>合計在庫(週末時点,kg)</t>
        </is>
      </c>
      <c r="D1079">
        <f>'Grid_Stock'!B28</f>
        <v/>
      </c>
      <c r="E1079">
        <f>'Grid_Stock'!C28</f>
        <v/>
      </c>
      <c r="F1079">
        <f>'Grid_Stock'!D28</f>
        <v/>
      </c>
      <c r="G1079">
        <f>'Grid_Stock'!E28</f>
        <v/>
      </c>
      <c r="H1079">
        <f>'Grid_Stock'!F28</f>
        <v/>
      </c>
      <c r="I1079">
        <f>'Grid_Stock'!G28</f>
        <v/>
      </c>
      <c r="J1079">
        <f>'Grid_Stock'!H28</f>
        <v/>
      </c>
      <c r="K1079">
        <f>'Grid_Stock'!I28</f>
        <v/>
      </c>
      <c r="L1079">
        <f>'Grid_Stock'!J28</f>
        <v/>
      </c>
      <c r="M1079">
        <f>'Grid_Stock'!K28</f>
        <v/>
      </c>
      <c r="N1079">
        <f>'Grid_Stock'!L28</f>
        <v/>
      </c>
      <c r="O1079">
        <f>'Grid_Stock'!M28</f>
        <v/>
      </c>
      <c r="P1079">
        <f>'Grid_Stock'!N28</f>
        <v/>
      </c>
      <c r="Q1079">
        <f>'Grid_Stock'!O28</f>
        <v/>
      </c>
      <c r="R1079">
        <f>'Grid_Stock'!P28</f>
        <v/>
      </c>
      <c r="S1079">
        <f>'Grid_Stock'!Q28</f>
        <v/>
      </c>
      <c r="T1079">
        <f>'Grid_Stock'!R28</f>
        <v/>
      </c>
      <c r="U1079">
        <f>'Grid_Stock'!S28</f>
        <v/>
      </c>
      <c r="V1079">
        <f>'Grid_Stock'!T28</f>
        <v/>
      </c>
      <c r="W1079">
        <f>'Grid_Stock'!U28</f>
        <v/>
      </c>
      <c r="X1079">
        <f>'Grid_Stock'!V28</f>
        <v/>
      </c>
      <c r="Y1079">
        <f>'Grid_Stock'!W28</f>
        <v/>
      </c>
      <c r="Z1079">
        <f>'Grid_Stock'!X28</f>
        <v/>
      </c>
      <c r="AA1079">
        <f>'Grid_Stock'!Y28</f>
        <v/>
      </c>
      <c r="AB1079">
        <f>'Grid_Stock'!Z28</f>
        <v/>
      </c>
      <c r="AC1079">
        <f>'Grid_Stock'!AA28</f>
        <v/>
      </c>
      <c r="AD1079">
        <f>'Grid_Stock'!AB28</f>
        <v/>
      </c>
      <c r="AE1079">
        <f>'Grid_Stock'!AC28</f>
        <v/>
      </c>
      <c r="AF1079">
        <f>'Grid_Stock'!AD28</f>
        <v/>
      </c>
      <c r="AG1079">
        <f>'Grid_Stock'!AE28</f>
        <v/>
      </c>
      <c r="AH1079">
        <f>'Grid_Stock'!AF28</f>
        <v/>
      </c>
      <c r="AI1079">
        <f>'Grid_Stock'!AG28</f>
        <v/>
      </c>
      <c r="AJ1079">
        <f>'Grid_Stock'!AH28</f>
        <v/>
      </c>
      <c r="AK1079">
        <f>'Grid_Stock'!AI28</f>
        <v/>
      </c>
      <c r="AL1079">
        <f>'Grid_Stock'!AJ28</f>
        <v/>
      </c>
      <c r="AM1079">
        <f>'Grid_Stock'!AK28</f>
        <v/>
      </c>
      <c r="AN1079">
        <f>'Grid_Stock'!AL28</f>
        <v/>
      </c>
      <c r="AO1079">
        <f>'Grid_Stock'!AM28</f>
        <v/>
      </c>
      <c r="AP1079">
        <f>'Grid_Stock'!AN28</f>
        <v/>
      </c>
      <c r="AQ1079">
        <f>'Grid_Stock'!AO28</f>
        <v/>
      </c>
      <c r="AR1079">
        <f>'Grid_Stock'!AP28</f>
        <v/>
      </c>
      <c r="AS1079">
        <f>'Grid_Stock'!AQ28</f>
        <v/>
      </c>
      <c r="AT1079">
        <f>'Grid_Stock'!AR28</f>
        <v/>
      </c>
      <c r="AU1079">
        <f>'Grid_Stock'!AS28</f>
        <v/>
      </c>
      <c r="AV1079">
        <f>'Grid_Stock'!AT28</f>
        <v/>
      </c>
      <c r="AW1079">
        <f>'Grid_Stock'!AU28</f>
        <v/>
      </c>
      <c r="AX1079">
        <f>'Grid_Stock'!AV28</f>
        <v/>
      </c>
      <c r="AY1079">
        <f>'Grid_Stock'!AW28</f>
        <v/>
      </c>
      <c r="AZ1079">
        <f>'Grid_Stock'!AX28</f>
        <v/>
      </c>
      <c r="BA1079">
        <f>'Grid_Stock'!AY28</f>
        <v/>
      </c>
      <c r="BB1079">
        <f>'Grid_Stock'!AZ28</f>
        <v/>
      </c>
      <c r="BC1079">
        <f>'Grid_Stock'!BA28</f>
        <v/>
      </c>
      <c r="BD1079">
        <f>'Grid_Stock'!BB28</f>
        <v/>
      </c>
      <c r="BE1079">
        <f>'Grid_Stock'!BC28</f>
        <v/>
      </c>
      <c r="BF1079">
        <f>'Grid_Stock'!BD28</f>
        <v/>
      </c>
      <c r="BG1079">
        <f>'Grid_Stock'!BE28</f>
        <v/>
      </c>
      <c r="BH1079">
        <f>'Grid_Stock'!BF28</f>
        <v/>
      </c>
      <c r="BI1079">
        <f>'Grid_Stock'!BG28</f>
        <v/>
      </c>
      <c r="BJ1079">
        <f>'Grid_Stock'!BH28</f>
        <v/>
      </c>
      <c r="BK1079">
        <f>'Grid_Stock'!BI28</f>
        <v/>
      </c>
      <c r="BL1079">
        <f>'Grid_Stock'!BJ28</f>
        <v/>
      </c>
      <c r="BM1079">
        <f>'Grid_Stock'!BK28</f>
        <v/>
      </c>
      <c r="BN1079">
        <f>'Grid_Stock'!BL28</f>
        <v/>
      </c>
      <c r="BO1079">
        <f>'Grid_Stock'!BM28</f>
        <v/>
      </c>
      <c r="BP1079">
        <f>'Grid_Stock'!BN28</f>
        <v/>
      </c>
      <c r="BQ1079">
        <f>'Grid_Stock'!BO28</f>
        <v/>
      </c>
      <c r="BR1079">
        <f>'Grid_Stock'!BP28</f>
        <v/>
      </c>
      <c r="BS1079">
        <f>'Grid_Stock'!BQ28</f>
        <v/>
      </c>
      <c r="BT1079">
        <f>'Grid_Stock'!BR28</f>
        <v/>
      </c>
      <c r="BU1079">
        <f>'Grid_Stock'!BS28</f>
        <v/>
      </c>
      <c r="BV1079">
        <f>'Grid_Stock'!BT28</f>
        <v/>
      </c>
      <c r="BW1079">
        <f>'Grid_Stock'!BU28</f>
        <v/>
      </c>
      <c r="BX1079">
        <f>'Grid_Stock'!BV28</f>
        <v/>
      </c>
      <c r="BY1079">
        <f>'Grid_Stock'!BW28</f>
        <v/>
      </c>
      <c r="BZ1079">
        <f>'Grid_Stock'!BX28</f>
        <v/>
      </c>
      <c r="CA1079">
        <f>'Grid_Stock'!BY28</f>
        <v/>
      </c>
      <c r="CB1079">
        <f>'Grid_Stock'!BZ28</f>
        <v/>
      </c>
      <c r="CC1079">
        <f>'Grid_Stock'!CA28</f>
        <v/>
      </c>
      <c r="CD1079">
        <f>'Grid_Stock'!CB28</f>
        <v/>
      </c>
      <c r="CE1079">
        <f>'Grid_Stock'!CC28</f>
        <v/>
      </c>
      <c r="CF1079">
        <f>'Grid_Stock'!CD28</f>
        <v/>
      </c>
      <c r="CG1079">
        <f>'Grid_Stock'!CE28</f>
        <v/>
      </c>
      <c r="CH1079">
        <f>'Grid_Stock'!CF28</f>
        <v/>
      </c>
      <c r="CI1079">
        <f>'Grid_Stock'!CG28</f>
        <v/>
      </c>
      <c r="CJ1079">
        <f>'Grid_Stock'!CH28</f>
        <v/>
      </c>
      <c r="CK1079">
        <f>'Grid_Stock'!CI28</f>
        <v/>
      </c>
      <c r="CL1079">
        <f>'Grid_Stock'!CJ28</f>
        <v/>
      </c>
      <c r="CM1079">
        <f>'Grid_Stock'!CK28</f>
        <v/>
      </c>
      <c r="CN1079">
        <f>'Grid_Stock'!CL28</f>
        <v/>
      </c>
      <c r="CO1079">
        <f>'Grid_Stock'!CM28</f>
        <v/>
      </c>
      <c r="CP1079">
        <f>'Grid_Stock'!CN28</f>
        <v/>
      </c>
      <c r="CQ1079">
        <f>'Grid_Stock'!CO28</f>
        <v/>
      </c>
      <c r="CR1079">
        <f>'Grid_Stock'!CP28</f>
        <v/>
      </c>
      <c r="CS1079">
        <f>'Grid_Stock'!CQ28</f>
        <v/>
      </c>
      <c r="CT1079">
        <f>'Grid_Stock'!CR28</f>
        <v/>
      </c>
      <c r="CU1079">
        <f>'Grid_Stock'!CS28</f>
        <v/>
      </c>
      <c r="CV1079">
        <f>'Grid_Stock'!CT28</f>
        <v/>
      </c>
      <c r="CW1079">
        <f>'Grid_Stock'!CU28</f>
        <v/>
      </c>
      <c r="CX1079">
        <f>'Grid_Stock'!CV28</f>
        <v/>
      </c>
      <c r="CY1079">
        <f>'Grid_Stock'!CW28</f>
        <v/>
      </c>
      <c r="CZ1079">
        <f>'Grid_Stock'!CX28</f>
        <v/>
      </c>
      <c r="DA1079">
        <f>'Grid_Stock'!CY28</f>
        <v/>
      </c>
      <c r="DB1079">
        <f>'Grid_Stock'!CZ28</f>
        <v/>
      </c>
      <c r="DC1079">
        <f>'Grid_Stock'!DA28</f>
        <v/>
      </c>
    </row>
    <row r="1080">
      <c r="B1080" s="16" t="inlineStr">
        <is>
          <t>（発注の目安はDashboardの基準在庫[下限/上限]と色分けを参照）</t>
        </is>
      </c>
    </row>
    <row r="1082">
      <c r="A1082" s="14" t="inlineStr">
        <is>
          <t>CHEM-1830</t>
        </is>
      </c>
      <c r="B1082" s="14" t="inlineStr">
        <is>
          <t>RCT-43</t>
        </is>
      </c>
      <c r="C1082" s="15" t="n"/>
      <c r="D1082" s="14" t="n"/>
      <c r="E1082" s="14" t="n"/>
      <c r="F1082" s="14" t="n"/>
      <c r="G1082" s="14" t="n"/>
      <c r="H1082" s="14" t="n"/>
      <c r="I1082" s="14" t="n"/>
      <c r="J1082" s="14" t="n"/>
      <c r="K1082" s="14" t="n"/>
      <c r="L1082" s="14" t="n"/>
      <c r="M1082" s="14" t="n"/>
      <c r="N1082" s="14" t="n"/>
      <c r="O1082" s="14" t="n"/>
      <c r="P1082" s="14" t="n"/>
      <c r="Q1082" s="14" t="n"/>
      <c r="R1082" s="14" t="n"/>
      <c r="S1082" s="14" t="n"/>
      <c r="T1082" s="14" t="n"/>
      <c r="U1082" s="14" t="n"/>
      <c r="V1082" s="14" t="n"/>
      <c r="W1082" s="14" t="n"/>
      <c r="X1082" s="14" t="n"/>
      <c r="Y1082" s="14" t="n"/>
      <c r="Z1082" s="14" t="n"/>
      <c r="AA1082" s="14" t="n"/>
      <c r="AB1082" s="14" t="n"/>
      <c r="AC1082" s="14" t="n"/>
      <c r="AD1082" s="14" t="n"/>
      <c r="AE1082" s="14" t="n"/>
      <c r="AF1082" s="14" t="n"/>
      <c r="AG1082" s="14" t="n"/>
      <c r="AH1082" s="14" t="n"/>
      <c r="AI1082" s="14" t="n"/>
      <c r="AJ1082" s="14" t="n"/>
      <c r="AK1082" s="14" t="n"/>
      <c r="AL1082" s="14" t="n"/>
      <c r="AM1082" s="14" t="n"/>
      <c r="AN1082" s="14" t="n"/>
      <c r="AO1082" s="14" t="n"/>
      <c r="AP1082" s="14" t="n"/>
      <c r="AQ1082" s="14" t="n"/>
      <c r="AR1082" s="14" t="n"/>
      <c r="AS1082" s="14" t="n"/>
      <c r="AT1082" s="14" t="n"/>
      <c r="AU1082" s="14" t="n"/>
      <c r="AV1082" s="14" t="n"/>
      <c r="AW1082" s="14" t="n"/>
      <c r="AX1082" s="14" t="n"/>
      <c r="AY1082" s="14" t="n"/>
      <c r="AZ1082" s="14" t="n"/>
      <c r="BA1082" s="14" t="n"/>
      <c r="BB1082" s="14" t="n"/>
      <c r="BC1082" s="14" t="n"/>
      <c r="BD1082" s="14" t="n"/>
      <c r="BE1082" s="14" t="n"/>
      <c r="BF1082" s="14" t="n"/>
      <c r="BG1082" s="14" t="n"/>
      <c r="BH1082" s="14" t="n"/>
      <c r="BI1082" s="14" t="n"/>
      <c r="BJ1082" s="14" t="n"/>
      <c r="BK1082" s="14" t="n"/>
      <c r="BL1082" s="14" t="n"/>
      <c r="BM1082" s="14" t="n"/>
      <c r="BN1082" s="14" t="n"/>
      <c r="BO1082" s="14" t="n"/>
      <c r="BP1082" s="14" t="n"/>
      <c r="BQ1082" s="14" t="n"/>
      <c r="BR1082" s="14" t="n"/>
      <c r="BS1082" s="14" t="n"/>
      <c r="BT1082" s="14" t="n"/>
      <c r="BU1082" s="14" t="n"/>
      <c r="BV1082" s="14" t="n"/>
      <c r="BW1082" s="14" t="n"/>
      <c r="BX1082" s="14" t="n"/>
      <c r="BY1082" s="14" t="n"/>
      <c r="BZ1082" s="14" t="n"/>
      <c r="CA1082" s="14" t="n"/>
      <c r="CB1082" s="14" t="n"/>
      <c r="CC1082" s="14" t="n"/>
      <c r="CD1082" s="14" t="n"/>
      <c r="CE1082" s="14" t="n"/>
      <c r="CF1082" s="14" t="n"/>
      <c r="CG1082" s="14" t="n"/>
      <c r="CH1082" s="14" t="n"/>
      <c r="CI1082" s="14" t="n"/>
      <c r="CJ1082" s="14" t="n"/>
      <c r="CK1082" s="14" t="n"/>
      <c r="CL1082" s="14" t="n"/>
      <c r="CM1082" s="14" t="n"/>
      <c r="CN1082" s="14" t="n"/>
      <c r="CO1082" s="14" t="n"/>
      <c r="CP1082" s="14" t="n"/>
      <c r="CQ1082" s="14" t="n"/>
      <c r="CR1082" s="14" t="n"/>
      <c r="CS1082" s="14" t="n"/>
      <c r="CT1082" s="14" t="n"/>
      <c r="CU1082" s="14" t="n"/>
      <c r="CV1082" s="14" t="n"/>
      <c r="CW1082" s="14" t="n"/>
      <c r="CX1082" s="14" t="n"/>
      <c r="CY1082" s="14" t="n"/>
      <c r="CZ1082" s="14" t="n"/>
      <c r="DA1082" s="14" t="n"/>
      <c r="DB1082" s="14" t="n"/>
      <c r="DC1082" s="14" t="n"/>
    </row>
    <row r="1083">
      <c r="B1083" t="inlineStr">
        <is>
          <t>TPP-2245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7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TSP-1558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7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t="inlineStr">
        <is>
          <t>TSP-1559</t>
        </is>
      </c>
      <c r="C1087" t="inlineStr">
        <is>
          <t>No. of batches</t>
        </is>
      </c>
      <c r="D1087">
        <f>IFERROR(INDEX(PP_Grid[#Data],$DD1087,2),0)</f>
        <v/>
      </c>
      <c r="E1087">
        <f>IFERROR(INDEX(PP_Grid[#Data],$DD1087,3),0)</f>
        <v/>
      </c>
      <c r="F1087">
        <f>IFERROR(INDEX(PP_Grid[#Data],$DD1087,4),0)</f>
        <v/>
      </c>
      <c r="G1087">
        <f>IFERROR(INDEX(PP_Grid[#Data],$DD1087,5),0)</f>
        <v/>
      </c>
      <c r="H1087">
        <f>IFERROR(INDEX(PP_Grid[#Data],$DD1087,6),0)</f>
        <v/>
      </c>
      <c r="I1087">
        <f>IFERROR(INDEX(PP_Grid[#Data],$DD1087,7),0)</f>
        <v/>
      </c>
      <c r="J1087">
        <f>IFERROR(INDEX(PP_Grid[#Data],$DD1087,8),0)</f>
        <v/>
      </c>
      <c r="K1087">
        <f>IFERROR(INDEX(PP_Grid[#Data],$DD1087,9),0)</f>
        <v/>
      </c>
      <c r="L1087">
        <f>IFERROR(INDEX(PP_Grid[#Data],$DD1087,10),0)</f>
        <v/>
      </c>
      <c r="M1087">
        <f>IFERROR(INDEX(PP_Grid[#Data],$DD1087,11),0)</f>
        <v/>
      </c>
      <c r="N1087">
        <f>IFERROR(INDEX(PP_Grid[#Data],$DD1087,12),0)</f>
        <v/>
      </c>
      <c r="O1087">
        <f>IFERROR(INDEX(PP_Grid[#Data],$DD1087,13),0)</f>
        <v/>
      </c>
      <c r="P1087">
        <f>IFERROR(INDEX(PP_Grid[#Data],$DD1087,14),0)</f>
        <v/>
      </c>
      <c r="Q1087">
        <f>IFERROR(INDEX(PP_Grid[#Data],$DD1087,15),0)</f>
        <v/>
      </c>
      <c r="R1087">
        <f>IFERROR(INDEX(PP_Grid[#Data],$DD1087,16),0)</f>
        <v/>
      </c>
      <c r="S1087">
        <f>IFERROR(INDEX(PP_Grid[#Data],$DD1087,17),0)</f>
        <v/>
      </c>
      <c r="T1087">
        <f>IFERROR(INDEX(PP_Grid[#Data],$DD1087,18),0)</f>
        <v/>
      </c>
      <c r="U1087">
        <f>IFERROR(INDEX(PP_Grid[#Data],$DD1087,19),0)</f>
        <v/>
      </c>
      <c r="V1087">
        <f>IFERROR(INDEX(PP_Grid[#Data],$DD1087,20),0)</f>
        <v/>
      </c>
      <c r="W1087">
        <f>IFERROR(INDEX(PP_Grid[#Data],$DD1087,21),0)</f>
        <v/>
      </c>
      <c r="X1087">
        <f>IFERROR(INDEX(PP_Grid[#Data],$DD1087,22),0)</f>
        <v/>
      </c>
      <c r="Y1087">
        <f>IFERROR(INDEX(PP_Grid[#Data],$DD1087,23),0)</f>
        <v/>
      </c>
      <c r="Z1087">
        <f>IFERROR(INDEX(PP_Grid[#Data],$DD1087,24),0)</f>
        <v/>
      </c>
      <c r="AA1087">
        <f>IFERROR(INDEX(PP_Grid[#Data],$DD1087,25),0)</f>
        <v/>
      </c>
      <c r="AB1087">
        <f>IFERROR(INDEX(PP_Grid[#Data],$DD1087,26),0)</f>
        <v/>
      </c>
      <c r="AC1087">
        <f>IFERROR(INDEX(PP_Grid[#Data],$DD1087,27),0)</f>
        <v/>
      </c>
      <c r="AD1087">
        <f>IFERROR(INDEX(PP_Grid[#Data],$DD1087,28),0)</f>
        <v/>
      </c>
      <c r="AE1087">
        <f>IFERROR(INDEX(PP_Grid[#Data],$DD1087,29),0)</f>
        <v/>
      </c>
      <c r="AF1087">
        <f>IFERROR(INDEX(PP_Grid[#Data],$DD1087,30),0)</f>
        <v/>
      </c>
      <c r="AG1087">
        <f>IFERROR(INDEX(PP_Grid[#Data],$DD1087,31),0)</f>
        <v/>
      </c>
      <c r="AH1087">
        <f>IFERROR(INDEX(PP_Grid[#Data],$DD1087,32),0)</f>
        <v/>
      </c>
      <c r="AI1087">
        <f>IFERROR(INDEX(PP_Grid[#Data],$DD1087,33),0)</f>
        <v/>
      </c>
      <c r="AJ1087">
        <f>IFERROR(INDEX(PP_Grid[#Data],$DD1087,34),0)</f>
        <v/>
      </c>
      <c r="AK1087">
        <f>IFERROR(INDEX(PP_Grid[#Data],$DD1087,35),0)</f>
        <v/>
      </c>
      <c r="AL1087">
        <f>IFERROR(INDEX(PP_Grid[#Data],$DD1087,36),0)</f>
        <v/>
      </c>
      <c r="AM1087">
        <f>IFERROR(INDEX(PP_Grid[#Data],$DD1087,37),0)</f>
        <v/>
      </c>
      <c r="AN1087">
        <f>IFERROR(INDEX(PP_Grid[#Data],$DD1087,38),0)</f>
        <v/>
      </c>
      <c r="AO1087">
        <f>IFERROR(INDEX(PP_Grid[#Data],$DD1087,39),0)</f>
        <v/>
      </c>
      <c r="AP1087">
        <f>IFERROR(INDEX(PP_Grid[#Data],$DD1087,40),0)</f>
        <v/>
      </c>
      <c r="AQ1087">
        <f>IFERROR(INDEX(PP_Grid[#Data],$DD1087,41),0)</f>
        <v/>
      </c>
      <c r="AR1087">
        <f>IFERROR(INDEX(PP_Grid[#Data],$DD1087,42),0)</f>
        <v/>
      </c>
      <c r="AS1087">
        <f>IFERROR(INDEX(PP_Grid[#Data],$DD1087,43),0)</f>
        <v/>
      </c>
      <c r="AT1087">
        <f>IFERROR(INDEX(PP_Grid[#Data],$DD1087,44),0)</f>
        <v/>
      </c>
      <c r="AU1087">
        <f>IFERROR(INDEX(PP_Grid[#Data],$DD1087,45),0)</f>
        <v/>
      </c>
      <c r="AV1087">
        <f>IFERROR(INDEX(PP_Grid[#Data],$DD1087,46),0)</f>
        <v/>
      </c>
      <c r="AW1087">
        <f>IFERROR(INDEX(PP_Grid[#Data],$DD1087,47),0)</f>
        <v/>
      </c>
      <c r="AX1087">
        <f>IFERROR(INDEX(PP_Grid[#Data],$DD1087,48),0)</f>
        <v/>
      </c>
      <c r="AY1087">
        <f>IFERROR(INDEX(PP_Grid[#Data],$DD1087,49),0)</f>
        <v/>
      </c>
      <c r="AZ1087">
        <f>IFERROR(INDEX(PP_Grid[#Data],$DD1087,50),0)</f>
        <v/>
      </c>
      <c r="BA1087">
        <f>IFERROR(INDEX(PP_Grid[#Data],$DD1087,51),0)</f>
        <v/>
      </c>
      <c r="BB1087">
        <f>IFERROR(INDEX(PP_Grid[#Data],$DD1087,52),0)</f>
        <v/>
      </c>
      <c r="BC1087">
        <f>IFERROR(INDEX(PP_Grid[#Data],$DD1087,53),0)</f>
        <v/>
      </c>
      <c r="BD1087">
        <f>IFERROR(INDEX(PP_Grid[#Data],$DD1087,54),0)</f>
        <v/>
      </c>
      <c r="BE1087">
        <f>IFERROR(INDEX(PP_Grid[#Data],$DD1087,55),0)</f>
        <v/>
      </c>
      <c r="BF1087">
        <f>IFERROR(INDEX(PP_Grid[#Data],$DD1087,56),0)</f>
        <v/>
      </c>
      <c r="BG1087">
        <f>IFERROR(INDEX(PP_Grid[#Data],$DD1087,57),0)</f>
        <v/>
      </c>
      <c r="BH1087">
        <f>IFERROR(INDEX(PP_Grid[#Data],$DD1087,58),0)</f>
        <v/>
      </c>
      <c r="BI1087">
        <f>IFERROR(INDEX(PP_Grid[#Data],$DD1087,59),0)</f>
        <v/>
      </c>
      <c r="BJ1087">
        <f>IFERROR(INDEX(PP_Grid[#Data],$DD1087,60),0)</f>
        <v/>
      </c>
      <c r="BK1087">
        <f>IFERROR(INDEX(PP_Grid[#Data],$DD1087,61),0)</f>
        <v/>
      </c>
      <c r="BL1087">
        <f>IFERROR(INDEX(PP_Grid[#Data],$DD1087,62),0)</f>
        <v/>
      </c>
      <c r="BM1087">
        <f>IFERROR(INDEX(PP_Grid[#Data],$DD1087,63),0)</f>
        <v/>
      </c>
      <c r="BN1087">
        <f>IFERROR(INDEX(PP_Grid[#Data],$DD1087,64),0)</f>
        <v/>
      </c>
      <c r="BO1087">
        <f>IFERROR(INDEX(PP_Grid[#Data],$DD1087,65),0)</f>
        <v/>
      </c>
      <c r="BP1087">
        <f>IFERROR(INDEX(PP_Grid[#Data],$DD1087,66),0)</f>
        <v/>
      </c>
      <c r="BQ1087">
        <f>IFERROR(INDEX(PP_Grid[#Data],$DD1087,67),0)</f>
        <v/>
      </c>
      <c r="BR1087">
        <f>IFERROR(INDEX(PP_Grid[#Data],$DD1087,68),0)</f>
        <v/>
      </c>
      <c r="BS1087">
        <f>IFERROR(INDEX(PP_Grid[#Data],$DD1087,69),0)</f>
        <v/>
      </c>
      <c r="BT1087">
        <f>IFERROR(INDEX(PP_Grid[#Data],$DD1087,70),0)</f>
        <v/>
      </c>
      <c r="BU1087">
        <f>IFERROR(INDEX(PP_Grid[#Data],$DD1087,71),0)</f>
        <v/>
      </c>
      <c r="BV1087">
        <f>IFERROR(INDEX(PP_Grid[#Data],$DD1087,72),0)</f>
        <v/>
      </c>
      <c r="BW1087">
        <f>IFERROR(INDEX(PP_Grid[#Data],$DD1087,73),0)</f>
        <v/>
      </c>
      <c r="BX1087">
        <f>IFERROR(INDEX(PP_Grid[#Data],$DD1087,74),0)</f>
        <v/>
      </c>
      <c r="BY1087">
        <f>IFERROR(INDEX(PP_Grid[#Data],$DD1087,75),0)</f>
        <v/>
      </c>
      <c r="BZ1087">
        <f>IFERROR(INDEX(PP_Grid[#Data],$DD1087,76),0)</f>
        <v/>
      </c>
      <c r="CA1087">
        <f>IFERROR(INDEX(PP_Grid[#Data],$DD1087,77),0)</f>
        <v/>
      </c>
      <c r="CB1087">
        <f>IFERROR(INDEX(PP_Grid[#Data],$DD1087,78),0)</f>
        <v/>
      </c>
      <c r="CC1087">
        <f>IFERROR(INDEX(PP_Grid[#Data],$DD1087,79),0)</f>
        <v/>
      </c>
      <c r="CD1087">
        <f>IFERROR(INDEX(PP_Grid[#Data],$DD1087,80),0)</f>
        <v/>
      </c>
      <c r="CE1087">
        <f>IFERROR(INDEX(PP_Grid[#Data],$DD1087,81),0)</f>
        <v/>
      </c>
      <c r="CF1087">
        <f>IFERROR(INDEX(PP_Grid[#Data],$DD1087,82),0)</f>
        <v/>
      </c>
      <c r="CG1087">
        <f>IFERROR(INDEX(PP_Grid[#Data],$DD1087,83),0)</f>
        <v/>
      </c>
      <c r="CH1087">
        <f>IFERROR(INDEX(PP_Grid[#Data],$DD1087,84),0)</f>
        <v/>
      </c>
      <c r="CI1087">
        <f>IFERROR(INDEX(PP_Grid[#Data],$DD1087,85),0)</f>
        <v/>
      </c>
      <c r="CJ1087">
        <f>IFERROR(INDEX(PP_Grid[#Data],$DD1087,86),0)</f>
        <v/>
      </c>
      <c r="CK1087">
        <f>IFERROR(INDEX(PP_Grid[#Data],$DD1087,87),0)</f>
        <v/>
      </c>
      <c r="CL1087">
        <f>IFERROR(INDEX(PP_Grid[#Data],$DD1087,88),0)</f>
        <v/>
      </c>
      <c r="CM1087">
        <f>IFERROR(INDEX(PP_Grid[#Data],$DD1087,89),0)</f>
        <v/>
      </c>
      <c r="CN1087">
        <f>IFERROR(INDEX(PP_Grid[#Data],$DD1087,90),0)</f>
        <v/>
      </c>
      <c r="CO1087">
        <f>IFERROR(INDEX(PP_Grid[#Data],$DD1087,91),0)</f>
        <v/>
      </c>
      <c r="CP1087">
        <f>IFERROR(INDEX(PP_Grid[#Data],$DD1087,92),0)</f>
        <v/>
      </c>
      <c r="CQ1087">
        <f>IFERROR(INDEX(PP_Grid[#Data],$DD1087,93),0)</f>
        <v/>
      </c>
      <c r="CR1087">
        <f>IFERROR(INDEX(PP_Grid[#Data],$DD1087,94),0)</f>
        <v/>
      </c>
      <c r="CS1087">
        <f>IFERROR(INDEX(PP_Grid[#Data],$DD1087,95),0)</f>
        <v/>
      </c>
      <c r="CT1087">
        <f>IFERROR(INDEX(PP_Grid[#Data],$DD1087,96),0)</f>
        <v/>
      </c>
      <c r="CU1087">
        <f>IFERROR(INDEX(PP_Grid[#Data],$DD1087,97),0)</f>
        <v/>
      </c>
      <c r="CV1087">
        <f>IFERROR(INDEX(PP_Grid[#Data],$DD1087,98),0)</f>
        <v/>
      </c>
      <c r="CW1087">
        <f>IFERROR(INDEX(PP_Grid[#Data],$DD1087,99),0)</f>
        <v/>
      </c>
      <c r="CX1087">
        <f>IFERROR(INDEX(PP_Grid[#Data],$DD1087,100),0)</f>
        <v/>
      </c>
      <c r="CY1087">
        <f>IFERROR(INDEX(PP_Grid[#Data],$DD1087,101),0)</f>
        <v/>
      </c>
      <c r="CZ1087">
        <f>IFERROR(INDEX(PP_Grid[#Data],$DD1087,102),0)</f>
        <v/>
      </c>
      <c r="DA1087">
        <f>IFERROR(INDEX(PP_Grid[#Data],$DD1087,103),0)</f>
        <v/>
      </c>
      <c r="DB1087">
        <f>IFERROR(INDEX(PP_Grid[#Data],$DD1087,104),0)</f>
        <v/>
      </c>
      <c r="DC1087">
        <f>IFERROR(INDEX(PP_Grid[#Data],$DD1087,105),0)</f>
        <v/>
      </c>
      <c r="DD1087" s="7">
        <f>IFERROR(MATCH($B1087,PP_Grid[Intermediate],0),99999)</f>
        <v/>
      </c>
    </row>
    <row r="1088">
      <c r="B1088" t="inlineStr">
        <is>
          <t>使用量(kg)</t>
        </is>
      </c>
      <c r="C1088">
        <f>SUMIFS(M_BOM[RM_Qty_Per_Batch],M_BOM[Intermediate],$B1087,M_BOM[Part Name],$A1082)</f>
        <v/>
      </c>
      <c r="D1088">
        <f>$C1088*D1087</f>
        <v/>
      </c>
      <c r="E1088">
        <f>$C1088*E1087</f>
        <v/>
      </c>
      <c r="F1088">
        <f>$C1088*F1087</f>
        <v/>
      </c>
      <c r="G1088">
        <f>$C1088*G1087</f>
        <v/>
      </c>
      <c r="H1088">
        <f>$C1088*H1087</f>
        <v/>
      </c>
      <c r="I1088">
        <f>$C1088*I1087</f>
        <v/>
      </c>
      <c r="J1088">
        <f>$C1088*J1087</f>
        <v/>
      </c>
      <c r="K1088">
        <f>$C1088*K1087</f>
        <v/>
      </c>
      <c r="L1088">
        <f>$C1088*L1087</f>
        <v/>
      </c>
      <c r="M1088">
        <f>$C1088*M1087</f>
        <v/>
      </c>
      <c r="N1088">
        <f>$C1088*N1087</f>
        <v/>
      </c>
      <c r="O1088">
        <f>$C1088*O1087</f>
        <v/>
      </c>
      <c r="P1088">
        <f>$C1088*P1087</f>
        <v/>
      </c>
      <c r="Q1088">
        <f>$C1088*Q1087</f>
        <v/>
      </c>
      <c r="R1088">
        <f>$C1088*R1087</f>
        <v/>
      </c>
      <c r="S1088">
        <f>$C1088*S1087</f>
        <v/>
      </c>
      <c r="T1088">
        <f>$C1088*T1087</f>
        <v/>
      </c>
      <c r="U1088">
        <f>$C1088*U1087</f>
        <v/>
      </c>
      <c r="V1088">
        <f>$C1088*V1087</f>
        <v/>
      </c>
      <c r="W1088">
        <f>$C1088*W1087</f>
        <v/>
      </c>
      <c r="X1088">
        <f>$C1088*X1087</f>
        <v/>
      </c>
      <c r="Y1088">
        <f>$C1088*Y1087</f>
        <v/>
      </c>
      <c r="Z1088">
        <f>$C1088*Z1087</f>
        <v/>
      </c>
      <c r="AA1088">
        <f>$C1088*AA1087</f>
        <v/>
      </c>
      <c r="AB1088">
        <f>$C1088*AB1087</f>
        <v/>
      </c>
      <c r="AC1088">
        <f>$C1088*AC1087</f>
        <v/>
      </c>
      <c r="AD1088">
        <f>$C1088*AD1087</f>
        <v/>
      </c>
      <c r="AE1088">
        <f>$C1088*AE1087</f>
        <v/>
      </c>
      <c r="AF1088">
        <f>$C1088*AF1087</f>
        <v/>
      </c>
      <c r="AG1088">
        <f>$C1088*AG1087</f>
        <v/>
      </c>
      <c r="AH1088">
        <f>$C1088*AH1087</f>
        <v/>
      </c>
      <c r="AI1088">
        <f>$C1088*AI1087</f>
        <v/>
      </c>
      <c r="AJ1088">
        <f>$C1088*AJ1087</f>
        <v/>
      </c>
      <c r="AK1088">
        <f>$C1088*AK1087</f>
        <v/>
      </c>
      <c r="AL1088">
        <f>$C1088*AL1087</f>
        <v/>
      </c>
      <c r="AM1088">
        <f>$C1088*AM1087</f>
        <v/>
      </c>
      <c r="AN1088">
        <f>$C1088*AN1087</f>
        <v/>
      </c>
      <c r="AO1088">
        <f>$C1088*AO1087</f>
        <v/>
      </c>
      <c r="AP1088">
        <f>$C1088*AP1087</f>
        <v/>
      </c>
      <c r="AQ1088">
        <f>$C1088*AQ1087</f>
        <v/>
      </c>
      <c r="AR1088">
        <f>$C1088*AR1087</f>
        <v/>
      </c>
      <c r="AS1088">
        <f>$C1088*AS1087</f>
        <v/>
      </c>
      <c r="AT1088">
        <f>$C1088*AT1087</f>
        <v/>
      </c>
      <c r="AU1088">
        <f>$C1088*AU1087</f>
        <v/>
      </c>
      <c r="AV1088">
        <f>$C1088*AV1087</f>
        <v/>
      </c>
      <c r="AW1088">
        <f>$C1088*AW1087</f>
        <v/>
      </c>
      <c r="AX1088">
        <f>$C1088*AX1087</f>
        <v/>
      </c>
      <c r="AY1088">
        <f>$C1088*AY1087</f>
        <v/>
      </c>
      <c r="AZ1088">
        <f>$C1088*AZ1087</f>
        <v/>
      </c>
      <c r="BA1088">
        <f>$C1088*BA1087</f>
        <v/>
      </c>
      <c r="BB1088">
        <f>$C1088*BB1087</f>
        <v/>
      </c>
      <c r="BC1088">
        <f>$C1088*BC1087</f>
        <v/>
      </c>
      <c r="BD1088">
        <f>$C1088*BD1087</f>
        <v/>
      </c>
      <c r="BE1088">
        <f>$C1088*BE1087</f>
        <v/>
      </c>
      <c r="BF1088">
        <f>$C1088*BF1087</f>
        <v/>
      </c>
      <c r="BG1088">
        <f>$C1088*BG1087</f>
        <v/>
      </c>
      <c r="BH1088">
        <f>$C1088*BH1087</f>
        <v/>
      </c>
      <c r="BI1088">
        <f>$C1088*BI1087</f>
        <v/>
      </c>
      <c r="BJ1088">
        <f>$C1088*BJ1087</f>
        <v/>
      </c>
      <c r="BK1088">
        <f>$C1088*BK1087</f>
        <v/>
      </c>
      <c r="BL1088">
        <f>$C1088*BL1087</f>
        <v/>
      </c>
      <c r="BM1088">
        <f>$C1088*BM1087</f>
        <v/>
      </c>
      <c r="BN1088">
        <f>$C1088*BN1087</f>
        <v/>
      </c>
      <c r="BO1088">
        <f>$C1088*BO1087</f>
        <v/>
      </c>
      <c r="BP1088">
        <f>$C1088*BP1087</f>
        <v/>
      </c>
      <c r="BQ1088">
        <f>$C1088*BQ1087</f>
        <v/>
      </c>
      <c r="BR1088">
        <f>$C1088*BR1087</f>
        <v/>
      </c>
      <c r="BS1088">
        <f>$C1088*BS1087</f>
        <v/>
      </c>
      <c r="BT1088">
        <f>$C1088*BT1087</f>
        <v/>
      </c>
      <c r="BU1088">
        <f>$C1088*BU1087</f>
        <v/>
      </c>
      <c r="BV1088">
        <f>$C1088*BV1087</f>
        <v/>
      </c>
      <c r="BW1088">
        <f>$C1088*BW1087</f>
        <v/>
      </c>
      <c r="BX1088">
        <f>$C1088*BX1087</f>
        <v/>
      </c>
      <c r="BY1088">
        <f>$C1088*BY1087</f>
        <v/>
      </c>
      <c r="BZ1088">
        <f>$C1088*BZ1087</f>
        <v/>
      </c>
      <c r="CA1088">
        <f>$C1088*CA1087</f>
        <v/>
      </c>
      <c r="CB1088">
        <f>$C1088*CB1087</f>
        <v/>
      </c>
      <c r="CC1088">
        <f>$C1088*CC1087</f>
        <v/>
      </c>
      <c r="CD1088">
        <f>$C1088*CD1087</f>
        <v/>
      </c>
      <c r="CE1088">
        <f>$C1088*CE1087</f>
        <v/>
      </c>
      <c r="CF1088">
        <f>$C1088*CF1087</f>
        <v/>
      </c>
      <c r="CG1088">
        <f>$C1088*CG1087</f>
        <v/>
      </c>
      <c r="CH1088">
        <f>$C1088*CH1087</f>
        <v/>
      </c>
      <c r="CI1088">
        <f>$C1088*CI1087</f>
        <v/>
      </c>
      <c r="CJ1088">
        <f>$C1088*CJ1087</f>
        <v/>
      </c>
      <c r="CK1088">
        <f>$C1088*CK1087</f>
        <v/>
      </c>
      <c r="CL1088">
        <f>$C1088*CL1087</f>
        <v/>
      </c>
      <c r="CM1088">
        <f>$C1088*CM1087</f>
        <v/>
      </c>
      <c r="CN1088">
        <f>$C1088*CN1087</f>
        <v/>
      </c>
      <c r="CO1088">
        <f>$C1088*CO1087</f>
        <v/>
      </c>
      <c r="CP1088">
        <f>$C1088*CP1087</f>
        <v/>
      </c>
      <c r="CQ1088">
        <f>$C1088*CQ1087</f>
        <v/>
      </c>
      <c r="CR1088">
        <f>$C1088*CR1087</f>
        <v/>
      </c>
      <c r="CS1088">
        <f>$C1088*CS1087</f>
        <v/>
      </c>
      <c r="CT1088">
        <f>$C1088*CT1087</f>
        <v/>
      </c>
      <c r="CU1088">
        <f>$C1088*CU1087</f>
        <v/>
      </c>
      <c r="CV1088">
        <f>$C1088*CV1087</f>
        <v/>
      </c>
      <c r="CW1088">
        <f>$C1088*CW1087</f>
        <v/>
      </c>
      <c r="CX1088">
        <f>$C1088*CX1087</f>
        <v/>
      </c>
      <c r="CY1088">
        <f>$C1088*CY1087</f>
        <v/>
      </c>
      <c r="CZ1088">
        <f>$C1088*CZ1087</f>
        <v/>
      </c>
      <c r="DA1088">
        <f>$C1088*DA1087</f>
        <v/>
      </c>
      <c r="DB1088">
        <f>$C1088*DB1087</f>
        <v/>
      </c>
      <c r="DC1088">
        <f>$C1088*DC1087</f>
        <v/>
      </c>
    </row>
    <row r="1089">
      <c r="B1089" t="inlineStr">
        <is>
          <t>TSP-2157</t>
        </is>
      </c>
      <c r="C1089" t="inlineStr">
        <is>
          <t>No. of batches</t>
        </is>
      </c>
      <c r="D1089">
        <f>IFERROR(INDEX(PP_Grid[#Data],$DD1089,2),0)</f>
        <v/>
      </c>
      <c r="E1089">
        <f>IFERROR(INDEX(PP_Grid[#Data],$DD1089,3),0)</f>
        <v/>
      </c>
      <c r="F1089">
        <f>IFERROR(INDEX(PP_Grid[#Data],$DD1089,4),0)</f>
        <v/>
      </c>
      <c r="G1089">
        <f>IFERROR(INDEX(PP_Grid[#Data],$DD1089,5),0)</f>
        <v/>
      </c>
      <c r="H1089">
        <f>IFERROR(INDEX(PP_Grid[#Data],$DD1089,6),0)</f>
        <v/>
      </c>
      <c r="I1089">
        <f>IFERROR(INDEX(PP_Grid[#Data],$DD1089,7),0)</f>
        <v/>
      </c>
      <c r="J1089">
        <f>IFERROR(INDEX(PP_Grid[#Data],$DD1089,8),0)</f>
        <v/>
      </c>
      <c r="K1089">
        <f>IFERROR(INDEX(PP_Grid[#Data],$DD1089,9),0)</f>
        <v/>
      </c>
      <c r="L1089">
        <f>IFERROR(INDEX(PP_Grid[#Data],$DD1089,10),0)</f>
        <v/>
      </c>
      <c r="M1089">
        <f>IFERROR(INDEX(PP_Grid[#Data],$DD1089,11),0)</f>
        <v/>
      </c>
      <c r="N1089">
        <f>IFERROR(INDEX(PP_Grid[#Data],$DD1089,12),0)</f>
        <v/>
      </c>
      <c r="O1089">
        <f>IFERROR(INDEX(PP_Grid[#Data],$DD1089,13),0)</f>
        <v/>
      </c>
      <c r="P1089">
        <f>IFERROR(INDEX(PP_Grid[#Data],$DD1089,14),0)</f>
        <v/>
      </c>
      <c r="Q1089">
        <f>IFERROR(INDEX(PP_Grid[#Data],$DD1089,15),0)</f>
        <v/>
      </c>
      <c r="R1089">
        <f>IFERROR(INDEX(PP_Grid[#Data],$DD1089,16),0)</f>
        <v/>
      </c>
      <c r="S1089">
        <f>IFERROR(INDEX(PP_Grid[#Data],$DD1089,17),0)</f>
        <v/>
      </c>
      <c r="T1089">
        <f>IFERROR(INDEX(PP_Grid[#Data],$DD1089,18),0)</f>
        <v/>
      </c>
      <c r="U1089">
        <f>IFERROR(INDEX(PP_Grid[#Data],$DD1089,19),0)</f>
        <v/>
      </c>
      <c r="V1089">
        <f>IFERROR(INDEX(PP_Grid[#Data],$DD1089,20),0)</f>
        <v/>
      </c>
      <c r="W1089">
        <f>IFERROR(INDEX(PP_Grid[#Data],$DD1089,21),0)</f>
        <v/>
      </c>
      <c r="X1089">
        <f>IFERROR(INDEX(PP_Grid[#Data],$DD1089,22),0)</f>
        <v/>
      </c>
      <c r="Y1089">
        <f>IFERROR(INDEX(PP_Grid[#Data],$DD1089,23),0)</f>
        <v/>
      </c>
      <c r="Z1089">
        <f>IFERROR(INDEX(PP_Grid[#Data],$DD1089,24),0)</f>
        <v/>
      </c>
      <c r="AA1089">
        <f>IFERROR(INDEX(PP_Grid[#Data],$DD1089,25),0)</f>
        <v/>
      </c>
      <c r="AB1089">
        <f>IFERROR(INDEX(PP_Grid[#Data],$DD1089,26),0)</f>
        <v/>
      </c>
      <c r="AC1089">
        <f>IFERROR(INDEX(PP_Grid[#Data],$DD1089,27),0)</f>
        <v/>
      </c>
      <c r="AD1089">
        <f>IFERROR(INDEX(PP_Grid[#Data],$DD1089,28),0)</f>
        <v/>
      </c>
      <c r="AE1089">
        <f>IFERROR(INDEX(PP_Grid[#Data],$DD1089,29),0)</f>
        <v/>
      </c>
      <c r="AF1089">
        <f>IFERROR(INDEX(PP_Grid[#Data],$DD1089,30),0)</f>
        <v/>
      </c>
      <c r="AG1089">
        <f>IFERROR(INDEX(PP_Grid[#Data],$DD1089,31),0)</f>
        <v/>
      </c>
      <c r="AH1089">
        <f>IFERROR(INDEX(PP_Grid[#Data],$DD1089,32),0)</f>
        <v/>
      </c>
      <c r="AI1089">
        <f>IFERROR(INDEX(PP_Grid[#Data],$DD1089,33),0)</f>
        <v/>
      </c>
      <c r="AJ1089">
        <f>IFERROR(INDEX(PP_Grid[#Data],$DD1089,34),0)</f>
        <v/>
      </c>
      <c r="AK1089">
        <f>IFERROR(INDEX(PP_Grid[#Data],$DD1089,35),0)</f>
        <v/>
      </c>
      <c r="AL1089">
        <f>IFERROR(INDEX(PP_Grid[#Data],$DD1089,36),0)</f>
        <v/>
      </c>
      <c r="AM1089">
        <f>IFERROR(INDEX(PP_Grid[#Data],$DD1089,37),0)</f>
        <v/>
      </c>
      <c r="AN1089">
        <f>IFERROR(INDEX(PP_Grid[#Data],$DD1089,38),0)</f>
        <v/>
      </c>
      <c r="AO1089">
        <f>IFERROR(INDEX(PP_Grid[#Data],$DD1089,39),0)</f>
        <v/>
      </c>
      <c r="AP1089">
        <f>IFERROR(INDEX(PP_Grid[#Data],$DD1089,40),0)</f>
        <v/>
      </c>
      <c r="AQ1089">
        <f>IFERROR(INDEX(PP_Grid[#Data],$DD1089,41),0)</f>
        <v/>
      </c>
      <c r="AR1089">
        <f>IFERROR(INDEX(PP_Grid[#Data],$DD1089,42),0)</f>
        <v/>
      </c>
      <c r="AS1089">
        <f>IFERROR(INDEX(PP_Grid[#Data],$DD1089,43),0)</f>
        <v/>
      </c>
      <c r="AT1089">
        <f>IFERROR(INDEX(PP_Grid[#Data],$DD1089,44),0)</f>
        <v/>
      </c>
      <c r="AU1089">
        <f>IFERROR(INDEX(PP_Grid[#Data],$DD1089,45),0)</f>
        <v/>
      </c>
      <c r="AV1089">
        <f>IFERROR(INDEX(PP_Grid[#Data],$DD1089,46),0)</f>
        <v/>
      </c>
      <c r="AW1089">
        <f>IFERROR(INDEX(PP_Grid[#Data],$DD1089,47),0)</f>
        <v/>
      </c>
      <c r="AX1089">
        <f>IFERROR(INDEX(PP_Grid[#Data],$DD1089,48),0)</f>
        <v/>
      </c>
      <c r="AY1089">
        <f>IFERROR(INDEX(PP_Grid[#Data],$DD1089,49),0)</f>
        <v/>
      </c>
      <c r="AZ1089">
        <f>IFERROR(INDEX(PP_Grid[#Data],$DD1089,50),0)</f>
        <v/>
      </c>
      <c r="BA1089">
        <f>IFERROR(INDEX(PP_Grid[#Data],$DD1089,51),0)</f>
        <v/>
      </c>
      <c r="BB1089">
        <f>IFERROR(INDEX(PP_Grid[#Data],$DD1089,52),0)</f>
        <v/>
      </c>
      <c r="BC1089">
        <f>IFERROR(INDEX(PP_Grid[#Data],$DD1089,53),0)</f>
        <v/>
      </c>
      <c r="BD1089">
        <f>IFERROR(INDEX(PP_Grid[#Data],$DD1089,54),0)</f>
        <v/>
      </c>
      <c r="BE1089">
        <f>IFERROR(INDEX(PP_Grid[#Data],$DD1089,55),0)</f>
        <v/>
      </c>
      <c r="BF1089">
        <f>IFERROR(INDEX(PP_Grid[#Data],$DD1089,56),0)</f>
        <v/>
      </c>
      <c r="BG1089">
        <f>IFERROR(INDEX(PP_Grid[#Data],$DD1089,57),0)</f>
        <v/>
      </c>
      <c r="BH1089">
        <f>IFERROR(INDEX(PP_Grid[#Data],$DD1089,58),0)</f>
        <v/>
      </c>
      <c r="BI1089">
        <f>IFERROR(INDEX(PP_Grid[#Data],$DD1089,59),0)</f>
        <v/>
      </c>
      <c r="BJ1089">
        <f>IFERROR(INDEX(PP_Grid[#Data],$DD1089,60),0)</f>
        <v/>
      </c>
      <c r="BK1089">
        <f>IFERROR(INDEX(PP_Grid[#Data],$DD1089,61),0)</f>
        <v/>
      </c>
      <c r="BL1089">
        <f>IFERROR(INDEX(PP_Grid[#Data],$DD1089,62),0)</f>
        <v/>
      </c>
      <c r="BM1089">
        <f>IFERROR(INDEX(PP_Grid[#Data],$DD1089,63),0)</f>
        <v/>
      </c>
      <c r="BN1089">
        <f>IFERROR(INDEX(PP_Grid[#Data],$DD1089,64),0)</f>
        <v/>
      </c>
      <c r="BO1089">
        <f>IFERROR(INDEX(PP_Grid[#Data],$DD1089,65),0)</f>
        <v/>
      </c>
      <c r="BP1089">
        <f>IFERROR(INDEX(PP_Grid[#Data],$DD1089,66),0)</f>
        <v/>
      </c>
      <c r="BQ1089">
        <f>IFERROR(INDEX(PP_Grid[#Data],$DD1089,67),0)</f>
        <v/>
      </c>
      <c r="BR1089">
        <f>IFERROR(INDEX(PP_Grid[#Data],$DD1089,68),0)</f>
        <v/>
      </c>
      <c r="BS1089">
        <f>IFERROR(INDEX(PP_Grid[#Data],$DD1089,69),0)</f>
        <v/>
      </c>
      <c r="BT1089">
        <f>IFERROR(INDEX(PP_Grid[#Data],$DD1089,70),0)</f>
        <v/>
      </c>
      <c r="BU1089">
        <f>IFERROR(INDEX(PP_Grid[#Data],$DD1089,71),0)</f>
        <v/>
      </c>
      <c r="BV1089">
        <f>IFERROR(INDEX(PP_Grid[#Data],$DD1089,72),0)</f>
        <v/>
      </c>
      <c r="BW1089">
        <f>IFERROR(INDEX(PP_Grid[#Data],$DD1089,73),0)</f>
        <v/>
      </c>
      <c r="BX1089">
        <f>IFERROR(INDEX(PP_Grid[#Data],$DD1089,74),0)</f>
        <v/>
      </c>
      <c r="BY1089">
        <f>IFERROR(INDEX(PP_Grid[#Data],$DD1089,75),0)</f>
        <v/>
      </c>
      <c r="BZ1089">
        <f>IFERROR(INDEX(PP_Grid[#Data],$DD1089,76),0)</f>
        <v/>
      </c>
      <c r="CA1089">
        <f>IFERROR(INDEX(PP_Grid[#Data],$DD1089,77),0)</f>
        <v/>
      </c>
      <c r="CB1089">
        <f>IFERROR(INDEX(PP_Grid[#Data],$DD1089,78),0)</f>
        <v/>
      </c>
      <c r="CC1089">
        <f>IFERROR(INDEX(PP_Grid[#Data],$DD1089,79),0)</f>
        <v/>
      </c>
      <c r="CD1089">
        <f>IFERROR(INDEX(PP_Grid[#Data],$DD1089,80),0)</f>
        <v/>
      </c>
      <c r="CE1089">
        <f>IFERROR(INDEX(PP_Grid[#Data],$DD1089,81),0)</f>
        <v/>
      </c>
      <c r="CF1089">
        <f>IFERROR(INDEX(PP_Grid[#Data],$DD1089,82),0)</f>
        <v/>
      </c>
      <c r="CG1089">
        <f>IFERROR(INDEX(PP_Grid[#Data],$DD1089,83),0)</f>
        <v/>
      </c>
      <c r="CH1089">
        <f>IFERROR(INDEX(PP_Grid[#Data],$DD1089,84),0)</f>
        <v/>
      </c>
      <c r="CI1089">
        <f>IFERROR(INDEX(PP_Grid[#Data],$DD1089,85),0)</f>
        <v/>
      </c>
      <c r="CJ1089">
        <f>IFERROR(INDEX(PP_Grid[#Data],$DD1089,86),0)</f>
        <v/>
      </c>
      <c r="CK1089">
        <f>IFERROR(INDEX(PP_Grid[#Data],$DD1089,87),0)</f>
        <v/>
      </c>
      <c r="CL1089">
        <f>IFERROR(INDEX(PP_Grid[#Data],$DD1089,88),0)</f>
        <v/>
      </c>
      <c r="CM1089">
        <f>IFERROR(INDEX(PP_Grid[#Data],$DD1089,89),0)</f>
        <v/>
      </c>
      <c r="CN1089">
        <f>IFERROR(INDEX(PP_Grid[#Data],$DD1089,90),0)</f>
        <v/>
      </c>
      <c r="CO1089">
        <f>IFERROR(INDEX(PP_Grid[#Data],$DD1089,91),0)</f>
        <v/>
      </c>
      <c r="CP1089">
        <f>IFERROR(INDEX(PP_Grid[#Data],$DD1089,92),0)</f>
        <v/>
      </c>
      <c r="CQ1089">
        <f>IFERROR(INDEX(PP_Grid[#Data],$DD1089,93),0)</f>
        <v/>
      </c>
      <c r="CR1089">
        <f>IFERROR(INDEX(PP_Grid[#Data],$DD1089,94),0)</f>
        <v/>
      </c>
      <c r="CS1089">
        <f>IFERROR(INDEX(PP_Grid[#Data],$DD1089,95),0)</f>
        <v/>
      </c>
      <c r="CT1089">
        <f>IFERROR(INDEX(PP_Grid[#Data],$DD1089,96),0)</f>
        <v/>
      </c>
      <c r="CU1089">
        <f>IFERROR(INDEX(PP_Grid[#Data],$DD1089,97),0)</f>
        <v/>
      </c>
      <c r="CV1089">
        <f>IFERROR(INDEX(PP_Grid[#Data],$DD1089,98),0)</f>
        <v/>
      </c>
      <c r="CW1089">
        <f>IFERROR(INDEX(PP_Grid[#Data],$DD1089,99),0)</f>
        <v/>
      </c>
      <c r="CX1089">
        <f>IFERROR(INDEX(PP_Grid[#Data],$DD1089,100),0)</f>
        <v/>
      </c>
      <c r="CY1089">
        <f>IFERROR(INDEX(PP_Grid[#Data],$DD1089,101),0)</f>
        <v/>
      </c>
      <c r="CZ1089">
        <f>IFERROR(INDEX(PP_Grid[#Data],$DD1089,102),0)</f>
        <v/>
      </c>
      <c r="DA1089">
        <f>IFERROR(INDEX(PP_Grid[#Data],$DD1089,103),0)</f>
        <v/>
      </c>
      <c r="DB1089">
        <f>IFERROR(INDEX(PP_Grid[#Data],$DD1089,104),0)</f>
        <v/>
      </c>
      <c r="DC1089">
        <f>IFERROR(INDEX(PP_Grid[#Data],$DD1089,105),0)</f>
        <v/>
      </c>
      <c r="DD1089" s="7">
        <f>IFERROR(MATCH($B1089,PP_Grid[Intermediate],0),99999)</f>
        <v/>
      </c>
    </row>
    <row r="1090">
      <c r="B1090" t="inlineStr">
        <is>
          <t>使用量(kg)</t>
        </is>
      </c>
      <c r="C1090">
        <f>SUMIFS(M_BOM[RM_Qty_Per_Batch],M_BOM[Intermediate],$B1089,M_BOM[Part Name],$A1082)</f>
        <v/>
      </c>
      <c r="D1090">
        <f>$C1090*D1089</f>
        <v/>
      </c>
      <c r="E1090">
        <f>$C1090*E1089</f>
        <v/>
      </c>
      <c r="F1090">
        <f>$C1090*F1089</f>
        <v/>
      </c>
      <c r="G1090">
        <f>$C1090*G1089</f>
        <v/>
      </c>
      <c r="H1090">
        <f>$C1090*H1089</f>
        <v/>
      </c>
      <c r="I1090">
        <f>$C1090*I1089</f>
        <v/>
      </c>
      <c r="J1090">
        <f>$C1090*J1089</f>
        <v/>
      </c>
      <c r="K1090">
        <f>$C1090*K1089</f>
        <v/>
      </c>
      <c r="L1090">
        <f>$C1090*L1089</f>
        <v/>
      </c>
      <c r="M1090">
        <f>$C1090*M1089</f>
        <v/>
      </c>
      <c r="N1090">
        <f>$C1090*N1089</f>
        <v/>
      </c>
      <c r="O1090">
        <f>$C1090*O1089</f>
        <v/>
      </c>
      <c r="P1090">
        <f>$C1090*P1089</f>
        <v/>
      </c>
      <c r="Q1090">
        <f>$C1090*Q1089</f>
        <v/>
      </c>
      <c r="R1090">
        <f>$C1090*R1089</f>
        <v/>
      </c>
      <c r="S1090">
        <f>$C1090*S1089</f>
        <v/>
      </c>
      <c r="T1090">
        <f>$C1090*T1089</f>
        <v/>
      </c>
      <c r="U1090">
        <f>$C1090*U1089</f>
        <v/>
      </c>
      <c r="V1090">
        <f>$C1090*V1089</f>
        <v/>
      </c>
      <c r="W1090">
        <f>$C1090*W1089</f>
        <v/>
      </c>
      <c r="X1090">
        <f>$C1090*X1089</f>
        <v/>
      </c>
      <c r="Y1090">
        <f>$C1090*Y1089</f>
        <v/>
      </c>
      <c r="Z1090">
        <f>$C1090*Z1089</f>
        <v/>
      </c>
      <c r="AA1090">
        <f>$C1090*AA1089</f>
        <v/>
      </c>
      <c r="AB1090">
        <f>$C1090*AB1089</f>
        <v/>
      </c>
      <c r="AC1090">
        <f>$C1090*AC1089</f>
        <v/>
      </c>
      <c r="AD1090">
        <f>$C1090*AD1089</f>
        <v/>
      </c>
      <c r="AE1090">
        <f>$C1090*AE1089</f>
        <v/>
      </c>
      <c r="AF1090">
        <f>$C1090*AF1089</f>
        <v/>
      </c>
      <c r="AG1090">
        <f>$C1090*AG1089</f>
        <v/>
      </c>
      <c r="AH1090">
        <f>$C1090*AH1089</f>
        <v/>
      </c>
      <c r="AI1090">
        <f>$C1090*AI1089</f>
        <v/>
      </c>
      <c r="AJ1090">
        <f>$C1090*AJ1089</f>
        <v/>
      </c>
      <c r="AK1090">
        <f>$C1090*AK1089</f>
        <v/>
      </c>
      <c r="AL1090">
        <f>$C1090*AL1089</f>
        <v/>
      </c>
      <c r="AM1090">
        <f>$C1090*AM1089</f>
        <v/>
      </c>
      <c r="AN1090">
        <f>$C1090*AN1089</f>
        <v/>
      </c>
      <c r="AO1090">
        <f>$C1090*AO1089</f>
        <v/>
      </c>
      <c r="AP1090">
        <f>$C1090*AP1089</f>
        <v/>
      </c>
      <c r="AQ1090">
        <f>$C1090*AQ1089</f>
        <v/>
      </c>
      <c r="AR1090">
        <f>$C1090*AR1089</f>
        <v/>
      </c>
      <c r="AS1090">
        <f>$C1090*AS1089</f>
        <v/>
      </c>
      <c r="AT1090">
        <f>$C1090*AT1089</f>
        <v/>
      </c>
      <c r="AU1090">
        <f>$C1090*AU1089</f>
        <v/>
      </c>
      <c r="AV1090">
        <f>$C1090*AV1089</f>
        <v/>
      </c>
      <c r="AW1090">
        <f>$C1090*AW1089</f>
        <v/>
      </c>
      <c r="AX1090">
        <f>$C1090*AX1089</f>
        <v/>
      </c>
      <c r="AY1090">
        <f>$C1090*AY1089</f>
        <v/>
      </c>
      <c r="AZ1090">
        <f>$C1090*AZ1089</f>
        <v/>
      </c>
      <c r="BA1090">
        <f>$C1090*BA1089</f>
        <v/>
      </c>
      <c r="BB1090">
        <f>$C1090*BB1089</f>
        <v/>
      </c>
      <c r="BC1090">
        <f>$C1090*BC1089</f>
        <v/>
      </c>
      <c r="BD1090">
        <f>$C1090*BD1089</f>
        <v/>
      </c>
      <c r="BE1090">
        <f>$C1090*BE1089</f>
        <v/>
      </c>
      <c r="BF1090">
        <f>$C1090*BF1089</f>
        <v/>
      </c>
      <c r="BG1090">
        <f>$C1090*BG1089</f>
        <v/>
      </c>
      <c r="BH1090">
        <f>$C1090*BH1089</f>
        <v/>
      </c>
      <c r="BI1090">
        <f>$C1090*BI1089</f>
        <v/>
      </c>
      <c r="BJ1090">
        <f>$C1090*BJ1089</f>
        <v/>
      </c>
      <c r="BK1090">
        <f>$C1090*BK1089</f>
        <v/>
      </c>
      <c r="BL1090">
        <f>$C1090*BL1089</f>
        <v/>
      </c>
      <c r="BM1090">
        <f>$C1090*BM1089</f>
        <v/>
      </c>
      <c r="BN1090">
        <f>$C1090*BN1089</f>
        <v/>
      </c>
      <c r="BO1090">
        <f>$C1090*BO1089</f>
        <v/>
      </c>
      <c r="BP1090">
        <f>$C1090*BP1089</f>
        <v/>
      </c>
      <c r="BQ1090">
        <f>$C1090*BQ1089</f>
        <v/>
      </c>
      <c r="BR1090">
        <f>$C1090*BR1089</f>
        <v/>
      </c>
      <c r="BS1090">
        <f>$C1090*BS1089</f>
        <v/>
      </c>
      <c r="BT1090">
        <f>$C1090*BT1089</f>
        <v/>
      </c>
      <c r="BU1090">
        <f>$C1090*BU1089</f>
        <v/>
      </c>
      <c r="BV1090">
        <f>$C1090*BV1089</f>
        <v/>
      </c>
      <c r="BW1090">
        <f>$C1090*BW1089</f>
        <v/>
      </c>
      <c r="BX1090">
        <f>$C1090*BX1089</f>
        <v/>
      </c>
      <c r="BY1090">
        <f>$C1090*BY1089</f>
        <v/>
      </c>
      <c r="BZ1090">
        <f>$C1090*BZ1089</f>
        <v/>
      </c>
      <c r="CA1090">
        <f>$C1090*CA1089</f>
        <v/>
      </c>
      <c r="CB1090">
        <f>$C1090*CB1089</f>
        <v/>
      </c>
      <c r="CC1090">
        <f>$C1090*CC1089</f>
        <v/>
      </c>
      <c r="CD1090">
        <f>$C1090*CD1089</f>
        <v/>
      </c>
      <c r="CE1090">
        <f>$C1090*CE1089</f>
        <v/>
      </c>
      <c r="CF1090">
        <f>$C1090*CF1089</f>
        <v/>
      </c>
      <c r="CG1090">
        <f>$C1090*CG1089</f>
        <v/>
      </c>
      <c r="CH1090">
        <f>$C1090*CH1089</f>
        <v/>
      </c>
      <c r="CI1090">
        <f>$C1090*CI1089</f>
        <v/>
      </c>
      <c r="CJ1090">
        <f>$C1090*CJ1089</f>
        <v/>
      </c>
      <c r="CK1090">
        <f>$C1090*CK1089</f>
        <v/>
      </c>
      <c r="CL1090">
        <f>$C1090*CL1089</f>
        <v/>
      </c>
      <c r="CM1090">
        <f>$C1090*CM1089</f>
        <v/>
      </c>
      <c r="CN1090">
        <f>$C1090*CN1089</f>
        <v/>
      </c>
      <c r="CO1090">
        <f>$C1090*CO1089</f>
        <v/>
      </c>
      <c r="CP1090">
        <f>$C1090*CP1089</f>
        <v/>
      </c>
      <c r="CQ1090">
        <f>$C1090*CQ1089</f>
        <v/>
      </c>
      <c r="CR1090">
        <f>$C1090*CR1089</f>
        <v/>
      </c>
      <c r="CS1090">
        <f>$C1090*CS1089</f>
        <v/>
      </c>
      <c r="CT1090">
        <f>$C1090*CT1089</f>
        <v/>
      </c>
      <c r="CU1090">
        <f>$C1090*CU1089</f>
        <v/>
      </c>
      <c r="CV1090">
        <f>$C1090*CV1089</f>
        <v/>
      </c>
      <c r="CW1090">
        <f>$C1090*CW1089</f>
        <v/>
      </c>
      <c r="CX1090">
        <f>$C1090*CX1089</f>
        <v/>
      </c>
      <c r="CY1090">
        <f>$C1090*CY1089</f>
        <v/>
      </c>
      <c r="CZ1090">
        <f>$C1090*CZ1089</f>
        <v/>
      </c>
      <c r="DA1090">
        <f>$C1090*DA1089</f>
        <v/>
      </c>
      <c r="DB1090">
        <f>$C1090*DB1089</f>
        <v/>
      </c>
      <c r="DC1090">
        <f>$C1090*DC1089</f>
        <v/>
      </c>
    </row>
    <row r="1091">
      <c r="B1091" t="inlineStr">
        <is>
          <t>TSP-2168</t>
        </is>
      </c>
      <c r="C1091" t="inlineStr">
        <is>
          <t>No. of batches</t>
        </is>
      </c>
      <c r="D1091">
        <f>IFERROR(INDEX(PP_Grid[#Data],$DD1091,2),0)</f>
        <v/>
      </c>
      <c r="E1091">
        <f>IFERROR(INDEX(PP_Grid[#Data],$DD1091,3),0)</f>
        <v/>
      </c>
      <c r="F1091">
        <f>IFERROR(INDEX(PP_Grid[#Data],$DD1091,4),0)</f>
        <v/>
      </c>
      <c r="G1091">
        <f>IFERROR(INDEX(PP_Grid[#Data],$DD1091,5),0)</f>
        <v/>
      </c>
      <c r="H1091">
        <f>IFERROR(INDEX(PP_Grid[#Data],$DD1091,6),0)</f>
        <v/>
      </c>
      <c r="I1091">
        <f>IFERROR(INDEX(PP_Grid[#Data],$DD1091,7),0)</f>
        <v/>
      </c>
      <c r="J1091">
        <f>IFERROR(INDEX(PP_Grid[#Data],$DD1091,8),0)</f>
        <v/>
      </c>
      <c r="K1091">
        <f>IFERROR(INDEX(PP_Grid[#Data],$DD1091,9),0)</f>
        <v/>
      </c>
      <c r="L1091">
        <f>IFERROR(INDEX(PP_Grid[#Data],$DD1091,10),0)</f>
        <v/>
      </c>
      <c r="M1091">
        <f>IFERROR(INDEX(PP_Grid[#Data],$DD1091,11),0)</f>
        <v/>
      </c>
      <c r="N1091">
        <f>IFERROR(INDEX(PP_Grid[#Data],$DD1091,12),0)</f>
        <v/>
      </c>
      <c r="O1091">
        <f>IFERROR(INDEX(PP_Grid[#Data],$DD1091,13),0)</f>
        <v/>
      </c>
      <c r="P1091">
        <f>IFERROR(INDEX(PP_Grid[#Data],$DD1091,14),0)</f>
        <v/>
      </c>
      <c r="Q1091">
        <f>IFERROR(INDEX(PP_Grid[#Data],$DD1091,15),0)</f>
        <v/>
      </c>
      <c r="R1091">
        <f>IFERROR(INDEX(PP_Grid[#Data],$DD1091,16),0)</f>
        <v/>
      </c>
      <c r="S1091">
        <f>IFERROR(INDEX(PP_Grid[#Data],$DD1091,17),0)</f>
        <v/>
      </c>
      <c r="T1091">
        <f>IFERROR(INDEX(PP_Grid[#Data],$DD1091,18),0)</f>
        <v/>
      </c>
      <c r="U1091">
        <f>IFERROR(INDEX(PP_Grid[#Data],$DD1091,19),0)</f>
        <v/>
      </c>
      <c r="V1091">
        <f>IFERROR(INDEX(PP_Grid[#Data],$DD1091,20),0)</f>
        <v/>
      </c>
      <c r="W1091">
        <f>IFERROR(INDEX(PP_Grid[#Data],$DD1091,21),0)</f>
        <v/>
      </c>
      <c r="X1091">
        <f>IFERROR(INDEX(PP_Grid[#Data],$DD1091,22),0)</f>
        <v/>
      </c>
      <c r="Y1091">
        <f>IFERROR(INDEX(PP_Grid[#Data],$DD1091,23),0)</f>
        <v/>
      </c>
      <c r="Z1091">
        <f>IFERROR(INDEX(PP_Grid[#Data],$DD1091,24),0)</f>
        <v/>
      </c>
      <c r="AA1091">
        <f>IFERROR(INDEX(PP_Grid[#Data],$DD1091,25),0)</f>
        <v/>
      </c>
      <c r="AB1091">
        <f>IFERROR(INDEX(PP_Grid[#Data],$DD1091,26),0)</f>
        <v/>
      </c>
      <c r="AC1091">
        <f>IFERROR(INDEX(PP_Grid[#Data],$DD1091,27),0)</f>
        <v/>
      </c>
      <c r="AD1091">
        <f>IFERROR(INDEX(PP_Grid[#Data],$DD1091,28),0)</f>
        <v/>
      </c>
      <c r="AE1091">
        <f>IFERROR(INDEX(PP_Grid[#Data],$DD1091,29),0)</f>
        <v/>
      </c>
      <c r="AF1091">
        <f>IFERROR(INDEX(PP_Grid[#Data],$DD1091,30),0)</f>
        <v/>
      </c>
      <c r="AG1091">
        <f>IFERROR(INDEX(PP_Grid[#Data],$DD1091,31),0)</f>
        <v/>
      </c>
      <c r="AH1091">
        <f>IFERROR(INDEX(PP_Grid[#Data],$DD1091,32),0)</f>
        <v/>
      </c>
      <c r="AI1091">
        <f>IFERROR(INDEX(PP_Grid[#Data],$DD1091,33),0)</f>
        <v/>
      </c>
      <c r="AJ1091">
        <f>IFERROR(INDEX(PP_Grid[#Data],$DD1091,34),0)</f>
        <v/>
      </c>
      <c r="AK1091">
        <f>IFERROR(INDEX(PP_Grid[#Data],$DD1091,35),0)</f>
        <v/>
      </c>
      <c r="AL1091">
        <f>IFERROR(INDEX(PP_Grid[#Data],$DD1091,36),0)</f>
        <v/>
      </c>
      <c r="AM1091">
        <f>IFERROR(INDEX(PP_Grid[#Data],$DD1091,37),0)</f>
        <v/>
      </c>
      <c r="AN1091">
        <f>IFERROR(INDEX(PP_Grid[#Data],$DD1091,38),0)</f>
        <v/>
      </c>
      <c r="AO1091">
        <f>IFERROR(INDEX(PP_Grid[#Data],$DD1091,39),0)</f>
        <v/>
      </c>
      <c r="AP1091">
        <f>IFERROR(INDEX(PP_Grid[#Data],$DD1091,40),0)</f>
        <v/>
      </c>
      <c r="AQ1091">
        <f>IFERROR(INDEX(PP_Grid[#Data],$DD1091,41),0)</f>
        <v/>
      </c>
      <c r="AR1091">
        <f>IFERROR(INDEX(PP_Grid[#Data],$DD1091,42),0)</f>
        <v/>
      </c>
      <c r="AS1091">
        <f>IFERROR(INDEX(PP_Grid[#Data],$DD1091,43),0)</f>
        <v/>
      </c>
      <c r="AT1091">
        <f>IFERROR(INDEX(PP_Grid[#Data],$DD1091,44),0)</f>
        <v/>
      </c>
      <c r="AU1091">
        <f>IFERROR(INDEX(PP_Grid[#Data],$DD1091,45),0)</f>
        <v/>
      </c>
      <c r="AV1091">
        <f>IFERROR(INDEX(PP_Grid[#Data],$DD1091,46),0)</f>
        <v/>
      </c>
      <c r="AW1091">
        <f>IFERROR(INDEX(PP_Grid[#Data],$DD1091,47),0)</f>
        <v/>
      </c>
      <c r="AX1091">
        <f>IFERROR(INDEX(PP_Grid[#Data],$DD1091,48),0)</f>
        <v/>
      </c>
      <c r="AY1091">
        <f>IFERROR(INDEX(PP_Grid[#Data],$DD1091,49),0)</f>
        <v/>
      </c>
      <c r="AZ1091">
        <f>IFERROR(INDEX(PP_Grid[#Data],$DD1091,50),0)</f>
        <v/>
      </c>
      <c r="BA1091">
        <f>IFERROR(INDEX(PP_Grid[#Data],$DD1091,51),0)</f>
        <v/>
      </c>
      <c r="BB1091">
        <f>IFERROR(INDEX(PP_Grid[#Data],$DD1091,52),0)</f>
        <v/>
      </c>
      <c r="BC1091">
        <f>IFERROR(INDEX(PP_Grid[#Data],$DD1091,53),0)</f>
        <v/>
      </c>
      <c r="BD1091">
        <f>IFERROR(INDEX(PP_Grid[#Data],$DD1091,54),0)</f>
        <v/>
      </c>
      <c r="BE1091">
        <f>IFERROR(INDEX(PP_Grid[#Data],$DD1091,55),0)</f>
        <v/>
      </c>
      <c r="BF1091">
        <f>IFERROR(INDEX(PP_Grid[#Data],$DD1091,56),0)</f>
        <v/>
      </c>
      <c r="BG1091">
        <f>IFERROR(INDEX(PP_Grid[#Data],$DD1091,57),0)</f>
        <v/>
      </c>
      <c r="BH1091">
        <f>IFERROR(INDEX(PP_Grid[#Data],$DD1091,58),0)</f>
        <v/>
      </c>
      <c r="BI1091">
        <f>IFERROR(INDEX(PP_Grid[#Data],$DD1091,59),0)</f>
        <v/>
      </c>
      <c r="BJ1091">
        <f>IFERROR(INDEX(PP_Grid[#Data],$DD1091,60),0)</f>
        <v/>
      </c>
      <c r="BK1091">
        <f>IFERROR(INDEX(PP_Grid[#Data],$DD1091,61),0)</f>
        <v/>
      </c>
      <c r="BL1091">
        <f>IFERROR(INDEX(PP_Grid[#Data],$DD1091,62),0)</f>
        <v/>
      </c>
      <c r="BM1091">
        <f>IFERROR(INDEX(PP_Grid[#Data],$DD1091,63),0)</f>
        <v/>
      </c>
      <c r="BN1091">
        <f>IFERROR(INDEX(PP_Grid[#Data],$DD1091,64),0)</f>
        <v/>
      </c>
      <c r="BO1091">
        <f>IFERROR(INDEX(PP_Grid[#Data],$DD1091,65),0)</f>
        <v/>
      </c>
      <c r="BP1091">
        <f>IFERROR(INDEX(PP_Grid[#Data],$DD1091,66),0)</f>
        <v/>
      </c>
      <c r="BQ1091">
        <f>IFERROR(INDEX(PP_Grid[#Data],$DD1091,67),0)</f>
        <v/>
      </c>
      <c r="BR1091">
        <f>IFERROR(INDEX(PP_Grid[#Data],$DD1091,68),0)</f>
        <v/>
      </c>
      <c r="BS1091">
        <f>IFERROR(INDEX(PP_Grid[#Data],$DD1091,69),0)</f>
        <v/>
      </c>
      <c r="BT1091">
        <f>IFERROR(INDEX(PP_Grid[#Data],$DD1091,70),0)</f>
        <v/>
      </c>
      <c r="BU1091">
        <f>IFERROR(INDEX(PP_Grid[#Data],$DD1091,71),0)</f>
        <v/>
      </c>
      <c r="BV1091">
        <f>IFERROR(INDEX(PP_Grid[#Data],$DD1091,72),0)</f>
        <v/>
      </c>
      <c r="BW1091">
        <f>IFERROR(INDEX(PP_Grid[#Data],$DD1091,73),0)</f>
        <v/>
      </c>
      <c r="BX1091">
        <f>IFERROR(INDEX(PP_Grid[#Data],$DD1091,74),0)</f>
        <v/>
      </c>
      <c r="BY1091">
        <f>IFERROR(INDEX(PP_Grid[#Data],$DD1091,75),0)</f>
        <v/>
      </c>
      <c r="BZ1091">
        <f>IFERROR(INDEX(PP_Grid[#Data],$DD1091,76),0)</f>
        <v/>
      </c>
      <c r="CA1091">
        <f>IFERROR(INDEX(PP_Grid[#Data],$DD1091,77),0)</f>
        <v/>
      </c>
      <c r="CB1091">
        <f>IFERROR(INDEX(PP_Grid[#Data],$DD1091,78),0)</f>
        <v/>
      </c>
      <c r="CC1091">
        <f>IFERROR(INDEX(PP_Grid[#Data],$DD1091,79),0)</f>
        <v/>
      </c>
      <c r="CD1091">
        <f>IFERROR(INDEX(PP_Grid[#Data],$DD1091,80),0)</f>
        <v/>
      </c>
      <c r="CE1091">
        <f>IFERROR(INDEX(PP_Grid[#Data],$DD1091,81),0)</f>
        <v/>
      </c>
      <c r="CF1091">
        <f>IFERROR(INDEX(PP_Grid[#Data],$DD1091,82),0)</f>
        <v/>
      </c>
      <c r="CG1091">
        <f>IFERROR(INDEX(PP_Grid[#Data],$DD1091,83),0)</f>
        <v/>
      </c>
      <c r="CH1091">
        <f>IFERROR(INDEX(PP_Grid[#Data],$DD1091,84),0)</f>
        <v/>
      </c>
      <c r="CI1091">
        <f>IFERROR(INDEX(PP_Grid[#Data],$DD1091,85),0)</f>
        <v/>
      </c>
      <c r="CJ1091">
        <f>IFERROR(INDEX(PP_Grid[#Data],$DD1091,86),0)</f>
        <v/>
      </c>
      <c r="CK1091">
        <f>IFERROR(INDEX(PP_Grid[#Data],$DD1091,87),0)</f>
        <v/>
      </c>
      <c r="CL1091">
        <f>IFERROR(INDEX(PP_Grid[#Data],$DD1091,88),0)</f>
        <v/>
      </c>
      <c r="CM1091">
        <f>IFERROR(INDEX(PP_Grid[#Data],$DD1091,89),0)</f>
        <v/>
      </c>
      <c r="CN1091">
        <f>IFERROR(INDEX(PP_Grid[#Data],$DD1091,90),0)</f>
        <v/>
      </c>
      <c r="CO1091">
        <f>IFERROR(INDEX(PP_Grid[#Data],$DD1091,91),0)</f>
        <v/>
      </c>
      <c r="CP1091">
        <f>IFERROR(INDEX(PP_Grid[#Data],$DD1091,92),0)</f>
        <v/>
      </c>
      <c r="CQ1091">
        <f>IFERROR(INDEX(PP_Grid[#Data],$DD1091,93),0)</f>
        <v/>
      </c>
      <c r="CR1091">
        <f>IFERROR(INDEX(PP_Grid[#Data],$DD1091,94),0)</f>
        <v/>
      </c>
      <c r="CS1091">
        <f>IFERROR(INDEX(PP_Grid[#Data],$DD1091,95),0)</f>
        <v/>
      </c>
      <c r="CT1091">
        <f>IFERROR(INDEX(PP_Grid[#Data],$DD1091,96),0)</f>
        <v/>
      </c>
      <c r="CU1091">
        <f>IFERROR(INDEX(PP_Grid[#Data],$DD1091,97),0)</f>
        <v/>
      </c>
      <c r="CV1091">
        <f>IFERROR(INDEX(PP_Grid[#Data],$DD1091,98),0)</f>
        <v/>
      </c>
      <c r="CW1091">
        <f>IFERROR(INDEX(PP_Grid[#Data],$DD1091,99),0)</f>
        <v/>
      </c>
      <c r="CX1091">
        <f>IFERROR(INDEX(PP_Grid[#Data],$DD1091,100),0)</f>
        <v/>
      </c>
      <c r="CY1091">
        <f>IFERROR(INDEX(PP_Grid[#Data],$DD1091,101),0)</f>
        <v/>
      </c>
      <c r="CZ1091">
        <f>IFERROR(INDEX(PP_Grid[#Data],$DD1091,102),0)</f>
        <v/>
      </c>
      <c r="DA1091">
        <f>IFERROR(INDEX(PP_Grid[#Data],$DD1091,103),0)</f>
        <v/>
      </c>
      <c r="DB1091">
        <f>IFERROR(INDEX(PP_Grid[#Data],$DD1091,104),0)</f>
        <v/>
      </c>
      <c r="DC1091">
        <f>IFERROR(INDEX(PP_Grid[#Data],$DD1091,105),0)</f>
        <v/>
      </c>
      <c r="DD1091" s="7">
        <f>IFERROR(MATCH($B1091,PP_Grid[Intermediate],0),99999)</f>
        <v/>
      </c>
    </row>
    <row r="1092">
      <c r="B1092" t="inlineStr">
        <is>
          <t>使用量(kg)</t>
        </is>
      </c>
      <c r="C1092">
        <f>SUMIFS(M_BOM[RM_Qty_Per_Batch],M_BOM[Intermediate],$B1091,M_BOM[Part Name],$A1082)</f>
        <v/>
      </c>
      <c r="D1092">
        <f>$C1092*D1091</f>
        <v/>
      </c>
      <c r="E1092">
        <f>$C1092*E1091</f>
        <v/>
      </c>
      <c r="F1092">
        <f>$C1092*F1091</f>
        <v/>
      </c>
      <c r="G1092">
        <f>$C1092*G1091</f>
        <v/>
      </c>
      <c r="H1092">
        <f>$C1092*H1091</f>
        <v/>
      </c>
      <c r="I1092">
        <f>$C1092*I1091</f>
        <v/>
      </c>
      <c r="J1092">
        <f>$C1092*J1091</f>
        <v/>
      </c>
      <c r="K1092">
        <f>$C1092*K1091</f>
        <v/>
      </c>
      <c r="L1092">
        <f>$C1092*L1091</f>
        <v/>
      </c>
      <c r="M1092">
        <f>$C1092*M1091</f>
        <v/>
      </c>
      <c r="N1092">
        <f>$C1092*N1091</f>
        <v/>
      </c>
      <c r="O1092">
        <f>$C1092*O1091</f>
        <v/>
      </c>
      <c r="P1092">
        <f>$C1092*P1091</f>
        <v/>
      </c>
      <c r="Q1092">
        <f>$C1092*Q1091</f>
        <v/>
      </c>
      <c r="R1092">
        <f>$C1092*R1091</f>
        <v/>
      </c>
      <c r="S1092">
        <f>$C1092*S1091</f>
        <v/>
      </c>
      <c r="T1092">
        <f>$C1092*T1091</f>
        <v/>
      </c>
      <c r="U1092">
        <f>$C1092*U1091</f>
        <v/>
      </c>
      <c r="V1092">
        <f>$C1092*V1091</f>
        <v/>
      </c>
      <c r="W1092">
        <f>$C1092*W1091</f>
        <v/>
      </c>
      <c r="X1092">
        <f>$C1092*X1091</f>
        <v/>
      </c>
      <c r="Y1092">
        <f>$C1092*Y1091</f>
        <v/>
      </c>
      <c r="Z1092">
        <f>$C1092*Z1091</f>
        <v/>
      </c>
      <c r="AA1092">
        <f>$C1092*AA1091</f>
        <v/>
      </c>
      <c r="AB1092">
        <f>$C1092*AB1091</f>
        <v/>
      </c>
      <c r="AC1092">
        <f>$C1092*AC1091</f>
        <v/>
      </c>
      <c r="AD1092">
        <f>$C1092*AD1091</f>
        <v/>
      </c>
      <c r="AE1092">
        <f>$C1092*AE1091</f>
        <v/>
      </c>
      <c r="AF1092">
        <f>$C1092*AF1091</f>
        <v/>
      </c>
      <c r="AG1092">
        <f>$C1092*AG1091</f>
        <v/>
      </c>
      <c r="AH1092">
        <f>$C1092*AH1091</f>
        <v/>
      </c>
      <c r="AI1092">
        <f>$C1092*AI1091</f>
        <v/>
      </c>
      <c r="AJ1092">
        <f>$C1092*AJ1091</f>
        <v/>
      </c>
      <c r="AK1092">
        <f>$C1092*AK1091</f>
        <v/>
      </c>
      <c r="AL1092">
        <f>$C1092*AL1091</f>
        <v/>
      </c>
      <c r="AM1092">
        <f>$C1092*AM1091</f>
        <v/>
      </c>
      <c r="AN1092">
        <f>$C1092*AN1091</f>
        <v/>
      </c>
      <c r="AO1092">
        <f>$C1092*AO1091</f>
        <v/>
      </c>
      <c r="AP1092">
        <f>$C1092*AP1091</f>
        <v/>
      </c>
      <c r="AQ1092">
        <f>$C1092*AQ1091</f>
        <v/>
      </c>
      <c r="AR1092">
        <f>$C1092*AR1091</f>
        <v/>
      </c>
      <c r="AS1092">
        <f>$C1092*AS1091</f>
        <v/>
      </c>
      <c r="AT1092">
        <f>$C1092*AT1091</f>
        <v/>
      </c>
      <c r="AU1092">
        <f>$C1092*AU1091</f>
        <v/>
      </c>
      <c r="AV1092">
        <f>$C1092*AV1091</f>
        <v/>
      </c>
      <c r="AW1092">
        <f>$C1092*AW1091</f>
        <v/>
      </c>
      <c r="AX1092">
        <f>$C1092*AX1091</f>
        <v/>
      </c>
      <c r="AY1092">
        <f>$C1092*AY1091</f>
        <v/>
      </c>
      <c r="AZ1092">
        <f>$C1092*AZ1091</f>
        <v/>
      </c>
      <c r="BA1092">
        <f>$C1092*BA1091</f>
        <v/>
      </c>
      <c r="BB1092">
        <f>$C1092*BB1091</f>
        <v/>
      </c>
      <c r="BC1092">
        <f>$C1092*BC1091</f>
        <v/>
      </c>
      <c r="BD1092">
        <f>$C1092*BD1091</f>
        <v/>
      </c>
      <c r="BE1092">
        <f>$C1092*BE1091</f>
        <v/>
      </c>
      <c r="BF1092">
        <f>$C1092*BF1091</f>
        <v/>
      </c>
      <c r="BG1092">
        <f>$C1092*BG1091</f>
        <v/>
      </c>
      <c r="BH1092">
        <f>$C1092*BH1091</f>
        <v/>
      </c>
      <c r="BI1092">
        <f>$C1092*BI1091</f>
        <v/>
      </c>
      <c r="BJ1092">
        <f>$C1092*BJ1091</f>
        <v/>
      </c>
      <c r="BK1092">
        <f>$C1092*BK1091</f>
        <v/>
      </c>
      <c r="BL1092">
        <f>$C1092*BL1091</f>
        <v/>
      </c>
      <c r="BM1092">
        <f>$C1092*BM1091</f>
        <v/>
      </c>
      <c r="BN1092">
        <f>$C1092*BN1091</f>
        <v/>
      </c>
      <c r="BO1092">
        <f>$C1092*BO1091</f>
        <v/>
      </c>
      <c r="BP1092">
        <f>$C1092*BP1091</f>
        <v/>
      </c>
      <c r="BQ1092">
        <f>$C1092*BQ1091</f>
        <v/>
      </c>
      <c r="BR1092">
        <f>$C1092*BR1091</f>
        <v/>
      </c>
      <c r="BS1092">
        <f>$C1092*BS1091</f>
        <v/>
      </c>
      <c r="BT1092">
        <f>$C1092*BT1091</f>
        <v/>
      </c>
      <c r="BU1092">
        <f>$C1092*BU1091</f>
        <v/>
      </c>
      <c r="BV1092">
        <f>$C1092*BV1091</f>
        <v/>
      </c>
      <c r="BW1092">
        <f>$C1092*BW1091</f>
        <v/>
      </c>
      <c r="BX1092">
        <f>$C1092*BX1091</f>
        <v/>
      </c>
      <c r="BY1092">
        <f>$C1092*BY1091</f>
        <v/>
      </c>
      <c r="BZ1092">
        <f>$C1092*BZ1091</f>
        <v/>
      </c>
      <c r="CA1092">
        <f>$C1092*CA1091</f>
        <v/>
      </c>
      <c r="CB1092">
        <f>$C1092*CB1091</f>
        <v/>
      </c>
      <c r="CC1092">
        <f>$C1092*CC1091</f>
        <v/>
      </c>
      <c r="CD1092">
        <f>$C1092*CD1091</f>
        <v/>
      </c>
      <c r="CE1092">
        <f>$C1092*CE1091</f>
        <v/>
      </c>
      <c r="CF1092">
        <f>$C1092*CF1091</f>
        <v/>
      </c>
      <c r="CG1092">
        <f>$C1092*CG1091</f>
        <v/>
      </c>
      <c r="CH1092">
        <f>$C1092*CH1091</f>
        <v/>
      </c>
      <c r="CI1092">
        <f>$C1092*CI1091</f>
        <v/>
      </c>
      <c r="CJ1092">
        <f>$C1092*CJ1091</f>
        <v/>
      </c>
      <c r="CK1092">
        <f>$C1092*CK1091</f>
        <v/>
      </c>
      <c r="CL1092">
        <f>$C1092*CL1091</f>
        <v/>
      </c>
      <c r="CM1092">
        <f>$C1092*CM1091</f>
        <v/>
      </c>
      <c r="CN1092">
        <f>$C1092*CN1091</f>
        <v/>
      </c>
      <c r="CO1092">
        <f>$C1092*CO1091</f>
        <v/>
      </c>
      <c r="CP1092">
        <f>$C1092*CP1091</f>
        <v/>
      </c>
      <c r="CQ1092">
        <f>$C1092*CQ1091</f>
        <v/>
      </c>
      <c r="CR1092">
        <f>$C1092*CR1091</f>
        <v/>
      </c>
      <c r="CS1092">
        <f>$C1092*CS1091</f>
        <v/>
      </c>
      <c r="CT1092">
        <f>$C1092*CT1091</f>
        <v/>
      </c>
      <c r="CU1092">
        <f>$C1092*CU1091</f>
        <v/>
      </c>
      <c r="CV1092">
        <f>$C1092*CV1091</f>
        <v/>
      </c>
      <c r="CW1092">
        <f>$C1092*CW1091</f>
        <v/>
      </c>
      <c r="CX1092">
        <f>$C1092*CX1091</f>
        <v/>
      </c>
      <c r="CY1092">
        <f>$C1092*CY1091</f>
        <v/>
      </c>
      <c r="CZ1092">
        <f>$C1092*CZ1091</f>
        <v/>
      </c>
      <c r="DA1092">
        <f>$C1092*DA1091</f>
        <v/>
      </c>
      <c r="DB1092">
        <f>$C1092*DB1091</f>
        <v/>
      </c>
      <c r="DC1092">
        <f>$C1092*DC1091</f>
        <v/>
      </c>
    </row>
    <row r="1093">
      <c r="B1093" s="4" t="inlineStr">
        <is>
          <t>合計使用量(kg)/週</t>
        </is>
      </c>
      <c r="D1093">
        <f>'Grid_Requirement'!B26</f>
        <v/>
      </c>
      <c r="E1093">
        <f>'Grid_Requirement'!C26</f>
        <v/>
      </c>
      <c r="F1093">
        <f>'Grid_Requirement'!D26</f>
        <v/>
      </c>
      <c r="G1093">
        <f>'Grid_Requirement'!E26</f>
        <v/>
      </c>
      <c r="H1093">
        <f>'Grid_Requirement'!F26</f>
        <v/>
      </c>
      <c r="I1093">
        <f>'Grid_Requirement'!G26</f>
        <v/>
      </c>
      <c r="J1093">
        <f>'Grid_Requirement'!H26</f>
        <v/>
      </c>
      <c r="K1093">
        <f>'Grid_Requirement'!I26</f>
        <v/>
      </c>
      <c r="L1093">
        <f>'Grid_Requirement'!J26</f>
        <v/>
      </c>
      <c r="M1093">
        <f>'Grid_Requirement'!K26</f>
        <v/>
      </c>
      <c r="N1093">
        <f>'Grid_Requirement'!L26</f>
        <v/>
      </c>
      <c r="O1093">
        <f>'Grid_Requirement'!M26</f>
        <v/>
      </c>
      <c r="P1093">
        <f>'Grid_Requirement'!N26</f>
        <v/>
      </c>
      <c r="Q1093">
        <f>'Grid_Requirement'!O26</f>
        <v/>
      </c>
      <c r="R1093">
        <f>'Grid_Requirement'!P26</f>
        <v/>
      </c>
      <c r="S1093">
        <f>'Grid_Requirement'!Q26</f>
        <v/>
      </c>
      <c r="T1093">
        <f>'Grid_Requirement'!R26</f>
        <v/>
      </c>
      <c r="U1093">
        <f>'Grid_Requirement'!S26</f>
        <v/>
      </c>
      <c r="V1093">
        <f>'Grid_Requirement'!T26</f>
        <v/>
      </c>
      <c r="W1093">
        <f>'Grid_Requirement'!U26</f>
        <v/>
      </c>
      <c r="X1093">
        <f>'Grid_Requirement'!V26</f>
        <v/>
      </c>
      <c r="Y1093">
        <f>'Grid_Requirement'!W26</f>
        <v/>
      </c>
      <c r="Z1093">
        <f>'Grid_Requirement'!X26</f>
        <v/>
      </c>
      <c r="AA1093">
        <f>'Grid_Requirement'!Y26</f>
        <v/>
      </c>
      <c r="AB1093">
        <f>'Grid_Requirement'!Z26</f>
        <v/>
      </c>
      <c r="AC1093">
        <f>'Grid_Requirement'!AA26</f>
        <v/>
      </c>
      <c r="AD1093">
        <f>'Grid_Requirement'!AB26</f>
        <v/>
      </c>
      <c r="AE1093">
        <f>'Grid_Requirement'!AC26</f>
        <v/>
      </c>
      <c r="AF1093">
        <f>'Grid_Requirement'!AD26</f>
        <v/>
      </c>
      <c r="AG1093">
        <f>'Grid_Requirement'!AE26</f>
        <v/>
      </c>
      <c r="AH1093">
        <f>'Grid_Requirement'!AF26</f>
        <v/>
      </c>
      <c r="AI1093">
        <f>'Grid_Requirement'!AG26</f>
        <v/>
      </c>
      <c r="AJ1093">
        <f>'Grid_Requirement'!AH26</f>
        <v/>
      </c>
      <c r="AK1093">
        <f>'Grid_Requirement'!AI26</f>
        <v/>
      </c>
      <c r="AL1093">
        <f>'Grid_Requirement'!AJ26</f>
        <v/>
      </c>
      <c r="AM1093">
        <f>'Grid_Requirement'!AK26</f>
        <v/>
      </c>
      <c r="AN1093">
        <f>'Grid_Requirement'!AL26</f>
        <v/>
      </c>
      <c r="AO1093">
        <f>'Grid_Requirement'!AM26</f>
        <v/>
      </c>
      <c r="AP1093">
        <f>'Grid_Requirement'!AN26</f>
        <v/>
      </c>
      <c r="AQ1093">
        <f>'Grid_Requirement'!AO26</f>
        <v/>
      </c>
      <c r="AR1093">
        <f>'Grid_Requirement'!AP26</f>
        <v/>
      </c>
      <c r="AS1093">
        <f>'Grid_Requirement'!AQ26</f>
        <v/>
      </c>
      <c r="AT1093">
        <f>'Grid_Requirement'!AR26</f>
        <v/>
      </c>
      <c r="AU1093">
        <f>'Grid_Requirement'!AS26</f>
        <v/>
      </c>
      <c r="AV1093">
        <f>'Grid_Requirement'!AT26</f>
        <v/>
      </c>
      <c r="AW1093">
        <f>'Grid_Requirement'!AU26</f>
        <v/>
      </c>
      <c r="AX1093">
        <f>'Grid_Requirement'!AV26</f>
        <v/>
      </c>
      <c r="AY1093">
        <f>'Grid_Requirement'!AW26</f>
        <v/>
      </c>
      <c r="AZ1093">
        <f>'Grid_Requirement'!AX26</f>
        <v/>
      </c>
      <c r="BA1093">
        <f>'Grid_Requirement'!AY26</f>
        <v/>
      </c>
      <c r="BB1093">
        <f>'Grid_Requirement'!AZ26</f>
        <v/>
      </c>
      <c r="BC1093">
        <f>'Grid_Requirement'!BA26</f>
        <v/>
      </c>
      <c r="BD1093">
        <f>'Grid_Requirement'!BB26</f>
        <v/>
      </c>
      <c r="BE1093">
        <f>'Grid_Requirement'!BC26</f>
        <v/>
      </c>
      <c r="BF1093">
        <f>'Grid_Requirement'!BD26</f>
        <v/>
      </c>
      <c r="BG1093">
        <f>'Grid_Requirement'!BE26</f>
        <v/>
      </c>
      <c r="BH1093">
        <f>'Grid_Requirement'!BF26</f>
        <v/>
      </c>
      <c r="BI1093">
        <f>'Grid_Requirement'!BG26</f>
        <v/>
      </c>
      <c r="BJ1093">
        <f>'Grid_Requirement'!BH26</f>
        <v/>
      </c>
      <c r="BK1093">
        <f>'Grid_Requirement'!BI26</f>
        <v/>
      </c>
      <c r="BL1093">
        <f>'Grid_Requirement'!BJ26</f>
        <v/>
      </c>
      <c r="BM1093">
        <f>'Grid_Requirement'!BK26</f>
        <v/>
      </c>
      <c r="BN1093">
        <f>'Grid_Requirement'!BL26</f>
        <v/>
      </c>
      <c r="BO1093">
        <f>'Grid_Requirement'!BM26</f>
        <v/>
      </c>
      <c r="BP1093">
        <f>'Grid_Requirement'!BN26</f>
        <v/>
      </c>
      <c r="BQ1093">
        <f>'Grid_Requirement'!BO26</f>
        <v/>
      </c>
      <c r="BR1093">
        <f>'Grid_Requirement'!BP26</f>
        <v/>
      </c>
      <c r="BS1093">
        <f>'Grid_Requirement'!BQ26</f>
        <v/>
      </c>
      <c r="BT1093">
        <f>'Grid_Requirement'!BR26</f>
        <v/>
      </c>
      <c r="BU1093">
        <f>'Grid_Requirement'!BS26</f>
        <v/>
      </c>
      <c r="BV1093">
        <f>'Grid_Requirement'!BT26</f>
        <v/>
      </c>
      <c r="BW1093">
        <f>'Grid_Requirement'!BU26</f>
        <v/>
      </c>
      <c r="BX1093">
        <f>'Grid_Requirement'!BV26</f>
        <v/>
      </c>
      <c r="BY1093">
        <f>'Grid_Requirement'!BW26</f>
        <v/>
      </c>
      <c r="BZ1093">
        <f>'Grid_Requirement'!BX26</f>
        <v/>
      </c>
      <c r="CA1093">
        <f>'Grid_Requirement'!BY26</f>
        <v/>
      </c>
      <c r="CB1093">
        <f>'Grid_Requirement'!BZ26</f>
        <v/>
      </c>
      <c r="CC1093">
        <f>'Grid_Requirement'!CA26</f>
        <v/>
      </c>
      <c r="CD1093">
        <f>'Grid_Requirement'!CB26</f>
        <v/>
      </c>
      <c r="CE1093">
        <f>'Grid_Requirement'!CC26</f>
        <v/>
      </c>
      <c r="CF1093">
        <f>'Grid_Requirement'!CD26</f>
        <v/>
      </c>
      <c r="CG1093">
        <f>'Grid_Requirement'!CE26</f>
        <v/>
      </c>
      <c r="CH1093">
        <f>'Grid_Requirement'!CF26</f>
        <v/>
      </c>
      <c r="CI1093">
        <f>'Grid_Requirement'!CG26</f>
        <v/>
      </c>
      <c r="CJ1093">
        <f>'Grid_Requirement'!CH26</f>
        <v/>
      </c>
      <c r="CK1093">
        <f>'Grid_Requirement'!CI26</f>
        <v/>
      </c>
      <c r="CL1093">
        <f>'Grid_Requirement'!CJ26</f>
        <v/>
      </c>
      <c r="CM1093">
        <f>'Grid_Requirement'!CK26</f>
        <v/>
      </c>
      <c r="CN1093">
        <f>'Grid_Requirement'!CL26</f>
        <v/>
      </c>
      <c r="CO1093">
        <f>'Grid_Requirement'!CM26</f>
        <v/>
      </c>
      <c r="CP1093">
        <f>'Grid_Requirement'!CN26</f>
        <v/>
      </c>
      <c r="CQ1093">
        <f>'Grid_Requirement'!CO26</f>
        <v/>
      </c>
      <c r="CR1093">
        <f>'Grid_Requirement'!CP26</f>
        <v/>
      </c>
      <c r="CS1093">
        <f>'Grid_Requirement'!CQ26</f>
        <v/>
      </c>
      <c r="CT1093">
        <f>'Grid_Requirement'!CR26</f>
        <v/>
      </c>
      <c r="CU1093">
        <f>'Grid_Requirement'!CS26</f>
        <v/>
      </c>
      <c r="CV1093">
        <f>'Grid_Requirement'!CT26</f>
        <v/>
      </c>
      <c r="CW1093">
        <f>'Grid_Requirement'!CU26</f>
        <v/>
      </c>
      <c r="CX1093">
        <f>'Grid_Requirement'!CV26</f>
        <v/>
      </c>
      <c r="CY1093">
        <f>'Grid_Requirement'!CW26</f>
        <v/>
      </c>
      <c r="CZ1093">
        <f>'Grid_Requirement'!CX26</f>
        <v/>
      </c>
      <c r="DA1093">
        <f>'Grid_Requirement'!CY26</f>
        <v/>
      </c>
      <c r="DB1093">
        <f>'Grid_Requirement'!CZ26</f>
        <v/>
      </c>
      <c r="DC1093">
        <f>'Grid_Requirement'!DA26</f>
        <v/>
      </c>
    </row>
    <row r="1094">
      <c r="B1094" t="inlineStr">
        <is>
          <t>TTAF在庫(実績,kg)</t>
        </is>
      </c>
      <c r="D1094">
        <f>'T_TTAFStock'!B30</f>
        <v/>
      </c>
      <c r="E1094">
        <f>'T_TTAFStock'!C30</f>
        <v/>
      </c>
      <c r="F1094">
        <f>'T_TTAFStock'!D30</f>
        <v/>
      </c>
      <c r="G1094">
        <f>'T_TTAFStock'!E30</f>
        <v/>
      </c>
      <c r="H1094">
        <f>'T_TTAFStock'!F30</f>
        <v/>
      </c>
      <c r="I1094">
        <f>'T_TTAFStock'!G30</f>
        <v/>
      </c>
      <c r="J1094">
        <f>'T_TTAFStock'!H30</f>
        <v/>
      </c>
      <c r="K1094">
        <f>'T_TTAFStock'!I30</f>
        <v/>
      </c>
      <c r="L1094">
        <f>'T_TTAFStock'!J30</f>
        <v/>
      </c>
      <c r="M1094">
        <f>'T_TTAFStock'!K30</f>
        <v/>
      </c>
      <c r="N1094">
        <f>'T_TTAFStock'!L30</f>
        <v/>
      </c>
      <c r="O1094">
        <f>'T_TTAFStock'!M30</f>
        <v/>
      </c>
      <c r="P1094">
        <f>'T_TTAFStock'!N30</f>
        <v/>
      </c>
      <c r="Q1094">
        <f>'T_TTAFStock'!O30</f>
        <v/>
      </c>
      <c r="R1094">
        <f>'T_TTAFStock'!P30</f>
        <v/>
      </c>
      <c r="S1094">
        <f>'T_TTAFStock'!Q30</f>
        <v/>
      </c>
      <c r="T1094">
        <f>'T_TTAFStock'!R30</f>
        <v/>
      </c>
      <c r="U1094">
        <f>'T_TTAFStock'!S30</f>
        <v/>
      </c>
      <c r="V1094">
        <f>'T_TTAFStock'!T30</f>
        <v/>
      </c>
      <c r="W1094">
        <f>'T_TTAFStock'!U30</f>
        <v/>
      </c>
      <c r="X1094">
        <f>'T_TTAFStock'!V30</f>
        <v/>
      </c>
      <c r="Y1094">
        <f>'T_TTAFStock'!W30</f>
        <v/>
      </c>
      <c r="Z1094">
        <f>'T_TTAFStock'!X30</f>
        <v/>
      </c>
      <c r="AA1094">
        <f>'T_TTAFStock'!Y30</f>
        <v/>
      </c>
      <c r="AB1094">
        <f>'T_TTAFStock'!Z30</f>
        <v/>
      </c>
      <c r="AC1094">
        <f>'T_TTAFStock'!AA30</f>
        <v/>
      </c>
      <c r="AD1094">
        <f>'T_TTAFStock'!AB30</f>
        <v/>
      </c>
      <c r="AE1094">
        <f>'T_TTAFStock'!AC30</f>
        <v/>
      </c>
      <c r="AF1094">
        <f>'T_TTAFStock'!AD30</f>
        <v/>
      </c>
      <c r="AG1094">
        <f>'T_TTAFStock'!AE30</f>
        <v/>
      </c>
      <c r="AH1094">
        <f>'T_TTAFStock'!AF30</f>
        <v/>
      </c>
      <c r="AI1094">
        <f>'T_TTAFStock'!AG30</f>
        <v/>
      </c>
      <c r="AJ1094">
        <f>'T_TTAFStock'!AH30</f>
        <v/>
      </c>
      <c r="AK1094">
        <f>'T_TTAFStock'!AI30</f>
        <v/>
      </c>
      <c r="AL1094">
        <f>'T_TTAFStock'!AJ30</f>
        <v/>
      </c>
      <c r="AM1094">
        <f>'T_TTAFStock'!AK30</f>
        <v/>
      </c>
      <c r="AN1094">
        <f>'T_TTAFStock'!AL30</f>
        <v/>
      </c>
      <c r="AO1094">
        <f>'T_TTAFStock'!AM30</f>
        <v/>
      </c>
      <c r="AP1094">
        <f>'T_TTAFStock'!AN30</f>
        <v/>
      </c>
      <c r="AQ1094">
        <f>'T_TTAFStock'!AO30</f>
        <v/>
      </c>
      <c r="AR1094">
        <f>'T_TTAFStock'!AP30</f>
        <v/>
      </c>
      <c r="AS1094">
        <f>'T_TTAFStock'!AQ30</f>
        <v/>
      </c>
      <c r="AT1094">
        <f>'T_TTAFStock'!AR30</f>
        <v/>
      </c>
      <c r="AU1094">
        <f>'T_TTAFStock'!AS30</f>
        <v/>
      </c>
      <c r="AV1094">
        <f>'T_TTAFStock'!AT30</f>
        <v/>
      </c>
      <c r="AW1094">
        <f>'T_TTAFStock'!AU30</f>
        <v/>
      </c>
      <c r="AX1094">
        <f>'T_TTAFStock'!AV30</f>
        <v/>
      </c>
      <c r="AY1094">
        <f>'T_TTAFStock'!AW30</f>
        <v/>
      </c>
      <c r="AZ1094">
        <f>'T_TTAFStock'!AX30</f>
        <v/>
      </c>
      <c r="BA1094">
        <f>'T_TTAFStock'!AY30</f>
        <v/>
      </c>
      <c r="BB1094">
        <f>'T_TTAFStock'!AZ30</f>
        <v/>
      </c>
      <c r="BC1094">
        <f>'T_TTAFStock'!BA30</f>
        <v/>
      </c>
      <c r="BD1094">
        <f>'T_TTAFStock'!BB30</f>
        <v/>
      </c>
      <c r="BE1094">
        <f>'T_TTAFStock'!BC30</f>
        <v/>
      </c>
      <c r="BF1094">
        <f>'T_TTAFStock'!BD30</f>
        <v/>
      </c>
      <c r="BG1094">
        <f>'T_TTAFStock'!BE30</f>
        <v/>
      </c>
      <c r="BH1094">
        <f>'T_TTAFStock'!BF30</f>
        <v/>
      </c>
      <c r="BI1094">
        <f>'T_TTAFStock'!BG30</f>
        <v/>
      </c>
      <c r="BJ1094">
        <f>'T_TTAFStock'!BH30</f>
        <v/>
      </c>
      <c r="BK1094">
        <f>'T_TTAFStock'!BI30</f>
        <v/>
      </c>
      <c r="BL1094">
        <f>'T_TTAFStock'!BJ30</f>
        <v/>
      </c>
      <c r="BM1094">
        <f>'T_TTAFStock'!BK30</f>
        <v/>
      </c>
      <c r="BN1094">
        <f>'T_TTAFStock'!BL30</f>
        <v/>
      </c>
      <c r="BO1094">
        <f>'T_TTAFStock'!BM30</f>
        <v/>
      </c>
      <c r="BP1094">
        <f>'T_TTAFStock'!BN30</f>
        <v/>
      </c>
      <c r="BQ1094">
        <f>'T_TTAFStock'!BO30</f>
        <v/>
      </c>
      <c r="BR1094">
        <f>'T_TTAFStock'!BP30</f>
        <v/>
      </c>
      <c r="BS1094">
        <f>'T_TTAFStock'!BQ30</f>
        <v/>
      </c>
      <c r="BT1094">
        <f>'T_TTAFStock'!BR30</f>
        <v/>
      </c>
      <c r="BU1094">
        <f>'T_TTAFStock'!BS30</f>
        <v/>
      </c>
      <c r="BV1094">
        <f>'T_TTAFStock'!BT30</f>
        <v/>
      </c>
      <c r="BW1094">
        <f>'T_TTAFStock'!BU30</f>
        <v/>
      </c>
      <c r="BX1094">
        <f>'T_TTAFStock'!BV30</f>
        <v/>
      </c>
      <c r="BY1094">
        <f>'T_TTAFStock'!BW30</f>
        <v/>
      </c>
      <c r="BZ1094">
        <f>'T_TTAFStock'!BX30</f>
        <v/>
      </c>
      <c r="CA1094">
        <f>'T_TTAFStock'!BY30</f>
        <v/>
      </c>
      <c r="CB1094">
        <f>'T_TTAFStock'!BZ30</f>
        <v/>
      </c>
      <c r="CC1094">
        <f>'T_TTAFStock'!CA30</f>
        <v/>
      </c>
      <c r="CD1094">
        <f>'T_TTAFStock'!CB30</f>
        <v/>
      </c>
      <c r="CE1094">
        <f>'T_TTAFStock'!CC30</f>
        <v/>
      </c>
      <c r="CF1094">
        <f>'T_TTAFStock'!CD30</f>
        <v/>
      </c>
      <c r="CG1094">
        <f>'T_TTAFStock'!CE30</f>
        <v/>
      </c>
      <c r="CH1094">
        <f>'T_TTAFStock'!CF30</f>
        <v/>
      </c>
      <c r="CI1094">
        <f>'T_TTAFStock'!CG30</f>
        <v/>
      </c>
      <c r="CJ1094">
        <f>'T_TTAFStock'!CH30</f>
        <v/>
      </c>
      <c r="CK1094">
        <f>'T_TTAFStock'!CI30</f>
        <v/>
      </c>
      <c r="CL1094">
        <f>'T_TTAFStock'!CJ30</f>
        <v/>
      </c>
      <c r="CM1094">
        <f>'T_TTAFStock'!CK30</f>
        <v/>
      </c>
      <c r="CN1094">
        <f>'T_TTAFStock'!CL30</f>
        <v/>
      </c>
      <c r="CO1094">
        <f>'T_TTAFStock'!CM30</f>
        <v/>
      </c>
      <c r="CP1094">
        <f>'T_TTAFStock'!CN30</f>
        <v/>
      </c>
      <c r="CQ1094">
        <f>'T_TTAFStock'!CO30</f>
        <v/>
      </c>
      <c r="CR1094">
        <f>'T_TTAFStock'!CP30</f>
        <v/>
      </c>
      <c r="CS1094">
        <f>'T_TTAFStock'!CQ30</f>
        <v/>
      </c>
      <c r="CT1094">
        <f>'T_TTAFStock'!CR30</f>
        <v/>
      </c>
      <c r="CU1094">
        <f>'T_TTAFStock'!CS30</f>
        <v/>
      </c>
      <c r="CV1094">
        <f>'T_TTAFStock'!CT30</f>
        <v/>
      </c>
      <c r="CW1094">
        <f>'T_TTAFStock'!CU30</f>
        <v/>
      </c>
      <c r="CX1094">
        <f>'T_TTAFStock'!CV30</f>
        <v/>
      </c>
      <c r="CY1094">
        <f>'T_TTAFStock'!CW30</f>
        <v/>
      </c>
      <c r="CZ1094">
        <f>'T_TTAFStock'!CX30</f>
        <v/>
      </c>
      <c r="DA1094">
        <f>'T_TTAFStock'!CY30</f>
        <v/>
      </c>
      <c r="DB1094">
        <f>'T_TTAFStock'!CZ30</f>
        <v/>
      </c>
      <c r="DC1094">
        <f>'T_TTAFStock'!DA30</f>
        <v/>
      </c>
    </row>
    <row r="1095">
      <c r="B1095" t="inlineStr">
        <is>
          <t>自社在庫(実績,kg)</t>
        </is>
      </c>
      <c r="D1095">
        <f>'T_SelfStock'!B30</f>
        <v/>
      </c>
      <c r="E1095">
        <f>'T_SelfStock'!C30</f>
        <v/>
      </c>
      <c r="F1095">
        <f>'T_SelfStock'!D30</f>
        <v/>
      </c>
      <c r="G1095">
        <f>'T_SelfStock'!E30</f>
        <v/>
      </c>
      <c r="H1095">
        <f>'T_SelfStock'!F30</f>
        <v/>
      </c>
      <c r="I1095">
        <f>'T_SelfStock'!G30</f>
        <v/>
      </c>
      <c r="J1095">
        <f>'T_SelfStock'!H30</f>
        <v/>
      </c>
      <c r="K1095">
        <f>'T_SelfStock'!I30</f>
        <v/>
      </c>
      <c r="L1095">
        <f>'T_SelfStock'!J30</f>
        <v/>
      </c>
      <c r="M1095">
        <f>'T_SelfStock'!K30</f>
        <v/>
      </c>
      <c r="N1095">
        <f>'T_SelfStock'!L30</f>
        <v/>
      </c>
      <c r="O1095">
        <f>'T_SelfStock'!M30</f>
        <v/>
      </c>
      <c r="P1095">
        <f>'T_SelfStock'!N30</f>
        <v/>
      </c>
      <c r="Q1095">
        <f>'T_SelfStock'!O30</f>
        <v/>
      </c>
      <c r="R1095">
        <f>'T_SelfStock'!P30</f>
        <v/>
      </c>
      <c r="S1095">
        <f>'T_SelfStock'!Q30</f>
        <v/>
      </c>
      <c r="T1095">
        <f>'T_SelfStock'!R30</f>
        <v/>
      </c>
      <c r="U1095">
        <f>'T_SelfStock'!S30</f>
        <v/>
      </c>
      <c r="V1095">
        <f>'T_SelfStock'!T30</f>
        <v/>
      </c>
      <c r="W1095">
        <f>'T_SelfStock'!U30</f>
        <v/>
      </c>
      <c r="X1095">
        <f>'T_SelfStock'!V30</f>
        <v/>
      </c>
      <c r="Y1095">
        <f>'T_SelfStock'!W30</f>
        <v/>
      </c>
      <c r="Z1095">
        <f>'T_SelfStock'!X30</f>
        <v/>
      </c>
      <c r="AA1095">
        <f>'T_SelfStock'!Y30</f>
        <v/>
      </c>
      <c r="AB1095">
        <f>'T_SelfStock'!Z30</f>
        <v/>
      </c>
      <c r="AC1095">
        <f>'T_SelfStock'!AA30</f>
        <v/>
      </c>
      <c r="AD1095">
        <f>'T_SelfStock'!AB30</f>
        <v/>
      </c>
      <c r="AE1095">
        <f>'T_SelfStock'!AC30</f>
        <v/>
      </c>
      <c r="AF1095">
        <f>'T_SelfStock'!AD30</f>
        <v/>
      </c>
      <c r="AG1095">
        <f>'T_SelfStock'!AE30</f>
        <v/>
      </c>
      <c r="AH1095">
        <f>'T_SelfStock'!AF30</f>
        <v/>
      </c>
      <c r="AI1095">
        <f>'T_SelfStock'!AG30</f>
        <v/>
      </c>
      <c r="AJ1095">
        <f>'T_SelfStock'!AH30</f>
        <v/>
      </c>
      <c r="AK1095">
        <f>'T_SelfStock'!AI30</f>
        <v/>
      </c>
      <c r="AL1095">
        <f>'T_SelfStock'!AJ30</f>
        <v/>
      </c>
      <c r="AM1095">
        <f>'T_SelfStock'!AK30</f>
        <v/>
      </c>
      <c r="AN1095">
        <f>'T_SelfStock'!AL30</f>
        <v/>
      </c>
      <c r="AO1095">
        <f>'T_SelfStock'!AM30</f>
        <v/>
      </c>
      <c r="AP1095">
        <f>'T_SelfStock'!AN30</f>
        <v/>
      </c>
      <c r="AQ1095">
        <f>'T_SelfStock'!AO30</f>
        <v/>
      </c>
      <c r="AR1095">
        <f>'T_SelfStock'!AP30</f>
        <v/>
      </c>
      <c r="AS1095">
        <f>'T_SelfStock'!AQ30</f>
        <v/>
      </c>
      <c r="AT1095">
        <f>'T_SelfStock'!AR30</f>
        <v/>
      </c>
      <c r="AU1095">
        <f>'T_SelfStock'!AS30</f>
        <v/>
      </c>
      <c r="AV1095">
        <f>'T_SelfStock'!AT30</f>
        <v/>
      </c>
      <c r="AW1095">
        <f>'T_SelfStock'!AU30</f>
        <v/>
      </c>
      <c r="AX1095">
        <f>'T_SelfStock'!AV30</f>
        <v/>
      </c>
      <c r="AY1095">
        <f>'T_SelfStock'!AW30</f>
        <v/>
      </c>
      <c r="AZ1095">
        <f>'T_SelfStock'!AX30</f>
        <v/>
      </c>
      <c r="BA1095">
        <f>'T_SelfStock'!AY30</f>
        <v/>
      </c>
      <c r="BB1095">
        <f>'T_SelfStock'!AZ30</f>
        <v/>
      </c>
      <c r="BC1095">
        <f>'T_SelfStock'!BA30</f>
        <v/>
      </c>
      <c r="BD1095">
        <f>'T_SelfStock'!BB30</f>
        <v/>
      </c>
      <c r="BE1095">
        <f>'T_SelfStock'!BC30</f>
        <v/>
      </c>
      <c r="BF1095">
        <f>'T_SelfStock'!BD30</f>
        <v/>
      </c>
      <c r="BG1095">
        <f>'T_SelfStock'!BE30</f>
        <v/>
      </c>
      <c r="BH1095">
        <f>'T_SelfStock'!BF30</f>
        <v/>
      </c>
      <c r="BI1095">
        <f>'T_SelfStock'!BG30</f>
        <v/>
      </c>
      <c r="BJ1095">
        <f>'T_SelfStock'!BH30</f>
        <v/>
      </c>
      <c r="BK1095">
        <f>'T_SelfStock'!BI30</f>
        <v/>
      </c>
      <c r="BL1095">
        <f>'T_SelfStock'!BJ30</f>
        <v/>
      </c>
      <c r="BM1095">
        <f>'T_SelfStock'!BK30</f>
        <v/>
      </c>
      <c r="BN1095">
        <f>'T_SelfStock'!BL30</f>
        <v/>
      </c>
      <c r="BO1095">
        <f>'T_SelfStock'!BM30</f>
        <v/>
      </c>
      <c r="BP1095">
        <f>'T_SelfStock'!BN30</f>
        <v/>
      </c>
      <c r="BQ1095">
        <f>'T_SelfStock'!BO30</f>
        <v/>
      </c>
      <c r="BR1095">
        <f>'T_SelfStock'!BP30</f>
        <v/>
      </c>
      <c r="BS1095">
        <f>'T_SelfStock'!BQ30</f>
        <v/>
      </c>
      <c r="BT1095">
        <f>'T_SelfStock'!BR30</f>
        <v/>
      </c>
      <c r="BU1095">
        <f>'T_SelfStock'!BS30</f>
        <v/>
      </c>
      <c r="BV1095">
        <f>'T_SelfStock'!BT30</f>
        <v/>
      </c>
      <c r="BW1095">
        <f>'T_SelfStock'!BU30</f>
        <v/>
      </c>
      <c r="BX1095">
        <f>'T_SelfStock'!BV30</f>
        <v/>
      </c>
      <c r="BY1095">
        <f>'T_SelfStock'!BW30</f>
        <v/>
      </c>
      <c r="BZ1095">
        <f>'T_SelfStock'!BX30</f>
        <v/>
      </c>
      <c r="CA1095">
        <f>'T_SelfStock'!BY30</f>
        <v/>
      </c>
      <c r="CB1095">
        <f>'T_SelfStock'!BZ30</f>
        <v/>
      </c>
      <c r="CC1095">
        <f>'T_SelfStock'!CA30</f>
        <v/>
      </c>
      <c r="CD1095">
        <f>'T_SelfStock'!CB30</f>
        <v/>
      </c>
      <c r="CE1095">
        <f>'T_SelfStock'!CC30</f>
        <v/>
      </c>
      <c r="CF1095">
        <f>'T_SelfStock'!CD30</f>
        <v/>
      </c>
      <c r="CG1095">
        <f>'T_SelfStock'!CE30</f>
        <v/>
      </c>
      <c r="CH1095">
        <f>'T_SelfStock'!CF30</f>
        <v/>
      </c>
      <c r="CI1095">
        <f>'T_SelfStock'!CG30</f>
        <v/>
      </c>
      <c r="CJ1095">
        <f>'T_SelfStock'!CH30</f>
        <v/>
      </c>
      <c r="CK1095">
        <f>'T_SelfStock'!CI30</f>
        <v/>
      </c>
      <c r="CL1095">
        <f>'T_SelfStock'!CJ30</f>
        <v/>
      </c>
      <c r="CM1095">
        <f>'T_SelfStock'!CK30</f>
        <v/>
      </c>
      <c r="CN1095">
        <f>'T_SelfStock'!CL30</f>
        <v/>
      </c>
      <c r="CO1095">
        <f>'T_SelfStock'!CM30</f>
        <v/>
      </c>
      <c r="CP1095">
        <f>'T_SelfStock'!CN30</f>
        <v/>
      </c>
      <c r="CQ1095">
        <f>'T_SelfStock'!CO30</f>
        <v/>
      </c>
      <c r="CR1095">
        <f>'T_SelfStock'!CP30</f>
        <v/>
      </c>
      <c r="CS1095">
        <f>'T_SelfStock'!CQ30</f>
        <v/>
      </c>
      <c r="CT1095">
        <f>'T_SelfStock'!CR30</f>
        <v/>
      </c>
      <c r="CU1095">
        <f>'T_SelfStock'!CS30</f>
        <v/>
      </c>
      <c r="CV1095">
        <f>'T_SelfStock'!CT30</f>
        <v/>
      </c>
      <c r="CW1095">
        <f>'T_SelfStock'!CU30</f>
        <v/>
      </c>
      <c r="CX1095">
        <f>'T_SelfStock'!CV30</f>
        <v/>
      </c>
      <c r="CY1095">
        <f>'T_SelfStock'!CW30</f>
        <v/>
      </c>
      <c r="CZ1095">
        <f>'T_SelfStock'!CX30</f>
        <v/>
      </c>
      <c r="DA1095">
        <f>'T_SelfStock'!CY30</f>
        <v/>
      </c>
      <c r="DB1095">
        <f>'T_SelfStock'!CZ30</f>
        <v/>
      </c>
      <c r="DC1095">
        <f>'T_SelfStock'!DA30</f>
        <v/>
      </c>
    </row>
    <row r="1096">
      <c r="B1096" s="4" t="inlineStr">
        <is>
          <t>合計在庫(週末時点,kg)</t>
        </is>
      </c>
      <c r="D1096">
        <f>'Grid_Stock'!B26</f>
        <v/>
      </c>
      <c r="E1096">
        <f>'Grid_Stock'!C26</f>
        <v/>
      </c>
      <c r="F1096">
        <f>'Grid_Stock'!D26</f>
        <v/>
      </c>
      <c r="G1096">
        <f>'Grid_Stock'!E26</f>
        <v/>
      </c>
      <c r="H1096">
        <f>'Grid_Stock'!F26</f>
        <v/>
      </c>
      <c r="I1096">
        <f>'Grid_Stock'!G26</f>
        <v/>
      </c>
      <c r="J1096">
        <f>'Grid_Stock'!H26</f>
        <v/>
      </c>
      <c r="K1096">
        <f>'Grid_Stock'!I26</f>
        <v/>
      </c>
      <c r="L1096">
        <f>'Grid_Stock'!J26</f>
        <v/>
      </c>
      <c r="M1096">
        <f>'Grid_Stock'!K26</f>
        <v/>
      </c>
      <c r="N1096">
        <f>'Grid_Stock'!L26</f>
        <v/>
      </c>
      <c r="O1096">
        <f>'Grid_Stock'!M26</f>
        <v/>
      </c>
      <c r="P1096">
        <f>'Grid_Stock'!N26</f>
        <v/>
      </c>
      <c r="Q1096">
        <f>'Grid_Stock'!O26</f>
        <v/>
      </c>
      <c r="R1096">
        <f>'Grid_Stock'!P26</f>
        <v/>
      </c>
      <c r="S1096">
        <f>'Grid_Stock'!Q26</f>
        <v/>
      </c>
      <c r="T1096">
        <f>'Grid_Stock'!R26</f>
        <v/>
      </c>
      <c r="U1096">
        <f>'Grid_Stock'!S26</f>
        <v/>
      </c>
      <c r="V1096">
        <f>'Grid_Stock'!T26</f>
        <v/>
      </c>
      <c r="W1096">
        <f>'Grid_Stock'!U26</f>
        <v/>
      </c>
      <c r="X1096">
        <f>'Grid_Stock'!V26</f>
        <v/>
      </c>
      <c r="Y1096">
        <f>'Grid_Stock'!W26</f>
        <v/>
      </c>
      <c r="Z1096">
        <f>'Grid_Stock'!X26</f>
        <v/>
      </c>
      <c r="AA1096">
        <f>'Grid_Stock'!Y26</f>
        <v/>
      </c>
      <c r="AB1096">
        <f>'Grid_Stock'!Z26</f>
        <v/>
      </c>
      <c r="AC1096">
        <f>'Grid_Stock'!AA26</f>
        <v/>
      </c>
      <c r="AD1096">
        <f>'Grid_Stock'!AB26</f>
        <v/>
      </c>
      <c r="AE1096">
        <f>'Grid_Stock'!AC26</f>
        <v/>
      </c>
      <c r="AF1096">
        <f>'Grid_Stock'!AD26</f>
        <v/>
      </c>
      <c r="AG1096">
        <f>'Grid_Stock'!AE26</f>
        <v/>
      </c>
      <c r="AH1096">
        <f>'Grid_Stock'!AF26</f>
        <v/>
      </c>
      <c r="AI1096">
        <f>'Grid_Stock'!AG26</f>
        <v/>
      </c>
      <c r="AJ1096">
        <f>'Grid_Stock'!AH26</f>
        <v/>
      </c>
      <c r="AK1096">
        <f>'Grid_Stock'!AI26</f>
        <v/>
      </c>
      <c r="AL1096">
        <f>'Grid_Stock'!AJ26</f>
        <v/>
      </c>
      <c r="AM1096">
        <f>'Grid_Stock'!AK26</f>
        <v/>
      </c>
      <c r="AN1096">
        <f>'Grid_Stock'!AL26</f>
        <v/>
      </c>
      <c r="AO1096">
        <f>'Grid_Stock'!AM26</f>
        <v/>
      </c>
      <c r="AP1096">
        <f>'Grid_Stock'!AN26</f>
        <v/>
      </c>
      <c r="AQ1096">
        <f>'Grid_Stock'!AO26</f>
        <v/>
      </c>
      <c r="AR1096">
        <f>'Grid_Stock'!AP26</f>
        <v/>
      </c>
      <c r="AS1096">
        <f>'Grid_Stock'!AQ26</f>
        <v/>
      </c>
      <c r="AT1096">
        <f>'Grid_Stock'!AR26</f>
        <v/>
      </c>
      <c r="AU1096">
        <f>'Grid_Stock'!AS26</f>
        <v/>
      </c>
      <c r="AV1096">
        <f>'Grid_Stock'!AT26</f>
        <v/>
      </c>
      <c r="AW1096">
        <f>'Grid_Stock'!AU26</f>
        <v/>
      </c>
      <c r="AX1096">
        <f>'Grid_Stock'!AV26</f>
        <v/>
      </c>
      <c r="AY1096">
        <f>'Grid_Stock'!AW26</f>
        <v/>
      </c>
      <c r="AZ1096">
        <f>'Grid_Stock'!AX26</f>
        <v/>
      </c>
      <c r="BA1096">
        <f>'Grid_Stock'!AY26</f>
        <v/>
      </c>
      <c r="BB1096">
        <f>'Grid_Stock'!AZ26</f>
        <v/>
      </c>
      <c r="BC1096">
        <f>'Grid_Stock'!BA26</f>
        <v/>
      </c>
      <c r="BD1096">
        <f>'Grid_Stock'!BB26</f>
        <v/>
      </c>
      <c r="BE1096">
        <f>'Grid_Stock'!BC26</f>
        <v/>
      </c>
      <c r="BF1096">
        <f>'Grid_Stock'!BD26</f>
        <v/>
      </c>
      <c r="BG1096">
        <f>'Grid_Stock'!BE26</f>
        <v/>
      </c>
      <c r="BH1096">
        <f>'Grid_Stock'!BF26</f>
        <v/>
      </c>
      <c r="BI1096">
        <f>'Grid_Stock'!BG26</f>
        <v/>
      </c>
      <c r="BJ1096">
        <f>'Grid_Stock'!BH26</f>
        <v/>
      </c>
      <c r="BK1096">
        <f>'Grid_Stock'!BI26</f>
        <v/>
      </c>
      <c r="BL1096">
        <f>'Grid_Stock'!BJ26</f>
        <v/>
      </c>
      <c r="BM1096">
        <f>'Grid_Stock'!BK26</f>
        <v/>
      </c>
      <c r="BN1096">
        <f>'Grid_Stock'!BL26</f>
        <v/>
      </c>
      <c r="BO1096">
        <f>'Grid_Stock'!BM26</f>
        <v/>
      </c>
      <c r="BP1096">
        <f>'Grid_Stock'!BN26</f>
        <v/>
      </c>
      <c r="BQ1096">
        <f>'Grid_Stock'!BO26</f>
        <v/>
      </c>
      <c r="BR1096">
        <f>'Grid_Stock'!BP26</f>
        <v/>
      </c>
      <c r="BS1096">
        <f>'Grid_Stock'!BQ26</f>
        <v/>
      </c>
      <c r="BT1096">
        <f>'Grid_Stock'!BR26</f>
        <v/>
      </c>
      <c r="BU1096">
        <f>'Grid_Stock'!BS26</f>
        <v/>
      </c>
      <c r="BV1096">
        <f>'Grid_Stock'!BT26</f>
        <v/>
      </c>
      <c r="BW1096">
        <f>'Grid_Stock'!BU26</f>
        <v/>
      </c>
      <c r="BX1096">
        <f>'Grid_Stock'!BV26</f>
        <v/>
      </c>
      <c r="BY1096">
        <f>'Grid_Stock'!BW26</f>
        <v/>
      </c>
      <c r="BZ1096">
        <f>'Grid_Stock'!BX26</f>
        <v/>
      </c>
      <c r="CA1096">
        <f>'Grid_Stock'!BY26</f>
        <v/>
      </c>
      <c r="CB1096">
        <f>'Grid_Stock'!BZ26</f>
        <v/>
      </c>
      <c r="CC1096">
        <f>'Grid_Stock'!CA26</f>
        <v/>
      </c>
      <c r="CD1096">
        <f>'Grid_Stock'!CB26</f>
        <v/>
      </c>
      <c r="CE1096">
        <f>'Grid_Stock'!CC26</f>
        <v/>
      </c>
      <c r="CF1096">
        <f>'Grid_Stock'!CD26</f>
        <v/>
      </c>
      <c r="CG1096">
        <f>'Grid_Stock'!CE26</f>
        <v/>
      </c>
      <c r="CH1096">
        <f>'Grid_Stock'!CF26</f>
        <v/>
      </c>
      <c r="CI1096">
        <f>'Grid_Stock'!CG26</f>
        <v/>
      </c>
      <c r="CJ1096">
        <f>'Grid_Stock'!CH26</f>
        <v/>
      </c>
      <c r="CK1096">
        <f>'Grid_Stock'!CI26</f>
        <v/>
      </c>
      <c r="CL1096">
        <f>'Grid_Stock'!CJ26</f>
        <v/>
      </c>
      <c r="CM1096">
        <f>'Grid_Stock'!CK26</f>
        <v/>
      </c>
      <c r="CN1096">
        <f>'Grid_Stock'!CL26</f>
        <v/>
      </c>
      <c r="CO1096">
        <f>'Grid_Stock'!CM26</f>
        <v/>
      </c>
      <c r="CP1096">
        <f>'Grid_Stock'!CN26</f>
        <v/>
      </c>
      <c r="CQ1096">
        <f>'Grid_Stock'!CO26</f>
        <v/>
      </c>
      <c r="CR1096">
        <f>'Grid_Stock'!CP26</f>
        <v/>
      </c>
      <c r="CS1096">
        <f>'Grid_Stock'!CQ26</f>
        <v/>
      </c>
      <c r="CT1096">
        <f>'Grid_Stock'!CR26</f>
        <v/>
      </c>
      <c r="CU1096">
        <f>'Grid_Stock'!CS26</f>
        <v/>
      </c>
      <c r="CV1096">
        <f>'Grid_Stock'!CT26</f>
        <v/>
      </c>
      <c r="CW1096">
        <f>'Grid_Stock'!CU26</f>
        <v/>
      </c>
      <c r="CX1096">
        <f>'Grid_Stock'!CV26</f>
        <v/>
      </c>
      <c r="CY1096">
        <f>'Grid_Stock'!CW26</f>
        <v/>
      </c>
      <c r="CZ1096">
        <f>'Grid_Stock'!CX26</f>
        <v/>
      </c>
      <c r="DA1096">
        <f>'Grid_Stock'!CY26</f>
        <v/>
      </c>
      <c r="DB1096">
        <f>'Grid_Stock'!CZ26</f>
        <v/>
      </c>
      <c r="DC1096">
        <f>'Grid_Stock'!DA26</f>
        <v/>
      </c>
    </row>
    <row r="1097">
      <c r="B1097" s="16" t="inlineStr">
        <is>
          <t>（発注の目安はDashboardの基準在庫[下限/上限]と色分けを参照）</t>
        </is>
      </c>
    </row>
    <row r="1099">
      <c r="A1099" s="14" t="inlineStr">
        <is>
          <t>CHEM-1570</t>
        </is>
      </c>
      <c r="B1099" s="14" t="inlineStr">
        <is>
          <t>NOPAGOAL A</t>
        </is>
      </c>
      <c r="C1099" s="15" t="n"/>
      <c r="D1099" s="14" t="n"/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  <c r="T1099" s="14" t="n"/>
      <c r="U1099" s="14" t="n"/>
      <c r="V1099" s="14" t="n"/>
      <c r="W1099" s="14" t="n"/>
      <c r="X1099" s="14" t="n"/>
      <c r="Y1099" s="14" t="n"/>
      <c r="Z1099" s="14" t="n"/>
      <c r="AA1099" s="14" t="n"/>
      <c r="AB1099" s="14" t="n"/>
      <c r="AC1099" s="14" t="n"/>
      <c r="AD1099" s="14" t="n"/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4" t="n"/>
      <c r="AO1099" s="14" t="n"/>
      <c r="AP1099" s="14" t="n"/>
      <c r="AQ1099" s="14" t="n"/>
      <c r="AR1099" s="14" t="n"/>
      <c r="AS1099" s="14" t="n"/>
      <c r="AT1099" s="14" t="n"/>
      <c r="AU1099" s="14" t="n"/>
      <c r="AV1099" s="14" t="n"/>
      <c r="AW1099" s="14" t="n"/>
      <c r="AX1099" s="14" t="n"/>
      <c r="AY1099" s="14" t="n"/>
      <c r="AZ1099" s="14" t="n"/>
      <c r="BA1099" s="14" t="n"/>
      <c r="BB1099" s="14" t="n"/>
      <c r="BC1099" s="14" t="n"/>
      <c r="BD1099" s="14" t="n"/>
      <c r="BE1099" s="14" t="n"/>
      <c r="BF1099" s="14" t="n"/>
      <c r="BG1099" s="14" t="n"/>
      <c r="BH1099" s="14" t="n"/>
      <c r="BI1099" s="14" t="n"/>
      <c r="BJ1099" s="14" t="n"/>
      <c r="BK1099" s="14" t="n"/>
      <c r="BL1099" s="14" t="n"/>
      <c r="BM1099" s="14" t="n"/>
      <c r="BN1099" s="14" t="n"/>
      <c r="BO1099" s="14" t="n"/>
      <c r="BP1099" s="14" t="n"/>
      <c r="BQ1099" s="14" t="n"/>
      <c r="BR1099" s="14" t="n"/>
      <c r="BS1099" s="14" t="n"/>
      <c r="BT1099" s="14" t="n"/>
      <c r="BU1099" s="14" t="n"/>
      <c r="BV1099" s="14" t="n"/>
      <c r="BW1099" s="14" t="n"/>
      <c r="BX1099" s="14" t="n"/>
      <c r="BY1099" s="14" t="n"/>
      <c r="BZ1099" s="14" t="n"/>
      <c r="CA1099" s="14" t="n"/>
      <c r="CB1099" s="14" t="n"/>
      <c r="CC1099" s="14" t="n"/>
      <c r="CD1099" s="14" t="n"/>
      <c r="CE1099" s="14" t="n"/>
      <c r="CF1099" s="14" t="n"/>
      <c r="CG1099" s="14" t="n"/>
      <c r="CH1099" s="14" t="n"/>
      <c r="CI1099" s="14" t="n"/>
      <c r="CJ1099" s="14" t="n"/>
      <c r="CK1099" s="14" t="n"/>
      <c r="CL1099" s="14" t="n"/>
      <c r="CM1099" s="14" t="n"/>
      <c r="CN1099" s="14" t="n"/>
      <c r="CO1099" s="14" t="n"/>
      <c r="CP1099" s="14" t="n"/>
      <c r="CQ1099" s="14" t="n"/>
      <c r="CR1099" s="14" t="n"/>
      <c r="CS1099" s="14" t="n"/>
      <c r="CT1099" s="14" t="n"/>
      <c r="CU1099" s="14" t="n"/>
      <c r="CV1099" s="14" t="n"/>
      <c r="CW1099" s="14" t="n"/>
      <c r="CX1099" s="14" t="n"/>
      <c r="CY1099" s="14" t="n"/>
      <c r="CZ1099" s="14" t="n"/>
      <c r="DA1099" s="14" t="n"/>
      <c r="DB1099" s="14" t="n"/>
      <c r="DC1099" s="14" t="n"/>
    </row>
    <row r="1100">
      <c r="B1100" t="inlineStr">
        <is>
          <t>TSP-1388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TSP-1444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TSP-1445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TSP-1446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7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Name],$A1099)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TSP-1448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7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Name],$A1099)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TSP-1449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7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Name],$A1099)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TSP-1499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7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Name],$A1099)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t="inlineStr">
        <is>
          <t>TSP-1558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Name],$A1099)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TSP-655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Name],$A1099)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TSP-656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Name],$A1099)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TSP-903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Name],$A1099)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TSP-935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Name],$A1099)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TSP-937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7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Name],$A1099)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TSP-959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7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Name],$A1099)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TSP-966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7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Name],$A1099)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TSZ-616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7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Name],$A1099)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TVS-267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Name],$A1099)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TVS-833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Name],$A1099)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s="4" t="inlineStr">
        <is>
          <t>合計使用量(kg)/週</t>
        </is>
      </c>
      <c r="D1136">
        <f>'Grid_Requirement'!B16</f>
        <v/>
      </c>
      <c r="E1136">
        <f>'Grid_Requirement'!C16</f>
        <v/>
      </c>
      <c r="F1136">
        <f>'Grid_Requirement'!D16</f>
        <v/>
      </c>
      <c r="G1136">
        <f>'Grid_Requirement'!E16</f>
        <v/>
      </c>
      <c r="H1136">
        <f>'Grid_Requirement'!F16</f>
        <v/>
      </c>
      <c r="I1136">
        <f>'Grid_Requirement'!G16</f>
        <v/>
      </c>
      <c r="J1136">
        <f>'Grid_Requirement'!H16</f>
        <v/>
      </c>
      <c r="K1136">
        <f>'Grid_Requirement'!I16</f>
        <v/>
      </c>
      <c r="L1136">
        <f>'Grid_Requirement'!J16</f>
        <v/>
      </c>
      <c r="M1136">
        <f>'Grid_Requirement'!K16</f>
        <v/>
      </c>
      <c r="N1136">
        <f>'Grid_Requirement'!L16</f>
        <v/>
      </c>
      <c r="O1136">
        <f>'Grid_Requirement'!M16</f>
        <v/>
      </c>
      <c r="P1136">
        <f>'Grid_Requirement'!N16</f>
        <v/>
      </c>
      <c r="Q1136">
        <f>'Grid_Requirement'!O16</f>
        <v/>
      </c>
      <c r="R1136">
        <f>'Grid_Requirement'!P16</f>
        <v/>
      </c>
      <c r="S1136">
        <f>'Grid_Requirement'!Q16</f>
        <v/>
      </c>
      <c r="T1136">
        <f>'Grid_Requirement'!R16</f>
        <v/>
      </c>
      <c r="U1136">
        <f>'Grid_Requirement'!S16</f>
        <v/>
      </c>
      <c r="V1136">
        <f>'Grid_Requirement'!T16</f>
        <v/>
      </c>
      <c r="W1136">
        <f>'Grid_Requirement'!U16</f>
        <v/>
      </c>
      <c r="X1136">
        <f>'Grid_Requirement'!V16</f>
        <v/>
      </c>
      <c r="Y1136">
        <f>'Grid_Requirement'!W16</f>
        <v/>
      </c>
      <c r="Z1136">
        <f>'Grid_Requirement'!X16</f>
        <v/>
      </c>
      <c r="AA1136">
        <f>'Grid_Requirement'!Y16</f>
        <v/>
      </c>
      <c r="AB1136">
        <f>'Grid_Requirement'!Z16</f>
        <v/>
      </c>
      <c r="AC1136">
        <f>'Grid_Requirement'!AA16</f>
        <v/>
      </c>
      <c r="AD1136">
        <f>'Grid_Requirement'!AB16</f>
        <v/>
      </c>
      <c r="AE1136">
        <f>'Grid_Requirement'!AC16</f>
        <v/>
      </c>
      <c r="AF1136">
        <f>'Grid_Requirement'!AD16</f>
        <v/>
      </c>
      <c r="AG1136">
        <f>'Grid_Requirement'!AE16</f>
        <v/>
      </c>
      <c r="AH1136">
        <f>'Grid_Requirement'!AF16</f>
        <v/>
      </c>
      <c r="AI1136">
        <f>'Grid_Requirement'!AG16</f>
        <v/>
      </c>
      <c r="AJ1136">
        <f>'Grid_Requirement'!AH16</f>
        <v/>
      </c>
      <c r="AK1136">
        <f>'Grid_Requirement'!AI16</f>
        <v/>
      </c>
      <c r="AL1136">
        <f>'Grid_Requirement'!AJ16</f>
        <v/>
      </c>
      <c r="AM1136">
        <f>'Grid_Requirement'!AK16</f>
        <v/>
      </c>
      <c r="AN1136">
        <f>'Grid_Requirement'!AL16</f>
        <v/>
      </c>
      <c r="AO1136">
        <f>'Grid_Requirement'!AM16</f>
        <v/>
      </c>
      <c r="AP1136">
        <f>'Grid_Requirement'!AN16</f>
        <v/>
      </c>
      <c r="AQ1136">
        <f>'Grid_Requirement'!AO16</f>
        <v/>
      </c>
      <c r="AR1136">
        <f>'Grid_Requirement'!AP16</f>
        <v/>
      </c>
      <c r="AS1136">
        <f>'Grid_Requirement'!AQ16</f>
        <v/>
      </c>
      <c r="AT1136">
        <f>'Grid_Requirement'!AR16</f>
        <v/>
      </c>
      <c r="AU1136">
        <f>'Grid_Requirement'!AS16</f>
        <v/>
      </c>
      <c r="AV1136">
        <f>'Grid_Requirement'!AT16</f>
        <v/>
      </c>
      <c r="AW1136">
        <f>'Grid_Requirement'!AU16</f>
        <v/>
      </c>
      <c r="AX1136">
        <f>'Grid_Requirement'!AV16</f>
        <v/>
      </c>
      <c r="AY1136">
        <f>'Grid_Requirement'!AW16</f>
        <v/>
      </c>
      <c r="AZ1136">
        <f>'Grid_Requirement'!AX16</f>
        <v/>
      </c>
      <c r="BA1136">
        <f>'Grid_Requirement'!AY16</f>
        <v/>
      </c>
      <c r="BB1136">
        <f>'Grid_Requirement'!AZ16</f>
        <v/>
      </c>
      <c r="BC1136">
        <f>'Grid_Requirement'!BA16</f>
        <v/>
      </c>
      <c r="BD1136">
        <f>'Grid_Requirement'!BB16</f>
        <v/>
      </c>
      <c r="BE1136">
        <f>'Grid_Requirement'!BC16</f>
        <v/>
      </c>
      <c r="BF1136">
        <f>'Grid_Requirement'!BD16</f>
        <v/>
      </c>
      <c r="BG1136">
        <f>'Grid_Requirement'!BE16</f>
        <v/>
      </c>
      <c r="BH1136">
        <f>'Grid_Requirement'!BF16</f>
        <v/>
      </c>
      <c r="BI1136">
        <f>'Grid_Requirement'!BG16</f>
        <v/>
      </c>
      <c r="BJ1136">
        <f>'Grid_Requirement'!BH16</f>
        <v/>
      </c>
      <c r="BK1136">
        <f>'Grid_Requirement'!BI16</f>
        <v/>
      </c>
      <c r="BL1136">
        <f>'Grid_Requirement'!BJ16</f>
        <v/>
      </c>
      <c r="BM1136">
        <f>'Grid_Requirement'!BK16</f>
        <v/>
      </c>
      <c r="BN1136">
        <f>'Grid_Requirement'!BL16</f>
        <v/>
      </c>
      <c r="BO1136">
        <f>'Grid_Requirement'!BM16</f>
        <v/>
      </c>
      <c r="BP1136">
        <f>'Grid_Requirement'!BN16</f>
        <v/>
      </c>
      <c r="BQ1136">
        <f>'Grid_Requirement'!BO16</f>
        <v/>
      </c>
      <c r="BR1136">
        <f>'Grid_Requirement'!BP16</f>
        <v/>
      </c>
      <c r="BS1136">
        <f>'Grid_Requirement'!BQ16</f>
        <v/>
      </c>
      <c r="BT1136">
        <f>'Grid_Requirement'!BR16</f>
        <v/>
      </c>
      <c r="BU1136">
        <f>'Grid_Requirement'!BS16</f>
        <v/>
      </c>
      <c r="BV1136">
        <f>'Grid_Requirement'!BT16</f>
        <v/>
      </c>
      <c r="BW1136">
        <f>'Grid_Requirement'!BU16</f>
        <v/>
      </c>
      <c r="BX1136">
        <f>'Grid_Requirement'!BV16</f>
        <v/>
      </c>
      <c r="BY1136">
        <f>'Grid_Requirement'!BW16</f>
        <v/>
      </c>
      <c r="BZ1136">
        <f>'Grid_Requirement'!BX16</f>
        <v/>
      </c>
      <c r="CA1136">
        <f>'Grid_Requirement'!BY16</f>
        <v/>
      </c>
      <c r="CB1136">
        <f>'Grid_Requirement'!BZ16</f>
        <v/>
      </c>
      <c r="CC1136">
        <f>'Grid_Requirement'!CA16</f>
        <v/>
      </c>
      <c r="CD1136">
        <f>'Grid_Requirement'!CB16</f>
        <v/>
      </c>
      <c r="CE1136">
        <f>'Grid_Requirement'!CC16</f>
        <v/>
      </c>
      <c r="CF1136">
        <f>'Grid_Requirement'!CD16</f>
        <v/>
      </c>
      <c r="CG1136">
        <f>'Grid_Requirement'!CE16</f>
        <v/>
      </c>
      <c r="CH1136">
        <f>'Grid_Requirement'!CF16</f>
        <v/>
      </c>
      <c r="CI1136">
        <f>'Grid_Requirement'!CG16</f>
        <v/>
      </c>
      <c r="CJ1136">
        <f>'Grid_Requirement'!CH16</f>
        <v/>
      </c>
      <c r="CK1136">
        <f>'Grid_Requirement'!CI16</f>
        <v/>
      </c>
      <c r="CL1136">
        <f>'Grid_Requirement'!CJ16</f>
        <v/>
      </c>
      <c r="CM1136">
        <f>'Grid_Requirement'!CK16</f>
        <v/>
      </c>
      <c r="CN1136">
        <f>'Grid_Requirement'!CL16</f>
        <v/>
      </c>
      <c r="CO1136">
        <f>'Grid_Requirement'!CM16</f>
        <v/>
      </c>
      <c r="CP1136">
        <f>'Grid_Requirement'!CN16</f>
        <v/>
      </c>
      <c r="CQ1136">
        <f>'Grid_Requirement'!CO16</f>
        <v/>
      </c>
      <c r="CR1136">
        <f>'Grid_Requirement'!CP16</f>
        <v/>
      </c>
      <c r="CS1136">
        <f>'Grid_Requirement'!CQ16</f>
        <v/>
      </c>
      <c r="CT1136">
        <f>'Grid_Requirement'!CR16</f>
        <v/>
      </c>
      <c r="CU1136">
        <f>'Grid_Requirement'!CS16</f>
        <v/>
      </c>
      <c r="CV1136">
        <f>'Grid_Requirement'!CT16</f>
        <v/>
      </c>
      <c r="CW1136">
        <f>'Grid_Requirement'!CU16</f>
        <v/>
      </c>
      <c r="CX1136">
        <f>'Grid_Requirement'!CV16</f>
        <v/>
      </c>
      <c r="CY1136">
        <f>'Grid_Requirement'!CW16</f>
        <v/>
      </c>
      <c r="CZ1136">
        <f>'Grid_Requirement'!CX16</f>
        <v/>
      </c>
      <c r="DA1136">
        <f>'Grid_Requirement'!CY16</f>
        <v/>
      </c>
      <c r="DB1136">
        <f>'Grid_Requirement'!CZ16</f>
        <v/>
      </c>
      <c r="DC1136">
        <f>'Grid_Requirement'!DA16</f>
        <v/>
      </c>
    </row>
    <row r="1137">
      <c r="B1137" t="inlineStr">
        <is>
          <t>TTAF在庫(実績,kg)</t>
        </is>
      </c>
      <c r="D1137">
        <f>'T_TTAFStock'!B20</f>
        <v/>
      </c>
      <c r="E1137">
        <f>'T_TTAFStock'!C20</f>
        <v/>
      </c>
      <c r="F1137">
        <f>'T_TTAFStock'!D20</f>
        <v/>
      </c>
      <c r="G1137">
        <f>'T_TTAFStock'!E20</f>
        <v/>
      </c>
      <c r="H1137">
        <f>'T_TTAFStock'!F20</f>
        <v/>
      </c>
      <c r="I1137">
        <f>'T_TTAFStock'!G20</f>
        <v/>
      </c>
      <c r="J1137">
        <f>'T_TTAFStock'!H20</f>
        <v/>
      </c>
      <c r="K1137">
        <f>'T_TTAFStock'!I20</f>
        <v/>
      </c>
      <c r="L1137">
        <f>'T_TTAFStock'!J20</f>
        <v/>
      </c>
      <c r="M1137">
        <f>'T_TTAFStock'!K20</f>
        <v/>
      </c>
      <c r="N1137">
        <f>'T_TTAFStock'!L20</f>
        <v/>
      </c>
      <c r="O1137">
        <f>'T_TTAFStock'!M20</f>
        <v/>
      </c>
      <c r="P1137">
        <f>'T_TTAFStock'!N20</f>
        <v/>
      </c>
      <c r="Q1137">
        <f>'T_TTAFStock'!O20</f>
        <v/>
      </c>
      <c r="R1137">
        <f>'T_TTAFStock'!P20</f>
        <v/>
      </c>
      <c r="S1137">
        <f>'T_TTAFStock'!Q20</f>
        <v/>
      </c>
      <c r="T1137">
        <f>'T_TTAFStock'!R20</f>
        <v/>
      </c>
      <c r="U1137">
        <f>'T_TTAFStock'!S20</f>
        <v/>
      </c>
      <c r="V1137">
        <f>'T_TTAFStock'!T20</f>
        <v/>
      </c>
      <c r="W1137">
        <f>'T_TTAFStock'!U20</f>
        <v/>
      </c>
      <c r="X1137">
        <f>'T_TTAFStock'!V20</f>
        <v/>
      </c>
      <c r="Y1137">
        <f>'T_TTAFStock'!W20</f>
        <v/>
      </c>
      <c r="Z1137">
        <f>'T_TTAFStock'!X20</f>
        <v/>
      </c>
      <c r="AA1137">
        <f>'T_TTAFStock'!Y20</f>
        <v/>
      </c>
      <c r="AB1137">
        <f>'T_TTAFStock'!Z20</f>
        <v/>
      </c>
      <c r="AC1137">
        <f>'T_TTAFStock'!AA20</f>
        <v/>
      </c>
      <c r="AD1137">
        <f>'T_TTAFStock'!AB20</f>
        <v/>
      </c>
      <c r="AE1137">
        <f>'T_TTAFStock'!AC20</f>
        <v/>
      </c>
      <c r="AF1137">
        <f>'T_TTAFStock'!AD20</f>
        <v/>
      </c>
      <c r="AG1137">
        <f>'T_TTAFStock'!AE20</f>
        <v/>
      </c>
      <c r="AH1137">
        <f>'T_TTAFStock'!AF20</f>
        <v/>
      </c>
      <c r="AI1137">
        <f>'T_TTAFStock'!AG20</f>
        <v/>
      </c>
      <c r="AJ1137">
        <f>'T_TTAFStock'!AH20</f>
        <v/>
      </c>
      <c r="AK1137">
        <f>'T_TTAFStock'!AI20</f>
        <v/>
      </c>
      <c r="AL1137">
        <f>'T_TTAFStock'!AJ20</f>
        <v/>
      </c>
      <c r="AM1137">
        <f>'T_TTAFStock'!AK20</f>
        <v/>
      </c>
      <c r="AN1137">
        <f>'T_TTAFStock'!AL20</f>
        <v/>
      </c>
      <c r="AO1137">
        <f>'T_TTAFStock'!AM20</f>
        <v/>
      </c>
      <c r="AP1137">
        <f>'T_TTAFStock'!AN20</f>
        <v/>
      </c>
      <c r="AQ1137">
        <f>'T_TTAFStock'!AO20</f>
        <v/>
      </c>
      <c r="AR1137">
        <f>'T_TTAFStock'!AP20</f>
        <v/>
      </c>
      <c r="AS1137">
        <f>'T_TTAFStock'!AQ20</f>
        <v/>
      </c>
      <c r="AT1137">
        <f>'T_TTAFStock'!AR20</f>
        <v/>
      </c>
      <c r="AU1137">
        <f>'T_TTAFStock'!AS20</f>
        <v/>
      </c>
      <c r="AV1137">
        <f>'T_TTAFStock'!AT20</f>
        <v/>
      </c>
      <c r="AW1137">
        <f>'T_TTAFStock'!AU20</f>
        <v/>
      </c>
      <c r="AX1137">
        <f>'T_TTAFStock'!AV20</f>
        <v/>
      </c>
      <c r="AY1137">
        <f>'T_TTAFStock'!AW20</f>
        <v/>
      </c>
      <c r="AZ1137">
        <f>'T_TTAFStock'!AX20</f>
        <v/>
      </c>
      <c r="BA1137">
        <f>'T_TTAFStock'!AY20</f>
        <v/>
      </c>
      <c r="BB1137">
        <f>'T_TTAFStock'!AZ20</f>
        <v/>
      </c>
      <c r="BC1137">
        <f>'T_TTAFStock'!BA20</f>
        <v/>
      </c>
      <c r="BD1137">
        <f>'T_TTAFStock'!BB20</f>
        <v/>
      </c>
      <c r="BE1137">
        <f>'T_TTAFStock'!BC20</f>
        <v/>
      </c>
      <c r="BF1137">
        <f>'T_TTAFStock'!BD20</f>
        <v/>
      </c>
      <c r="BG1137">
        <f>'T_TTAFStock'!BE20</f>
        <v/>
      </c>
      <c r="BH1137">
        <f>'T_TTAFStock'!BF20</f>
        <v/>
      </c>
      <c r="BI1137">
        <f>'T_TTAFStock'!BG20</f>
        <v/>
      </c>
      <c r="BJ1137">
        <f>'T_TTAFStock'!BH20</f>
        <v/>
      </c>
      <c r="BK1137">
        <f>'T_TTAFStock'!BI20</f>
        <v/>
      </c>
      <c r="BL1137">
        <f>'T_TTAFStock'!BJ20</f>
        <v/>
      </c>
      <c r="BM1137">
        <f>'T_TTAFStock'!BK20</f>
        <v/>
      </c>
      <c r="BN1137">
        <f>'T_TTAFStock'!BL20</f>
        <v/>
      </c>
      <c r="BO1137">
        <f>'T_TTAFStock'!BM20</f>
        <v/>
      </c>
      <c r="BP1137">
        <f>'T_TTAFStock'!BN20</f>
        <v/>
      </c>
      <c r="BQ1137">
        <f>'T_TTAFStock'!BO20</f>
        <v/>
      </c>
      <c r="BR1137">
        <f>'T_TTAFStock'!BP20</f>
        <v/>
      </c>
      <c r="BS1137">
        <f>'T_TTAFStock'!BQ20</f>
        <v/>
      </c>
      <c r="BT1137">
        <f>'T_TTAFStock'!BR20</f>
        <v/>
      </c>
      <c r="BU1137">
        <f>'T_TTAFStock'!BS20</f>
        <v/>
      </c>
      <c r="BV1137">
        <f>'T_TTAFStock'!BT20</f>
        <v/>
      </c>
      <c r="BW1137">
        <f>'T_TTAFStock'!BU20</f>
        <v/>
      </c>
      <c r="BX1137">
        <f>'T_TTAFStock'!BV20</f>
        <v/>
      </c>
      <c r="BY1137">
        <f>'T_TTAFStock'!BW20</f>
        <v/>
      </c>
      <c r="BZ1137">
        <f>'T_TTAFStock'!BX20</f>
        <v/>
      </c>
      <c r="CA1137">
        <f>'T_TTAFStock'!BY20</f>
        <v/>
      </c>
      <c r="CB1137">
        <f>'T_TTAFStock'!BZ20</f>
        <v/>
      </c>
      <c r="CC1137">
        <f>'T_TTAFStock'!CA20</f>
        <v/>
      </c>
      <c r="CD1137">
        <f>'T_TTAFStock'!CB20</f>
        <v/>
      </c>
      <c r="CE1137">
        <f>'T_TTAFStock'!CC20</f>
        <v/>
      </c>
      <c r="CF1137">
        <f>'T_TTAFStock'!CD20</f>
        <v/>
      </c>
      <c r="CG1137">
        <f>'T_TTAFStock'!CE20</f>
        <v/>
      </c>
      <c r="CH1137">
        <f>'T_TTAFStock'!CF20</f>
        <v/>
      </c>
      <c r="CI1137">
        <f>'T_TTAFStock'!CG20</f>
        <v/>
      </c>
      <c r="CJ1137">
        <f>'T_TTAFStock'!CH20</f>
        <v/>
      </c>
      <c r="CK1137">
        <f>'T_TTAFStock'!CI20</f>
        <v/>
      </c>
      <c r="CL1137">
        <f>'T_TTAFStock'!CJ20</f>
        <v/>
      </c>
      <c r="CM1137">
        <f>'T_TTAFStock'!CK20</f>
        <v/>
      </c>
      <c r="CN1137">
        <f>'T_TTAFStock'!CL20</f>
        <v/>
      </c>
      <c r="CO1137">
        <f>'T_TTAFStock'!CM20</f>
        <v/>
      </c>
      <c r="CP1137">
        <f>'T_TTAFStock'!CN20</f>
        <v/>
      </c>
      <c r="CQ1137">
        <f>'T_TTAFStock'!CO20</f>
        <v/>
      </c>
      <c r="CR1137">
        <f>'T_TTAFStock'!CP20</f>
        <v/>
      </c>
      <c r="CS1137">
        <f>'T_TTAFStock'!CQ20</f>
        <v/>
      </c>
      <c r="CT1137">
        <f>'T_TTAFStock'!CR20</f>
        <v/>
      </c>
      <c r="CU1137">
        <f>'T_TTAFStock'!CS20</f>
        <v/>
      </c>
      <c r="CV1137">
        <f>'T_TTAFStock'!CT20</f>
        <v/>
      </c>
      <c r="CW1137">
        <f>'T_TTAFStock'!CU20</f>
        <v/>
      </c>
      <c r="CX1137">
        <f>'T_TTAFStock'!CV20</f>
        <v/>
      </c>
      <c r="CY1137">
        <f>'T_TTAFStock'!CW20</f>
        <v/>
      </c>
      <c r="CZ1137">
        <f>'T_TTAFStock'!CX20</f>
        <v/>
      </c>
      <c r="DA1137">
        <f>'T_TTAFStock'!CY20</f>
        <v/>
      </c>
      <c r="DB1137">
        <f>'T_TTAFStock'!CZ20</f>
        <v/>
      </c>
      <c r="DC1137">
        <f>'T_TTAFStock'!DA20</f>
        <v/>
      </c>
    </row>
    <row r="1138">
      <c r="B1138" t="inlineStr">
        <is>
          <t>自社在庫(実績,kg)</t>
        </is>
      </c>
      <c r="D1138">
        <f>'T_SelfStock'!B20</f>
        <v/>
      </c>
      <c r="E1138">
        <f>'T_SelfStock'!C20</f>
        <v/>
      </c>
      <c r="F1138">
        <f>'T_SelfStock'!D20</f>
        <v/>
      </c>
      <c r="G1138">
        <f>'T_SelfStock'!E20</f>
        <v/>
      </c>
      <c r="H1138">
        <f>'T_SelfStock'!F20</f>
        <v/>
      </c>
      <c r="I1138">
        <f>'T_SelfStock'!G20</f>
        <v/>
      </c>
      <c r="J1138">
        <f>'T_SelfStock'!H20</f>
        <v/>
      </c>
      <c r="K1138">
        <f>'T_SelfStock'!I20</f>
        <v/>
      </c>
      <c r="L1138">
        <f>'T_SelfStock'!J20</f>
        <v/>
      </c>
      <c r="M1138">
        <f>'T_SelfStock'!K20</f>
        <v/>
      </c>
      <c r="N1138">
        <f>'T_SelfStock'!L20</f>
        <v/>
      </c>
      <c r="O1138">
        <f>'T_SelfStock'!M20</f>
        <v/>
      </c>
      <c r="P1138">
        <f>'T_SelfStock'!N20</f>
        <v/>
      </c>
      <c r="Q1138">
        <f>'T_SelfStock'!O20</f>
        <v/>
      </c>
      <c r="R1138">
        <f>'T_SelfStock'!P20</f>
        <v/>
      </c>
      <c r="S1138">
        <f>'T_SelfStock'!Q20</f>
        <v/>
      </c>
      <c r="T1138">
        <f>'T_SelfStock'!R20</f>
        <v/>
      </c>
      <c r="U1138">
        <f>'T_SelfStock'!S20</f>
        <v/>
      </c>
      <c r="V1138">
        <f>'T_SelfStock'!T20</f>
        <v/>
      </c>
      <c r="W1138">
        <f>'T_SelfStock'!U20</f>
        <v/>
      </c>
      <c r="X1138">
        <f>'T_SelfStock'!V20</f>
        <v/>
      </c>
      <c r="Y1138">
        <f>'T_SelfStock'!W20</f>
        <v/>
      </c>
      <c r="Z1138">
        <f>'T_SelfStock'!X20</f>
        <v/>
      </c>
      <c r="AA1138">
        <f>'T_SelfStock'!Y20</f>
        <v/>
      </c>
      <c r="AB1138">
        <f>'T_SelfStock'!Z20</f>
        <v/>
      </c>
      <c r="AC1138">
        <f>'T_SelfStock'!AA20</f>
        <v/>
      </c>
      <c r="AD1138">
        <f>'T_SelfStock'!AB20</f>
        <v/>
      </c>
      <c r="AE1138">
        <f>'T_SelfStock'!AC20</f>
        <v/>
      </c>
      <c r="AF1138">
        <f>'T_SelfStock'!AD20</f>
        <v/>
      </c>
      <c r="AG1138">
        <f>'T_SelfStock'!AE20</f>
        <v/>
      </c>
      <c r="AH1138">
        <f>'T_SelfStock'!AF20</f>
        <v/>
      </c>
      <c r="AI1138">
        <f>'T_SelfStock'!AG20</f>
        <v/>
      </c>
      <c r="AJ1138">
        <f>'T_SelfStock'!AH20</f>
        <v/>
      </c>
      <c r="AK1138">
        <f>'T_SelfStock'!AI20</f>
        <v/>
      </c>
      <c r="AL1138">
        <f>'T_SelfStock'!AJ20</f>
        <v/>
      </c>
      <c r="AM1138">
        <f>'T_SelfStock'!AK20</f>
        <v/>
      </c>
      <c r="AN1138">
        <f>'T_SelfStock'!AL20</f>
        <v/>
      </c>
      <c r="AO1138">
        <f>'T_SelfStock'!AM20</f>
        <v/>
      </c>
      <c r="AP1138">
        <f>'T_SelfStock'!AN20</f>
        <v/>
      </c>
      <c r="AQ1138">
        <f>'T_SelfStock'!AO20</f>
        <v/>
      </c>
      <c r="AR1138">
        <f>'T_SelfStock'!AP20</f>
        <v/>
      </c>
      <c r="AS1138">
        <f>'T_SelfStock'!AQ20</f>
        <v/>
      </c>
      <c r="AT1138">
        <f>'T_SelfStock'!AR20</f>
        <v/>
      </c>
      <c r="AU1138">
        <f>'T_SelfStock'!AS20</f>
        <v/>
      </c>
      <c r="AV1138">
        <f>'T_SelfStock'!AT20</f>
        <v/>
      </c>
      <c r="AW1138">
        <f>'T_SelfStock'!AU20</f>
        <v/>
      </c>
      <c r="AX1138">
        <f>'T_SelfStock'!AV20</f>
        <v/>
      </c>
      <c r="AY1138">
        <f>'T_SelfStock'!AW20</f>
        <v/>
      </c>
      <c r="AZ1138">
        <f>'T_SelfStock'!AX20</f>
        <v/>
      </c>
      <c r="BA1138">
        <f>'T_SelfStock'!AY20</f>
        <v/>
      </c>
      <c r="BB1138">
        <f>'T_SelfStock'!AZ20</f>
        <v/>
      </c>
      <c r="BC1138">
        <f>'T_SelfStock'!BA20</f>
        <v/>
      </c>
      <c r="BD1138">
        <f>'T_SelfStock'!BB20</f>
        <v/>
      </c>
      <c r="BE1138">
        <f>'T_SelfStock'!BC20</f>
        <v/>
      </c>
      <c r="BF1138">
        <f>'T_SelfStock'!BD20</f>
        <v/>
      </c>
      <c r="BG1138">
        <f>'T_SelfStock'!BE20</f>
        <v/>
      </c>
      <c r="BH1138">
        <f>'T_SelfStock'!BF20</f>
        <v/>
      </c>
      <c r="BI1138">
        <f>'T_SelfStock'!BG20</f>
        <v/>
      </c>
      <c r="BJ1138">
        <f>'T_SelfStock'!BH20</f>
        <v/>
      </c>
      <c r="BK1138">
        <f>'T_SelfStock'!BI20</f>
        <v/>
      </c>
      <c r="BL1138">
        <f>'T_SelfStock'!BJ20</f>
        <v/>
      </c>
      <c r="BM1138">
        <f>'T_SelfStock'!BK20</f>
        <v/>
      </c>
      <c r="BN1138">
        <f>'T_SelfStock'!BL20</f>
        <v/>
      </c>
      <c r="BO1138">
        <f>'T_SelfStock'!BM20</f>
        <v/>
      </c>
      <c r="BP1138">
        <f>'T_SelfStock'!BN20</f>
        <v/>
      </c>
      <c r="BQ1138">
        <f>'T_SelfStock'!BO20</f>
        <v/>
      </c>
      <c r="BR1138">
        <f>'T_SelfStock'!BP20</f>
        <v/>
      </c>
      <c r="BS1138">
        <f>'T_SelfStock'!BQ20</f>
        <v/>
      </c>
      <c r="BT1138">
        <f>'T_SelfStock'!BR20</f>
        <v/>
      </c>
      <c r="BU1138">
        <f>'T_SelfStock'!BS20</f>
        <v/>
      </c>
      <c r="BV1138">
        <f>'T_SelfStock'!BT20</f>
        <v/>
      </c>
      <c r="BW1138">
        <f>'T_SelfStock'!BU20</f>
        <v/>
      </c>
      <c r="BX1138">
        <f>'T_SelfStock'!BV20</f>
        <v/>
      </c>
      <c r="BY1138">
        <f>'T_SelfStock'!BW20</f>
        <v/>
      </c>
      <c r="BZ1138">
        <f>'T_SelfStock'!BX20</f>
        <v/>
      </c>
      <c r="CA1138">
        <f>'T_SelfStock'!BY20</f>
        <v/>
      </c>
      <c r="CB1138">
        <f>'T_SelfStock'!BZ20</f>
        <v/>
      </c>
      <c r="CC1138">
        <f>'T_SelfStock'!CA20</f>
        <v/>
      </c>
      <c r="CD1138">
        <f>'T_SelfStock'!CB20</f>
        <v/>
      </c>
      <c r="CE1138">
        <f>'T_SelfStock'!CC20</f>
        <v/>
      </c>
      <c r="CF1138">
        <f>'T_SelfStock'!CD20</f>
        <v/>
      </c>
      <c r="CG1138">
        <f>'T_SelfStock'!CE20</f>
        <v/>
      </c>
      <c r="CH1138">
        <f>'T_SelfStock'!CF20</f>
        <v/>
      </c>
      <c r="CI1138">
        <f>'T_SelfStock'!CG20</f>
        <v/>
      </c>
      <c r="CJ1138">
        <f>'T_SelfStock'!CH20</f>
        <v/>
      </c>
      <c r="CK1138">
        <f>'T_SelfStock'!CI20</f>
        <v/>
      </c>
      <c r="CL1138">
        <f>'T_SelfStock'!CJ20</f>
        <v/>
      </c>
      <c r="CM1138">
        <f>'T_SelfStock'!CK20</f>
        <v/>
      </c>
      <c r="CN1138">
        <f>'T_SelfStock'!CL20</f>
        <v/>
      </c>
      <c r="CO1138">
        <f>'T_SelfStock'!CM20</f>
        <v/>
      </c>
      <c r="CP1138">
        <f>'T_SelfStock'!CN20</f>
        <v/>
      </c>
      <c r="CQ1138">
        <f>'T_SelfStock'!CO20</f>
        <v/>
      </c>
      <c r="CR1138">
        <f>'T_SelfStock'!CP20</f>
        <v/>
      </c>
      <c r="CS1138">
        <f>'T_SelfStock'!CQ20</f>
        <v/>
      </c>
      <c r="CT1138">
        <f>'T_SelfStock'!CR20</f>
        <v/>
      </c>
      <c r="CU1138">
        <f>'T_SelfStock'!CS20</f>
        <v/>
      </c>
      <c r="CV1138">
        <f>'T_SelfStock'!CT20</f>
        <v/>
      </c>
      <c r="CW1138">
        <f>'T_SelfStock'!CU20</f>
        <v/>
      </c>
      <c r="CX1138">
        <f>'T_SelfStock'!CV20</f>
        <v/>
      </c>
      <c r="CY1138">
        <f>'T_SelfStock'!CW20</f>
        <v/>
      </c>
      <c r="CZ1138">
        <f>'T_SelfStock'!CX20</f>
        <v/>
      </c>
      <c r="DA1138">
        <f>'T_SelfStock'!CY20</f>
        <v/>
      </c>
      <c r="DB1138">
        <f>'T_SelfStock'!CZ20</f>
        <v/>
      </c>
      <c r="DC1138">
        <f>'T_SelfStock'!DA20</f>
        <v/>
      </c>
    </row>
    <row r="1139">
      <c r="B1139" s="4" t="inlineStr">
        <is>
          <t>合計在庫(週末時点,kg)</t>
        </is>
      </c>
      <c r="D1139">
        <f>'Grid_Stock'!B16</f>
        <v/>
      </c>
      <c r="E1139">
        <f>'Grid_Stock'!C16</f>
        <v/>
      </c>
      <c r="F1139">
        <f>'Grid_Stock'!D16</f>
        <v/>
      </c>
      <c r="G1139">
        <f>'Grid_Stock'!E16</f>
        <v/>
      </c>
      <c r="H1139">
        <f>'Grid_Stock'!F16</f>
        <v/>
      </c>
      <c r="I1139">
        <f>'Grid_Stock'!G16</f>
        <v/>
      </c>
      <c r="J1139">
        <f>'Grid_Stock'!H16</f>
        <v/>
      </c>
      <c r="K1139">
        <f>'Grid_Stock'!I16</f>
        <v/>
      </c>
      <c r="L1139">
        <f>'Grid_Stock'!J16</f>
        <v/>
      </c>
      <c r="M1139">
        <f>'Grid_Stock'!K16</f>
        <v/>
      </c>
      <c r="N1139">
        <f>'Grid_Stock'!L16</f>
        <v/>
      </c>
      <c r="O1139">
        <f>'Grid_Stock'!M16</f>
        <v/>
      </c>
      <c r="P1139">
        <f>'Grid_Stock'!N16</f>
        <v/>
      </c>
      <c r="Q1139">
        <f>'Grid_Stock'!O16</f>
        <v/>
      </c>
      <c r="R1139">
        <f>'Grid_Stock'!P16</f>
        <v/>
      </c>
      <c r="S1139">
        <f>'Grid_Stock'!Q16</f>
        <v/>
      </c>
      <c r="T1139">
        <f>'Grid_Stock'!R16</f>
        <v/>
      </c>
      <c r="U1139">
        <f>'Grid_Stock'!S16</f>
        <v/>
      </c>
      <c r="V1139">
        <f>'Grid_Stock'!T16</f>
        <v/>
      </c>
      <c r="W1139">
        <f>'Grid_Stock'!U16</f>
        <v/>
      </c>
      <c r="X1139">
        <f>'Grid_Stock'!V16</f>
        <v/>
      </c>
      <c r="Y1139">
        <f>'Grid_Stock'!W16</f>
        <v/>
      </c>
      <c r="Z1139">
        <f>'Grid_Stock'!X16</f>
        <v/>
      </c>
      <c r="AA1139">
        <f>'Grid_Stock'!Y16</f>
        <v/>
      </c>
      <c r="AB1139">
        <f>'Grid_Stock'!Z16</f>
        <v/>
      </c>
      <c r="AC1139">
        <f>'Grid_Stock'!AA16</f>
        <v/>
      </c>
      <c r="AD1139">
        <f>'Grid_Stock'!AB16</f>
        <v/>
      </c>
      <c r="AE1139">
        <f>'Grid_Stock'!AC16</f>
        <v/>
      </c>
      <c r="AF1139">
        <f>'Grid_Stock'!AD16</f>
        <v/>
      </c>
      <c r="AG1139">
        <f>'Grid_Stock'!AE16</f>
        <v/>
      </c>
      <c r="AH1139">
        <f>'Grid_Stock'!AF16</f>
        <v/>
      </c>
      <c r="AI1139">
        <f>'Grid_Stock'!AG16</f>
        <v/>
      </c>
      <c r="AJ1139">
        <f>'Grid_Stock'!AH16</f>
        <v/>
      </c>
      <c r="AK1139">
        <f>'Grid_Stock'!AI16</f>
        <v/>
      </c>
      <c r="AL1139">
        <f>'Grid_Stock'!AJ16</f>
        <v/>
      </c>
      <c r="AM1139">
        <f>'Grid_Stock'!AK16</f>
        <v/>
      </c>
      <c r="AN1139">
        <f>'Grid_Stock'!AL16</f>
        <v/>
      </c>
      <c r="AO1139">
        <f>'Grid_Stock'!AM16</f>
        <v/>
      </c>
      <c r="AP1139">
        <f>'Grid_Stock'!AN16</f>
        <v/>
      </c>
      <c r="AQ1139">
        <f>'Grid_Stock'!AO16</f>
        <v/>
      </c>
      <c r="AR1139">
        <f>'Grid_Stock'!AP16</f>
        <v/>
      </c>
      <c r="AS1139">
        <f>'Grid_Stock'!AQ16</f>
        <v/>
      </c>
      <c r="AT1139">
        <f>'Grid_Stock'!AR16</f>
        <v/>
      </c>
      <c r="AU1139">
        <f>'Grid_Stock'!AS16</f>
        <v/>
      </c>
      <c r="AV1139">
        <f>'Grid_Stock'!AT16</f>
        <v/>
      </c>
      <c r="AW1139">
        <f>'Grid_Stock'!AU16</f>
        <v/>
      </c>
      <c r="AX1139">
        <f>'Grid_Stock'!AV16</f>
        <v/>
      </c>
      <c r="AY1139">
        <f>'Grid_Stock'!AW16</f>
        <v/>
      </c>
      <c r="AZ1139">
        <f>'Grid_Stock'!AX16</f>
        <v/>
      </c>
      <c r="BA1139">
        <f>'Grid_Stock'!AY16</f>
        <v/>
      </c>
      <c r="BB1139">
        <f>'Grid_Stock'!AZ16</f>
        <v/>
      </c>
      <c r="BC1139">
        <f>'Grid_Stock'!BA16</f>
        <v/>
      </c>
      <c r="BD1139">
        <f>'Grid_Stock'!BB16</f>
        <v/>
      </c>
      <c r="BE1139">
        <f>'Grid_Stock'!BC16</f>
        <v/>
      </c>
      <c r="BF1139">
        <f>'Grid_Stock'!BD16</f>
        <v/>
      </c>
      <c r="BG1139">
        <f>'Grid_Stock'!BE16</f>
        <v/>
      </c>
      <c r="BH1139">
        <f>'Grid_Stock'!BF16</f>
        <v/>
      </c>
      <c r="BI1139">
        <f>'Grid_Stock'!BG16</f>
        <v/>
      </c>
      <c r="BJ1139">
        <f>'Grid_Stock'!BH16</f>
        <v/>
      </c>
      <c r="BK1139">
        <f>'Grid_Stock'!BI16</f>
        <v/>
      </c>
      <c r="BL1139">
        <f>'Grid_Stock'!BJ16</f>
        <v/>
      </c>
      <c r="BM1139">
        <f>'Grid_Stock'!BK16</f>
        <v/>
      </c>
      <c r="BN1139">
        <f>'Grid_Stock'!BL16</f>
        <v/>
      </c>
      <c r="BO1139">
        <f>'Grid_Stock'!BM16</f>
        <v/>
      </c>
      <c r="BP1139">
        <f>'Grid_Stock'!BN16</f>
        <v/>
      </c>
      <c r="BQ1139">
        <f>'Grid_Stock'!BO16</f>
        <v/>
      </c>
      <c r="BR1139">
        <f>'Grid_Stock'!BP16</f>
        <v/>
      </c>
      <c r="BS1139">
        <f>'Grid_Stock'!BQ16</f>
        <v/>
      </c>
      <c r="BT1139">
        <f>'Grid_Stock'!BR16</f>
        <v/>
      </c>
      <c r="BU1139">
        <f>'Grid_Stock'!BS16</f>
        <v/>
      </c>
      <c r="BV1139">
        <f>'Grid_Stock'!BT16</f>
        <v/>
      </c>
      <c r="BW1139">
        <f>'Grid_Stock'!BU16</f>
        <v/>
      </c>
      <c r="BX1139">
        <f>'Grid_Stock'!BV16</f>
        <v/>
      </c>
      <c r="BY1139">
        <f>'Grid_Stock'!BW16</f>
        <v/>
      </c>
      <c r="BZ1139">
        <f>'Grid_Stock'!BX16</f>
        <v/>
      </c>
      <c r="CA1139">
        <f>'Grid_Stock'!BY16</f>
        <v/>
      </c>
      <c r="CB1139">
        <f>'Grid_Stock'!BZ16</f>
        <v/>
      </c>
      <c r="CC1139">
        <f>'Grid_Stock'!CA16</f>
        <v/>
      </c>
      <c r="CD1139">
        <f>'Grid_Stock'!CB16</f>
        <v/>
      </c>
      <c r="CE1139">
        <f>'Grid_Stock'!CC16</f>
        <v/>
      </c>
      <c r="CF1139">
        <f>'Grid_Stock'!CD16</f>
        <v/>
      </c>
      <c r="CG1139">
        <f>'Grid_Stock'!CE16</f>
        <v/>
      </c>
      <c r="CH1139">
        <f>'Grid_Stock'!CF16</f>
        <v/>
      </c>
      <c r="CI1139">
        <f>'Grid_Stock'!CG16</f>
        <v/>
      </c>
      <c r="CJ1139">
        <f>'Grid_Stock'!CH16</f>
        <v/>
      </c>
      <c r="CK1139">
        <f>'Grid_Stock'!CI16</f>
        <v/>
      </c>
      <c r="CL1139">
        <f>'Grid_Stock'!CJ16</f>
        <v/>
      </c>
      <c r="CM1139">
        <f>'Grid_Stock'!CK16</f>
        <v/>
      </c>
      <c r="CN1139">
        <f>'Grid_Stock'!CL16</f>
        <v/>
      </c>
      <c r="CO1139">
        <f>'Grid_Stock'!CM16</f>
        <v/>
      </c>
      <c r="CP1139">
        <f>'Grid_Stock'!CN16</f>
        <v/>
      </c>
      <c r="CQ1139">
        <f>'Grid_Stock'!CO16</f>
        <v/>
      </c>
      <c r="CR1139">
        <f>'Grid_Stock'!CP16</f>
        <v/>
      </c>
      <c r="CS1139">
        <f>'Grid_Stock'!CQ16</f>
        <v/>
      </c>
      <c r="CT1139">
        <f>'Grid_Stock'!CR16</f>
        <v/>
      </c>
      <c r="CU1139">
        <f>'Grid_Stock'!CS16</f>
        <v/>
      </c>
      <c r="CV1139">
        <f>'Grid_Stock'!CT16</f>
        <v/>
      </c>
      <c r="CW1139">
        <f>'Grid_Stock'!CU16</f>
        <v/>
      </c>
      <c r="CX1139">
        <f>'Grid_Stock'!CV16</f>
        <v/>
      </c>
      <c r="CY1139">
        <f>'Grid_Stock'!CW16</f>
        <v/>
      </c>
      <c r="CZ1139">
        <f>'Grid_Stock'!CX16</f>
        <v/>
      </c>
      <c r="DA1139">
        <f>'Grid_Stock'!CY16</f>
        <v/>
      </c>
      <c r="DB1139">
        <f>'Grid_Stock'!CZ16</f>
        <v/>
      </c>
      <c r="DC1139">
        <f>'Grid_Stock'!DA16</f>
        <v/>
      </c>
    </row>
    <row r="1140">
      <c r="B1140" s="16" t="inlineStr">
        <is>
          <t>（発注の目安はDashboardの基準在庫[下限/上限]と色分けを参照）</t>
        </is>
      </c>
    </row>
    <row r="1142">
      <c r="A1142" s="14" t="inlineStr">
        <is>
          <t>CHEM-1840</t>
        </is>
      </c>
      <c r="B1142" s="14" t="inlineStr">
        <is>
          <t>KAOCERA2020</t>
        </is>
      </c>
      <c r="C1142" s="15" t="n"/>
      <c r="D1142" s="14" t="n"/>
      <c r="E1142" s="14" t="n"/>
      <c r="F1142" s="14" t="n"/>
      <c r="G1142" s="14" t="n"/>
      <c r="H1142" s="14" t="n"/>
      <c r="I1142" s="14" t="n"/>
      <c r="J1142" s="14" t="n"/>
      <c r="K1142" s="14" t="n"/>
      <c r="L1142" s="14" t="n"/>
      <c r="M1142" s="14" t="n"/>
      <c r="N1142" s="14" t="n"/>
      <c r="O1142" s="14" t="n"/>
      <c r="P1142" s="14" t="n"/>
      <c r="Q1142" s="14" t="n"/>
      <c r="R1142" s="14" t="n"/>
      <c r="S1142" s="14" t="n"/>
      <c r="T1142" s="14" t="n"/>
      <c r="U1142" s="14" t="n"/>
      <c r="V1142" s="14" t="n"/>
      <c r="W1142" s="14" t="n"/>
      <c r="X1142" s="14" t="n"/>
      <c r="Y1142" s="14" t="n"/>
      <c r="Z1142" s="14" t="n"/>
      <c r="AA1142" s="14" t="n"/>
      <c r="AB1142" s="14" t="n"/>
      <c r="AC1142" s="14" t="n"/>
      <c r="AD1142" s="14" t="n"/>
      <c r="AE1142" s="14" t="n"/>
      <c r="AF1142" s="14" t="n"/>
      <c r="AG1142" s="14" t="n"/>
      <c r="AH1142" s="14" t="n"/>
      <c r="AI1142" s="14" t="n"/>
      <c r="AJ1142" s="14" t="n"/>
      <c r="AK1142" s="14" t="n"/>
      <c r="AL1142" s="14" t="n"/>
      <c r="AM1142" s="14" t="n"/>
      <c r="AN1142" s="14" t="n"/>
      <c r="AO1142" s="14" t="n"/>
      <c r="AP1142" s="14" t="n"/>
      <c r="AQ1142" s="14" t="n"/>
      <c r="AR1142" s="14" t="n"/>
      <c r="AS1142" s="14" t="n"/>
      <c r="AT1142" s="14" t="n"/>
      <c r="AU1142" s="14" t="n"/>
      <c r="AV1142" s="14" t="n"/>
      <c r="AW1142" s="14" t="n"/>
      <c r="AX1142" s="14" t="n"/>
      <c r="AY1142" s="14" t="n"/>
      <c r="AZ1142" s="14" t="n"/>
      <c r="BA1142" s="14" t="n"/>
      <c r="BB1142" s="14" t="n"/>
      <c r="BC1142" s="14" t="n"/>
      <c r="BD1142" s="14" t="n"/>
      <c r="BE1142" s="14" t="n"/>
      <c r="BF1142" s="14" t="n"/>
      <c r="BG1142" s="14" t="n"/>
      <c r="BH1142" s="14" t="n"/>
      <c r="BI1142" s="14" t="n"/>
      <c r="BJ1142" s="14" t="n"/>
      <c r="BK1142" s="14" t="n"/>
      <c r="BL1142" s="14" t="n"/>
      <c r="BM1142" s="14" t="n"/>
      <c r="BN1142" s="14" t="n"/>
      <c r="BO1142" s="14" t="n"/>
      <c r="BP1142" s="14" t="n"/>
      <c r="BQ1142" s="14" t="n"/>
      <c r="BR1142" s="14" t="n"/>
      <c r="BS1142" s="14" t="n"/>
      <c r="BT1142" s="14" t="n"/>
      <c r="BU1142" s="14" t="n"/>
      <c r="BV1142" s="14" t="n"/>
      <c r="BW1142" s="14" t="n"/>
      <c r="BX1142" s="14" t="n"/>
      <c r="BY1142" s="14" t="n"/>
      <c r="BZ1142" s="14" t="n"/>
      <c r="CA1142" s="14" t="n"/>
      <c r="CB1142" s="14" t="n"/>
      <c r="CC1142" s="14" t="n"/>
      <c r="CD1142" s="14" t="n"/>
      <c r="CE1142" s="14" t="n"/>
      <c r="CF1142" s="14" t="n"/>
      <c r="CG1142" s="14" t="n"/>
      <c r="CH1142" s="14" t="n"/>
      <c r="CI1142" s="14" t="n"/>
      <c r="CJ1142" s="14" t="n"/>
      <c r="CK1142" s="14" t="n"/>
      <c r="CL1142" s="14" t="n"/>
      <c r="CM1142" s="14" t="n"/>
      <c r="CN1142" s="14" t="n"/>
      <c r="CO1142" s="14" t="n"/>
      <c r="CP1142" s="14" t="n"/>
      <c r="CQ1142" s="14" t="n"/>
      <c r="CR1142" s="14" t="n"/>
      <c r="CS1142" s="14" t="n"/>
      <c r="CT1142" s="14" t="n"/>
      <c r="CU1142" s="14" t="n"/>
      <c r="CV1142" s="14" t="n"/>
      <c r="CW1142" s="14" t="n"/>
      <c r="CX1142" s="14" t="n"/>
      <c r="CY1142" s="14" t="n"/>
      <c r="CZ1142" s="14" t="n"/>
      <c r="DA1142" s="14" t="n"/>
      <c r="DB1142" s="14" t="n"/>
      <c r="DC1142" s="14" t="n"/>
    </row>
    <row r="1143">
      <c r="B1143" t="inlineStr">
        <is>
          <t>TSP-1558</t>
        </is>
      </c>
      <c r="C1143" t="inlineStr">
        <is>
          <t>No. of batches</t>
        </is>
      </c>
      <c r="D1143">
        <f>IFERROR(INDEX(PP_Grid[#Data],$DD1143,2),0)</f>
        <v/>
      </c>
      <c r="E1143">
        <f>IFERROR(INDEX(PP_Grid[#Data],$DD1143,3),0)</f>
        <v/>
      </c>
      <c r="F1143">
        <f>IFERROR(INDEX(PP_Grid[#Data],$DD1143,4),0)</f>
        <v/>
      </c>
      <c r="G1143">
        <f>IFERROR(INDEX(PP_Grid[#Data],$DD1143,5),0)</f>
        <v/>
      </c>
      <c r="H1143">
        <f>IFERROR(INDEX(PP_Grid[#Data],$DD1143,6),0)</f>
        <v/>
      </c>
      <c r="I1143">
        <f>IFERROR(INDEX(PP_Grid[#Data],$DD1143,7),0)</f>
        <v/>
      </c>
      <c r="J1143">
        <f>IFERROR(INDEX(PP_Grid[#Data],$DD1143,8),0)</f>
        <v/>
      </c>
      <c r="K1143">
        <f>IFERROR(INDEX(PP_Grid[#Data],$DD1143,9),0)</f>
        <v/>
      </c>
      <c r="L1143">
        <f>IFERROR(INDEX(PP_Grid[#Data],$DD1143,10),0)</f>
        <v/>
      </c>
      <c r="M1143">
        <f>IFERROR(INDEX(PP_Grid[#Data],$DD1143,11),0)</f>
        <v/>
      </c>
      <c r="N1143">
        <f>IFERROR(INDEX(PP_Grid[#Data],$DD1143,12),0)</f>
        <v/>
      </c>
      <c r="O1143">
        <f>IFERROR(INDEX(PP_Grid[#Data],$DD1143,13),0)</f>
        <v/>
      </c>
      <c r="P1143">
        <f>IFERROR(INDEX(PP_Grid[#Data],$DD1143,14),0)</f>
        <v/>
      </c>
      <c r="Q1143">
        <f>IFERROR(INDEX(PP_Grid[#Data],$DD1143,15),0)</f>
        <v/>
      </c>
      <c r="R1143">
        <f>IFERROR(INDEX(PP_Grid[#Data],$DD1143,16),0)</f>
        <v/>
      </c>
      <c r="S1143">
        <f>IFERROR(INDEX(PP_Grid[#Data],$DD1143,17),0)</f>
        <v/>
      </c>
      <c r="T1143">
        <f>IFERROR(INDEX(PP_Grid[#Data],$DD1143,18),0)</f>
        <v/>
      </c>
      <c r="U1143">
        <f>IFERROR(INDEX(PP_Grid[#Data],$DD1143,19),0)</f>
        <v/>
      </c>
      <c r="V1143">
        <f>IFERROR(INDEX(PP_Grid[#Data],$DD1143,20),0)</f>
        <v/>
      </c>
      <c r="W1143">
        <f>IFERROR(INDEX(PP_Grid[#Data],$DD1143,21),0)</f>
        <v/>
      </c>
      <c r="X1143">
        <f>IFERROR(INDEX(PP_Grid[#Data],$DD1143,22),0)</f>
        <v/>
      </c>
      <c r="Y1143">
        <f>IFERROR(INDEX(PP_Grid[#Data],$DD1143,23),0)</f>
        <v/>
      </c>
      <c r="Z1143">
        <f>IFERROR(INDEX(PP_Grid[#Data],$DD1143,24),0)</f>
        <v/>
      </c>
      <c r="AA1143">
        <f>IFERROR(INDEX(PP_Grid[#Data],$DD1143,25),0)</f>
        <v/>
      </c>
      <c r="AB1143">
        <f>IFERROR(INDEX(PP_Grid[#Data],$DD1143,26),0)</f>
        <v/>
      </c>
      <c r="AC1143">
        <f>IFERROR(INDEX(PP_Grid[#Data],$DD1143,27),0)</f>
        <v/>
      </c>
      <c r="AD1143">
        <f>IFERROR(INDEX(PP_Grid[#Data],$DD1143,28),0)</f>
        <v/>
      </c>
      <c r="AE1143">
        <f>IFERROR(INDEX(PP_Grid[#Data],$DD1143,29),0)</f>
        <v/>
      </c>
      <c r="AF1143">
        <f>IFERROR(INDEX(PP_Grid[#Data],$DD1143,30),0)</f>
        <v/>
      </c>
      <c r="AG1143">
        <f>IFERROR(INDEX(PP_Grid[#Data],$DD1143,31),0)</f>
        <v/>
      </c>
      <c r="AH1143">
        <f>IFERROR(INDEX(PP_Grid[#Data],$DD1143,32),0)</f>
        <v/>
      </c>
      <c r="AI1143">
        <f>IFERROR(INDEX(PP_Grid[#Data],$DD1143,33),0)</f>
        <v/>
      </c>
      <c r="AJ1143">
        <f>IFERROR(INDEX(PP_Grid[#Data],$DD1143,34),0)</f>
        <v/>
      </c>
      <c r="AK1143">
        <f>IFERROR(INDEX(PP_Grid[#Data],$DD1143,35),0)</f>
        <v/>
      </c>
      <c r="AL1143">
        <f>IFERROR(INDEX(PP_Grid[#Data],$DD1143,36),0)</f>
        <v/>
      </c>
      <c r="AM1143">
        <f>IFERROR(INDEX(PP_Grid[#Data],$DD1143,37),0)</f>
        <v/>
      </c>
      <c r="AN1143">
        <f>IFERROR(INDEX(PP_Grid[#Data],$DD1143,38),0)</f>
        <v/>
      </c>
      <c r="AO1143">
        <f>IFERROR(INDEX(PP_Grid[#Data],$DD1143,39),0)</f>
        <v/>
      </c>
      <c r="AP1143">
        <f>IFERROR(INDEX(PP_Grid[#Data],$DD1143,40),0)</f>
        <v/>
      </c>
      <c r="AQ1143">
        <f>IFERROR(INDEX(PP_Grid[#Data],$DD1143,41),0)</f>
        <v/>
      </c>
      <c r="AR1143">
        <f>IFERROR(INDEX(PP_Grid[#Data],$DD1143,42),0)</f>
        <v/>
      </c>
      <c r="AS1143">
        <f>IFERROR(INDEX(PP_Grid[#Data],$DD1143,43),0)</f>
        <v/>
      </c>
      <c r="AT1143">
        <f>IFERROR(INDEX(PP_Grid[#Data],$DD1143,44),0)</f>
        <v/>
      </c>
      <c r="AU1143">
        <f>IFERROR(INDEX(PP_Grid[#Data],$DD1143,45),0)</f>
        <v/>
      </c>
      <c r="AV1143">
        <f>IFERROR(INDEX(PP_Grid[#Data],$DD1143,46),0)</f>
        <v/>
      </c>
      <c r="AW1143">
        <f>IFERROR(INDEX(PP_Grid[#Data],$DD1143,47),0)</f>
        <v/>
      </c>
      <c r="AX1143">
        <f>IFERROR(INDEX(PP_Grid[#Data],$DD1143,48),0)</f>
        <v/>
      </c>
      <c r="AY1143">
        <f>IFERROR(INDEX(PP_Grid[#Data],$DD1143,49),0)</f>
        <v/>
      </c>
      <c r="AZ1143">
        <f>IFERROR(INDEX(PP_Grid[#Data],$DD1143,50),0)</f>
        <v/>
      </c>
      <c r="BA1143">
        <f>IFERROR(INDEX(PP_Grid[#Data],$DD1143,51),0)</f>
        <v/>
      </c>
      <c r="BB1143">
        <f>IFERROR(INDEX(PP_Grid[#Data],$DD1143,52),0)</f>
        <v/>
      </c>
      <c r="BC1143">
        <f>IFERROR(INDEX(PP_Grid[#Data],$DD1143,53),0)</f>
        <v/>
      </c>
      <c r="BD1143">
        <f>IFERROR(INDEX(PP_Grid[#Data],$DD1143,54),0)</f>
        <v/>
      </c>
      <c r="BE1143">
        <f>IFERROR(INDEX(PP_Grid[#Data],$DD1143,55),0)</f>
        <v/>
      </c>
      <c r="BF1143">
        <f>IFERROR(INDEX(PP_Grid[#Data],$DD1143,56),0)</f>
        <v/>
      </c>
      <c r="BG1143">
        <f>IFERROR(INDEX(PP_Grid[#Data],$DD1143,57),0)</f>
        <v/>
      </c>
      <c r="BH1143">
        <f>IFERROR(INDEX(PP_Grid[#Data],$DD1143,58),0)</f>
        <v/>
      </c>
      <c r="BI1143">
        <f>IFERROR(INDEX(PP_Grid[#Data],$DD1143,59),0)</f>
        <v/>
      </c>
      <c r="BJ1143">
        <f>IFERROR(INDEX(PP_Grid[#Data],$DD1143,60),0)</f>
        <v/>
      </c>
      <c r="BK1143">
        <f>IFERROR(INDEX(PP_Grid[#Data],$DD1143,61),0)</f>
        <v/>
      </c>
      <c r="BL1143">
        <f>IFERROR(INDEX(PP_Grid[#Data],$DD1143,62),0)</f>
        <v/>
      </c>
      <c r="BM1143">
        <f>IFERROR(INDEX(PP_Grid[#Data],$DD1143,63),0)</f>
        <v/>
      </c>
      <c r="BN1143">
        <f>IFERROR(INDEX(PP_Grid[#Data],$DD1143,64),0)</f>
        <v/>
      </c>
      <c r="BO1143">
        <f>IFERROR(INDEX(PP_Grid[#Data],$DD1143,65),0)</f>
        <v/>
      </c>
      <c r="BP1143">
        <f>IFERROR(INDEX(PP_Grid[#Data],$DD1143,66),0)</f>
        <v/>
      </c>
      <c r="BQ1143">
        <f>IFERROR(INDEX(PP_Grid[#Data],$DD1143,67),0)</f>
        <v/>
      </c>
      <c r="BR1143">
        <f>IFERROR(INDEX(PP_Grid[#Data],$DD1143,68),0)</f>
        <v/>
      </c>
      <c r="BS1143">
        <f>IFERROR(INDEX(PP_Grid[#Data],$DD1143,69),0)</f>
        <v/>
      </c>
      <c r="BT1143">
        <f>IFERROR(INDEX(PP_Grid[#Data],$DD1143,70),0)</f>
        <v/>
      </c>
      <c r="BU1143">
        <f>IFERROR(INDEX(PP_Grid[#Data],$DD1143,71),0)</f>
        <v/>
      </c>
      <c r="BV1143">
        <f>IFERROR(INDEX(PP_Grid[#Data],$DD1143,72),0)</f>
        <v/>
      </c>
      <c r="BW1143">
        <f>IFERROR(INDEX(PP_Grid[#Data],$DD1143,73),0)</f>
        <v/>
      </c>
      <c r="BX1143">
        <f>IFERROR(INDEX(PP_Grid[#Data],$DD1143,74),0)</f>
        <v/>
      </c>
      <c r="BY1143">
        <f>IFERROR(INDEX(PP_Grid[#Data],$DD1143,75),0)</f>
        <v/>
      </c>
      <c r="BZ1143">
        <f>IFERROR(INDEX(PP_Grid[#Data],$DD1143,76),0)</f>
        <v/>
      </c>
      <c r="CA1143">
        <f>IFERROR(INDEX(PP_Grid[#Data],$DD1143,77),0)</f>
        <v/>
      </c>
      <c r="CB1143">
        <f>IFERROR(INDEX(PP_Grid[#Data],$DD1143,78),0)</f>
        <v/>
      </c>
      <c r="CC1143">
        <f>IFERROR(INDEX(PP_Grid[#Data],$DD1143,79),0)</f>
        <v/>
      </c>
      <c r="CD1143">
        <f>IFERROR(INDEX(PP_Grid[#Data],$DD1143,80),0)</f>
        <v/>
      </c>
      <c r="CE1143">
        <f>IFERROR(INDEX(PP_Grid[#Data],$DD1143,81),0)</f>
        <v/>
      </c>
      <c r="CF1143">
        <f>IFERROR(INDEX(PP_Grid[#Data],$DD1143,82),0)</f>
        <v/>
      </c>
      <c r="CG1143">
        <f>IFERROR(INDEX(PP_Grid[#Data],$DD1143,83),0)</f>
        <v/>
      </c>
      <c r="CH1143">
        <f>IFERROR(INDEX(PP_Grid[#Data],$DD1143,84),0)</f>
        <v/>
      </c>
      <c r="CI1143">
        <f>IFERROR(INDEX(PP_Grid[#Data],$DD1143,85),0)</f>
        <v/>
      </c>
      <c r="CJ1143">
        <f>IFERROR(INDEX(PP_Grid[#Data],$DD1143,86),0)</f>
        <v/>
      </c>
      <c r="CK1143">
        <f>IFERROR(INDEX(PP_Grid[#Data],$DD1143,87),0)</f>
        <v/>
      </c>
      <c r="CL1143">
        <f>IFERROR(INDEX(PP_Grid[#Data],$DD1143,88),0)</f>
        <v/>
      </c>
      <c r="CM1143">
        <f>IFERROR(INDEX(PP_Grid[#Data],$DD1143,89),0)</f>
        <v/>
      </c>
      <c r="CN1143">
        <f>IFERROR(INDEX(PP_Grid[#Data],$DD1143,90),0)</f>
        <v/>
      </c>
      <c r="CO1143">
        <f>IFERROR(INDEX(PP_Grid[#Data],$DD1143,91),0)</f>
        <v/>
      </c>
      <c r="CP1143">
        <f>IFERROR(INDEX(PP_Grid[#Data],$DD1143,92),0)</f>
        <v/>
      </c>
      <c r="CQ1143">
        <f>IFERROR(INDEX(PP_Grid[#Data],$DD1143,93),0)</f>
        <v/>
      </c>
      <c r="CR1143">
        <f>IFERROR(INDEX(PP_Grid[#Data],$DD1143,94),0)</f>
        <v/>
      </c>
      <c r="CS1143">
        <f>IFERROR(INDEX(PP_Grid[#Data],$DD1143,95),0)</f>
        <v/>
      </c>
      <c r="CT1143">
        <f>IFERROR(INDEX(PP_Grid[#Data],$DD1143,96),0)</f>
        <v/>
      </c>
      <c r="CU1143">
        <f>IFERROR(INDEX(PP_Grid[#Data],$DD1143,97),0)</f>
        <v/>
      </c>
      <c r="CV1143">
        <f>IFERROR(INDEX(PP_Grid[#Data],$DD1143,98),0)</f>
        <v/>
      </c>
      <c r="CW1143">
        <f>IFERROR(INDEX(PP_Grid[#Data],$DD1143,99),0)</f>
        <v/>
      </c>
      <c r="CX1143">
        <f>IFERROR(INDEX(PP_Grid[#Data],$DD1143,100),0)</f>
        <v/>
      </c>
      <c r="CY1143">
        <f>IFERROR(INDEX(PP_Grid[#Data],$DD1143,101),0)</f>
        <v/>
      </c>
      <c r="CZ1143">
        <f>IFERROR(INDEX(PP_Grid[#Data],$DD1143,102),0)</f>
        <v/>
      </c>
      <c r="DA1143">
        <f>IFERROR(INDEX(PP_Grid[#Data],$DD1143,103),0)</f>
        <v/>
      </c>
      <c r="DB1143">
        <f>IFERROR(INDEX(PP_Grid[#Data],$DD1143,104),0)</f>
        <v/>
      </c>
      <c r="DC1143">
        <f>IFERROR(INDEX(PP_Grid[#Data],$DD1143,105),0)</f>
        <v/>
      </c>
      <c r="DD1143" s="7">
        <f>IFERROR(MATCH($B1143,PP_Grid[Intermediate],0),99999)</f>
        <v/>
      </c>
    </row>
    <row r="1144">
      <c r="B1144" t="inlineStr">
        <is>
          <t>使用量(kg)</t>
        </is>
      </c>
      <c r="C1144">
        <f>SUMIFS(M_BOM[RM_Qty_Per_Batch],M_BOM[Intermediate],$B1143,M_BOM[Part Name],$A1142)</f>
        <v/>
      </c>
      <c r="D1144">
        <f>$C1144*D1143</f>
        <v/>
      </c>
      <c r="E1144">
        <f>$C1144*E1143</f>
        <v/>
      </c>
      <c r="F1144">
        <f>$C1144*F1143</f>
        <v/>
      </c>
      <c r="G1144">
        <f>$C1144*G1143</f>
        <v/>
      </c>
      <c r="H1144">
        <f>$C1144*H1143</f>
        <v/>
      </c>
      <c r="I1144">
        <f>$C1144*I1143</f>
        <v/>
      </c>
      <c r="J1144">
        <f>$C1144*J1143</f>
        <v/>
      </c>
      <c r="K1144">
        <f>$C1144*K1143</f>
        <v/>
      </c>
      <c r="L1144">
        <f>$C1144*L1143</f>
        <v/>
      </c>
      <c r="M1144">
        <f>$C1144*M1143</f>
        <v/>
      </c>
      <c r="N1144">
        <f>$C1144*N1143</f>
        <v/>
      </c>
      <c r="O1144">
        <f>$C1144*O1143</f>
        <v/>
      </c>
      <c r="P1144">
        <f>$C1144*P1143</f>
        <v/>
      </c>
      <c r="Q1144">
        <f>$C1144*Q1143</f>
        <v/>
      </c>
      <c r="R1144">
        <f>$C1144*R1143</f>
        <v/>
      </c>
      <c r="S1144">
        <f>$C1144*S1143</f>
        <v/>
      </c>
      <c r="T1144">
        <f>$C1144*T1143</f>
        <v/>
      </c>
      <c r="U1144">
        <f>$C1144*U1143</f>
        <v/>
      </c>
      <c r="V1144">
        <f>$C1144*V1143</f>
        <v/>
      </c>
      <c r="W1144">
        <f>$C1144*W1143</f>
        <v/>
      </c>
      <c r="X1144">
        <f>$C1144*X1143</f>
        <v/>
      </c>
      <c r="Y1144">
        <f>$C1144*Y1143</f>
        <v/>
      </c>
      <c r="Z1144">
        <f>$C1144*Z1143</f>
        <v/>
      </c>
      <c r="AA1144">
        <f>$C1144*AA1143</f>
        <v/>
      </c>
      <c r="AB1144">
        <f>$C1144*AB1143</f>
        <v/>
      </c>
      <c r="AC1144">
        <f>$C1144*AC1143</f>
        <v/>
      </c>
      <c r="AD1144">
        <f>$C1144*AD1143</f>
        <v/>
      </c>
      <c r="AE1144">
        <f>$C1144*AE1143</f>
        <v/>
      </c>
      <c r="AF1144">
        <f>$C1144*AF1143</f>
        <v/>
      </c>
      <c r="AG1144">
        <f>$C1144*AG1143</f>
        <v/>
      </c>
      <c r="AH1144">
        <f>$C1144*AH1143</f>
        <v/>
      </c>
      <c r="AI1144">
        <f>$C1144*AI1143</f>
        <v/>
      </c>
      <c r="AJ1144">
        <f>$C1144*AJ1143</f>
        <v/>
      </c>
      <c r="AK1144">
        <f>$C1144*AK1143</f>
        <v/>
      </c>
      <c r="AL1144">
        <f>$C1144*AL1143</f>
        <v/>
      </c>
      <c r="AM1144">
        <f>$C1144*AM1143</f>
        <v/>
      </c>
      <c r="AN1144">
        <f>$C1144*AN1143</f>
        <v/>
      </c>
      <c r="AO1144">
        <f>$C1144*AO1143</f>
        <v/>
      </c>
      <c r="AP1144">
        <f>$C1144*AP1143</f>
        <v/>
      </c>
      <c r="AQ1144">
        <f>$C1144*AQ1143</f>
        <v/>
      </c>
      <c r="AR1144">
        <f>$C1144*AR1143</f>
        <v/>
      </c>
      <c r="AS1144">
        <f>$C1144*AS1143</f>
        <v/>
      </c>
      <c r="AT1144">
        <f>$C1144*AT1143</f>
        <v/>
      </c>
      <c r="AU1144">
        <f>$C1144*AU1143</f>
        <v/>
      </c>
      <c r="AV1144">
        <f>$C1144*AV1143</f>
        <v/>
      </c>
      <c r="AW1144">
        <f>$C1144*AW1143</f>
        <v/>
      </c>
      <c r="AX1144">
        <f>$C1144*AX1143</f>
        <v/>
      </c>
      <c r="AY1144">
        <f>$C1144*AY1143</f>
        <v/>
      </c>
      <c r="AZ1144">
        <f>$C1144*AZ1143</f>
        <v/>
      </c>
      <c r="BA1144">
        <f>$C1144*BA1143</f>
        <v/>
      </c>
      <c r="BB1144">
        <f>$C1144*BB1143</f>
        <v/>
      </c>
      <c r="BC1144">
        <f>$C1144*BC1143</f>
        <v/>
      </c>
      <c r="BD1144">
        <f>$C1144*BD1143</f>
        <v/>
      </c>
      <c r="BE1144">
        <f>$C1144*BE1143</f>
        <v/>
      </c>
      <c r="BF1144">
        <f>$C1144*BF1143</f>
        <v/>
      </c>
      <c r="BG1144">
        <f>$C1144*BG1143</f>
        <v/>
      </c>
      <c r="BH1144">
        <f>$C1144*BH1143</f>
        <v/>
      </c>
      <c r="BI1144">
        <f>$C1144*BI1143</f>
        <v/>
      </c>
      <c r="BJ1144">
        <f>$C1144*BJ1143</f>
        <v/>
      </c>
      <c r="BK1144">
        <f>$C1144*BK1143</f>
        <v/>
      </c>
      <c r="BL1144">
        <f>$C1144*BL1143</f>
        <v/>
      </c>
      <c r="BM1144">
        <f>$C1144*BM1143</f>
        <v/>
      </c>
      <c r="BN1144">
        <f>$C1144*BN1143</f>
        <v/>
      </c>
      <c r="BO1144">
        <f>$C1144*BO1143</f>
        <v/>
      </c>
      <c r="BP1144">
        <f>$C1144*BP1143</f>
        <v/>
      </c>
      <c r="BQ1144">
        <f>$C1144*BQ1143</f>
        <v/>
      </c>
      <c r="BR1144">
        <f>$C1144*BR1143</f>
        <v/>
      </c>
      <c r="BS1144">
        <f>$C1144*BS1143</f>
        <v/>
      </c>
      <c r="BT1144">
        <f>$C1144*BT1143</f>
        <v/>
      </c>
      <c r="BU1144">
        <f>$C1144*BU1143</f>
        <v/>
      </c>
      <c r="BV1144">
        <f>$C1144*BV1143</f>
        <v/>
      </c>
      <c r="BW1144">
        <f>$C1144*BW1143</f>
        <v/>
      </c>
      <c r="BX1144">
        <f>$C1144*BX1143</f>
        <v/>
      </c>
      <c r="BY1144">
        <f>$C1144*BY1143</f>
        <v/>
      </c>
      <c r="BZ1144">
        <f>$C1144*BZ1143</f>
        <v/>
      </c>
      <c r="CA1144">
        <f>$C1144*CA1143</f>
        <v/>
      </c>
      <c r="CB1144">
        <f>$C1144*CB1143</f>
        <v/>
      </c>
      <c r="CC1144">
        <f>$C1144*CC1143</f>
        <v/>
      </c>
      <c r="CD1144">
        <f>$C1144*CD1143</f>
        <v/>
      </c>
      <c r="CE1144">
        <f>$C1144*CE1143</f>
        <v/>
      </c>
      <c r="CF1144">
        <f>$C1144*CF1143</f>
        <v/>
      </c>
      <c r="CG1144">
        <f>$C1144*CG1143</f>
        <v/>
      </c>
      <c r="CH1144">
        <f>$C1144*CH1143</f>
        <v/>
      </c>
      <c r="CI1144">
        <f>$C1144*CI1143</f>
        <v/>
      </c>
      <c r="CJ1144">
        <f>$C1144*CJ1143</f>
        <v/>
      </c>
      <c r="CK1144">
        <f>$C1144*CK1143</f>
        <v/>
      </c>
      <c r="CL1144">
        <f>$C1144*CL1143</f>
        <v/>
      </c>
      <c r="CM1144">
        <f>$C1144*CM1143</f>
        <v/>
      </c>
      <c r="CN1144">
        <f>$C1144*CN1143</f>
        <v/>
      </c>
      <c r="CO1144">
        <f>$C1144*CO1143</f>
        <v/>
      </c>
      <c r="CP1144">
        <f>$C1144*CP1143</f>
        <v/>
      </c>
      <c r="CQ1144">
        <f>$C1144*CQ1143</f>
        <v/>
      </c>
      <c r="CR1144">
        <f>$C1144*CR1143</f>
        <v/>
      </c>
      <c r="CS1144">
        <f>$C1144*CS1143</f>
        <v/>
      </c>
      <c r="CT1144">
        <f>$C1144*CT1143</f>
        <v/>
      </c>
      <c r="CU1144">
        <f>$C1144*CU1143</f>
        <v/>
      </c>
      <c r="CV1144">
        <f>$C1144*CV1143</f>
        <v/>
      </c>
      <c r="CW1144">
        <f>$C1144*CW1143</f>
        <v/>
      </c>
      <c r="CX1144">
        <f>$C1144*CX1143</f>
        <v/>
      </c>
      <c r="CY1144">
        <f>$C1144*CY1143</f>
        <v/>
      </c>
      <c r="CZ1144">
        <f>$C1144*CZ1143</f>
        <v/>
      </c>
      <c r="DA1144">
        <f>$C1144*DA1143</f>
        <v/>
      </c>
      <c r="DB1144">
        <f>$C1144*DB1143</f>
        <v/>
      </c>
      <c r="DC1144">
        <f>$C1144*DC1143</f>
        <v/>
      </c>
    </row>
    <row r="1145">
      <c r="B1145" t="inlineStr">
        <is>
          <t>TSP-1559</t>
        </is>
      </c>
      <c r="C1145" t="inlineStr">
        <is>
          <t>No. of batches</t>
        </is>
      </c>
      <c r="D1145">
        <f>IFERROR(INDEX(PP_Grid[#Data],$DD1145,2),0)</f>
        <v/>
      </c>
      <c r="E1145">
        <f>IFERROR(INDEX(PP_Grid[#Data],$DD1145,3),0)</f>
        <v/>
      </c>
      <c r="F1145">
        <f>IFERROR(INDEX(PP_Grid[#Data],$DD1145,4),0)</f>
        <v/>
      </c>
      <c r="G1145">
        <f>IFERROR(INDEX(PP_Grid[#Data],$DD1145,5),0)</f>
        <v/>
      </c>
      <c r="H1145">
        <f>IFERROR(INDEX(PP_Grid[#Data],$DD1145,6),0)</f>
        <v/>
      </c>
      <c r="I1145">
        <f>IFERROR(INDEX(PP_Grid[#Data],$DD1145,7),0)</f>
        <v/>
      </c>
      <c r="J1145">
        <f>IFERROR(INDEX(PP_Grid[#Data],$DD1145,8),0)</f>
        <v/>
      </c>
      <c r="K1145">
        <f>IFERROR(INDEX(PP_Grid[#Data],$DD1145,9),0)</f>
        <v/>
      </c>
      <c r="L1145">
        <f>IFERROR(INDEX(PP_Grid[#Data],$DD1145,10),0)</f>
        <v/>
      </c>
      <c r="M1145">
        <f>IFERROR(INDEX(PP_Grid[#Data],$DD1145,11),0)</f>
        <v/>
      </c>
      <c r="N1145">
        <f>IFERROR(INDEX(PP_Grid[#Data],$DD1145,12),0)</f>
        <v/>
      </c>
      <c r="O1145">
        <f>IFERROR(INDEX(PP_Grid[#Data],$DD1145,13),0)</f>
        <v/>
      </c>
      <c r="P1145">
        <f>IFERROR(INDEX(PP_Grid[#Data],$DD1145,14),0)</f>
        <v/>
      </c>
      <c r="Q1145">
        <f>IFERROR(INDEX(PP_Grid[#Data],$DD1145,15),0)</f>
        <v/>
      </c>
      <c r="R1145">
        <f>IFERROR(INDEX(PP_Grid[#Data],$DD1145,16),0)</f>
        <v/>
      </c>
      <c r="S1145">
        <f>IFERROR(INDEX(PP_Grid[#Data],$DD1145,17),0)</f>
        <v/>
      </c>
      <c r="T1145">
        <f>IFERROR(INDEX(PP_Grid[#Data],$DD1145,18),0)</f>
        <v/>
      </c>
      <c r="U1145">
        <f>IFERROR(INDEX(PP_Grid[#Data],$DD1145,19),0)</f>
        <v/>
      </c>
      <c r="V1145">
        <f>IFERROR(INDEX(PP_Grid[#Data],$DD1145,20),0)</f>
        <v/>
      </c>
      <c r="W1145">
        <f>IFERROR(INDEX(PP_Grid[#Data],$DD1145,21),0)</f>
        <v/>
      </c>
      <c r="X1145">
        <f>IFERROR(INDEX(PP_Grid[#Data],$DD1145,22),0)</f>
        <v/>
      </c>
      <c r="Y1145">
        <f>IFERROR(INDEX(PP_Grid[#Data],$DD1145,23),0)</f>
        <v/>
      </c>
      <c r="Z1145">
        <f>IFERROR(INDEX(PP_Grid[#Data],$DD1145,24),0)</f>
        <v/>
      </c>
      <c r="AA1145">
        <f>IFERROR(INDEX(PP_Grid[#Data],$DD1145,25),0)</f>
        <v/>
      </c>
      <c r="AB1145">
        <f>IFERROR(INDEX(PP_Grid[#Data],$DD1145,26),0)</f>
        <v/>
      </c>
      <c r="AC1145">
        <f>IFERROR(INDEX(PP_Grid[#Data],$DD1145,27),0)</f>
        <v/>
      </c>
      <c r="AD1145">
        <f>IFERROR(INDEX(PP_Grid[#Data],$DD1145,28),0)</f>
        <v/>
      </c>
      <c r="AE1145">
        <f>IFERROR(INDEX(PP_Grid[#Data],$DD1145,29),0)</f>
        <v/>
      </c>
      <c r="AF1145">
        <f>IFERROR(INDEX(PP_Grid[#Data],$DD1145,30),0)</f>
        <v/>
      </c>
      <c r="AG1145">
        <f>IFERROR(INDEX(PP_Grid[#Data],$DD1145,31),0)</f>
        <v/>
      </c>
      <c r="AH1145">
        <f>IFERROR(INDEX(PP_Grid[#Data],$DD1145,32),0)</f>
        <v/>
      </c>
      <c r="AI1145">
        <f>IFERROR(INDEX(PP_Grid[#Data],$DD1145,33),0)</f>
        <v/>
      </c>
      <c r="AJ1145">
        <f>IFERROR(INDEX(PP_Grid[#Data],$DD1145,34),0)</f>
        <v/>
      </c>
      <c r="AK1145">
        <f>IFERROR(INDEX(PP_Grid[#Data],$DD1145,35),0)</f>
        <v/>
      </c>
      <c r="AL1145">
        <f>IFERROR(INDEX(PP_Grid[#Data],$DD1145,36),0)</f>
        <v/>
      </c>
      <c r="AM1145">
        <f>IFERROR(INDEX(PP_Grid[#Data],$DD1145,37),0)</f>
        <v/>
      </c>
      <c r="AN1145">
        <f>IFERROR(INDEX(PP_Grid[#Data],$DD1145,38),0)</f>
        <v/>
      </c>
      <c r="AO1145">
        <f>IFERROR(INDEX(PP_Grid[#Data],$DD1145,39),0)</f>
        <v/>
      </c>
      <c r="AP1145">
        <f>IFERROR(INDEX(PP_Grid[#Data],$DD1145,40),0)</f>
        <v/>
      </c>
      <c r="AQ1145">
        <f>IFERROR(INDEX(PP_Grid[#Data],$DD1145,41),0)</f>
        <v/>
      </c>
      <c r="AR1145">
        <f>IFERROR(INDEX(PP_Grid[#Data],$DD1145,42),0)</f>
        <v/>
      </c>
      <c r="AS1145">
        <f>IFERROR(INDEX(PP_Grid[#Data],$DD1145,43),0)</f>
        <v/>
      </c>
      <c r="AT1145">
        <f>IFERROR(INDEX(PP_Grid[#Data],$DD1145,44),0)</f>
        <v/>
      </c>
      <c r="AU1145">
        <f>IFERROR(INDEX(PP_Grid[#Data],$DD1145,45),0)</f>
        <v/>
      </c>
      <c r="AV1145">
        <f>IFERROR(INDEX(PP_Grid[#Data],$DD1145,46),0)</f>
        <v/>
      </c>
      <c r="AW1145">
        <f>IFERROR(INDEX(PP_Grid[#Data],$DD1145,47),0)</f>
        <v/>
      </c>
      <c r="AX1145">
        <f>IFERROR(INDEX(PP_Grid[#Data],$DD1145,48),0)</f>
        <v/>
      </c>
      <c r="AY1145">
        <f>IFERROR(INDEX(PP_Grid[#Data],$DD1145,49),0)</f>
        <v/>
      </c>
      <c r="AZ1145">
        <f>IFERROR(INDEX(PP_Grid[#Data],$DD1145,50),0)</f>
        <v/>
      </c>
      <c r="BA1145">
        <f>IFERROR(INDEX(PP_Grid[#Data],$DD1145,51),0)</f>
        <v/>
      </c>
      <c r="BB1145">
        <f>IFERROR(INDEX(PP_Grid[#Data],$DD1145,52),0)</f>
        <v/>
      </c>
      <c r="BC1145">
        <f>IFERROR(INDEX(PP_Grid[#Data],$DD1145,53),0)</f>
        <v/>
      </c>
      <c r="BD1145">
        <f>IFERROR(INDEX(PP_Grid[#Data],$DD1145,54),0)</f>
        <v/>
      </c>
      <c r="BE1145">
        <f>IFERROR(INDEX(PP_Grid[#Data],$DD1145,55),0)</f>
        <v/>
      </c>
      <c r="BF1145">
        <f>IFERROR(INDEX(PP_Grid[#Data],$DD1145,56),0)</f>
        <v/>
      </c>
      <c r="BG1145">
        <f>IFERROR(INDEX(PP_Grid[#Data],$DD1145,57),0)</f>
        <v/>
      </c>
      <c r="BH1145">
        <f>IFERROR(INDEX(PP_Grid[#Data],$DD1145,58),0)</f>
        <v/>
      </c>
      <c r="BI1145">
        <f>IFERROR(INDEX(PP_Grid[#Data],$DD1145,59),0)</f>
        <v/>
      </c>
      <c r="BJ1145">
        <f>IFERROR(INDEX(PP_Grid[#Data],$DD1145,60),0)</f>
        <v/>
      </c>
      <c r="BK1145">
        <f>IFERROR(INDEX(PP_Grid[#Data],$DD1145,61),0)</f>
        <v/>
      </c>
      <c r="BL1145">
        <f>IFERROR(INDEX(PP_Grid[#Data],$DD1145,62),0)</f>
        <v/>
      </c>
      <c r="BM1145">
        <f>IFERROR(INDEX(PP_Grid[#Data],$DD1145,63),0)</f>
        <v/>
      </c>
      <c r="BN1145">
        <f>IFERROR(INDEX(PP_Grid[#Data],$DD1145,64),0)</f>
        <v/>
      </c>
      <c r="BO1145">
        <f>IFERROR(INDEX(PP_Grid[#Data],$DD1145,65),0)</f>
        <v/>
      </c>
      <c r="BP1145">
        <f>IFERROR(INDEX(PP_Grid[#Data],$DD1145,66),0)</f>
        <v/>
      </c>
      <c r="BQ1145">
        <f>IFERROR(INDEX(PP_Grid[#Data],$DD1145,67),0)</f>
        <v/>
      </c>
      <c r="BR1145">
        <f>IFERROR(INDEX(PP_Grid[#Data],$DD1145,68),0)</f>
        <v/>
      </c>
      <c r="BS1145">
        <f>IFERROR(INDEX(PP_Grid[#Data],$DD1145,69),0)</f>
        <v/>
      </c>
      <c r="BT1145">
        <f>IFERROR(INDEX(PP_Grid[#Data],$DD1145,70),0)</f>
        <v/>
      </c>
      <c r="BU1145">
        <f>IFERROR(INDEX(PP_Grid[#Data],$DD1145,71),0)</f>
        <v/>
      </c>
      <c r="BV1145">
        <f>IFERROR(INDEX(PP_Grid[#Data],$DD1145,72),0)</f>
        <v/>
      </c>
      <c r="BW1145">
        <f>IFERROR(INDEX(PP_Grid[#Data],$DD1145,73),0)</f>
        <v/>
      </c>
      <c r="BX1145">
        <f>IFERROR(INDEX(PP_Grid[#Data],$DD1145,74),0)</f>
        <v/>
      </c>
      <c r="BY1145">
        <f>IFERROR(INDEX(PP_Grid[#Data],$DD1145,75),0)</f>
        <v/>
      </c>
      <c r="BZ1145">
        <f>IFERROR(INDEX(PP_Grid[#Data],$DD1145,76),0)</f>
        <v/>
      </c>
      <c r="CA1145">
        <f>IFERROR(INDEX(PP_Grid[#Data],$DD1145,77),0)</f>
        <v/>
      </c>
      <c r="CB1145">
        <f>IFERROR(INDEX(PP_Grid[#Data],$DD1145,78),0)</f>
        <v/>
      </c>
      <c r="CC1145">
        <f>IFERROR(INDEX(PP_Grid[#Data],$DD1145,79),0)</f>
        <v/>
      </c>
      <c r="CD1145">
        <f>IFERROR(INDEX(PP_Grid[#Data],$DD1145,80),0)</f>
        <v/>
      </c>
      <c r="CE1145">
        <f>IFERROR(INDEX(PP_Grid[#Data],$DD1145,81),0)</f>
        <v/>
      </c>
      <c r="CF1145">
        <f>IFERROR(INDEX(PP_Grid[#Data],$DD1145,82),0)</f>
        <v/>
      </c>
      <c r="CG1145">
        <f>IFERROR(INDEX(PP_Grid[#Data],$DD1145,83),0)</f>
        <v/>
      </c>
      <c r="CH1145">
        <f>IFERROR(INDEX(PP_Grid[#Data],$DD1145,84),0)</f>
        <v/>
      </c>
      <c r="CI1145">
        <f>IFERROR(INDEX(PP_Grid[#Data],$DD1145,85),0)</f>
        <v/>
      </c>
      <c r="CJ1145">
        <f>IFERROR(INDEX(PP_Grid[#Data],$DD1145,86),0)</f>
        <v/>
      </c>
      <c r="CK1145">
        <f>IFERROR(INDEX(PP_Grid[#Data],$DD1145,87),0)</f>
        <v/>
      </c>
      <c r="CL1145">
        <f>IFERROR(INDEX(PP_Grid[#Data],$DD1145,88),0)</f>
        <v/>
      </c>
      <c r="CM1145">
        <f>IFERROR(INDEX(PP_Grid[#Data],$DD1145,89),0)</f>
        <v/>
      </c>
      <c r="CN1145">
        <f>IFERROR(INDEX(PP_Grid[#Data],$DD1145,90),0)</f>
        <v/>
      </c>
      <c r="CO1145">
        <f>IFERROR(INDEX(PP_Grid[#Data],$DD1145,91),0)</f>
        <v/>
      </c>
      <c r="CP1145">
        <f>IFERROR(INDEX(PP_Grid[#Data],$DD1145,92),0)</f>
        <v/>
      </c>
      <c r="CQ1145">
        <f>IFERROR(INDEX(PP_Grid[#Data],$DD1145,93),0)</f>
        <v/>
      </c>
      <c r="CR1145">
        <f>IFERROR(INDEX(PP_Grid[#Data],$DD1145,94),0)</f>
        <v/>
      </c>
      <c r="CS1145">
        <f>IFERROR(INDEX(PP_Grid[#Data],$DD1145,95),0)</f>
        <v/>
      </c>
      <c r="CT1145">
        <f>IFERROR(INDEX(PP_Grid[#Data],$DD1145,96),0)</f>
        <v/>
      </c>
      <c r="CU1145">
        <f>IFERROR(INDEX(PP_Grid[#Data],$DD1145,97),0)</f>
        <v/>
      </c>
      <c r="CV1145">
        <f>IFERROR(INDEX(PP_Grid[#Data],$DD1145,98),0)</f>
        <v/>
      </c>
      <c r="CW1145">
        <f>IFERROR(INDEX(PP_Grid[#Data],$DD1145,99),0)</f>
        <v/>
      </c>
      <c r="CX1145">
        <f>IFERROR(INDEX(PP_Grid[#Data],$DD1145,100),0)</f>
        <v/>
      </c>
      <c r="CY1145">
        <f>IFERROR(INDEX(PP_Grid[#Data],$DD1145,101),0)</f>
        <v/>
      </c>
      <c r="CZ1145">
        <f>IFERROR(INDEX(PP_Grid[#Data],$DD1145,102),0)</f>
        <v/>
      </c>
      <c r="DA1145">
        <f>IFERROR(INDEX(PP_Grid[#Data],$DD1145,103),0)</f>
        <v/>
      </c>
      <c r="DB1145">
        <f>IFERROR(INDEX(PP_Grid[#Data],$DD1145,104),0)</f>
        <v/>
      </c>
      <c r="DC1145">
        <f>IFERROR(INDEX(PP_Grid[#Data],$DD1145,105),0)</f>
        <v/>
      </c>
      <c r="DD1145" s="7">
        <f>IFERROR(MATCH($B1145,PP_Grid[Intermediate],0),99999)</f>
        <v/>
      </c>
    </row>
    <row r="1146">
      <c r="B1146" t="inlineStr">
        <is>
          <t>使用量(kg)</t>
        </is>
      </c>
      <c r="C1146">
        <f>SUMIFS(M_BOM[RM_Qty_Per_Batch],M_BOM[Intermediate],$B1145,M_BOM[Part Name],$A1142)</f>
        <v/>
      </c>
      <c r="D1146">
        <f>$C1146*D1145</f>
        <v/>
      </c>
      <c r="E1146">
        <f>$C1146*E1145</f>
        <v/>
      </c>
      <c r="F1146">
        <f>$C1146*F1145</f>
        <v/>
      </c>
      <c r="G1146">
        <f>$C1146*G1145</f>
        <v/>
      </c>
      <c r="H1146">
        <f>$C1146*H1145</f>
        <v/>
      </c>
      <c r="I1146">
        <f>$C1146*I1145</f>
        <v/>
      </c>
      <c r="J1146">
        <f>$C1146*J1145</f>
        <v/>
      </c>
      <c r="K1146">
        <f>$C1146*K1145</f>
        <v/>
      </c>
      <c r="L1146">
        <f>$C1146*L1145</f>
        <v/>
      </c>
      <c r="M1146">
        <f>$C1146*M1145</f>
        <v/>
      </c>
      <c r="N1146">
        <f>$C1146*N1145</f>
        <v/>
      </c>
      <c r="O1146">
        <f>$C1146*O1145</f>
        <v/>
      </c>
      <c r="P1146">
        <f>$C1146*P1145</f>
        <v/>
      </c>
      <c r="Q1146">
        <f>$C1146*Q1145</f>
        <v/>
      </c>
      <c r="R1146">
        <f>$C1146*R1145</f>
        <v/>
      </c>
      <c r="S1146">
        <f>$C1146*S1145</f>
        <v/>
      </c>
      <c r="T1146">
        <f>$C1146*T1145</f>
        <v/>
      </c>
      <c r="U1146">
        <f>$C1146*U1145</f>
        <v/>
      </c>
      <c r="V1146">
        <f>$C1146*V1145</f>
        <v/>
      </c>
      <c r="W1146">
        <f>$C1146*W1145</f>
        <v/>
      </c>
      <c r="X1146">
        <f>$C1146*X1145</f>
        <v/>
      </c>
      <c r="Y1146">
        <f>$C1146*Y1145</f>
        <v/>
      </c>
      <c r="Z1146">
        <f>$C1146*Z1145</f>
        <v/>
      </c>
      <c r="AA1146">
        <f>$C1146*AA1145</f>
        <v/>
      </c>
      <c r="AB1146">
        <f>$C1146*AB1145</f>
        <v/>
      </c>
      <c r="AC1146">
        <f>$C1146*AC1145</f>
        <v/>
      </c>
      <c r="AD1146">
        <f>$C1146*AD1145</f>
        <v/>
      </c>
      <c r="AE1146">
        <f>$C1146*AE1145</f>
        <v/>
      </c>
      <c r="AF1146">
        <f>$C1146*AF1145</f>
        <v/>
      </c>
      <c r="AG1146">
        <f>$C1146*AG1145</f>
        <v/>
      </c>
      <c r="AH1146">
        <f>$C1146*AH1145</f>
        <v/>
      </c>
      <c r="AI1146">
        <f>$C1146*AI1145</f>
        <v/>
      </c>
      <c r="AJ1146">
        <f>$C1146*AJ1145</f>
        <v/>
      </c>
      <c r="AK1146">
        <f>$C1146*AK1145</f>
        <v/>
      </c>
      <c r="AL1146">
        <f>$C1146*AL1145</f>
        <v/>
      </c>
      <c r="AM1146">
        <f>$C1146*AM1145</f>
        <v/>
      </c>
      <c r="AN1146">
        <f>$C1146*AN1145</f>
        <v/>
      </c>
      <c r="AO1146">
        <f>$C1146*AO1145</f>
        <v/>
      </c>
      <c r="AP1146">
        <f>$C1146*AP1145</f>
        <v/>
      </c>
      <c r="AQ1146">
        <f>$C1146*AQ1145</f>
        <v/>
      </c>
      <c r="AR1146">
        <f>$C1146*AR1145</f>
        <v/>
      </c>
      <c r="AS1146">
        <f>$C1146*AS1145</f>
        <v/>
      </c>
      <c r="AT1146">
        <f>$C1146*AT1145</f>
        <v/>
      </c>
      <c r="AU1146">
        <f>$C1146*AU1145</f>
        <v/>
      </c>
      <c r="AV1146">
        <f>$C1146*AV1145</f>
        <v/>
      </c>
      <c r="AW1146">
        <f>$C1146*AW1145</f>
        <v/>
      </c>
      <c r="AX1146">
        <f>$C1146*AX1145</f>
        <v/>
      </c>
      <c r="AY1146">
        <f>$C1146*AY1145</f>
        <v/>
      </c>
      <c r="AZ1146">
        <f>$C1146*AZ1145</f>
        <v/>
      </c>
      <c r="BA1146">
        <f>$C1146*BA1145</f>
        <v/>
      </c>
      <c r="BB1146">
        <f>$C1146*BB1145</f>
        <v/>
      </c>
      <c r="BC1146">
        <f>$C1146*BC1145</f>
        <v/>
      </c>
      <c r="BD1146">
        <f>$C1146*BD1145</f>
        <v/>
      </c>
      <c r="BE1146">
        <f>$C1146*BE1145</f>
        <v/>
      </c>
      <c r="BF1146">
        <f>$C1146*BF1145</f>
        <v/>
      </c>
      <c r="BG1146">
        <f>$C1146*BG1145</f>
        <v/>
      </c>
      <c r="BH1146">
        <f>$C1146*BH1145</f>
        <v/>
      </c>
      <c r="BI1146">
        <f>$C1146*BI1145</f>
        <v/>
      </c>
      <c r="BJ1146">
        <f>$C1146*BJ1145</f>
        <v/>
      </c>
      <c r="BK1146">
        <f>$C1146*BK1145</f>
        <v/>
      </c>
      <c r="BL1146">
        <f>$C1146*BL1145</f>
        <v/>
      </c>
      <c r="BM1146">
        <f>$C1146*BM1145</f>
        <v/>
      </c>
      <c r="BN1146">
        <f>$C1146*BN1145</f>
        <v/>
      </c>
      <c r="BO1146">
        <f>$C1146*BO1145</f>
        <v/>
      </c>
      <c r="BP1146">
        <f>$C1146*BP1145</f>
        <v/>
      </c>
      <c r="BQ1146">
        <f>$C1146*BQ1145</f>
        <v/>
      </c>
      <c r="BR1146">
        <f>$C1146*BR1145</f>
        <v/>
      </c>
      <c r="BS1146">
        <f>$C1146*BS1145</f>
        <v/>
      </c>
      <c r="BT1146">
        <f>$C1146*BT1145</f>
        <v/>
      </c>
      <c r="BU1146">
        <f>$C1146*BU1145</f>
        <v/>
      </c>
      <c r="BV1146">
        <f>$C1146*BV1145</f>
        <v/>
      </c>
      <c r="BW1146">
        <f>$C1146*BW1145</f>
        <v/>
      </c>
      <c r="BX1146">
        <f>$C1146*BX1145</f>
        <v/>
      </c>
      <c r="BY1146">
        <f>$C1146*BY1145</f>
        <v/>
      </c>
      <c r="BZ1146">
        <f>$C1146*BZ1145</f>
        <v/>
      </c>
      <c r="CA1146">
        <f>$C1146*CA1145</f>
        <v/>
      </c>
      <c r="CB1146">
        <f>$C1146*CB1145</f>
        <v/>
      </c>
      <c r="CC1146">
        <f>$C1146*CC1145</f>
        <v/>
      </c>
      <c r="CD1146">
        <f>$C1146*CD1145</f>
        <v/>
      </c>
      <c r="CE1146">
        <f>$C1146*CE1145</f>
        <v/>
      </c>
      <c r="CF1146">
        <f>$C1146*CF1145</f>
        <v/>
      </c>
      <c r="CG1146">
        <f>$C1146*CG1145</f>
        <v/>
      </c>
      <c r="CH1146">
        <f>$C1146*CH1145</f>
        <v/>
      </c>
      <c r="CI1146">
        <f>$C1146*CI1145</f>
        <v/>
      </c>
      <c r="CJ1146">
        <f>$C1146*CJ1145</f>
        <v/>
      </c>
      <c r="CK1146">
        <f>$C1146*CK1145</f>
        <v/>
      </c>
      <c r="CL1146">
        <f>$C1146*CL1145</f>
        <v/>
      </c>
      <c r="CM1146">
        <f>$C1146*CM1145</f>
        <v/>
      </c>
      <c r="CN1146">
        <f>$C1146*CN1145</f>
        <v/>
      </c>
      <c r="CO1146">
        <f>$C1146*CO1145</f>
        <v/>
      </c>
      <c r="CP1146">
        <f>$C1146*CP1145</f>
        <v/>
      </c>
      <c r="CQ1146">
        <f>$C1146*CQ1145</f>
        <v/>
      </c>
      <c r="CR1146">
        <f>$C1146*CR1145</f>
        <v/>
      </c>
      <c r="CS1146">
        <f>$C1146*CS1145</f>
        <v/>
      </c>
      <c r="CT1146">
        <f>$C1146*CT1145</f>
        <v/>
      </c>
      <c r="CU1146">
        <f>$C1146*CU1145</f>
        <v/>
      </c>
      <c r="CV1146">
        <f>$C1146*CV1145</f>
        <v/>
      </c>
      <c r="CW1146">
        <f>$C1146*CW1145</f>
        <v/>
      </c>
      <c r="CX1146">
        <f>$C1146*CX1145</f>
        <v/>
      </c>
      <c r="CY1146">
        <f>$C1146*CY1145</f>
        <v/>
      </c>
      <c r="CZ1146">
        <f>$C1146*CZ1145</f>
        <v/>
      </c>
      <c r="DA1146">
        <f>$C1146*DA1145</f>
        <v/>
      </c>
      <c r="DB1146">
        <f>$C1146*DB1145</f>
        <v/>
      </c>
      <c r="DC1146">
        <f>$C1146*DC1145</f>
        <v/>
      </c>
    </row>
    <row r="1147">
      <c r="B1147" s="4" t="inlineStr">
        <is>
          <t>合計使用量(kg)/週</t>
        </is>
      </c>
      <c r="D1147">
        <f>'Grid_Requirement'!B29</f>
        <v/>
      </c>
      <c r="E1147">
        <f>'Grid_Requirement'!C29</f>
        <v/>
      </c>
      <c r="F1147">
        <f>'Grid_Requirement'!D29</f>
        <v/>
      </c>
      <c r="G1147">
        <f>'Grid_Requirement'!E29</f>
        <v/>
      </c>
      <c r="H1147">
        <f>'Grid_Requirement'!F29</f>
        <v/>
      </c>
      <c r="I1147">
        <f>'Grid_Requirement'!G29</f>
        <v/>
      </c>
      <c r="J1147">
        <f>'Grid_Requirement'!H29</f>
        <v/>
      </c>
      <c r="K1147">
        <f>'Grid_Requirement'!I29</f>
        <v/>
      </c>
      <c r="L1147">
        <f>'Grid_Requirement'!J29</f>
        <v/>
      </c>
      <c r="M1147">
        <f>'Grid_Requirement'!K29</f>
        <v/>
      </c>
      <c r="N1147">
        <f>'Grid_Requirement'!L29</f>
        <v/>
      </c>
      <c r="O1147">
        <f>'Grid_Requirement'!M29</f>
        <v/>
      </c>
      <c r="P1147">
        <f>'Grid_Requirement'!N29</f>
        <v/>
      </c>
      <c r="Q1147">
        <f>'Grid_Requirement'!O29</f>
        <v/>
      </c>
      <c r="R1147">
        <f>'Grid_Requirement'!P29</f>
        <v/>
      </c>
      <c r="S1147">
        <f>'Grid_Requirement'!Q29</f>
        <v/>
      </c>
      <c r="T1147">
        <f>'Grid_Requirement'!R29</f>
        <v/>
      </c>
      <c r="U1147">
        <f>'Grid_Requirement'!S29</f>
        <v/>
      </c>
      <c r="V1147">
        <f>'Grid_Requirement'!T29</f>
        <v/>
      </c>
      <c r="W1147">
        <f>'Grid_Requirement'!U29</f>
        <v/>
      </c>
      <c r="X1147">
        <f>'Grid_Requirement'!V29</f>
        <v/>
      </c>
      <c r="Y1147">
        <f>'Grid_Requirement'!W29</f>
        <v/>
      </c>
      <c r="Z1147">
        <f>'Grid_Requirement'!X29</f>
        <v/>
      </c>
      <c r="AA1147">
        <f>'Grid_Requirement'!Y29</f>
        <v/>
      </c>
      <c r="AB1147">
        <f>'Grid_Requirement'!Z29</f>
        <v/>
      </c>
      <c r="AC1147">
        <f>'Grid_Requirement'!AA29</f>
        <v/>
      </c>
      <c r="AD1147">
        <f>'Grid_Requirement'!AB29</f>
        <v/>
      </c>
      <c r="AE1147">
        <f>'Grid_Requirement'!AC29</f>
        <v/>
      </c>
      <c r="AF1147">
        <f>'Grid_Requirement'!AD29</f>
        <v/>
      </c>
      <c r="AG1147">
        <f>'Grid_Requirement'!AE29</f>
        <v/>
      </c>
      <c r="AH1147">
        <f>'Grid_Requirement'!AF29</f>
        <v/>
      </c>
      <c r="AI1147">
        <f>'Grid_Requirement'!AG29</f>
        <v/>
      </c>
      <c r="AJ1147">
        <f>'Grid_Requirement'!AH29</f>
        <v/>
      </c>
      <c r="AK1147">
        <f>'Grid_Requirement'!AI29</f>
        <v/>
      </c>
      <c r="AL1147">
        <f>'Grid_Requirement'!AJ29</f>
        <v/>
      </c>
      <c r="AM1147">
        <f>'Grid_Requirement'!AK29</f>
        <v/>
      </c>
      <c r="AN1147">
        <f>'Grid_Requirement'!AL29</f>
        <v/>
      </c>
      <c r="AO1147">
        <f>'Grid_Requirement'!AM29</f>
        <v/>
      </c>
      <c r="AP1147">
        <f>'Grid_Requirement'!AN29</f>
        <v/>
      </c>
      <c r="AQ1147">
        <f>'Grid_Requirement'!AO29</f>
        <v/>
      </c>
      <c r="AR1147">
        <f>'Grid_Requirement'!AP29</f>
        <v/>
      </c>
      <c r="AS1147">
        <f>'Grid_Requirement'!AQ29</f>
        <v/>
      </c>
      <c r="AT1147">
        <f>'Grid_Requirement'!AR29</f>
        <v/>
      </c>
      <c r="AU1147">
        <f>'Grid_Requirement'!AS29</f>
        <v/>
      </c>
      <c r="AV1147">
        <f>'Grid_Requirement'!AT29</f>
        <v/>
      </c>
      <c r="AW1147">
        <f>'Grid_Requirement'!AU29</f>
        <v/>
      </c>
      <c r="AX1147">
        <f>'Grid_Requirement'!AV29</f>
        <v/>
      </c>
      <c r="AY1147">
        <f>'Grid_Requirement'!AW29</f>
        <v/>
      </c>
      <c r="AZ1147">
        <f>'Grid_Requirement'!AX29</f>
        <v/>
      </c>
      <c r="BA1147">
        <f>'Grid_Requirement'!AY29</f>
        <v/>
      </c>
      <c r="BB1147">
        <f>'Grid_Requirement'!AZ29</f>
        <v/>
      </c>
      <c r="BC1147">
        <f>'Grid_Requirement'!BA29</f>
        <v/>
      </c>
      <c r="BD1147">
        <f>'Grid_Requirement'!BB29</f>
        <v/>
      </c>
      <c r="BE1147">
        <f>'Grid_Requirement'!BC29</f>
        <v/>
      </c>
      <c r="BF1147">
        <f>'Grid_Requirement'!BD29</f>
        <v/>
      </c>
      <c r="BG1147">
        <f>'Grid_Requirement'!BE29</f>
        <v/>
      </c>
      <c r="BH1147">
        <f>'Grid_Requirement'!BF29</f>
        <v/>
      </c>
      <c r="BI1147">
        <f>'Grid_Requirement'!BG29</f>
        <v/>
      </c>
      <c r="BJ1147">
        <f>'Grid_Requirement'!BH29</f>
        <v/>
      </c>
      <c r="BK1147">
        <f>'Grid_Requirement'!BI29</f>
        <v/>
      </c>
      <c r="BL1147">
        <f>'Grid_Requirement'!BJ29</f>
        <v/>
      </c>
      <c r="BM1147">
        <f>'Grid_Requirement'!BK29</f>
        <v/>
      </c>
      <c r="BN1147">
        <f>'Grid_Requirement'!BL29</f>
        <v/>
      </c>
      <c r="BO1147">
        <f>'Grid_Requirement'!BM29</f>
        <v/>
      </c>
      <c r="BP1147">
        <f>'Grid_Requirement'!BN29</f>
        <v/>
      </c>
      <c r="BQ1147">
        <f>'Grid_Requirement'!BO29</f>
        <v/>
      </c>
      <c r="BR1147">
        <f>'Grid_Requirement'!BP29</f>
        <v/>
      </c>
      <c r="BS1147">
        <f>'Grid_Requirement'!BQ29</f>
        <v/>
      </c>
      <c r="BT1147">
        <f>'Grid_Requirement'!BR29</f>
        <v/>
      </c>
      <c r="BU1147">
        <f>'Grid_Requirement'!BS29</f>
        <v/>
      </c>
      <c r="BV1147">
        <f>'Grid_Requirement'!BT29</f>
        <v/>
      </c>
      <c r="BW1147">
        <f>'Grid_Requirement'!BU29</f>
        <v/>
      </c>
      <c r="BX1147">
        <f>'Grid_Requirement'!BV29</f>
        <v/>
      </c>
      <c r="BY1147">
        <f>'Grid_Requirement'!BW29</f>
        <v/>
      </c>
      <c r="BZ1147">
        <f>'Grid_Requirement'!BX29</f>
        <v/>
      </c>
      <c r="CA1147">
        <f>'Grid_Requirement'!BY29</f>
        <v/>
      </c>
      <c r="CB1147">
        <f>'Grid_Requirement'!BZ29</f>
        <v/>
      </c>
      <c r="CC1147">
        <f>'Grid_Requirement'!CA29</f>
        <v/>
      </c>
      <c r="CD1147">
        <f>'Grid_Requirement'!CB29</f>
        <v/>
      </c>
      <c r="CE1147">
        <f>'Grid_Requirement'!CC29</f>
        <v/>
      </c>
      <c r="CF1147">
        <f>'Grid_Requirement'!CD29</f>
        <v/>
      </c>
      <c r="CG1147">
        <f>'Grid_Requirement'!CE29</f>
        <v/>
      </c>
      <c r="CH1147">
        <f>'Grid_Requirement'!CF29</f>
        <v/>
      </c>
      <c r="CI1147">
        <f>'Grid_Requirement'!CG29</f>
        <v/>
      </c>
      <c r="CJ1147">
        <f>'Grid_Requirement'!CH29</f>
        <v/>
      </c>
      <c r="CK1147">
        <f>'Grid_Requirement'!CI29</f>
        <v/>
      </c>
      <c r="CL1147">
        <f>'Grid_Requirement'!CJ29</f>
        <v/>
      </c>
      <c r="CM1147">
        <f>'Grid_Requirement'!CK29</f>
        <v/>
      </c>
      <c r="CN1147">
        <f>'Grid_Requirement'!CL29</f>
        <v/>
      </c>
      <c r="CO1147">
        <f>'Grid_Requirement'!CM29</f>
        <v/>
      </c>
      <c r="CP1147">
        <f>'Grid_Requirement'!CN29</f>
        <v/>
      </c>
      <c r="CQ1147">
        <f>'Grid_Requirement'!CO29</f>
        <v/>
      </c>
      <c r="CR1147">
        <f>'Grid_Requirement'!CP29</f>
        <v/>
      </c>
      <c r="CS1147">
        <f>'Grid_Requirement'!CQ29</f>
        <v/>
      </c>
      <c r="CT1147">
        <f>'Grid_Requirement'!CR29</f>
        <v/>
      </c>
      <c r="CU1147">
        <f>'Grid_Requirement'!CS29</f>
        <v/>
      </c>
      <c r="CV1147">
        <f>'Grid_Requirement'!CT29</f>
        <v/>
      </c>
      <c r="CW1147">
        <f>'Grid_Requirement'!CU29</f>
        <v/>
      </c>
      <c r="CX1147">
        <f>'Grid_Requirement'!CV29</f>
        <v/>
      </c>
      <c r="CY1147">
        <f>'Grid_Requirement'!CW29</f>
        <v/>
      </c>
      <c r="CZ1147">
        <f>'Grid_Requirement'!CX29</f>
        <v/>
      </c>
      <c r="DA1147">
        <f>'Grid_Requirement'!CY29</f>
        <v/>
      </c>
      <c r="DB1147">
        <f>'Grid_Requirement'!CZ29</f>
        <v/>
      </c>
      <c r="DC1147">
        <f>'Grid_Requirement'!DA29</f>
        <v/>
      </c>
    </row>
    <row r="1148">
      <c r="B1148" t="inlineStr">
        <is>
          <t>TTAF在庫(実績,kg)</t>
        </is>
      </c>
      <c r="D1148">
        <f>'T_TTAFStock'!B33</f>
        <v/>
      </c>
      <c r="E1148">
        <f>'T_TTAFStock'!C33</f>
        <v/>
      </c>
      <c r="F1148">
        <f>'T_TTAFStock'!D33</f>
        <v/>
      </c>
      <c r="G1148">
        <f>'T_TTAFStock'!E33</f>
        <v/>
      </c>
      <c r="H1148">
        <f>'T_TTAFStock'!F33</f>
        <v/>
      </c>
      <c r="I1148">
        <f>'T_TTAFStock'!G33</f>
        <v/>
      </c>
      <c r="J1148">
        <f>'T_TTAFStock'!H33</f>
        <v/>
      </c>
      <c r="K1148">
        <f>'T_TTAFStock'!I33</f>
        <v/>
      </c>
      <c r="L1148">
        <f>'T_TTAFStock'!J33</f>
        <v/>
      </c>
      <c r="M1148">
        <f>'T_TTAFStock'!K33</f>
        <v/>
      </c>
      <c r="N1148">
        <f>'T_TTAFStock'!L33</f>
        <v/>
      </c>
      <c r="O1148">
        <f>'T_TTAFStock'!M33</f>
        <v/>
      </c>
      <c r="P1148">
        <f>'T_TTAFStock'!N33</f>
        <v/>
      </c>
      <c r="Q1148">
        <f>'T_TTAFStock'!O33</f>
        <v/>
      </c>
      <c r="R1148">
        <f>'T_TTAFStock'!P33</f>
        <v/>
      </c>
      <c r="S1148">
        <f>'T_TTAFStock'!Q33</f>
        <v/>
      </c>
      <c r="T1148">
        <f>'T_TTAFStock'!R33</f>
        <v/>
      </c>
      <c r="U1148">
        <f>'T_TTAFStock'!S33</f>
        <v/>
      </c>
      <c r="V1148">
        <f>'T_TTAFStock'!T33</f>
        <v/>
      </c>
      <c r="W1148">
        <f>'T_TTAFStock'!U33</f>
        <v/>
      </c>
      <c r="X1148">
        <f>'T_TTAFStock'!V33</f>
        <v/>
      </c>
      <c r="Y1148">
        <f>'T_TTAFStock'!W33</f>
        <v/>
      </c>
      <c r="Z1148">
        <f>'T_TTAFStock'!X33</f>
        <v/>
      </c>
      <c r="AA1148">
        <f>'T_TTAFStock'!Y33</f>
        <v/>
      </c>
      <c r="AB1148">
        <f>'T_TTAFStock'!Z33</f>
        <v/>
      </c>
      <c r="AC1148">
        <f>'T_TTAFStock'!AA33</f>
        <v/>
      </c>
      <c r="AD1148">
        <f>'T_TTAFStock'!AB33</f>
        <v/>
      </c>
      <c r="AE1148">
        <f>'T_TTAFStock'!AC33</f>
        <v/>
      </c>
      <c r="AF1148">
        <f>'T_TTAFStock'!AD33</f>
        <v/>
      </c>
      <c r="AG1148">
        <f>'T_TTAFStock'!AE33</f>
        <v/>
      </c>
      <c r="AH1148">
        <f>'T_TTAFStock'!AF33</f>
        <v/>
      </c>
      <c r="AI1148">
        <f>'T_TTAFStock'!AG33</f>
        <v/>
      </c>
      <c r="AJ1148">
        <f>'T_TTAFStock'!AH33</f>
        <v/>
      </c>
      <c r="AK1148">
        <f>'T_TTAFStock'!AI33</f>
        <v/>
      </c>
      <c r="AL1148">
        <f>'T_TTAFStock'!AJ33</f>
        <v/>
      </c>
      <c r="AM1148">
        <f>'T_TTAFStock'!AK33</f>
        <v/>
      </c>
      <c r="AN1148">
        <f>'T_TTAFStock'!AL33</f>
        <v/>
      </c>
      <c r="AO1148">
        <f>'T_TTAFStock'!AM33</f>
        <v/>
      </c>
      <c r="AP1148">
        <f>'T_TTAFStock'!AN33</f>
        <v/>
      </c>
      <c r="AQ1148">
        <f>'T_TTAFStock'!AO33</f>
        <v/>
      </c>
      <c r="AR1148">
        <f>'T_TTAFStock'!AP33</f>
        <v/>
      </c>
      <c r="AS1148">
        <f>'T_TTAFStock'!AQ33</f>
        <v/>
      </c>
      <c r="AT1148">
        <f>'T_TTAFStock'!AR33</f>
        <v/>
      </c>
      <c r="AU1148">
        <f>'T_TTAFStock'!AS33</f>
        <v/>
      </c>
      <c r="AV1148">
        <f>'T_TTAFStock'!AT33</f>
        <v/>
      </c>
      <c r="AW1148">
        <f>'T_TTAFStock'!AU33</f>
        <v/>
      </c>
      <c r="AX1148">
        <f>'T_TTAFStock'!AV33</f>
        <v/>
      </c>
      <c r="AY1148">
        <f>'T_TTAFStock'!AW33</f>
        <v/>
      </c>
      <c r="AZ1148">
        <f>'T_TTAFStock'!AX33</f>
        <v/>
      </c>
      <c r="BA1148">
        <f>'T_TTAFStock'!AY33</f>
        <v/>
      </c>
      <c r="BB1148">
        <f>'T_TTAFStock'!AZ33</f>
        <v/>
      </c>
      <c r="BC1148">
        <f>'T_TTAFStock'!BA33</f>
        <v/>
      </c>
      <c r="BD1148">
        <f>'T_TTAFStock'!BB33</f>
        <v/>
      </c>
      <c r="BE1148">
        <f>'T_TTAFStock'!BC33</f>
        <v/>
      </c>
      <c r="BF1148">
        <f>'T_TTAFStock'!BD33</f>
        <v/>
      </c>
      <c r="BG1148">
        <f>'T_TTAFStock'!BE33</f>
        <v/>
      </c>
      <c r="BH1148">
        <f>'T_TTAFStock'!BF33</f>
        <v/>
      </c>
      <c r="BI1148">
        <f>'T_TTAFStock'!BG33</f>
        <v/>
      </c>
      <c r="BJ1148">
        <f>'T_TTAFStock'!BH33</f>
        <v/>
      </c>
      <c r="BK1148">
        <f>'T_TTAFStock'!BI33</f>
        <v/>
      </c>
      <c r="BL1148">
        <f>'T_TTAFStock'!BJ33</f>
        <v/>
      </c>
      <c r="BM1148">
        <f>'T_TTAFStock'!BK33</f>
        <v/>
      </c>
      <c r="BN1148">
        <f>'T_TTAFStock'!BL33</f>
        <v/>
      </c>
      <c r="BO1148">
        <f>'T_TTAFStock'!BM33</f>
        <v/>
      </c>
      <c r="BP1148">
        <f>'T_TTAFStock'!BN33</f>
        <v/>
      </c>
      <c r="BQ1148">
        <f>'T_TTAFStock'!BO33</f>
        <v/>
      </c>
      <c r="BR1148">
        <f>'T_TTAFStock'!BP33</f>
        <v/>
      </c>
      <c r="BS1148">
        <f>'T_TTAFStock'!BQ33</f>
        <v/>
      </c>
      <c r="BT1148">
        <f>'T_TTAFStock'!BR33</f>
        <v/>
      </c>
      <c r="BU1148">
        <f>'T_TTAFStock'!BS33</f>
        <v/>
      </c>
      <c r="BV1148">
        <f>'T_TTAFStock'!BT33</f>
        <v/>
      </c>
      <c r="BW1148">
        <f>'T_TTAFStock'!BU33</f>
        <v/>
      </c>
      <c r="BX1148">
        <f>'T_TTAFStock'!BV33</f>
        <v/>
      </c>
      <c r="BY1148">
        <f>'T_TTAFStock'!BW33</f>
        <v/>
      </c>
      <c r="BZ1148">
        <f>'T_TTAFStock'!BX33</f>
        <v/>
      </c>
      <c r="CA1148">
        <f>'T_TTAFStock'!BY33</f>
        <v/>
      </c>
      <c r="CB1148">
        <f>'T_TTAFStock'!BZ33</f>
        <v/>
      </c>
      <c r="CC1148">
        <f>'T_TTAFStock'!CA33</f>
        <v/>
      </c>
      <c r="CD1148">
        <f>'T_TTAFStock'!CB33</f>
        <v/>
      </c>
      <c r="CE1148">
        <f>'T_TTAFStock'!CC33</f>
        <v/>
      </c>
      <c r="CF1148">
        <f>'T_TTAFStock'!CD33</f>
        <v/>
      </c>
      <c r="CG1148">
        <f>'T_TTAFStock'!CE33</f>
        <v/>
      </c>
      <c r="CH1148">
        <f>'T_TTAFStock'!CF33</f>
        <v/>
      </c>
      <c r="CI1148">
        <f>'T_TTAFStock'!CG33</f>
        <v/>
      </c>
      <c r="CJ1148">
        <f>'T_TTAFStock'!CH33</f>
        <v/>
      </c>
      <c r="CK1148">
        <f>'T_TTAFStock'!CI33</f>
        <v/>
      </c>
      <c r="CL1148">
        <f>'T_TTAFStock'!CJ33</f>
        <v/>
      </c>
      <c r="CM1148">
        <f>'T_TTAFStock'!CK33</f>
        <v/>
      </c>
      <c r="CN1148">
        <f>'T_TTAFStock'!CL33</f>
        <v/>
      </c>
      <c r="CO1148">
        <f>'T_TTAFStock'!CM33</f>
        <v/>
      </c>
      <c r="CP1148">
        <f>'T_TTAFStock'!CN33</f>
        <v/>
      </c>
      <c r="CQ1148">
        <f>'T_TTAFStock'!CO33</f>
        <v/>
      </c>
      <c r="CR1148">
        <f>'T_TTAFStock'!CP33</f>
        <v/>
      </c>
      <c r="CS1148">
        <f>'T_TTAFStock'!CQ33</f>
        <v/>
      </c>
      <c r="CT1148">
        <f>'T_TTAFStock'!CR33</f>
        <v/>
      </c>
      <c r="CU1148">
        <f>'T_TTAFStock'!CS33</f>
        <v/>
      </c>
      <c r="CV1148">
        <f>'T_TTAFStock'!CT33</f>
        <v/>
      </c>
      <c r="CW1148">
        <f>'T_TTAFStock'!CU33</f>
        <v/>
      </c>
      <c r="CX1148">
        <f>'T_TTAFStock'!CV33</f>
        <v/>
      </c>
      <c r="CY1148">
        <f>'T_TTAFStock'!CW33</f>
        <v/>
      </c>
      <c r="CZ1148">
        <f>'T_TTAFStock'!CX33</f>
        <v/>
      </c>
      <c r="DA1148">
        <f>'T_TTAFStock'!CY33</f>
        <v/>
      </c>
      <c r="DB1148">
        <f>'T_TTAFStock'!CZ33</f>
        <v/>
      </c>
      <c r="DC1148">
        <f>'T_TTAFStock'!DA33</f>
        <v/>
      </c>
    </row>
    <row r="1149">
      <c r="B1149" t="inlineStr">
        <is>
          <t>自社在庫(実績,kg)</t>
        </is>
      </c>
      <c r="D1149">
        <f>'T_SelfStock'!B33</f>
        <v/>
      </c>
      <c r="E1149">
        <f>'T_SelfStock'!C33</f>
        <v/>
      </c>
      <c r="F1149">
        <f>'T_SelfStock'!D33</f>
        <v/>
      </c>
      <c r="G1149">
        <f>'T_SelfStock'!E33</f>
        <v/>
      </c>
      <c r="H1149">
        <f>'T_SelfStock'!F33</f>
        <v/>
      </c>
      <c r="I1149">
        <f>'T_SelfStock'!G33</f>
        <v/>
      </c>
      <c r="J1149">
        <f>'T_SelfStock'!H33</f>
        <v/>
      </c>
      <c r="K1149">
        <f>'T_SelfStock'!I33</f>
        <v/>
      </c>
      <c r="L1149">
        <f>'T_SelfStock'!J33</f>
        <v/>
      </c>
      <c r="M1149">
        <f>'T_SelfStock'!K33</f>
        <v/>
      </c>
      <c r="N1149">
        <f>'T_SelfStock'!L33</f>
        <v/>
      </c>
      <c r="O1149">
        <f>'T_SelfStock'!M33</f>
        <v/>
      </c>
      <c r="P1149">
        <f>'T_SelfStock'!N33</f>
        <v/>
      </c>
      <c r="Q1149">
        <f>'T_SelfStock'!O33</f>
        <v/>
      </c>
      <c r="R1149">
        <f>'T_SelfStock'!P33</f>
        <v/>
      </c>
      <c r="S1149">
        <f>'T_SelfStock'!Q33</f>
        <v/>
      </c>
      <c r="T1149">
        <f>'T_SelfStock'!R33</f>
        <v/>
      </c>
      <c r="U1149">
        <f>'T_SelfStock'!S33</f>
        <v/>
      </c>
      <c r="V1149">
        <f>'T_SelfStock'!T33</f>
        <v/>
      </c>
      <c r="W1149">
        <f>'T_SelfStock'!U33</f>
        <v/>
      </c>
      <c r="X1149">
        <f>'T_SelfStock'!V33</f>
        <v/>
      </c>
      <c r="Y1149">
        <f>'T_SelfStock'!W33</f>
        <v/>
      </c>
      <c r="Z1149">
        <f>'T_SelfStock'!X33</f>
        <v/>
      </c>
      <c r="AA1149">
        <f>'T_SelfStock'!Y33</f>
        <v/>
      </c>
      <c r="AB1149">
        <f>'T_SelfStock'!Z33</f>
        <v/>
      </c>
      <c r="AC1149">
        <f>'T_SelfStock'!AA33</f>
        <v/>
      </c>
      <c r="AD1149">
        <f>'T_SelfStock'!AB33</f>
        <v/>
      </c>
      <c r="AE1149">
        <f>'T_SelfStock'!AC33</f>
        <v/>
      </c>
      <c r="AF1149">
        <f>'T_SelfStock'!AD33</f>
        <v/>
      </c>
      <c r="AG1149">
        <f>'T_SelfStock'!AE33</f>
        <v/>
      </c>
      <c r="AH1149">
        <f>'T_SelfStock'!AF33</f>
        <v/>
      </c>
      <c r="AI1149">
        <f>'T_SelfStock'!AG33</f>
        <v/>
      </c>
      <c r="AJ1149">
        <f>'T_SelfStock'!AH33</f>
        <v/>
      </c>
      <c r="AK1149">
        <f>'T_SelfStock'!AI33</f>
        <v/>
      </c>
      <c r="AL1149">
        <f>'T_SelfStock'!AJ33</f>
        <v/>
      </c>
      <c r="AM1149">
        <f>'T_SelfStock'!AK33</f>
        <v/>
      </c>
      <c r="AN1149">
        <f>'T_SelfStock'!AL33</f>
        <v/>
      </c>
      <c r="AO1149">
        <f>'T_SelfStock'!AM33</f>
        <v/>
      </c>
      <c r="AP1149">
        <f>'T_SelfStock'!AN33</f>
        <v/>
      </c>
      <c r="AQ1149">
        <f>'T_SelfStock'!AO33</f>
        <v/>
      </c>
      <c r="AR1149">
        <f>'T_SelfStock'!AP33</f>
        <v/>
      </c>
      <c r="AS1149">
        <f>'T_SelfStock'!AQ33</f>
        <v/>
      </c>
      <c r="AT1149">
        <f>'T_SelfStock'!AR33</f>
        <v/>
      </c>
      <c r="AU1149">
        <f>'T_SelfStock'!AS33</f>
        <v/>
      </c>
      <c r="AV1149">
        <f>'T_SelfStock'!AT33</f>
        <v/>
      </c>
      <c r="AW1149">
        <f>'T_SelfStock'!AU33</f>
        <v/>
      </c>
      <c r="AX1149">
        <f>'T_SelfStock'!AV33</f>
        <v/>
      </c>
      <c r="AY1149">
        <f>'T_SelfStock'!AW33</f>
        <v/>
      </c>
      <c r="AZ1149">
        <f>'T_SelfStock'!AX33</f>
        <v/>
      </c>
      <c r="BA1149">
        <f>'T_SelfStock'!AY33</f>
        <v/>
      </c>
      <c r="BB1149">
        <f>'T_SelfStock'!AZ33</f>
        <v/>
      </c>
      <c r="BC1149">
        <f>'T_SelfStock'!BA33</f>
        <v/>
      </c>
      <c r="BD1149">
        <f>'T_SelfStock'!BB33</f>
        <v/>
      </c>
      <c r="BE1149">
        <f>'T_SelfStock'!BC33</f>
        <v/>
      </c>
      <c r="BF1149">
        <f>'T_SelfStock'!BD33</f>
        <v/>
      </c>
      <c r="BG1149">
        <f>'T_SelfStock'!BE33</f>
        <v/>
      </c>
      <c r="BH1149">
        <f>'T_SelfStock'!BF33</f>
        <v/>
      </c>
      <c r="BI1149">
        <f>'T_SelfStock'!BG33</f>
        <v/>
      </c>
      <c r="BJ1149">
        <f>'T_SelfStock'!BH33</f>
        <v/>
      </c>
      <c r="BK1149">
        <f>'T_SelfStock'!BI33</f>
        <v/>
      </c>
      <c r="BL1149">
        <f>'T_SelfStock'!BJ33</f>
        <v/>
      </c>
      <c r="BM1149">
        <f>'T_SelfStock'!BK33</f>
        <v/>
      </c>
      <c r="BN1149">
        <f>'T_SelfStock'!BL33</f>
        <v/>
      </c>
      <c r="BO1149">
        <f>'T_SelfStock'!BM33</f>
        <v/>
      </c>
      <c r="BP1149">
        <f>'T_SelfStock'!BN33</f>
        <v/>
      </c>
      <c r="BQ1149">
        <f>'T_SelfStock'!BO33</f>
        <v/>
      </c>
      <c r="BR1149">
        <f>'T_SelfStock'!BP33</f>
        <v/>
      </c>
      <c r="BS1149">
        <f>'T_SelfStock'!BQ33</f>
        <v/>
      </c>
      <c r="BT1149">
        <f>'T_SelfStock'!BR33</f>
        <v/>
      </c>
      <c r="BU1149">
        <f>'T_SelfStock'!BS33</f>
        <v/>
      </c>
      <c r="BV1149">
        <f>'T_SelfStock'!BT33</f>
        <v/>
      </c>
      <c r="BW1149">
        <f>'T_SelfStock'!BU33</f>
        <v/>
      </c>
      <c r="BX1149">
        <f>'T_SelfStock'!BV33</f>
        <v/>
      </c>
      <c r="BY1149">
        <f>'T_SelfStock'!BW33</f>
        <v/>
      </c>
      <c r="BZ1149">
        <f>'T_SelfStock'!BX33</f>
        <v/>
      </c>
      <c r="CA1149">
        <f>'T_SelfStock'!BY33</f>
        <v/>
      </c>
      <c r="CB1149">
        <f>'T_SelfStock'!BZ33</f>
        <v/>
      </c>
      <c r="CC1149">
        <f>'T_SelfStock'!CA33</f>
        <v/>
      </c>
      <c r="CD1149">
        <f>'T_SelfStock'!CB33</f>
        <v/>
      </c>
      <c r="CE1149">
        <f>'T_SelfStock'!CC33</f>
        <v/>
      </c>
      <c r="CF1149">
        <f>'T_SelfStock'!CD33</f>
        <v/>
      </c>
      <c r="CG1149">
        <f>'T_SelfStock'!CE33</f>
        <v/>
      </c>
      <c r="CH1149">
        <f>'T_SelfStock'!CF33</f>
        <v/>
      </c>
      <c r="CI1149">
        <f>'T_SelfStock'!CG33</f>
        <v/>
      </c>
      <c r="CJ1149">
        <f>'T_SelfStock'!CH33</f>
        <v/>
      </c>
      <c r="CK1149">
        <f>'T_SelfStock'!CI33</f>
        <v/>
      </c>
      <c r="CL1149">
        <f>'T_SelfStock'!CJ33</f>
        <v/>
      </c>
      <c r="CM1149">
        <f>'T_SelfStock'!CK33</f>
        <v/>
      </c>
      <c r="CN1149">
        <f>'T_SelfStock'!CL33</f>
        <v/>
      </c>
      <c r="CO1149">
        <f>'T_SelfStock'!CM33</f>
        <v/>
      </c>
      <c r="CP1149">
        <f>'T_SelfStock'!CN33</f>
        <v/>
      </c>
      <c r="CQ1149">
        <f>'T_SelfStock'!CO33</f>
        <v/>
      </c>
      <c r="CR1149">
        <f>'T_SelfStock'!CP33</f>
        <v/>
      </c>
      <c r="CS1149">
        <f>'T_SelfStock'!CQ33</f>
        <v/>
      </c>
      <c r="CT1149">
        <f>'T_SelfStock'!CR33</f>
        <v/>
      </c>
      <c r="CU1149">
        <f>'T_SelfStock'!CS33</f>
        <v/>
      </c>
      <c r="CV1149">
        <f>'T_SelfStock'!CT33</f>
        <v/>
      </c>
      <c r="CW1149">
        <f>'T_SelfStock'!CU33</f>
        <v/>
      </c>
      <c r="CX1149">
        <f>'T_SelfStock'!CV33</f>
        <v/>
      </c>
      <c r="CY1149">
        <f>'T_SelfStock'!CW33</f>
        <v/>
      </c>
      <c r="CZ1149">
        <f>'T_SelfStock'!CX33</f>
        <v/>
      </c>
      <c r="DA1149">
        <f>'T_SelfStock'!CY33</f>
        <v/>
      </c>
      <c r="DB1149">
        <f>'T_SelfStock'!CZ33</f>
        <v/>
      </c>
      <c r="DC1149">
        <f>'T_SelfStock'!DA33</f>
        <v/>
      </c>
    </row>
    <row r="1150">
      <c r="B1150" s="4" t="inlineStr">
        <is>
          <t>合計在庫(週末時点,kg)</t>
        </is>
      </c>
      <c r="D1150">
        <f>'Grid_Stock'!B29</f>
        <v/>
      </c>
      <c r="E1150">
        <f>'Grid_Stock'!C29</f>
        <v/>
      </c>
      <c r="F1150">
        <f>'Grid_Stock'!D29</f>
        <v/>
      </c>
      <c r="G1150">
        <f>'Grid_Stock'!E29</f>
        <v/>
      </c>
      <c r="H1150">
        <f>'Grid_Stock'!F29</f>
        <v/>
      </c>
      <c r="I1150">
        <f>'Grid_Stock'!G29</f>
        <v/>
      </c>
      <c r="J1150">
        <f>'Grid_Stock'!H29</f>
        <v/>
      </c>
      <c r="K1150">
        <f>'Grid_Stock'!I29</f>
        <v/>
      </c>
      <c r="L1150">
        <f>'Grid_Stock'!J29</f>
        <v/>
      </c>
      <c r="M1150">
        <f>'Grid_Stock'!K29</f>
        <v/>
      </c>
      <c r="N1150">
        <f>'Grid_Stock'!L29</f>
        <v/>
      </c>
      <c r="O1150">
        <f>'Grid_Stock'!M29</f>
        <v/>
      </c>
      <c r="P1150">
        <f>'Grid_Stock'!N29</f>
        <v/>
      </c>
      <c r="Q1150">
        <f>'Grid_Stock'!O29</f>
        <v/>
      </c>
      <c r="R1150">
        <f>'Grid_Stock'!P29</f>
        <v/>
      </c>
      <c r="S1150">
        <f>'Grid_Stock'!Q29</f>
        <v/>
      </c>
      <c r="T1150">
        <f>'Grid_Stock'!R29</f>
        <v/>
      </c>
      <c r="U1150">
        <f>'Grid_Stock'!S29</f>
        <v/>
      </c>
      <c r="V1150">
        <f>'Grid_Stock'!T29</f>
        <v/>
      </c>
      <c r="W1150">
        <f>'Grid_Stock'!U29</f>
        <v/>
      </c>
      <c r="X1150">
        <f>'Grid_Stock'!V29</f>
        <v/>
      </c>
      <c r="Y1150">
        <f>'Grid_Stock'!W29</f>
        <v/>
      </c>
      <c r="Z1150">
        <f>'Grid_Stock'!X29</f>
        <v/>
      </c>
      <c r="AA1150">
        <f>'Grid_Stock'!Y29</f>
        <v/>
      </c>
      <c r="AB1150">
        <f>'Grid_Stock'!Z29</f>
        <v/>
      </c>
      <c r="AC1150">
        <f>'Grid_Stock'!AA29</f>
        <v/>
      </c>
      <c r="AD1150">
        <f>'Grid_Stock'!AB29</f>
        <v/>
      </c>
      <c r="AE1150">
        <f>'Grid_Stock'!AC29</f>
        <v/>
      </c>
      <c r="AF1150">
        <f>'Grid_Stock'!AD29</f>
        <v/>
      </c>
      <c r="AG1150">
        <f>'Grid_Stock'!AE29</f>
        <v/>
      </c>
      <c r="AH1150">
        <f>'Grid_Stock'!AF29</f>
        <v/>
      </c>
      <c r="AI1150">
        <f>'Grid_Stock'!AG29</f>
        <v/>
      </c>
      <c r="AJ1150">
        <f>'Grid_Stock'!AH29</f>
        <v/>
      </c>
      <c r="AK1150">
        <f>'Grid_Stock'!AI29</f>
        <v/>
      </c>
      <c r="AL1150">
        <f>'Grid_Stock'!AJ29</f>
        <v/>
      </c>
      <c r="AM1150">
        <f>'Grid_Stock'!AK29</f>
        <v/>
      </c>
      <c r="AN1150">
        <f>'Grid_Stock'!AL29</f>
        <v/>
      </c>
      <c r="AO1150">
        <f>'Grid_Stock'!AM29</f>
        <v/>
      </c>
      <c r="AP1150">
        <f>'Grid_Stock'!AN29</f>
        <v/>
      </c>
      <c r="AQ1150">
        <f>'Grid_Stock'!AO29</f>
        <v/>
      </c>
      <c r="AR1150">
        <f>'Grid_Stock'!AP29</f>
        <v/>
      </c>
      <c r="AS1150">
        <f>'Grid_Stock'!AQ29</f>
        <v/>
      </c>
      <c r="AT1150">
        <f>'Grid_Stock'!AR29</f>
        <v/>
      </c>
      <c r="AU1150">
        <f>'Grid_Stock'!AS29</f>
        <v/>
      </c>
      <c r="AV1150">
        <f>'Grid_Stock'!AT29</f>
        <v/>
      </c>
      <c r="AW1150">
        <f>'Grid_Stock'!AU29</f>
        <v/>
      </c>
      <c r="AX1150">
        <f>'Grid_Stock'!AV29</f>
        <v/>
      </c>
      <c r="AY1150">
        <f>'Grid_Stock'!AW29</f>
        <v/>
      </c>
      <c r="AZ1150">
        <f>'Grid_Stock'!AX29</f>
        <v/>
      </c>
      <c r="BA1150">
        <f>'Grid_Stock'!AY29</f>
        <v/>
      </c>
      <c r="BB1150">
        <f>'Grid_Stock'!AZ29</f>
        <v/>
      </c>
      <c r="BC1150">
        <f>'Grid_Stock'!BA29</f>
        <v/>
      </c>
      <c r="BD1150">
        <f>'Grid_Stock'!BB29</f>
        <v/>
      </c>
      <c r="BE1150">
        <f>'Grid_Stock'!BC29</f>
        <v/>
      </c>
      <c r="BF1150">
        <f>'Grid_Stock'!BD29</f>
        <v/>
      </c>
      <c r="BG1150">
        <f>'Grid_Stock'!BE29</f>
        <v/>
      </c>
      <c r="BH1150">
        <f>'Grid_Stock'!BF29</f>
        <v/>
      </c>
      <c r="BI1150">
        <f>'Grid_Stock'!BG29</f>
        <v/>
      </c>
      <c r="BJ1150">
        <f>'Grid_Stock'!BH29</f>
        <v/>
      </c>
      <c r="BK1150">
        <f>'Grid_Stock'!BI29</f>
        <v/>
      </c>
      <c r="BL1150">
        <f>'Grid_Stock'!BJ29</f>
        <v/>
      </c>
      <c r="BM1150">
        <f>'Grid_Stock'!BK29</f>
        <v/>
      </c>
      <c r="BN1150">
        <f>'Grid_Stock'!BL29</f>
        <v/>
      </c>
      <c r="BO1150">
        <f>'Grid_Stock'!BM29</f>
        <v/>
      </c>
      <c r="BP1150">
        <f>'Grid_Stock'!BN29</f>
        <v/>
      </c>
      <c r="BQ1150">
        <f>'Grid_Stock'!BO29</f>
        <v/>
      </c>
      <c r="BR1150">
        <f>'Grid_Stock'!BP29</f>
        <v/>
      </c>
      <c r="BS1150">
        <f>'Grid_Stock'!BQ29</f>
        <v/>
      </c>
      <c r="BT1150">
        <f>'Grid_Stock'!BR29</f>
        <v/>
      </c>
      <c r="BU1150">
        <f>'Grid_Stock'!BS29</f>
        <v/>
      </c>
      <c r="BV1150">
        <f>'Grid_Stock'!BT29</f>
        <v/>
      </c>
      <c r="BW1150">
        <f>'Grid_Stock'!BU29</f>
        <v/>
      </c>
      <c r="BX1150">
        <f>'Grid_Stock'!BV29</f>
        <v/>
      </c>
      <c r="BY1150">
        <f>'Grid_Stock'!BW29</f>
        <v/>
      </c>
      <c r="BZ1150">
        <f>'Grid_Stock'!BX29</f>
        <v/>
      </c>
      <c r="CA1150">
        <f>'Grid_Stock'!BY29</f>
        <v/>
      </c>
      <c r="CB1150">
        <f>'Grid_Stock'!BZ29</f>
        <v/>
      </c>
      <c r="CC1150">
        <f>'Grid_Stock'!CA29</f>
        <v/>
      </c>
      <c r="CD1150">
        <f>'Grid_Stock'!CB29</f>
        <v/>
      </c>
      <c r="CE1150">
        <f>'Grid_Stock'!CC29</f>
        <v/>
      </c>
      <c r="CF1150">
        <f>'Grid_Stock'!CD29</f>
        <v/>
      </c>
      <c r="CG1150">
        <f>'Grid_Stock'!CE29</f>
        <v/>
      </c>
      <c r="CH1150">
        <f>'Grid_Stock'!CF29</f>
        <v/>
      </c>
      <c r="CI1150">
        <f>'Grid_Stock'!CG29</f>
        <v/>
      </c>
      <c r="CJ1150">
        <f>'Grid_Stock'!CH29</f>
        <v/>
      </c>
      <c r="CK1150">
        <f>'Grid_Stock'!CI29</f>
        <v/>
      </c>
      <c r="CL1150">
        <f>'Grid_Stock'!CJ29</f>
        <v/>
      </c>
      <c r="CM1150">
        <f>'Grid_Stock'!CK29</f>
        <v/>
      </c>
      <c r="CN1150">
        <f>'Grid_Stock'!CL29</f>
        <v/>
      </c>
      <c r="CO1150">
        <f>'Grid_Stock'!CM29</f>
        <v/>
      </c>
      <c r="CP1150">
        <f>'Grid_Stock'!CN29</f>
        <v/>
      </c>
      <c r="CQ1150">
        <f>'Grid_Stock'!CO29</f>
        <v/>
      </c>
      <c r="CR1150">
        <f>'Grid_Stock'!CP29</f>
        <v/>
      </c>
      <c r="CS1150">
        <f>'Grid_Stock'!CQ29</f>
        <v/>
      </c>
      <c r="CT1150">
        <f>'Grid_Stock'!CR29</f>
        <v/>
      </c>
      <c r="CU1150">
        <f>'Grid_Stock'!CS29</f>
        <v/>
      </c>
      <c r="CV1150">
        <f>'Grid_Stock'!CT29</f>
        <v/>
      </c>
      <c r="CW1150">
        <f>'Grid_Stock'!CU29</f>
        <v/>
      </c>
      <c r="CX1150">
        <f>'Grid_Stock'!CV29</f>
        <v/>
      </c>
      <c r="CY1150">
        <f>'Grid_Stock'!CW29</f>
        <v/>
      </c>
      <c r="CZ1150">
        <f>'Grid_Stock'!CX29</f>
        <v/>
      </c>
      <c r="DA1150">
        <f>'Grid_Stock'!CY29</f>
        <v/>
      </c>
      <c r="DB1150">
        <f>'Grid_Stock'!CZ29</f>
        <v/>
      </c>
      <c r="DC1150">
        <f>'Grid_Stock'!DA29</f>
        <v/>
      </c>
    </row>
    <row r="1151">
      <c r="B1151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46227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INDEX(Grid_Stock[#Data],1,$P$7)</f>
        <v/>
      </c>
      <c r="H15" s="12">
        <f>MAX(0,$F15-INDEX(Grid_Stock[#Data],1,$P$7+0))</f>
        <v/>
      </c>
      <c r="I15" s="12">
        <f>MAX(0,$F15-INDEX(Grid_Stock[#Data],1,$P$7+1))</f>
        <v/>
      </c>
      <c r="J15" s="12">
        <f>MAX(0,$F15-INDEX(Grid_Stock[#Data],1,$P$7+2))</f>
        <v/>
      </c>
      <c r="K15" s="12">
        <f>MAX(0,$F15-INDEX(Grid_Stock[#Data],1,$P$7+3))</f>
        <v/>
      </c>
      <c r="L15" s="12">
        <f>MAX(0,$F15-INDEX(Grid_Stock[#Data],1,$P$7+4))</f>
        <v/>
      </c>
      <c r="M15" s="12">
        <f>MAX(0,$F15-INDEX(Grid_Stock[#Data],1,$P$7+5))</f>
        <v/>
      </c>
      <c r="N15" s="12">
        <f>MAX(0,$F15-INDEX(Grid_Stock[#Data],1,$P$7+6))</f>
        <v/>
      </c>
      <c r="O15" s="12">
        <f>MAX(0,$F15-INDEX(Grid_Stock[#Data],1,$P$7+7))</f>
        <v/>
      </c>
      <c r="P15" s="12">
        <f>MAX(0,$F15-INDEX(Grid_Stock[#Data],1,$P$7+8))</f>
        <v/>
      </c>
      <c r="Q15" s="12">
        <f>MAX(0,$F15-INDEX(Grid_Stock[#Data],1,$P$7+9))</f>
        <v/>
      </c>
      <c r="R15" s="12">
        <f>MAX(0,$F15-INDEX(Grid_Stock[#Data],1,$P$7+10))</f>
        <v/>
      </c>
      <c r="S15" s="12">
        <f>MAX(0,$F15-INDEX(Grid_Stock[#Data],1,$P$7+11))</f>
        <v/>
      </c>
      <c r="T15" s="12">
        <f>MAX(0,$F15-INDEX(Grid_Stock[#Data],1,$P$7+12))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INDEX(Grid_Stock[#Data],2,$P$7)</f>
        <v/>
      </c>
      <c r="H16" s="13">
        <f>MAX(0,$F16-INDEX(Grid_Stock[#Data],2,$P$7+0))</f>
        <v/>
      </c>
      <c r="I16" s="13">
        <f>MAX(0,$F16-INDEX(Grid_Stock[#Data],2,$P$7+1))</f>
        <v/>
      </c>
      <c r="J16" s="13">
        <f>MAX(0,$F16-INDEX(Grid_Stock[#Data],2,$P$7+2))</f>
        <v/>
      </c>
      <c r="K16" s="13">
        <f>MAX(0,$F16-INDEX(Grid_Stock[#Data],2,$P$7+3))</f>
        <v/>
      </c>
      <c r="L16" s="13">
        <f>MAX(0,$F16-INDEX(Grid_Stock[#Data],2,$P$7+4))</f>
        <v/>
      </c>
      <c r="M16" s="13">
        <f>MAX(0,$F16-INDEX(Grid_Stock[#Data],2,$P$7+5))</f>
        <v/>
      </c>
      <c r="N16" s="13">
        <f>MAX(0,$F16-INDEX(Grid_Stock[#Data],2,$P$7+6))</f>
        <v/>
      </c>
      <c r="O16" s="13">
        <f>MAX(0,$F16-INDEX(Grid_Stock[#Data],2,$P$7+7))</f>
        <v/>
      </c>
      <c r="P16" s="13">
        <f>MAX(0,$F16-INDEX(Grid_Stock[#Data],2,$P$7+8))</f>
        <v/>
      </c>
      <c r="Q16" s="13">
        <f>MAX(0,$F16-INDEX(Grid_Stock[#Data],2,$P$7+9))</f>
        <v/>
      </c>
      <c r="R16" s="13">
        <f>MAX(0,$F16-INDEX(Grid_Stock[#Data],2,$P$7+10))</f>
        <v/>
      </c>
      <c r="S16" s="13">
        <f>MAX(0,$F16-INDEX(Grid_Stock[#Data],2,$P$7+11))</f>
        <v/>
      </c>
      <c r="T16" s="13">
        <f>MAX(0,$F16-INDEX(Grid_Stock[#Data],2,$P$7+12))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INDEX(Grid_Stock[#Data],3,$P$7)</f>
        <v/>
      </c>
      <c r="H17" s="12">
        <f>MAX(0,$F17-INDEX(Grid_Stock[#Data],3,$P$7+0))</f>
        <v/>
      </c>
      <c r="I17" s="12">
        <f>MAX(0,$F17-INDEX(Grid_Stock[#Data],3,$P$7+1))</f>
        <v/>
      </c>
      <c r="J17" s="12">
        <f>MAX(0,$F17-INDEX(Grid_Stock[#Data],3,$P$7+2))</f>
        <v/>
      </c>
      <c r="K17" s="12">
        <f>MAX(0,$F17-INDEX(Grid_Stock[#Data],3,$P$7+3))</f>
        <v/>
      </c>
      <c r="L17" s="12">
        <f>MAX(0,$F17-INDEX(Grid_Stock[#Data],3,$P$7+4))</f>
        <v/>
      </c>
      <c r="M17" s="12">
        <f>MAX(0,$F17-INDEX(Grid_Stock[#Data],3,$P$7+5))</f>
        <v/>
      </c>
      <c r="N17" s="12">
        <f>MAX(0,$F17-INDEX(Grid_Stock[#Data],3,$P$7+6))</f>
        <v/>
      </c>
      <c r="O17" s="12">
        <f>MAX(0,$F17-INDEX(Grid_Stock[#Data],3,$P$7+7))</f>
        <v/>
      </c>
      <c r="P17" s="12">
        <f>MAX(0,$F17-INDEX(Grid_Stock[#Data],3,$P$7+8))</f>
        <v/>
      </c>
      <c r="Q17" s="12">
        <f>MAX(0,$F17-INDEX(Grid_Stock[#Data],3,$P$7+9))</f>
        <v/>
      </c>
      <c r="R17" s="12">
        <f>MAX(0,$F17-INDEX(Grid_Stock[#Data],3,$P$7+10))</f>
        <v/>
      </c>
      <c r="S17" s="12">
        <f>MAX(0,$F17-INDEX(Grid_Stock[#Data],3,$P$7+11))</f>
        <v/>
      </c>
      <c r="T17" s="12">
        <f>MAX(0,$F17-INDEX(Grid_Stock[#Data],3,$P$7+12))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INDEX(Grid_Stock[#Data],4,$P$7)</f>
        <v/>
      </c>
      <c r="H18" s="13">
        <f>MAX(0,$F18-INDEX(Grid_Stock[#Data],4,$P$7+0))</f>
        <v/>
      </c>
      <c r="I18" s="13">
        <f>MAX(0,$F18-INDEX(Grid_Stock[#Data],4,$P$7+1))</f>
        <v/>
      </c>
      <c r="J18" s="13">
        <f>MAX(0,$F18-INDEX(Grid_Stock[#Data],4,$P$7+2))</f>
        <v/>
      </c>
      <c r="K18" s="13">
        <f>MAX(0,$F18-INDEX(Grid_Stock[#Data],4,$P$7+3))</f>
        <v/>
      </c>
      <c r="L18" s="13">
        <f>MAX(0,$F18-INDEX(Grid_Stock[#Data],4,$P$7+4))</f>
        <v/>
      </c>
      <c r="M18" s="13">
        <f>MAX(0,$F18-INDEX(Grid_Stock[#Data],4,$P$7+5))</f>
        <v/>
      </c>
      <c r="N18" s="13">
        <f>MAX(0,$F18-INDEX(Grid_Stock[#Data],4,$P$7+6))</f>
        <v/>
      </c>
      <c r="O18" s="13">
        <f>MAX(0,$F18-INDEX(Grid_Stock[#Data],4,$P$7+7))</f>
        <v/>
      </c>
      <c r="P18" s="13">
        <f>MAX(0,$F18-INDEX(Grid_Stock[#Data],4,$P$7+8))</f>
        <v/>
      </c>
      <c r="Q18" s="13">
        <f>MAX(0,$F18-INDEX(Grid_Stock[#Data],4,$P$7+9))</f>
        <v/>
      </c>
      <c r="R18" s="13">
        <f>MAX(0,$F18-INDEX(Grid_Stock[#Data],4,$P$7+10))</f>
        <v/>
      </c>
      <c r="S18" s="13">
        <f>MAX(0,$F18-INDEX(Grid_Stock[#Data],4,$P$7+11))</f>
        <v/>
      </c>
      <c r="T18" s="13">
        <f>MAX(0,$F18-INDEX(Grid_Stock[#Data],4,$P$7+12))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INDEX(Grid_Stock[#Data],5,$P$7)</f>
        <v/>
      </c>
      <c r="H19" s="12">
        <f>MAX(0,$F19-INDEX(Grid_Stock[#Data],5,$P$7+0))</f>
        <v/>
      </c>
      <c r="I19" s="12">
        <f>MAX(0,$F19-INDEX(Grid_Stock[#Data],5,$P$7+1))</f>
        <v/>
      </c>
      <c r="J19" s="12">
        <f>MAX(0,$F19-INDEX(Grid_Stock[#Data],5,$P$7+2))</f>
        <v/>
      </c>
      <c r="K19" s="12">
        <f>MAX(0,$F19-INDEX(Grid_Stock[#Data],5,$P$7+3))</f>
        <v/>
      </c>
      <c r="L19" s="12">
        <f>MAX(0,$F19-INDEX(Grid_Stock[#Data],5,$P$7+4))</f>
        <v/>
      </c>
      <c r="M19" s="12">
        <f>MAX(0,$F19-INDEX(Grid_Stock[#Data],5,$P$7+5))</f>
        <v/>
      </c>
      <c r="N19" s="12">
        <f>MAX(0,$F19-INDEX(Grid_Stock[#Data],5,$P$7+6))</f>
        <v/>
      </c>
      <c r="O19" s="12">
        <f>MAX(0,$F19-INDEX(Grid_Stock[#Data],5,$P$7+7))</f>
        <v/>
      </c>
      <c r="P19" s="12">
        <f>MAX(0,$F19-INDEX(Grid_Stock[#Data],5,$P$7+8))</f>
        <v/>
      </c>
      <c r="Q19" s="12">
        <f>MAX(0,$F19-INDEX(Grid_Stock[#Data],5,$P$7+9))</f>
        <v/>
      </c>
      <c r="R19" s="12">
        <f>MAX(0,$F19-INDEX(Grid_Stock[#Data],5,$P$7+10))</f>
        <v/>
      </c>
      <c r="S19" s="12">
        <f>MAX(0,$F19-INDEX(Grid_Stock[#Data],5,$P$7+11))</f>
        <v/>
      </c>
      <c r="T19" s="12">
        <f>MAX(0,$F19-INDEX(Grid_Stock[#Data],5,$P$7+12))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INDEX(Grid_Stock[#Data],6,$P$7)</f>
        <v/>
      </c>
      <c r="H20" s="13">
        <f>MAX(0,$F20-INDEX(Grid_Stock[#Data],6,$P$7+0))</f>
        <v/>
      </c>
      <c r="I20" s="13">
        <f>MAX(0,$F20-INDEX(Grid_Stock[#Data],6,$P$7+1))</f>
        <v/>
      </c>
      <c r="J20" s="13">
        <f>MAX(0,$F20-INDEX(Grid_Stock[#Data],6,$P$7+2))</f>
        <v/>
      </c>
      <c r="K20" s="13">
        <f>MAX(0,$F20-INDEX(Grid_Stock[#Data],6,$P$7+3))</f>
        <v/>
      </c>
      <c r="L20" s="13">
        <f>MAX(0,$F20-INDEX(Grid_Stock[#Data],6,$P$7+4))</f>
        <v/>
      </c>
      <c r="M20" s="13">
        <f>MAX(0,$F20-INDEX(Grid_Stock[#Data],6,$P$7+5))</f>
        <v/>
      </c>
      <c r="N20" s="13">
        <f>MAX(0,$F20-INDEX(Grid_Stock[#Data],6,$P$7+6))</f>
        <v/>
      </c>
      <c r="O20" s="13">
        <f>MAX(0,$F20-INDEX(Grid_Stock[#Data],6,$P$7+7))</f>
        <v/>
      </c>
      <c r="P20" s="13">
        <f>MAX(0,$F20-INDEX(Grid_Stock[#Data],6,$P$7+8))</f>
        <v/>
      </c>
      <c r="Q20" s="13">
        <f>MAX(0,$F20-INDEX(Grid_Stock[#Data],6,$P$7+9))</f>
        <v/>
      </c>
      <c r="R20" s="13">
        <f>MAX(0,$F20-INDEX(Grid_Stock[#Data],6,$P$7+10))</f>
        <v/>
      </c>
      <c r="S20" s="13">
        <f>MAX(0,$F20-INDEX(Grid_Stock[#Data],6,$P$7+11))</f>
        <v/>
      </c>
      <c r="T20" s="13">
        <f>MAX(0,$F20-INDEX(Grid_Stock[#Data],6,$P$7+12))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INDEX(Grid_Stock[#Data],7,$P$7)</f>
        <v/>
      </c>
      <c r="H21" s="12">
        <f>MAX(0,$F21-INDEX(Grid_Stock[#Data],7,$P$7+0))</f>
        <v/>
      </c>
      <c r="I21" s="12">
        <f>MAX(0,$F21-INDEX(Grid_Stock[#Data],7,$P$7+1))</f>
        <v/>
      </c>
      <c r="J21" s="12">
        <f>MAX(0,$F21-INDEX(Grid_Stock[#Data],7,$P$7+2))</f>
        <v/>
      </c>
      <c r="K21" s="12">
        <f>MAX(0,$F21-INDEX(Grid_Stock[#Data],7,$P$7+3))</f>
        <v/>
      </c>
      <c r="L21" s="12">
        <f>MAX(0,$F21-INDEX(Grid_Stock[#Data],7,$P$7+4))</f>
        <v/>
      </c>
      <c r="M21" s="12">
        <f>MAX(0,$F21-INDEX(Grid_Stock[#Data],7,$P$7+5))</f>
        <v/>
      </c>
      <c r="N21" s="12">
        <f>MAX(0,$F21-INDEX(Grid_Stock[#Data],7,$P$7+6))</f>
        <v/>
      </c>
      <c r="O21" s="12">
        <f>MAX(0,$F21-INDEX(Grid_Stock[#Data],7,$P$7+7))</f>
        <v/>
      </c>
      <c r="P21" s="12">
        <f>MAX(0,$F21-INDEX(Grid_Stock[#Data],7,$P$7+8))</f>
        <v/>
      </c>
      <c r="Q21" s="12">
        <f>MAX(0,$F21-INDEX(Grid_Stock[#Data],7,$P$7+9))</f>
        <v/>
      </c>
      <c r="R21" s="12">
        <f>MAX(0,$F21-INDEX(Grid_Stock[#Data],7,$P$7+10))</f>
        <v/>
      </c>
      <c r="S21" s="12">
        <f>MAX(0,$F21-INDEX(Grid_Stock[#Data],7,$P$7+11))</f>
        <v/>
      </c>
      <c r="T21" s="12">
        <f>MAX(0,$F21-INDEX(Grid_Stock[#Data],7,$P$7+12))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INDEX(Grid_Stock[#Data],8,$P$7)</f>
        <v/>
      </c>
      <c r="H22" s="13">
        <f>MAX(0,$F22-INDEX(Grid_Stock[#Data],8,$P$7+0))</f>
        <v/>
      </c>
      <c r="I22" s="13">
        <f>MAX(0,$F22-INDEX(Grid_Stock[#Data],8,$P$7+1))</f>
        <v/>
      </c>
      <c r="J22" s="13">
        <f>MAX(0,$F22-INDEX(Grid_Stock[#Data],8,$P$7+2))</f>
        <v/>
      </c>
      <c r="K22" s="13">
        <f>MAX(0,$F22-INDEX(Grid_Stock[#Data],8,$P$7+3))</f>
        <v/>
      </c>
      <c r="L22" s="13">
        <f>MAX(0,$F22-INDEX(Grid_Stock[#Data],8,$P$7+4))</f>
        <v/>
      </c>
      <c r="M22" s="13">
        <f>MAX(0,$F22-INDEX(Grid_Stock[#Data],8,$P$7+5))</f>
        <v/>
      </c>
      <c r="N22" s="13">
        <f>MAX(0,$F22-INDEX(Grid_Stock[#Data],8,$P$7+6))</f>
        <v/>
      </c>
      <c r="O22" s="13">
        <f>MAX(0,$F22-INDEX(Grid_Stock[#Data],8,$P$7+7))</f>
        <v/>
      </c>
      <c r="P22" s="13">
        <f>MAX(0,$F22-INDEX(Grid_Stock[#Data],8,$P$7+8))</f>
        <v/>
      </c>
      <c r="Q22" s="13">
        <f>MAX(0,$F22-INDEX(Grid_Stock[#Data],8,$P$7+9))</f>
        <v/>
      </c>
      <c r="R22" s="13">
        <f>MAX(0,$F22-INDEX(Grid_Stock[#Data],8,$P$7+10))</f>
        <v/>
      </c>
      <c r="S22" s="13">
        <f>MAX(0,$F22-INDEX(Grid_Stock[#Data],8,$P$7+11))</f>
        <v/>
      </c>
      <c r="T22" s="13">
        <f>MAX(0,$F22-INDEX(Grid_Stock[#Data],8,$P$7+12))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INDEX(Grid_Stock[#Data],9,$P$7)</f>
        <v/>
      </c>
      <c r="H23" s="12">
        <f>MAX(0,$F23-INDEX(Grid_Stock[#Data],9,$P$7+0))</f>
        <v/>
      </c>
      <c r="I23" s="12">
        <f>MAX(0,$F23-INDEX(Grid_Stock[#Data],9,$P$7+1))</f>
        <v/>
      </c>
      <c r="J23" s="12">
        <f>MAX(0,$F23-INDEX(Grid_Stock[#Data],9,$P$7+2))</f>
        <v/>
      </c>
      <c r="K23" s="12">
        <f>MAX(0,$F23-INDEX(Grid_Stock[#Data],9,$P$7+3))</f>
        <v/>
      </c>
      <c r="L23" s="12">
        <f>MAX(0,$F23-INDEX(Grid_Stock[#Data],9,$P$7+4))</f>
        <v/>
      </c>
      <c r="M23" s="12">
        <f>MAX(0,$F23-INDEX(Grid_Stock[#Data],9,$P$7+5))</f>
        <v/>
      </c>
      <c r="N23" s="12">
        <f>MAX(0,$F23-INDEX(Grid_Stock[#Data],9,$P$7+6))</f>
        <v/>
      </c>
      <c r="O23" s="12">
        <f>MAX(0,$F23-INDEX(Grid_Stock[#Data],9,$P$7+7))</f>
        <v/>
      </c>
      <c r="P23" s="12">
        <f>MAX(0,$F23-INDEX(Grid_Stock[#Data],9,$P$7+8))</f>
        <v/>
      </c>
      <c r="Q23" s="12">
        <f>MAX(0,$F23-INDEX(Grid_Stock[#Data],9,$P$7+9))</f>
        <v/>
      </c>
      <c r="R23" s="12">
        <f>MAX(0,$F23-INDEX(Grid_Stock[#Data],9,$P$7+10))</f>
        <v/>
      </c>
      <c r="S23" s="12">
        <f>MAX(0,$F23-INDEX(Grid_Stock[#Data],9,$P$7+11))</f>
        <v/>
      </c>
      <c r="T23" s="12">
        <f>MAX(0,$F23-INDEX(Grid_Stock[#Data],9,$P$7+12))</f>
        <v/>
      </c>
      <c r="U23" s="12">
        <f>SUM(H23:T23)</f>
        <v/>
      </c>
    </row>
    <row r="24">
      <c r="B24" s="13">
        <f>IFERROR(INDEX(M_RawMaterials[Description],MATCH("4HL",M_RawMaterials[Part Name],0)),"")</f>
        <v/>
      </c>
      <c r="C24" s="13" t="inlineStr">
        <is>
          <t>N60H27R08-JP</t>
        </is>
      </c>
      <c r="D24" s="13" t="inlineStr">
        <is>
          <t>4HL</t>
        </is>
      </c>
      <c r="E24" s="13" t="inlineStr">
        <is>
          <t>kg</t>
        </is>
      </c>
      <c r="F24" s="13">
        <f>IFERROR(INDEX(M_RawMaterials[基準在庫下限_要入力],MATCH("4HL",M_RawMaterials[Part Name],0)),0)</f>
        <v/>
      </c>
      <c r="G24" s="13">
        <f>INDEX(Grid_Stock[#Data],10,$P$7)</f>
        <v/>
      </c>
      <c r="H24" s="13">
        <f>MAX(0,$F24-INDEX(Grid_Stock[#Data],10,$P$7+0))</f>
        <v/>
      </c>
      <c r="I24" s="13">
        <f>MAX(0,$F24-INDEX(Grid_Stock[#Data],10,$P$7+1))</f>
        <v/>
      </c>
      <c r="J24" s="13">
        <f>MAX(0,$F24-INDEX(Grid_Stock[#Data],10,$P$7+2))</f>
        <v/>
      </c>
      <c r="K24" s="13">
        <f>MAX(0,$F24-INDEX(Grid_Stock[#Data],10,$P$7+3))</f>
        <v/>
      </c>
      <c r="L24" s="13">
        <f>MAX(0,$F24-INDEX(Grid_Stock[#Data],10,$P$7+4))</f>
        <v/>
      </c>
      <c r="M24" s="13">
        <f>MAX(0,$F24-INDEX(Grid_Stock[#Data],10,$P$7+5))</f>
        <v/>
      </c>
      <c r="N24" s="13">
        <f>MAX(0,$F24-INDEX(Grid_Stock[#Data],10,$P$7+6))</f>
        <v/>
      </c>
      <c r="O24" s="13">
        <f>MAX(0,$F24-INDEX(Grid_Stock[#Data],10,$P$7+7))</f>
        <v/>
      </c>
      <c r="P24" s="13">
        <f>MAX(0,$F24-INDEX(Grid_Stock[#Data],10,$P$7+8))</f>
        <v/>
      </c>
      <c r="Q24" s="13">
        <f>MAX(0,$F24-INDEX(Grid_Stock[#Data],10,$P$7+9))</f>
        <v/>
      </c>
      <c r="R24" s="13">
        <f>MAX(0,$F24-INDEX(Grid_Stock[#Data],10,$P$7+10))</f>
        <v/>
      </c>
      <c r="S24" s="13">
        <f>MAX(0,$F24-INDEX(Grid_Stock[#Data],10,$P$7+11))</f>
        <v/>
      </c>
      <c r="T24" s="13">
        <f>MAX(0,$F24-INDEX(Grid_Stock[#Data],10,$P$7+12))</f>
        <v/>
      </c>
      <c r="U24" s="13">
        <f>SUM(H24:T24)</f>
        <v/>
      </c>
    </row>
    <row r="25">
      <c r="B25" s="12">
        <f>IFERROR(INDEX(M_RawMaterials[Description],MATCH("1EK",M_RawMaterials[Part Name],0)),"")</f>
        <v/>
      </c>
      <c r="C25" s="12" t="inlineStr">
        <is>
          <t>N60H29R08-JP</t>
        </is>
      </c>
      <c r="D25" s="12" t="inlineStr">
        <is>
          <t>1EK</t>
        </is>
      </c>
      <c r="E25" s="12" t="inlineStr">
        <is>
          <t>kg</t>
        </is>
      </c>
      <c r="F25" s="12">
        <f>IFERROR(INDEX(M_RawMaterials[基準在庫下限_要入力],MATCH("1EK",M_RawMaterials[Part Name],0)),0)</f>
        <v/>
      </c>
      <c r="G25" s="12">
        <f>INDEX(Grid_Stock[#Data],11,$P$7)</f>
        <v/>
      </c>
      <c r="H25" s="12">
        <f>MAX(0,$F25-INDEX(Grid_Stock[#Data],11,$P$7+0))</f>
        <v/>
      </c>
      <c r="I25" s="12">
        <f>MAX(0,$F25-INDEX(Grid_Stock[#Data],11,$P$7+1))</f>
        <v/>
      </c>
      <c r="J25" s="12">
        <f>MAX(0,$F25-INDEX(Grid_Stock[#Data],11,$P$7+2))</f>
        <v/>
      </c>
      <c r="K25" s="12">
        <f>MAX(0,$F25-INDEX(Grid_Stock[#Data],11,$P$7+3))</f>
        <v/>
      </c>
      <c r="L25" s="12">
        <f>MAX(0,$F25-INDEX(Grid_Stock[#Data],11,$P$7+4))</f>
        <v/>
      </c>
      <c r="M25" s="12">
        <f>MAX(0,$F25-INDEX(Grid_Stock[#Data],11,$P$7+5))</f>
        <v/>
      </c>
      <c r="N25" s="12">
        <f>MAX(0,$F25-INDEX(Grid_Stock[#Data],11,$P$7+6))</f>
        <v/>
      </c>
      <c r="O25" s="12">
        <f>MAX(0,$F25-INDEX(Grid_Stock[#Data],11,$P$7+7))</f>
        <v/>
      </c>
      <c r="P25" s="12">
        <f>MAX(0,$F25-INDEX(Grid_Stock[#Data],11,$P$7+8))</f>
        <v/>
      </c>
      <c r="Q25" s="12">
        <f>MAX(0,$F25-INDEX(Grid_Stock[#Data],11,$P$7+9))</f>
        <v/>
      </c>
      <c r="R25" s="12">
        <f>MAX(0,$F25-INDEX(Grid_Stock[#Data],11,$P$7+10))</f>
        <v/>
      </c>
      <c r="S25" s="12">
        <f>MAX(0,$F25-INDEX(Grid_Stock[#Data],11,$P$7+11))</f>
        <v/>
      </c>
      <c r="T25" s="12">
        <f>MAX(0,$F25-INDEX(Grid_Stock[#Data],11,$P$7+12))</f>
        <v/>
      </c>
      <c r="U25" s="12">
        <f>SUM(H25:T25)</f>
        <v/>
      </c>
    </row>
    <row r="26">
      <c r="B26" s="13">
        <f>IFERROR(INDEX(M_RawMaterials[Description],MATCH("7CL",M_RawMaterials[Part Name],0)),"")</f>
        <v/>
      </c>
      <c r="C26" s="13" t="inlineStr">
        <is>
          <t>N75H28R08-JP</t>
        </is>
      </c>
      <c r="D26" s="13" t="inlineStr">
        <is>
          <t>7CL</t>
        </is>
      </c>
      <c r="E26" s="13" t="inlineStr">
        <is>
          <t>kg</t>
        </is>
      </c>
      <c r="F26" s="13">
        <f>IFERROR(INDEX(M_RawMaterials[基準在庫下限_要入力],MATCH("7CL",M_RawMaterials[Part Name],0)),0)</f>
        <v/>
      </c>
      <c r="G26" s="13">
        <f>INDEX(Grid_Stock[#Data],12,$P$7)</f>
        <v/>
      </c>
      <c r="H26" s="13">
        <f>MAX(0,$F26-INDEX(Grid_Stock[#Data],12,$P$7+0))</f>
        <v/>
      </c>
      <c r="I26" s="13">
        <f>MAX(0,$F26-INDEX(Grid_Stock[#Data],12,$P$7+1))</f>
        <v/>
      </c>
      <c r="J26" s="13">
        <f>MAX(0,$F26-INDEX(Grid_Stock[#Data],12,$P$7+2))</f>
        <v/>
      </c>
      <c r="K26" s="13">
        <f>MAX(0,$F26-INDEX(Grid_Stock[#Data],12,$P$7+3))</f>
        <v/>
      </c>
      <c r="L26" s="13">
        <f>MAX(0,$F26-INDEX(Grid_Stock[#Data],12,$P$7+4))</f>
        <v/>
      </c>
      <c r="M26" s="13">
        <f>MAX(0,$F26-INDEX(Grid_Stock[#Data],12,$P$7+5))</f>
        <v/>
      </c>
      <c r="N26" s="13">
        <f>MAX(0,$F26-INDEX(Grid_Stock[#Data],12,$P$7+6))</f>
        <v/>
      </c>
      <c r="O26" s="13">
        <f>MAX(0,$F26-INDEX(Grid_Stock[#Data],12,$P$7+7))</f>
        <v/>
      </c>
      <c r="P26" s="13">
        <f>MAX(0,$F26-INDEX(Grid_Stock[#Data],12,$P$7+8))</f>
        <v/>
      </c>
      <c r="Q26" s="13">
        <f>MAX(0,$F26-INDEX(Grid_Stock[#Data],12,$P$7+9))</f>
        <v/>
      </c>
      <c r="R26" s="13">
        <f>MAX(0,$F26-INDEX(Grid_Stock[#Data],12,$P$7+10))</f>
        <v/>
      </c>
      <c r="S26" s="13">
        <f>MAX(0,$F26-INDEX(Grid_Stock[#Data],12,$P$7+11))</f>
        <v/>
      </c>
      <c r="T26" s="13">
        <f>MAX(0,$F26-INDEX(Grid_Stock[#Data],12,$P$7+12))</f>
        <v/>
      </c>
      <c r="U26" s="13">
        <f>SUM(H26:T26)</f>
        <v/>
      </c>
    </row>
    <row r="27">
      <c r="B27" s="12">
        <f>IFERROR(INDEX(M_RawMaterials[Description],MATCH("CHEM-1400",M_RawMaterials[Part Name],0)),"")</f>
        <v/>
      </c>
      <c r="C27" s="12" t="inlineStr">
        <is>
          <t>71288617001</t>
        </is>
      </c>
      <c r="D27" s="12" t="inlineStr">
        <is>
          <t>CHEM-1400</t>
        </is>
      </c>
      <c r="E27" s="12" t="inlineStr">
        <is>
          <t>kg</t>
        </is>
      </c>
      <c r="F27" s="12">
        <f>IFERROR(INDEX(M_RawMaterials[基準在庫下限_要入力],MATCH("CHEM-1400",M_RawMaterials[Part Name],0)),0)</f>
        <v/>
      </c>
      <c r="G27" s="12">
        <f>INDEX(Grid_Stock[#Data],14,$P$7)</f>
        <v/>
      </c>
      <c r="H27" s="12">
        <f>MAX(0,$F27-INDEX(Grid_Stock[#Data],14,$P$7+0))</f>
        <v/>
      </c>
      <c r="I27" s="12">
        <f>MAX(0,$F27-INDEX(Grid_Stock[#Data],14,$P$7+1))</f>
        <v/>
      </c>
      <c r="J27" s="12">
        <f>MAX(0,$F27-INDEX(Grid_Stock[#Data],14,$P$7+2))</f>
        <v/>
      </c>
      <c r="K27" s="12">
        <f>MAX(0,$F27-INDEX(Grid_Stock[#Data],14,$P$7+3))</f>
        <v/>
      </c>
      <c r="L27" s="12">
        <f>MAX(0,$F27-INDEX(Grid_Stock[#Data],14,$P$7+4))</f>
        <v/>
      </c>
      <c r="M27" s="12">
        <f>MAX(0,$F27-INDEX(Grid_Stock[#Data],14,$P$7+5))</f>
        <v/>
      </c>
      <c r="N27" s="12">
        <f>MAX(0,$F27-INDEX(Grid_Stock[#Data],14,$P$7+6))</f>
        <v/>
      </c>
      <c r="O27" s="12">
        <f>MAX(0,$F27-INDEX(Grid_Stock[#Data],14,$P$7+7))</f>
        <v/>
      </c>
      <c r="P27" s="12">
        <f>MAX(0,$F27-INDEX(Grid_Stock[#Data],14,$P$7+8))</f>
        <v/>
      </c>
      <c r="Q27" s="12">
        <f>MAX(0,$F27-INDEX(Grid_Stock[#Data],14,$P$7+9))</f>
        <v/>
      </c>
      <c r="R27" s="12">
        <f>MAX(0,$F27-INDEX(Grid_Stock[#Data],14,$P$7+10))</f>
        <v/>
      </c>
      <c r="S27" s="12">
        <f>MAX(0,$F27-INDEX(Grid_Stock[#Data],14,$P$7+11))</f>
        <v/>
      </c>
      <c r="T27" s="12">
        <f>MAX(0,$F27-INDEX(Grid_Stock[#Data],14,$P$7+12))</f>
        <v/>
      </c>
      <c r="U27" s="12">
        <f>SUM(H27:T27)</f>
        <v/>
      </c>
    </row>
    <row r="28">
      <c r="B28" s="13">
        <f>IFERROR(INDEX(M_RawMaterials[Description],MATCH("CHEM-1570",M_RawMaterials[Part Name],0)),"")</f>
        <v/>
      </c>
      <c r="C28" s="13" t="inlineStr">
        <is>
          <t>71288624802</t>
        </is>
      </c>
      <c r="D28" s="13" t="inlineStr">
        <is>
          <t>CHEM-1570</t>
        </is>
      </c>
      <c r="E28" s="13" t="inlineStr">
        <is>
          <t>kg</t>
        </is>
      </c>
      <c r="F28" s="13">
        <f>IFERROR(INDEX(M_RawMaterials[基準在庫下限_要入力],MATCH("CHEM-1570",M_RawMaterials[Part Name],0)),0)</f>
        <v/>
      </c>
      <c r="G28" s="13">
        <f>INDEX(Grid_Stock[#Data],15,$P$7)</f>
        <v/>
      </c>
      <c r="H28" s="13">
        <f>MAX(0,$F28-INDEX(Grid_Stock[#Data],15,$P$7+0))</f>
        <v/>
      </c>
      <c r="I28" s="13">
        <f>MAX(0,$F28-INDEX(Grid_Stock[#Data],15,$P$7+1))</f>
        <v/>
      </c>
      <c r="J28" s="13">
        <f>MAX(0,$F28-INDEX(Grid_Stock[#Data],15,$P$7+2))</f>
        <v/>
      </c>
      <c r="K28" s="13">
        <f>MAX(0,$F28-INDEX(Grid_Stock[#Data],15,$P$7+3))</f>
        <v/>
      </c>
      <c r="L28" s="13">
        <f>MAX(0,$F28-INDEX(Grid_Stock[#Data],15,$P$7+4))</f>
        <v/>
      </c>
      <c r="M28" s="13">
        <f>MAX(0,$F28-INDEX(Grid_Stock[#Data],15,$P$7+5))</f>
        <v/>
      </c>
      <c r="N28" s="13">
        <f>MAX(0,$F28-INDEX(Grid_Stock[#Data],15,$P$7+6))</f>
        <v/>
      </c>
      <c r="O28" s="13">
        <f>MAX(0,$F28-INDEX(Grid_Stock[#Data],15,$P$7+7))</f>
        <v/>
      </c>
      <c r="P28" s="13">
        <f>MAX(0,$F28-INDEX(Grid_Stock[#Data],15,$P$7+8))</f>
        <v/>
      </c>
      <c r="Q28" s="13">
        <f>MAX(0,$F28-INDEX(Grid_Stock[#Data],15,$P$7+9))</f>
        <v/>
      </c>
      <c r="R28" s="13">
        <f>MAX(0,$F28-INDEX(Grid_Stock[#Data],15,$P$7+10))</f>
        <v/>
      </c>
      <c r="S28" s="13">
        <f>MAX(0,$F28-INDEX(Grid_Stock[#Data],15,$P$7+11))</f>
        <v/>
      </c>
      <c r="T28" s="13">
        <f>MAX(0,$F28-INDEX(Grid_Stock[#Data],15,$P$7+12))</f>
        <v/>
      </c>
      <c r="U28" s="13">
        <f>SUM(H28:T28)</f>
        <v/>
      </c>
    </row>
    <row r="29">
      <c r="B29" s="12">
        <f>IFERROR(INDEX(M_RawMaterials[Description],MATCH("CHEM-1650",M_RawMaterials[Part Name],0)),"")</f>
        <v/>
      </c>
      <c r="C29" s="12" t="inlineStr">
        <is>
          <t>712886256</t>
        </is>
      </c>
      <c r="D29" s="12" t="inlineStr">
        <is>
          <t>CHEM-1650</t>
        </is>
      </c>
      <c r="E29" s="12" t="inlineStr">
        <is>
          <t>kg</t>
        </is>
      </c>
      <c r="F29" s="12">
        <f>IFERROR(INDEX(M_RawMaterials[基準在庫下限_要入力],MATCH("CHEM-1650",M_RawMaterials[Part Name],0)),0)</f>
        <v/>
      </c>
      <c r="G29" s="12">
        <f>INDEX(Grid_Stock[#Data],16,$P$7)</f>
        <v/>
      </c>
      <c r="H29" s="12">
        <f>MAX(0,$F29-INDEX(Grid_Stock[#Data],16,$P$7+0))</f>
        <v/>
      </c>
      <c r="I29" s="12">
        <f>MAX(0,$F29-INDEX(Grid_Stock[#Data],16,$P$7+1))</f>
        <v/>
      </c>
      <c r="J29" s="12">
        <f>MAX(0,$F29-INDEX(Grid_Stock[#Data],16,$P$7+2))</f>
        <v/>
      </c>
      <c r="K29" s="12">
        <f>MAX(0,$F29-INDEX(Grid_Stock[#Data],16,$P$7+3))</f>
        <v/>
      </c>
      <c r="L29" s="12">
        <f>MAX(0,$F29-INDEX(Grid_Stock[#Data],16,$P$7+4))</f>
        <v/>
      </c>
      <c r="M29" s="12">
        <f>MAX(0,$F29-INDEX(Grid_Stock[#Data],16,$P$7+5))</f>
        <v/>
      </c>
      <c r="N29" s="12">
        <f>MAX(0,$F29-INDEX(Grid_Stock[#Data],16,$P$7+6))</f>
        <v/>
      </c>
      <c r="O29" s="12">
        <f>MAX(0,$F29-INDEX(Grid_Stock[#Data],16,$P$7+7))</f>
        <v/>
      </c>
      <c r="P29" s="12">
        <f>MAX(0,$F29-INDEX(Grid_Stock[#Data],16,$P$7+8))</f>
        <v/>
      </c>
      <c r="Q29" s="12">
        <f>MAX(0,$F29-INDEX(Grid_Stock[#Data],16,$P$7+9))</f>
        <v/>
      </c>
      <c r="R29" s="12">
        <f>MAX(0,$F29-INDEX(Grid_Stock[#Data],16,$P$7+10))</f>
        <v/>
      </c>
      <c r="S29" s="12">
        <f>MAX(0,$F29-INDEX(Grid_Stock[#Data],16,$P$7+11))</f>
        <v/>
      </c>
      <c r="T29" s="12">
        <f>MAX(0,$F29-INDEX(Grid_Stock[#Data],16,$P$7+12))</f>
        <v/>
      </c>
      <c r="U29" s="12">
        <f>SUM(H29:T29)</f>
        <v/>
      </c>
    </row>
    <row r="30">
      <c r="B30" s="13">
        <f>IFERROR(INDEX(M_RawMaterials[Description],MATCH("CHEM-1600",M_RawMaterials[Part Name],0)),"")</f>
        <v/>
      </c>
      <c r="C30" s="13" t="inlineStr">
        <is>
          <t>71388005101</t>
        </is>
      </c>
      <c r="D30" s="13" t="inlineStr">
        <is>
          <t>CHEM-1600</t>
        </is>
      </c>
      <c r="E30" s="13" t="inlineStr">
        <is>
          <t>kg</t>
        </is>
      </c>
      <c r="F30" s="13">
        <f>IFERROR(INDEX(M_RawMaterials[基準在庫下限_要入力],MATCH("CHEM-1600",M_RawMaterials[Part Name],0)),0)</f>
        <v/>
      </c>
      <c r="G30" s="13">
        <f>INDEX(Grid_Stock[#Data],18,$P$7)</f>
        <v/>
      </c>
      <c r="H30" s="13">
        <f>MAX(0,$F30-INDEX(Grid_Stock[#Data],18,$P$7+0))</f>
        <v/>
      </c>
      <c r="I30" s="13">
        <f>MAX(0,$F30-INDEX(Grid_Stock[#Data],18,$P$7+1))</f>
        <v/>
      </c>
      <c r="J30" s="13">
        <f>MAX(0,$F30-INDEX(Grid_Stock[#Data],18,$P$7+2))</f>
        <v/>
      </c>
      <c r="K30" s="13">
        <f>MAX(0,$F30-INDEX(Grid_Stock[#Data],18,$P$7+3))</f>
        <v/>
      </c>
      <c r="L30" s="13">
        <f>MAX(0,$F30-INDEX(Grid_Stock[#Data],18,$P$7+4))</f>
        <v/>
      </c>
      <c r="M30" s="13">
        <f>MAX(0,$F30-INDEX(Grid_Stock[#Data],18,$P$7+5))</f>
        <v/>
      </c>
      <c r="N30" s="13">
        <f>MAX(0,$F30-INDEX(Grid_Stock[#Data],18,$P$7+6))</f>
        <v/>
      </c>
      <c r="O30" s="13">
        <f>MAX(0,$F30-INDEX(Grid_Stock[#Data],18,$P$7+7))</f>
        <v/>
      </c>
      <c r="P30" s="13">
        <f>MAX(0,$F30-INDEX(Grid_Stock[#Data],18,$P$7+8))</f>
        <v/>
      </c>
      <c r="Q30" s="13">
        <f>MAX(0,$F30-INDEX(Grid_Stock[#Data],18,$P$7+9))</f>
        <v/>
      </c>
      <c r="R30" s="13">
        <f>MAX(0,$F30-INDEX(Grid_Stock[#Data],18,$P$7+10))</f>
        <v/>
      </c>
      <c r="S30" s="13">
        <f>MAX(0,$F30-INDEX(Grid_Stock[#Data],18,$P$7+11))</f>
        <v/>
      </c>
      <c r="T30" s="13">
        <f>MAX(0,$F30-INDEX(Grid_Stock[#Data],18,$P$7+12))</f>
        <v/>
      </c>
      <c r="U30" s="13">
        <f>SUM(H30:T30)</f>
        <v/>
      </c>
    </row>
    <row r="31">
      <c r="B31" s="12">
        <f>IFERROR(INDEX(M_RawMaterials[Description],MATCH("CHEM-1240",M_RawMaterials[Part Name],0)),"")</f>
        <v/>
      </c>
      <c r="C31" s="12" t="inlineStr">
        <is>
          <t>83988008101</t>
        </is>
      </c>
      <c r="D31" s="12" t="inlineStr">
        <is>
          <t>CHEM-1240</t>
        </is>
      </c>
      <c r="E31" s="12" t="inlineStr">
        <is>
          <t>kg</t>
        </is>
      </c>
      <c r="F31" s="12">
        <f>IFERROR(INDEX(M_RawMaterials[基準在庫下限_要入力],MATCH("CHEM-1240",M_RawMaterials[Part Name],0)),0)</f>
        <v/>
      </c>
      <c r="G31" s="12">
        <f>INDEX(Grid_Stock[#Data],20,$P$7)</f>
        <v/>
      </c>
      <c r="H31" s="12">
        <f>MAX(0,$F31-INDEX(Grid_Stock[#Data],20,$P$7+0))</f>
        <v/>
      </c>
      <c r="I31" s="12">
        <f>MAX(0,$F31-INDEX(Grid_Stock[#Data],20,$P$7+1))</f>
        <v/>
      </c>
      <c r="J31" s="12">
        <f>MAX(0,$F31-INDEX(Grid_Stock[#Data],20,$P$7+2))</f>
        <v/>
      </c>
      <c r="K31" s="12">
        <f>MAX(0,$F31-INDEX(Grid_Stock[#Data],20,$P$7+3))</f>
        <v/>
      </c>
      <c r="L31" s="12">
        <f>MAX(0,$F31-INDEX(Grid_Stock[#Data],20,$P$7+4))</f>
        <v/>
      </c>
      <c r="M31" s="12">
        <f>MAX(0,$F31-INDEX(Grid_Stock[#Data],20,$P$7+5))</f>
        <v/>
      </c>
      <c r="N31" s="12">
        <f>MAX(0,$F31-INDEX(Grid_Stock[#Data],20,$P$7+6))</f>
        <v/>
      </c>
      <c r="O31" s="12">
        <f>MAX(0,$F31-INDEX(Grid_Stock[#Data],20,$P$7+7))</f>
        <v/>
      </c>
      <c r="P31" s="12">
        <f>MAX(0,$F31-INDEX(Grid_Stock[#Data],20,$P$7+8))</f>
        <v/>
      </c>
      <c r="Q31" s="12">
        <f>MAX(0,$F31-INDEX(Grid_Stock[#Data],20,$P$7+9))</f>
        <v/>
      </c>
      <c r="R31" s="12">
        <f>MAX(0,$F31-INDEX(Grid_Stock[#Data],20,$P$7+10))</f>
        <v/>
      </c>
      <c r="S31" s="12">
        <f>MAX(0,$F31-INDEX(Grid_Stock[#Data],20,$P$7+11))</f>
        <v/>
      </c>
      <c r="T31" s="12">
        <f>MAX(0,$F31-INDEX(Grid_Stock[#Data],20,$P$7+12))</f>
        <v/>
      </c>
      <c r="U31" s="12">
        <f>SUM(H31:T31)</f>
        <v/>
      </c>
    </row>
    <row r="32">
      <c r="B32" s="13">
        <f>IFERROR(INDEX(M_RawMaterials[Description],MATCH("CHEM-1760",M_RawMaterials[Part Name],0)),"")</f>
        <v/>
      </c>
      <c r="C32" s="13" t="inlineStr">
        <is>
          <t>713880079</t>
        </is>
      </c>
      <c r="D32" s="13" t="inlineStr">
        <is>
          <t>CHEM-1760</t>
        </is>
      </c>
      <c r="E32" s="13" t="inlineStr">
        <is>
          <t>kg</t>
        </is>
      </c>
      <c r="F32" s="13">
        <f>IFERROR(INDEX(M_RawMaterials[基準在庫下限_要入力],MATCH("CHEM-1760",M_RawMaterials[Part Name],0)),0)</f>
        <v/>
      </c>
      <c r="G32" s="13">
        <f>INDEX(Grid_Stock[#Data],22,$P$7)</f>
        <v/>
      </c>
      <c r="H32" s="13">
        <f>MAX(0,$F32-INDEX(Grid_Stock[#Data],22,$P$7+0))</f>
        <v/>
      </c>
      <c r="I32" s="13">
        <f>MAX(0,$F32-INDEX(Grid_Stock[#Data],22,$P$7+1))</f>
        <v/>
      </c>
      <c r="J32" s="13">
        <f>MAX(0,$F32-INDEX(Grid_Stock[#Data],22,$P$7+2))</f>
        <v/>
      </c>
      <c r="K32" s="13">
        <f>MAX(0,$F32-INDEX(Grid_Stock[#Data],22,$P$7+3))</f>
        <v/>
      </c>
      <c r="L32" s="13">
        <f>MAX(0,$F32-INDEX(Grid_Stock[#Data],22,$P$7+4))</f>
        <v/>
      </c>
      <c r="M32" s="13">
        <f>MAX(0,$F32-INDEX(Grid_Stock[#Data],22,$P$7+5))</f>
        <v/>
      </c>
      <c r="N32" s="13">
        <f>MAX(0,$F32-INDEX(Grid_Stock[#Data],22,$P$7+6))</f>
        <v/>
      </c>
      <c r="O32" s="13">
        <f>MAX(0,$F32-INDEX(Grid_Stock[#Data],22,$P$7+7))</f>
        <v/>
      </c>
      <c r="P32" s="13">
        <f>MAX(0,$F32-INDEX(Grid_Stock[#Data],22,$P$7+8))</f>
        <v/>
      </c>
      <c r="Q32" s="13">
        <f>MAX(0,$F32-INDEX(Grid_Stock[#Data],22,$P$7+9))</f>
        <v/>
      </c>
      <c r="R32" s="13">
        <f>MAX(0,$F32-INDEX(Grid_Stock[#Data],22,$P$7+10))</f>
        <v/>
      </c>
      <c r="S32" s="13">
        <f>MAX(0,$F32-INDEX(Grid_Stock[#Data],22,$P$7+11))</f>
        <v/>
      </c>
      <c r="T32" s="13">
        <f>MAX(0,$F32-INDEX(Grid_Stock[#Data],22,$P$7+12))</f>
        <v/>
      </c>
      <c r="U32" s="13">
        <f>SUM(H32:T32)</f>
        <v/>
      </c>
    </row>
    <row r="33">
      <c r="B33" s="12">
        <f>IFERROR(INDEX(M_RawMaterials[Description],MATCH("Original Towel",M_RawMaterials[Part Name],0)),"")</f>
        <v/>
      </c>
      <c r="C33" s="12" t="inlineStr">
        <is>
          <t>859882220</t>
        </is>
      </c>
      <c r="D33" s="12" t="inlineStr">
        <is>
          <t>Original Towel</t>
        </is>
      </c>
      <c r="E33" s="12" t="inlineStr">
        <is>
          <t>kg</t>
        </is>
      </c>
      <c r="F33" s="12">
        <f>IFERROR(INDEX(M_RawMaterials[基準在庫下限_要入力],MATCH("Original Towel",M_RawMaterials[Part Name],0)),0)</f>
        <v/>
      </c>
      <c r="G33" s="12">
        <f>INDEX(Grid_Stock[#Data],23,$P$7)</f>
        <v/>
      </c>
      <c r="H33" s="12">
        <f>MAX(0,$F33-INDEX(Grid_Stock[#Data],23,$P$7+0))</f>
        <v/>
      </c>
      <c r="I33" s="12">
        <f>MAX(0,$F33-INDEX(Grid_Stock[#Data],23,$P$7+1))</f>
        <v/>
      </c>
      <c r="J33" s="12">
        <f>MAX(0,$F33-INDEX(Grid_Stock[#Data],23,$P$7+2))</f>
        <v/>
      </c>
      <c r="K33" s="12">
        <f>MAX(0,$F33-INDEX(Grid_Stock[#Data],23,$P$7+3))</f>
        <v/>
      </c>
      <c r="L33" s="12">
        <f>MAX(0,$F33-INDEX(Grid_Stock[#Data],23,$P$7+4))</f>
        <v/>
      </c>
      <c r="M33" s="12">
        <f>MAX(0,$F33-INDEX(Grid_Stock[#Data],23,$P$7+5))</f>
        <v/>
      </c>
      <c r="N33" s="12">
        <f>MAX(0,$F33-INDEX(Grid_Stock[#Data],23,$P$7+6))</f>
        <v/>
      </c>
      <c r="O33" s="12">
        <f>MAX(0,$F33-INDEX(Grid_Stock[#Data],23,$P$7+7))</f>
        <v/>
      </c>
      <c r="P33" s="12">
        <f>MAX(0,$F33-INDEX(Grid_Stock[#Data],23,$P$7+8))</f>
        <v/>
      </c>
      <c r="Q33" s="12">
        <f>MAX(0,$F33-INDEX(Grid_Stock[#Data],23,$P$7+9))</f>
        <v/>
      </c>
      <c r="R33" s="12">
        <f>MAX(0,$F33-INDEX(Grid_Stock[#Data],23,$P$7+10))</f>
        <v/>
      </c>
      <c r="S33" s="12">
        <f>MAX(0,$F33-INDEX(Grid_Stock[#Data],23,$P$7+11))</f>
        <v/>
      </c>
      <c r="T33" s="12">
        <f>MAX(0,$F33-INDEX(Grid_Stock[#Data],23,$P$7+12))</f>
        <v/>
      </c>
      <c r="U33" s="12">
        <f>SUM(H33:T33)</f>
        <v/>
      </c>
    </row>
    <row r="34">
      <c r="B34" s="13">
        <f>IFERROR(INDEX(M_RawMaterials[Description],MATCH("CHEM-1200",M_RawMaterials[Part Name],0)),"")</f>
        <v/>
      </c>
      <c r="C34" s="13" t="inlineStr">
        <is>
          <t>839880012</t>
        </is>
      </c>
      <c r="D34" s="13" t="inlineStr">
        <is>
          <t>CHEM-1200</t>
        </is>
      </c>
      <c r="E34" s="13" t="inlineStr">
        <is>
          <t>kg</t>
        </is>
      </c>
      <c r="F34" s="13">
        <f>IFERROR(INDEX(M_RawMaterials[基準在庫下限_要入力],MATCH("CHEM-1200",M_RawMaterials[Part Name],0)),0)</f>
        <v/>
      </c>
      <c r="G34" s="13">
        <f>INDEX(Grid_Stock[#Data],24,$P$7)</f>
        <v/>
      </c>
      <c r="H34" s="13">
        <f>MAX(0,$F34-INDEX(Grid_Stock[#Data],24,$P$7+0))</f>
        <v/>
      </c>
      <c r="I34" s="13">
        <f>MAX(0,$F34-INDEX(Grid_Stock[#Data],24,$P$7+1))</f>
        <v/>
      </c>
      <c r="J34" s="13">
        <f>MAX(0,$F34-INDEX(Grid_Stock[#Data],24,$P$7+2))</f>
        <v/>
      </c>
      <c r="K34" s="13">
        <f>MAX(0,$F34-INDEX(Grid_Stock[#Data],24,$P$7+3))</f>
        <v/>
      </c>
      <c r="L34" s="13">
        <f>MAX(0,$F34-INDEX(Grid_Stock[#Data],24,$P$7+4))</f>
        <v/>
      </c>
      <c r="M34" s="13">
        <f>MAX(0,$F34-INDEX(Grid_Stock[#Data],24,$P$7+5))</f>
        <v/>
      </c>
      <c r="N34" s="13">
        <f>MAX(0,$F34-INDEX(Grid_Stock[#Data],24,$P$7+6))</f>
        <v/>
      </c>
      <c r="O34" s="13">
        <f>MAX(0,$F34-INDEX(Grid_Stock[#Data],24,$P$7+7))</f>
        <v/>
      </c>
      <c r="P34" s="13">
        <f>MAX(0,$F34-INDEX(Grid_Stock[#Data],24,$P$7+8))</f>
        <v/>
      </c>
      <c r="Q34" s="13">
        <f>MAX(0,$F34-INDEX(Grid_Stock[#Data],24,$P$7+9))</f>
        <v/>
      </c>
      <c r="R34" s="13">
        <f>MAX(0,$F34-INDEX(Grid_Stock[#Data],24,$P$7+10))</f>
        <v/>
      </c>
      <c r="S34" s="13">
        <f>MAX(0,$F34-INDEX(Grid_Stock[#Data],24,$P$7+11))</f>
        <v/>
      </c>
      <c r="T34" s="13">
        <f>MAX(0,$F34-INDEX(Grid_Stock[#Data],24,$P$7+12))</f>
        <v/>
      </c>
      <c r="U34" s="13">
        <f>SUM(H34:T34)</f>
        <v/>
      </c>
    </row>
    <row r="35">
      <c r="B35" s="12">
        <f>IFERROR(INDEX(M_RawMaterials[Description],MATCH("CHEM-1830",M_RawMaterials[Part Name],0)),"")</f>
        <v/>
      </c>
      <c r="C35" s="12" t="inlineStr">
        <is>
          <t>713880083</t>
        </is>
      </c>
      <c r="D35" s="12" t="inlineStr">
        <is>
          <t>CHEM-1830</t>
        </is>
      </c>
      <c r="E35" s="12" t="inlineStr">
        <is>
          <t>kg</t>
        </is>
      </c>
      <c r="F35" s="12">
        <f>IFERROR(INDEX(M_RawMaterials[基準在庫下限_要入力],MATCH("CHEM-1830",M_RawMaterials[Part Name],0)),0)</f>
        <v/>
      </c>
      <c r="G35" s="12">
        <f>INDEX(Grid_Stock[#Data],25,$P$7)</f>
        <v/>
      </c>
      <c r="H35" s="12">
        <f>MAX(0,$F35-INDEX(Grid_Stock[#Data],25,$P$7+0))</f>
        <v/>
      </c>
      <c r="I35" s="12">
        <f>MAX(0,$F35-INDEX(Grid_Stock[#Data],25,$P$7+1))</f>
        <v/>
      </c>
      <c r="J35" s="12">
        <f>MAX(0,$F35-INDEX(Grid_Stock[#Data],25,$P$7+2))</f>
        <v/>
      </c>
      <c r="K35" s="12">
        <f>MAX(0,$F35-INDEX(Grid_Stock[#Data],25,$P$7+3))</f>
        <v/>
      </c>
      <c r="L35" s="12">
        <f>MAX(0,$F35-INDEX(Grid_Stock[#Data],25,$P$7+4))</f>
        <v/>
      </c>
      <c r="M35" s="12">
        <f>MAX(0,$F35-INDEX(Grid_Stock[#Data],25,$P$7+5))</f>
        <v/>
      </c>
      <c r="N35" s="12">
        <f>MAX(0,$F35-INDEX(Grid_Stock[#Data],25,$P$7+6))</f>
        <v/>
      </c>
      <c r="O35" s="12">
        <f>MAX(0,$F35-INDEX(Grid_Stock[#Data],25,$P$7+7))</f>
        <v/>
      </c>
      <c r="P35" s="12">
        <f>MAX(0,$F35-INDEX(Grid_Stock[#Data],25,$P$7+8))</f>
        <v/>
      </c>
      <c r="Q35" s="12">
        <f>MAX(0,$F35-INDEX(Grid_Stock[#Data],25,$P$7+9))</f>
        <v/>
      </c>
      <c r="R35" s="12">
        <f>MAX(0,$F35-INDEX(Grid_Stock[#Data],25,$P$7+10))</f>
        <v/>
      </c>
      <c r="S35" s="12">
        <f>MAX(0,$F35-INDEX(Grid_Stock[#Data],25,$P$7+11))</f>
        <v/>
      </c>
      <c r="T35" s="12">
        <f>MAX(0,$F35-INDEX(Grid_Stock[#Data],25,$P$7+12))</f>
        <v/>
      </c>
      <c r="U35" s="12">
        <f>SUM(H35:T35)</f>
        <v/>
      </c>
    </row>
    <row r="36">
      <c r="B36" s="13">
        <f>IFERROR(INDEX(M_RawMaterials[Description],MATCH("CHEM-1680",M_RawMaterials[Part Name],0)),"")</f>
        <v/>
      </c>
      <c r="C36" s="13" t="inlineStr">
        <is>
          <t>713880069</t>
        </is>
      </c>
      <c r="D36" s="13" t="inlineStr">
        <is>
          <t>CHEM-1680</t>
        </is>
      </c>
      <c r="E36" s="13" t="inlineStr">
        <is>
          <t>kg</t>
        </is>
      </c>
      <c r="F36" s="13">
        <f>IFERROR(INDEX(M_RawMaterials[基準在庫下限_要入力],MATCH("CHEM-1680",M_RawMaterials[Part Name],0)),0)</f>
        <v/>
      </c>
      <c r="G36" s="13">
        <f>INDEX(Grid_Stock[#Data],26,$P$7)</f>
        <v/>
      </c>
      <c r="H36" s="13">
        <f>MAX(0,$F36-INDEX(Grid_Stock[#Data],26,$P$7+0))</f>
        <v/>
      </c>
      <c r="I36" s="13">
        <f>MAX(0,$F36-INDEX(Grid_Stock[#Data],26,$P$7+1))</f>
        <v/>
      </c>
      <c r="J36" s="13">
        <f>MAX(0,$F36-INDEX(Grid_Stock[#Data],26,$P$7+2))</f>
        <v/>
      </c>
      <c r="K36" s="13">
        <f>MAX(0,$F36-INDEX(Grid_Stock[#Data],26,$P$7+3))</f>
        <v/>
      </c>
      <c r="L36" s="13">
        <f>MAX(0,$F36-INDEX(Grid_Stock[#Data],26,$P$7+4))</f>
        <v/>
      </c>
      <c r="M36" s="13">
        <f>MAX(0,$F36-INDEX(Grid_Stock[#Data],26,$P$7+5))</f>
        <v/>
      </c>
      <c r="N36" s="13">
        <f>MAX(0,$F36-INDEX(Grid_Stock[#Data],26,$P$7+6))</f>
        <v/>
      </c>
      <c r="O36" s="13">
        <f>MAX(0,$F36-INDEX(Grid_Stock[#Data],26,$P$7+7))</f>
        <v/>
      </c>
      <c r="P36" s="13">
        <f>MAX(0,$F36-INDEX(Grid_Stock[#Data],26,$P$7+8))</f>
        <v/>
      </c>
      <c r="Q36" s="13">
        <f>MAX(0,$F36-INDEX(Grid_Stock[#Data],26,$P$7+9))</f>
        <v/>
      </c>
      <c r="R36" s="13">
        <f>MAX(0,$F36-INDEX(Grid_Stock[#Data],26,$P$7+10))</f>
        <v/>
      </c>
      <c r="S36" s="13">
        <f>MAX(0,$F36-INDEX(Grid_Stock[#Data],26,$P$7+11))</f>
        <v/>
      </c>
      <c r="T36" s="13">
        <f>MAX(0,$F36-INDEX(Grid_Stock[#Data],26,$P$7+12))</f>
        <v/>
      </c>
      <c r="U36" s="13">
        <f>SUM(H36:T36)</f>
        <v/>
      </c>
    </row>
    <row r="37">
      <c r="B37" s="12">
        <f>IFERROR(INDEX(M_RawMaterials[Description],MATCH("CHEM-1820",M_RawMaterials[Part Name],0)),"")</f>
        <v/>
      </c>
      <c r="C37" s="12" t="inlineStr">
        <is>
          <t>713880091</t>
        </is>
      </c>
      <c r="D37" s="12" t="inlineStr">
        <is>
          <t>CHEM-1820</t>
        </is>
      </c>
      <c r="E37" s="12" t="inlineStr">
        <is>
          <t>kg</t>
        </is>
      </c>
      <c r="F37" s="12">
        <f>IFERROR(INDEX(M_RawMaterials[基準在庫下限_要入力],MATCH("CHEM-1820",M_RawMaterials[Part Name],0)),0)</f>
        <v/>
      </c>
      <c r="G37" s="12">
        <f>INDEX(Grid_Stock[#Data],27,$P$7)</f>
        <v/>
      </c>
      <c r="H37" s="12">
        <f>MAX(0,$F37-INDEX(Grid_Stock[#Data],27,$P$7+0))</f>
        <v/>
      </c>
      <c r="I37" s="12">
        <f>MAX(0,$F37-INDEX(Grid_Stock[#Data],27,$P$7+1))</f>
        <v/>
      </c>
      <c r="J37" s="12">
        <f>MAX(0,$F37-INDEX(Grid_Stock[#Data],27,$P$7+2))</f>
        <v/>
      </c>
      <c r="K37" s="12">
        <f>MAX(0,$F37-INDEX(Grid_Stock[#Data],27,$P$7+3))</f>
        <v/>
      </c>
      <c r="L37" s="12">
        <f>MAX(0,$F37-INDEX(Grid_Stock[#Data],27,$P$7+4))</f>
        <v/>
      </c>
      <c r="M37" s="12">
        <f>MAX(0,$F37-INDEX(Grid_Stock[#Data],27,$P$7+5))</f>
        <v/>
      </c>
      <c r="N37" s="12">
        <f>MAX(0,$F37-INDEX(Grid_Stock[#Data],27,$P$7+6))</f>
        <v/>
      </c>
      <c r="O37" s="12">
        <f>MAX(0,$F37-INDEX(Grid_Stock[#Data],27,$P$7+7))</f>
        <v/>
      </c>
      <c r="P37" s="12">
        <f>MAX(0,$F37-INDEX(Grid_Stock[#Data],27,$P$7+8))</f>
        <v/>
      </c>
      <c r="Q37" s="12">
        <f>MAX(0,$F37-INDEX(Grid_Stock[#Data],27,$P$7+9))</f>
        <v/>
      </c>
      <c r="R37" s="12">
        <f>MAX(0,$F37-INDEX(Grid_Stock[#Data],27,$P$7+10))</f>
        <v/>
      </c>
      <c r="S37" s="12">
        <f>MAX(0,$F37-INDEX(Grid_Stock[#Data],27,$P$7+11))</f>
        <v/>
      </c>
      <c r="T37" s="12">
        <f>MAX(0,$F37-INDEX(Grid_Stock[#Data],27,$P$7+12))</f>
        <v/>
      </c>
      <c r="U37" s="12">
        <f>SUM(H37:T37)</f>
        <v/>
      </c>
    </row>
    <row r="38">
      <c r="B38" s="13">
        <f>IFERROR(INDEX(M_RawMaterials[Description],MATCH("CHEM-1840",M_RawMaterials[Part Name],0)),"")</f>
        <v/>
      </c>
      <c r="C38" s="13" t="inlineStr">
        <is>
          <t>712886281</t>
        </is>
      </c>
      <c r="D38" s="13" t="inlineStr">
        <is>
          <t>CHEM-1840</t>
        </is>
      </c>
      <c r="E38" s="13" t="inlineStr">
        <is>
          <t>kg</t>
        </is>
      </c>
      <c r="F38" s="13">
        <f>IFERROR(INDEX(M_RawMaterials[基準在庫下限_要入力],MATCH("CHEM-1840",M_RawMaterials[Part Name],0)),0)</f>
        <v/>
      </c>
      <c r="G38" s="13">
        <f>INDEX(Grid_Stock[#Data],28,$P$7)</f>
        <v/>
      </c>
      <c r="H38" s="13">
        <f>MAX(0,$F38-INDEX(Grid_Stock[#Data],28,$P$7+0))</f>
        <v/>
      </c>
      <c r="I38" s="13">
        <f>MAX(0,$F38-INDEX(Grid_Stock[#Data],28,$P$7+1))</f>
        <v/>
      </c>
      <c r="J38" s="13">
        <f>MAX(0,$F38-INDEX(Grid_Stock[#Data],28,$P$7+2))</f>
        <v/>
      </c>
      <c r="K38" s="13">
        <f>MAX(0,$F38-INDEX(Grid_Stock[#Data],28,$P$7+3))</f>
        <v/>
      </c>
      <c r="L38" s="13">
        <f>MAX(0,$F38-INDEX(Grid_Stock[#Data],28,$P$7+4))</f>
        <v/>
      </c>
      <c r="M38" s="13">
        <f>MAX(0,$F38-INDEX(Grid_Stock[#Data],28,$P$7+5))</f>
        <v/>
      </c>
      <c r="N38" s="13">
        <f>MAX(0,$F38-INDEX(Grid_Stock[#Data],28,$P$7+6))</f>
        <v/>
      </c>
      <c r="O38" s="13">
        <f>MAX(0,$F38-INDEX(Grid_Stock[#Data],28,$P$7+7))</f>
        <v/>
      </c>
      <c r="P38" s="13">
        <f>MAX(0,$F38-INDEX(Grid_Stock[#Data],28,$P$7+8))</f>
        <v/>
      </c>
      <c r="Q38" s="13">
        <f>MAX(0,$F38-INDEX(Grid_Stock[#Data],28,$P$7+9))</f>
        <v/>
      </c>
      <c r="R38" s="13">
        <f>MAX(0,$F38-INDEX(Grid_Stock[#Data],28,$P$7+10))</f>
        <v/>
      </c>
      <c r="S38" s="13">
        <f>MAX(0,$F38-INDEX(Grid_Stock[#Data],28,$P$7+11))</f>
        <v/>
      </c>
      <c r="T38" s="13">
        <f>MAX(0,$F38-INDEX(Grid_Stock[#Data],28,$P$7+12))</f>
        <v/>
      </c>
      <c r="U38" s="13">
        <f>SUM(H38:T38)</f>
        <v/>
      </c>
    </row>
    <row r="39">
      <c r="B39" s="12">
        <f>IFERROR(INDEX(M_RawMaterials[Description],MATCH("CHEM-1730",M_RawMaterials[Part Name],0)),"")</f>
        <v/>
      </c>
      <c r="C39" s="12" t="inlineStr">
        <is>
          <t>71388007701</t>
        </is>
      </c>
      <c r="D39" s="12" t="inlineStr">
        <is>
          <t>CHEM-1730</t>
        </is>
      </c>
      <c r="E39" s="12" t="inlineStr">
        <is>
          <t>kg</t>
        </is>
      </c>
      <c r="F39" s="12">
        <f>IFERROR(INDEX(M_RawMaterials[基準在庫下限_要入力],MATCH("CHEM-1730",M_RawMaterials[Part Name],0)),0)</f>
        <v/>
      </c>
      <c r="G39" s="12">
        <f>INDEX(Grid_Stock[#Data],30,$P$7)</f>
        <v/>
      </c>
      <c r="H39" s="12">
        <f>MAX(0,$F39-INDEX(Grid_Stock[#Data],30,$P$7+0))</f>
        <v/>
      </c>
      <c r="I39" s="12">
        <f>MAX(0,$F39-INDEX(Grid_Stock[#Data],30,$P$7+1))</f>
        <v/>
      </c>
      <c r="J39" s="12">
        <f>MAX(0,$F39-INDEX(Grid_Stock[#Data],30,$P$7+2))</f>
        <v/>
      </c>
      <c r="K39" s="12">
        <f>MAX(0,$F39-INDEX(Grid_Stock[#Data],30,$P$7+3))</f>
        <v/>
      </c>
      <c r="L39" s="12">
        <f>MAX(0,$F39-INDEX(Grid_Stock[#Data],30,$P$7+4))</f>
        <v/>
      </c>
      <c r="M39" s="12">
        <f>MAX(0,$F39-INDEX(Grid_Stock[#Data],30,$P$7+5))</f>
        <v/>
      </c>
      <c r="N39" s="12">
        <f>MAX(0,$F39-INDEX(Grid_Stock[#Data],30,$P$7+6))</f>
        <v/>
      </c>
      <c r="O39" s="12">
        <f>MAX(0,$F39-INDEX(Grid_Stock[#Data],30,$P$7+7))</f>
        <v/>
      </c>
      <c r="P39" s="12">
        <f>MAX(0,$F39-INDEX(Grid_Stock[#Data],30,$P$7+8))</f>
        <v/>
      </c>
      <c r="Q39" s="12">
        <f>MAX(0,$F39-INDEX(Grid_Stock[#Data],30,$P$7+9))</f>
        <v/>
      </c>
      <c r="R39" s="12">
        <f>MAX(0,$F39-INDEX(Grid_Stock[#Data],30,$P$7+10))</f>
        <v/>
      </c>
      <c r="S39" s="12">
        <f>MAX(0,$F39-INDEX(Grid_Stock[#Data],30,$P$7+11))</f>
        <v/>
      </c>
      <c r="T39" s="12">
        <f>MAX(0,$F39-INDEX(Grid_Stock[#Data],30,$P$7+12))</f>
        <v/>
      </c>
      <c r="U39" s="12">
        <f>SUM(H39:T39)</f>
        <v/>
      </c>
    </row>
    <row r="40">
      <c r="B40" s="13">
        <f>IFERROR(INDEX(M_RawMaterials[Description],MATCH("CHEM-1430",M_RawMaterials[Part Name],0)),"")</f>
        <v/>
      </c>
      <c r="C40" s="13" t="inlineStr">
        <is>
          <t>71388004301</t>
        </is>
      </c>
      <c r="D40" s="13" t="inlineStr">
        <is>
          <t>CHEM-1430</t>
        </is>
      </c>
      <c r="E40" s="13" t="inlineStr">
        <is>
          <t>kg</t>
        </is>
      </c>
      <c r="F40" s="13">
        <f>IFERROR(INDEX(M_RawMaterials[基準在庫下限_要入力],MATCH("CHEM-1430",M_RawMaterials[Part Name],0)),0)</f>
        <v/>
      </c>
      <c r="G40" s="13">
        <f>INDEX(Grid_Stock[#Data],31,$P$7)</f>
        <v/>
      </c>
      <c r="H40" s="13">
        <f>MAX(0,$F40-INDEX(Grid_Stock[#Data],31,$P$7+0))</f>
        <v/>
      </c>
      <c r="I40" s="13">
        <f>MAX(0,$F40-INDEX(Grid_Stock[#Data],31,$P$7+1))</f>
        <v/>
      </c>
      <c r="J40" s="13">
        <f>MAX(0,$F40-INDEX(Grid_Stock[#Data],31,$P$7+2))</f>
        <v/>
      </c>
      <c r="K40" s="13">
        <f>MAX(0,$F40-INDEX(Grid_Stock[#Data],31,$P$7+3))</f>
        <v/>
      </c>
      <c r="L40" s="13">
        <f>MAX(0,$F40-INDEX(Grid_Stock[#Data],31,$P$7+4))</f>
        <v/>
      </c>
      <c r="M40" s="13">
        <f>MAX(0,$F40-INDEX(Grid_Stock[#Data],31,$P$7+5))</f>
        <v/>
      </c>
      <c r="N40" s="13">
        <f>MAX(0,$F40-INDEX(Grid_Stock[#Data],31,$P$7+6))</f>
        <v/>
      </c>
      <c r="O40" s="13">
        <f>MAX(0,$F40-INDEX(Grid_Stock[#Data],31,$P$7+7))</f>
        <v/>
      </c>
      <c r="P40" s="13">
        <f>MAX(0,$F40-INDEX(Grid_Stock[#Data],31,$P$7+8))</f>
        <v/>
      </c>
      <c r="Q40" s="13">
        <f>MAX(0,$F40-INDEX(Grid_Stock[#Data],31,$P$7+9))</f>
        <v/>
      </c>
      <c r="R40" s="13">
        <f>MAX(0,$F40-INDEX(Grid_Stock[#Data],31,$P$7+10))</f>
        <v/>
      </c>
      <c r="S40" s="13">
        <f>MAX(0,$F40-INDEX(Grid_Stock[#Data],31,$P$7+11))</f>
        <v/>
      </c>
      <c r="T40" s="13">
        <f>MAX(0,$F40-INDEX(Grid_Stock[#Data],31,$P$7+12))</f>
        <v/>
      </c>
      <c r="U40" s="13">
        <f>SUM(H40:T40)</f>
        <v/>
      </c>
    </row>
    <row r="41">
      <c r="B41" s="12">
        <f>IFERROR(INDEX(M_RawMaterials[Description],MATCH("CHEM-1480",M_RawMaterials[Part Name],0)),"")</f>
        <v/>
      </c>
      <c r="C41" s="12" t="inlineStr">
        <is>
          <t>NAT30</t>
        </is>
      </c>
      <c r="D41" s="12" t="inlineStr">
        <is>
          <t>CHEM-1480</t>
        </is>
      </c>
      <c r="E41" s="12" t="inlineStr">
        <is>
          <t>kg</t>
        </is>
      </c>
      <c r="F41" s="12">
        <f>IFERROR(INDEX(M_RawMaterials[基準在庫下限_要入力],MATCH("CHEM-1480",M_RawMaterials[Part Name],0)),0)</f>
        <v/>
      </c>
      <c r="G41" s="12">
        <f>INDEX(Grid_Stock[#Data],32,$P$7)</f>
        <v/>
      </c>
      <c r="H41" s="12">
        <f>MAX(0,$F41-INDEX(Grid_Stock[#Data],32,$P$7+0))</f>
        <v/>
      </c>
      <c r="I41" s="12">
        <f>MAX(0,$F41-INDEX(Grid_Stock[#Data],32,$P$7+1))</f>
        <v/>
      </c>
      <c r="J41" s="12">
        <f>MAX(0,$F41-INDEX(Grid_Stock[#Data],32,$P$7+2))</f>
        <v/>
      </c>
      <c r="K41" s="12">
        <f>MAX(0,$F41-INDEX(Grid_Stock[#Data],32,$P$7+3))</f>
        <v/>
      </c>
      <c r="L41" s="12">
        <f>MAX(0,$F41-INDEX(Grid_Stock[#Data],32,$P$7+4))</f>
        <v/>
      </c>
      <c r="M41" s="12">
        <f>MAX(0,$F41-INDEX(Grid_Stock[#Data],32,$P$7+5))</f>
        <v/>
      </c>
      <c r="N41" s="12">
        <f>MAX(0,$F41-INDEX(Grid_Stock[#Data],32,$P$7+6))</f>
        <v/>
      </c>
      <c r="O41" s="12">
        <f>MAX(0,$F41-INDEX(Grid_Stock[#Data],32,$P$7+7))</f>
        <v/>
      </c>
      <c r="P41" s="12">
        <f>MAX(0,$F41-INDEX(Grid_Stock[#Data],32,$P$7+8))</f>
        <v/>
      </c>
      <c r="Q41" s="12">
        <f>MAX(0,$F41-INDEX(Grid_Stock[#Data],32,$P$7+9))</f>
        <v/>
      </c>
      <c r="R41" s="12">
        <f>MAX(0,$F41-INDEX(Grid_Stock[#Data],32,$P$7+10))</f>
        <v/>
      </c>
      <c r="S41" s="12">
        <f>MAX(0,$F41-INDEX(Grid_Stock[#Data],32,$P$7+11))</f>
        <v/>
      </c>
      <c r="T41" s="12">
        <f>MAX(0,$F41-INDEX(Grid_Stock[#Data],32,$P$7+12))</f>
        <v/>
      </c>
      <c r="U41" s="12">
        <f>SUM(H41:T41)</f>
        <v/>
      </c>
    </row>
    <row r="42">
      <c r="B42" s="13">
        <f>IFERROR(INDEX(M_RawMaterials[Description],MATCH("CHEM-1560",M_RawMaterials[Part Name],0)),"")</f>
        <v/>
      </c>
      <c r="C42" s="13" t="inlineStr">
        <is>
          <t>734831030</t>
        </is>
      </c>
      <c r="D42" s="13" t="inlineStr">
        <is>
          <t>CHEM-1560</t>
        </is>
      </c>
      <c r="E42" s="13" t="inlineStr">
        <is>
          <t>kg</t>
        </is>
      </c>
      <c r="F42" s="13">
        <f>IFERROR(INDEX(M_RawMaterials[基準在庫下限_要入力],MATCH("CHEM-1560",M_RawMaterials[Part Name],0)),0)</f>
        <v/>
      </c>
      <c r="G42" s="13">
        <f>INDEX(Grid_Stock[#Data],33,$P$7)</f>
        <v/>
      </c>
      <c r="H42" s="13">
        <f>MAX(0,$F42-INDEX(Grid_Stock[#Data],33,$P$7+0))</f>
        <v/>
      </c>
      <c r="I42" s="13">
        <f>MAX(0,$F42-INDEX(Grid_Stock[#Data],33,$P$7+1))</f>
        <v/>
      </c>
      <c r="J42" s="13">
        <f>MAX(0,$F42-INDEX(Grid_Stock[#Data],33,$P$7+2))</f>
        <v/>
      </c>
      <c r="K42" s="13">
        <f>MAX(0,$F42-INDEX(Grid_Stock[#Data],33,$P$7+3))</f>
        <v/>
      </c>
      <c r="L42" s="13">
        <f>MAX(0,$F42-INDEX(Grid_Stock[#Data],33,$P$7+4))</f>
        <v/>
      </c>
      <c r="M42" s="13">
        <f>MAX(0,$F42-INDEX(Grid_Stock[#Data],33,$P$7+5))</f>
        <v/>
      </c>
      <c r="N42" s="13">
        <f>MAX(0,$F42-INDEX(Grid_Stock[#Data],33,$P$7+6))</f>
        <v/>
      </c>
      <c r="O42" s="13">
        <f>MAX(0,$F42-INDEX(Grid_Stock[#Data],33,$P$7+7))</f>
        <v/>
      </c>
      <c r="P42" s="13">
        <f>MAX(0,$F42-INDEX(Grid_Stock[#Data],33,$P$7+8))</f>
        <v/>
      </c>
      <c r="Q42" s="13">
        <f>MAX(0,$F42-INDEX(Grid_Stock[#Data],33,$P$7+9))</f>
        <v/>
      </c>
      <c r="R42" s="13">
        <f>MAX(0,$F42-INDEX(Grid_Stock[#Data],33,$P$7+10))</f>
        <v/>
      </c>
      <c r="S42" s="13">
        <f>MAX(0,$F42-INDEX(Grid_Stock[#Data],33,$P$7+11))</f>
        <v/>
      </c>
      <c r="T42" s="13">
        <f>MAX(0,$F42-INDEX(Grid_Stock[#Data],33,$P$7+12))</f>
        <v/>
      </c>
      <c r="U42" s="13">
        <f>SUM(H42:T42)</f>
        <v/>
      </c>
    </row>
    <row r="43">
      <c r="B43" s="12">
        <f>IFERROR(INDEX(M_RawMaterials[Description],MATCH("CHEM-1510",M_RawMaterials[Part Name],0)),"")</f>
        <v/>
      </c>
      <c r="C43" s="12" t="inlineStr">
        <is>
          <t>71288625001</t>
        </is>
      </c>
      <c r="D43" s="12" t="inlineStr">
        <is>
          <t>CHEM-1510</t>
        </is>
      </c>
      <c r="E43" s="12" t="inlineStr">
        <is>
          <t>kg</t>
        </is>
      </c>
      <c r="F43" s="12">
        <f>IFERROR(INDEX(M_RawMaterials[基準在庫下限_要入力],MATCH("CHEM-1510",M_RawMaterials[Part Name],0)),0)</f>
        <v/>
      </c>
      <c r="G43" s="12">
        <f>INDEX(Grid_Stock[#Data],34,$P$7)</f>
        <v/>
      </c>
      <c r="H43" s="12">
        <f>MAX(0,$F43-INDEX(Grid_Stock[#Data],34,$P$7+0))</f>
        <v/>
      </c>
      <c r="I43" s="12">
        <f>MAX(0,$F43-INDEX(Grid_Stock[#Data],34,$P$7+1))</f>
        <v/>
      </c>
      <c r="J43" s="12">
        <f>MAX(0,$F43-INDEX(Grid_Stock[#Data],34,$P$7+2))</f>
        <v/>
      </c>
      <c r="K43" s="12">
        <f>MAX(0,$F43-INDEX(Grid_Stock[#Data],34,$P$7+3))</f>
        <v/>
      </c>
      <c r="L43" s="12">
        <f>MAX(0,$F43-INDEX(Grid_Stock[#Data],34,$P$7+4))</f>
        <v/>
      </c>
      <c r="M43" s="12">
        <f>MAX(0,$F43-INDEX(Grid_Stock[#Data],34,$P$7+5))</f>
        <v/>
      </c>
      <c r="N43" s="12">
        <f>MAX(0,$F43-INDEX(Grid_Stock[#Data],34,$P$7+6))</f>
        <v/>
      </c>
      <c r="O43" s="12">
        <f>MAX(0,$F43-INDEX(Grid_Stock[#Data],34,$P$7+7))</f>
        <v/>
      </c>
      <c r="P43" s="12">
        <f>MAX(0,$F43-INDEX(Grid_Stock[#Data],34,$P$7+8))</f>
        <v/>
      </c>
      <c r="Q43" s="12">
        <f>MAX(0,$F43-INDEX(Grid_Stock[#Data],34,$P$7+9))</f>
        <v/>
      </c>
      <c r="R43" s="12">
        <f>MAX(0,$F43-INDEX(Grid_Stock[#Data],34,$P$7+10))</f>
        <v/>
      </c>
      <c r="S43" s="12">
        <f>MAX(0,$F43-INDEX(Grid_Stock[#Data],34,$P$7+11))</f>
        <v/>
      </c>
      <c r="T43" s="12">
        <f>MAX(0,$F43-INDEX(Grid_Stock[#Data],34,$P$7+12))</f>
        <v/>
      </c>
      <c r="U43" s="12">
        <f>SUM(H43:T43)</f>
        <v/>
      </c>
    </row>
    <row r="44">
      <c r="B44" s="13">
        <f>IFERROR(INDEX(M_RawMaterials[Description],MATCH("CHEM-1770",M_RawMaterials[Part Name],0)),"")</f>
        <v/>
      </c>
      <c r="C44" s="13" t="inlineStr">
        <is>
          <t>New</t>
        </is>
      </c>
      <c r="D44" s="13" t="inlineStr">
        <is>
          <t>CHEM-1770</t>
        </is>
      </c>
      <c r="E44" s="13" t="inlineStr">
        <is>
          <t>kg</t>
        </is>
      </c>
      <c r="F44" s="13">
        <f>IFERROR(INDEX(M_RawMaterials[基準在庫下限_要入力],MATCH("CHEM-1770",M_RawMaterials[Part Name],0)),0)</f>
        <v/>
      </c>
      <c r="G44" s="13">
        <f>INDEX(Grid_Stock[#Data],35,$P$7)</f>
        <v/>
      </c>
      <c r="H44" s="13">
        <f>MAX(0,$F44-INDEX(Grid_Stock[#Data],35,$P$7+0))</f>
        <v/>
      </c>
      <c r="I44" s="13">
        <f>MAX(0,$F44-INDEX(Grid_Stock[#Data],35,$P$7+1))</f>
        <v/>
      </c>
      <c r="J44" s="13">
        <f>MAX(0,$F44-INDEX(Grid_Stock[#Data],35,$P$7+2))</f>
        <v/>
      </c>
      <c r="K44" s="13">
        <f>MAX(0,$F44-INDEX(Grid_Stock[#Data],35,$P$7+3))</f>
        <v/>
      </c>
      <c r="L44" s="13">
        <f>MAX(0,$F44-INDEX(Grid_Stock[#Data],35,$P$7+4))</f>
        <v/>
      </c>
      <c r="M44" s="13">
        <f>MAX(0,$F44-INDEX(Grid_Stock[#Data],35,$P$7+5))</f>
        <v/>
      </c>
      <c r="N44" s="13">
        <f>MAX(0,$F44-INDEX(Grid_Stock[#Data],35,$P$7+6))</f>
        <v/>
      </c>
      <c r="O44" s="13">
        <f>MAX(0,$F44-INDEX(Grid_Stock[#Data],35,$P$7+7))</f>
        <v/>
      </c>
      <c r="P44" s="13">
        <f>MAX(0,$F44-INDEX(Grid_Stock[#Data],35,$P$7+8))</f>
        <v/>
      </c>
      <c r="Q44" s="13">
        <f>MAX(0,$F44-INDEX(Grid_Stock[#Data],35,$P$7+9))</f>
        <v/>
      </c>
      <c r="R44" s="13">
        <f>MAX(0,$F44-INDEX(Grid_Stock[#Data],35,$P$7+10))</f>
        <v/>
      </c>
      <c r="S44" s="13">
        <f>MAX(0,$F44-INDEX(Grid_Stock[#Data],35,$P$7+11))</f>
        <v/>
      </c>
      <c r="T44" s="13">
        <f>MAX(0,$F44-INDEX(Grid_Stock[#Data],35,$P$7+12))</f>
        <v/>
      </c>
      <c r="U44" s="13">
        <f>SUM(H44:T44)</f>
        <v/>
      </c>
    </row>
    <row r="45">
      <c r="B45" s="12">
        <f>IFERROR(INDEX(M_RawMaterials[Description],MATCH("CHEM-1020",M_RawMaterials[Part Name],0)),"")</f>
        <v/>
      </c>
      <c r="C45" s="12" t="inlineStr"/>
      <c r="D45" s="12" t="inlineStr">
        <is>
          <t>CHEM-1020</t>
        </is>
      </c>
      <c r="E45" s="12" t="inlineStr">
        <is>
          <t>kg</t>
        </is>
      </c>
      <c r="F45" s="12">
        <f>IFERROR(INDEX(M_RawMaterials[基準在庫下限_要入力],MATCH("CHEM-1020",M_RawMaterials[Part Name],0)),0)</f>
        <v/>
      </c>
      <c r="G45" s="12">
        <f>INDEX(Grid_Stock[#Data],36,$P$7)</f>
        <v/>
      </c>
      <c r="H45" s="12">
        <f>MAX(0,$F45-INDEX(Grid_Stock[#Data],36,$P$7+0))</f>
        <v/>
      </c>
      <c r="I45" s="12">
        <f>MAX(0,$F45-INDEX(Grid_Stock[#Data],36,$P$7+1))</f>
        <v/>
      </c>
      <c r="J45" s="12">
        <f>MAX(0,$F45-INDEX(Grid_Stock[#Data],36,$P$7+2))</f>
        <v/>
      </c>
      <c r="K45" s="12">
        <f>MAX(0,$F45-INDEX(Grid_Stock[#Data],36,$P$7+3))</f>
        <v/>
      </c>
      <c r="L45" s="12">
        <f>MAX(0,$F45-INDEX(Grid_Stock[#Data],36,$P$7+4))</f>
        <v/>
      </c>
      <c r="M45" s="12">
        <f>MAX(0,$F45-INDEX(Grid_Stock[#Data],36,$P$7+5))</f>
        <v/>
      </c>
      <c r="N45" s="12">
        <f>MAX(0,$F45-INDEX(Grid_Stock[#Data],36,$P$7+6))</f>
        <v/>
      </c>
      <c r="O45" s="12">
        <f>MAX(0,$F45-INDEX(Grid_Stock[#Data],36,$P$7+7))</f>
        <v/>
      </c>
      <c r="P45" s="12">
        <f>MAX(0,$F45-INDEX(Grid_Stock[#Data],36,$P$7+8))</f>
        <v/>
      </c>
      <c r="Q45" s="12">
        <f>MAX(0,$F45-INDEX(Grid_Stock[#Data],36,$P$7+9))</f>
        <v/>
      </c>
      <c r="R45" s="12">
        <f>MAX(0,$F45-INDEX(Grid_Stock[#Data],36,$P$7+10))</f>
        <v/>
      </c>
      <c r="S45" s="12">
        <f>MAX(0,$F45-INDEX(Grid_Stock[#Data],36,$P$7+11))</f>
        <v/>
      </c>
      <c r="T45" s="12">
        <f>MAX(0,$F45-INDEX(Grid_Stock[#Data],36,$P$7+12))</f>
        <v/>
      </c>
      <c r="U45" s="12">
        <f>SUM(H45:T45)</f>
        <v/>
      </c>
    </row>
    <row r="46">
      <c r="B46" s="13">
        <f>IFERROR(INDEX(M_RawMaterials[Description],MATCH("1JN",M_RawMaterials[Part Name],0)),"")</f>
        <v/>
      </c>
      <c r="C46" s="13" t="inlineStr"/>
      <c r="D46" s="13" t="inlineStr">
        <is>
          <t>1JN</t>
        </is>
      </c>
      <c r="E46" s="13" t="inlineStr">
        <is>
          <t>kg</t>
        </is>
      </c>
      <c r="F46" s="13">
        <f>IFERROR(INDEX(M_RawMaterials[基準在庫下限_要入力],MATCH("1JN",M_RawMaterials[Part Name],0)),0)</f>
        <v/>
      </c>
      <c r="G46" s="13">
        <f>INDEX(Grid_Stock[#Data],40,$P$7)</f>
        <v/>
      </c>
      <c r="H46" s="13">
        <f>MAX(0,$F46-INDEX(Grid_Stock[#Data],40,$P$7+0))</f>
        <v/>
      </c>
      <c r="I46" s="13">
        <f>MAX(0,$F46-INDEX(Grid_Stock[#Data],40,$P$7+1))</f>
        <v/>
      </c>
      <c r="J46" s="13">
        <f>MAX(0,$F46-INDEX(Grid_Stock[#Data],40,$P$7+2))</f>
        <v/>
      </c>
      <c r="K46" s="13">
        <f>MAX(0,$F46-INDEX(Grid_Stock[#Data],40,$P$7+3))</f>
        <v/>
      </c>
      <c r="L46" s="13">
        <f>MAX(0,$F46-INDEX(Grid_Stock[#Data],40,$P$7+4))</f>
        <v/>
      </c>
      <c r="M46" s="13">
        <f>MAX(0,$F46-INDEX(Grid_Stock[#Data],40,$P$7+5))</f>
        <v/>
      </c>
      <c r="N46" s="13">
        <f>MAX(0,$F46-INDEX(Grid_Stock[#Data],40,$P$7+6))</f>
        <v/>
      </c>
      <c r="O46" s="13">
        <f>MAX(0,$F46-INDEX(Grid_Stock[#Data],40,$P$7+7))</f>
        <v/>
      </c>
      <c r="P46" s="13">
        <f>MAX(0,$F46-INDEX(Grid_Stock[#Data],40,$P$7+8))</f>
        <v/>
      </c>
      <c r="Q46" s="13">
        <f>MAX(0,$F46-INDEX(Grid_Stock[#Data],40,$P$7+9))</f>
        <v/>
      </c>
      <c r="R46" s="13">
        <f>MAX(0,$F46-INDEX(Grid_Stock[#Data],40,$P$7+10))</f>
        <v/>
      </c>
      <c r="S46" s="13">
        <f>MAX(0,$F46-INDEX(Grid_Stock[#Data],40,$P$7+11))</f>
        <v/>
      </c>
      <c r="T46" s="13">
        <f>MAX(0,$F46-INDEX(Grid_Stock[#Data],40,$P$7+12))</f>
        <v/>
      </c>
      <c r="U46" s="13">
        <f>SUM(H46:T46)</f>
        <v/>
      </c>
    </row>
    <row r="47">
      <c r="B47" s="12">
        <f>IFERROR(INDEX(M_RawMaterials[Description],MATCH("V03",M_RawMaterials[Part Name],0)),"")</f>
        <v/>
      </c>
      <c r="C47" s="12" t="inlineStr"/>
      <c r="D47" s="12" t="inlineStr">
        <is>
          <t>V03</t>
        </is>
      </c>
      <c r="E47" s="12" t="inlineStr">
        <is>
          <t>kg</t>
        </is>
      </c>
      <c r="F47" s="12">
        <f>IFERROR(INDEX(M_RawMaterials[基準在庫下限_要入力],MATCH("V03",M_RawMaterials[Part Name],0)),0)</f>
        <v/>
      </c>
      <c r="G47" s="12">
        <f>INDEX(Grid_Stock[#Data],41,$P$7)</f>
        <v/>
      </c>
      <c r="H47" s="12">
        <f>MAX(0,$F47-INDEX(Grid_Stock[#Data],41,$P$7+0))</f>
        <v/>
      </c>
      <c r="I47" s="12">
        <f>MAX(0,$F47-INDEX(Grid_Stock[#Data],41,$P$7+1))</f>
        <v/>
      </c>
      <c r="J47" s="12">
        <f>MAX(0,$F47-INDEX(Grid_Stock[#Data],41,$P$7+2))</f>
        <v/>
      </c>
      <c r="K47" s="12">
        <f>MAX(0,$F47-INDEX(Grid_Stock[#Data],41,$P$7+3))</f>
        <v/>
      </c>
      <c r="L47" s="12">
        <f>MAX(0,$F47-INDEX(Grid_Stock[#Data],41,$P$7+4))</f>
        <v/>
      </c>
      <c r="M47" s="12">
        <f>MAX(0,$F47-INDEX(Grid_Stock[#Data],41,$P$7+5))</f>
        <v/>
      </c>
      <c r="N47" s="12">
        <f>MAX(0,$F47-INDEX(Grid_Stock[#Data],41,$P$7+6))</f>
        <v/>
      </c>
      <c r="O47" s="12">
        <f>MAX(0,$F47-INDEX(Grid_Stock[#Data],41,$P$7+7))</f>
        <v/>
      </c>
      <c r="P47" s="12">
        <f>MAX(0,$F47-INDEX(Grid_Stock[#Data],41,$P$7+8))</f>
        <v/>
      </c>
      <c r="Q47" s="12">
        <f>MAX(0,$F47-INDEX(Grid_Stock[#Data],41,$P$7+9))</f>
        <v/>
      </c>
      <c r="R47" s="12">
        <f>MAX(0,$F47-INDEX(Grid_Stock[#Data],41,$P$7+10))</f>
        <v/>
      </c>
      <c r="S47" s="12">
        <f>MAX(0,$F47-INDEX(Grid_Stock[#Data],41,$P$7+11))</f>
        <v/>
      </c>
      <c r="T47" s="12">
        <f>MAX(0,$F47-INDEX(Grid_Stock[#Data],41,$P$7+12))</f>
        <v/>
      </c>
      <c r="U47" s="12">
        <f>SUM(H47:T47)</f>
        <v/>
      </c>
    </row>
    <row r="48">
      <c r="B48" s="13">
        <f>IFERROR(INDEX(M_RawMaterials[Description],MATCH("V19",M_RawMaterials[Part Name],0)),"")</f>
        <v/>
      </c>
      <c r="C48" s="13" t="inlineStr"/>
      <c r="D48" s="13" t="inlineStr">
        <is>
          <t>V19</t>
        </is>
      </c>
      <c r="E48" s="13" t="inlineStr">
        <is>
          <t>kg</t>
        </is>
      </c>
      <c r="F48" s="13">
        <f>IFERROR(INDEX(M_RawMaterials[基準在庫下限_要入力],MATCH("V19",M_RawMaterials[Part Name],0)),0)</f>
        <v/>
      </c>
      <c r="G48" s="13">
        <f>INDEX(Grid_Stock[#Data],42,$P$7)</f>
        <v/>
      </c>
      <c r="H48" s="13">
        <f>MAX(0,$F48-INDEX(Grid_Stock[#Data],42,$P$7+0))</f>
        <v/>
      </c>
      <c r="I48" s="13">
        <f>MAX(0,$F48-INDEX(Grid_Stock[#Data],42,$P$7+1))</f>
        <v/>
      </c>
      <c r="J48" s="13">
        <f>MAX(0,$F48-INDEX(Grid_Stock[#Data],42,$P$7+2))</f>
        <v/>
      </c>
      <c r="K48" s="13">
        <f>MAX(0,$F48-INDEX(Grid_Stock[#Data],42,$P$7+3))</f>
        <v/>
      </c>
      <c r="L48" s="13">
        <f>MAX(0,$F48-INDEX(Grid_Stock[#Data],42,$P$7+4))</f>
        <v/>
      </c>
      <c r="M48" s="13">
        <f>MAX(0,$F48-INDEX(Grid_Stock[#Data],42,$P$7+5))</f>
        <v/>
      </c>
      <c r="N48" s="13">
        <f>MAX(0,$F48-INDEX(Grid_Stock[#Data],42,$P$7+6))</f>
        <v/>
      </c>
      <c r="O48" s="13">
        <f>MAX(0,$F48-INDEX(Grid_Stock[#Data],42,$P$7+7))</f>
        <v/>
      </c>
      <c r="P48" s="13">
        <f>MAX(0,$F48-INDEX(Grid_Stock[#Data],42,$P$7+8))</f>
        <v/>
      </c>
      <c r="Q48" s="13">
        <f>MAX(0,$F48-INDEX(Grid_Stock[#Data],42,$P$7+9))</f>
        <v/>
      </c>
      <c r="R48" s="13">
        <f>MAX(0,$F48-INDEX(Grid_Stock[#Data],42,$P$7+10))</f>
        <v/>
      </c>
      <c r="S48" s="13">
        <f>MAX(0,$F48-INDEX(Grid_Stock[#Data],42,$P$7+11))</f>
        <v/>
      </c>
      <c r="T48" s="13">
        <f>MAX(0,$F48-INDEX(Grid_Stock[#Data],42,$P$7+12))</f>
        <v/>
      </c>
      <c r="U48" s="13">
        <f>SUM(H48:T48)</f>
        <v/>
      </c>
    </row>
    <row r="49">
      <c r="B49" s="12">
        <f>IFERROR(INDEX(M_RawMaterials[Description],MATCH("A043",M_RawMaterials[Part Name],0)),"")</f>
        <v/>
      </c>
      <c r="C49" s="12" t="inlineStr"/>
      <c r="D49" s="12" t="inlineStr">
        <is>
          <t>A043</t>
        </is>
      </c>
      <c r="E49" s="12" t="inlineStr">
        <is>
          <t>kg</t>
        </is>
      </c>
      <c r="F49" s="12">
        <f>IFERROR(INDEX(M_RawMaterials[基準在庫下限_要入力],MATCH("A043",M_RawMaterials[Part Name],0)),0)</f>
        <v/>
      </c>
      <c r="G49" s="12">
        <f>INDEX(Grid_Stock[#Data],44,$P$7)</f>
        <v/>
      </c>
      <c r="H49" s="12">
        <f>MAX(0,$F49-INDEX(Grid_Stock[#Data],44,$P$7+0))</f>
        <v/>
      </c>
      <c r="I49" s="12">
        <f>MAX(0,$F49-INDEX(Grid_Stock[#Data],44,$P$7+1))</f>
        <v/>
      </c>
      <c r="J49" s="12">
        <f>MAX(0,$F49-INDEX(Grid_Stock[#Data],44,$P$7+2))</f>
        <v/>
      </c>
      <c r="K49" s="12">
        <f>MAX(0,$F49-INDEX(Grid_Stock[#Data],44,$P$7+3))</f>
        <v/>
      </c>
      <c r="L49" s="12">
        <f>MAX(0,$F49-INDEX(Grid_Stock[#Data],44,$P$7+4))</f>
        <v/>
      </c>
      <c r="M49" s="12">
        <f>MAX(0,$F49-INDEX(Grid_Stock[#Data],44,$P$7+5))</f>
        <v/>
      </c>
      <c r="N49" s="12">
        <f>MAX(0,$F49-INDEX(Grid_Stock[#Data],44,$P$7+6))</f>
        <v/>
      </c>
      <c r="O49" s="12">
        <f>MAX(0,$F49-INDEX(Grid_Stock[#Data],44,$P$7+7))</f>
        <v/>
      </c>
      <c r="P49" s="12">
        <f>MAX(0,$F49-INDEX(Grid_Stock[#Data],44,$P$7+8))</f>
        <v/>
      </c>
      <c r="Q49" s="12">
        <f>MAX(0,$F49-INDEX(Grid_Stock[#Data],44,$P$7+9))</f>
        <v/>
      </c>
      <c r="R49" s="12">
        <f>MAX(0,$F49-INDEX(Grid_Stock[#Data],44,$P$7+10))</f>
        <v/>
      </c>
      <c r="S49" s="12">
        <f>MAX(0,$F49-INDEX(Grid_Stock[#Data],44,$P$7+11))</f>
        <v/>
      </c>
      <c r="T49" s="12">
        <f>MAX(0,$F49-INDEX(Grid_Stock[#Data],44,$P$7+12))</f>
        <v/>
      </c>
      <c r="U49" s="12">
        <f>SUM(H49:T49)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46227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INDEX(Grid_Stock[#Data],17,$P$7)</f>
        <v/>
      </c>
      <c r="H15" s="12">
        <f>MAX(0,$F15-INDEX(Grid_Stock[#Data],17,$P$7+0))</f>
        <v/>
      </c>
      <c r="I15" s="12">
        <f>MAX(0,$F15-INDEX(Grid_Stock[#Data],17,$P$7+1))</f>
        <v/>
      </c>
      <c r="J15" s="12">
        <f>MAX(0,$F15-INDEX(Grid_Stock[#Data],17,$P$7+2))</f>
        <v/>
      </c>
      <c r="K15" s="12">
        <f>MAX(0,$F15-INDEX(Grid_Stock[#Data],17,$P$7+3))</f>
        <v/>
      </c>
      <c r="L15" s="12">
        <f>MAX(0,$F15-INDEX(Grid_Stock[#Data],17,$P$7+4))</f>
        <v/>
      </c>
      <c r="M15" s="12">
        <f>MAX(0,$F15-INDEX(Grid_Stock[#Data],17,$P$7+5))</f>
        <v/>
      </c>
      <c r="N15" s="12">
        <f>MAX(0,$F15-INDEX(Grid_Stock[#Data],17,$P$7+6))</f>
        <v/>
      </c>
      <c r="O15" s="12">
        <f>MAX(0,$F15-INDEX(Grid_Stock[#Data],17,$P$7+7))</f>
        <v/>
      </c>
      <c r="P15" s="12">
        <f>MAX(0,$F15-INDEX(Grid_Stock[#Data],17,$P$7+8))</f>
        <v/>
      </c>
      <c r="Q15" s="12">
        <f>MAX(0,$F15-INDEX(Grid_Stock[#Data],17,$P$7+9))</f>
        <v/>
      </c>
      <c r="R15" s="12">
        <f>MAX(0,$F15-INDEX(Grid_Stock[#Data],17,$P$7+10))</f>
        <v/>
      </c>
      <c r="S15" s="12">
        <f>MAX(0,$F15-INDEX(Grid_Stock[#Data],17,$P$7+11))</f>
        <v/>
      </c>
      <c r="T15" s="12">
        <f>MAX(0,$F15-INDEX(Grid_Stock[#Data],17,$P$7+12))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INDEX(Grid_Stock[#Data],19,$P$7)</f>
        <v/>
      </c>
      <c r="H16" s="13">
        <f>MAX(0,$F16-INDEX(Grid_Stock[#Data],19,$P$7+0))</f>
        <v/>
      </c>
      <c r="I16" s="13">
        <f>MAX(0,$F16-INDEX(Grid_Stock[#Data],19,$P$7+1))</f>
        <v/>
      </c>
      <c r="J16" s="13">
        <f>MAX(0,$F16-INDEX(Grid_Stock[#Data],19,$P$7+2))</f>
        <v/>
      </c>
      <c r="K16" s="13">
        <f>MAX(0,$F16-INDEX(Grid_Stock[#Data],19,$P$7+3))</f>
        <v/>
      </c>
      <c r="L16" s="13">
        <f>MAX(0,$F16-INDEX(Grid_Stock[#Data],19,$P$7+4))</f>
        <v/>
      </c>
      <c r="M16" s="13">
        <f>MAX(0,$F16-INDEX(Grid_Stock[#Data],19,$P$7+5))</f>
        <v/>
      </c>
      <c r="N16" s="13">
        <f>MAX(0,$F16-INDEX(Grid_Stock[#Data],19,$P$7+6))</f>
        <v/>
      </c>
      <c r="O16" s="13">
        <f>MAX(0,$F16-INDEX(Grid_Stock[#Data],19,$P$7+7))</f>
        <v/>
      </c>
      <c r="P16" s="13">
        <f>MAX(0,$F16-INDEX(Grid_Stock[#Data],19,$P$7+8))</f>
        <v/>
      </c>
      <c r="Q16" s="13">
        <f>MAX(0,$F16-INDEX(Grid_Stock[#Data],19,$P$7+9))</f>
        <v/>
      </c>
      <c r="R16" s="13">
        <f>MAX(0,$F16-INDEX(Grid_Stock[#Data],19,$P$7+10))</f>
        <v/>
      </c>
      <c r="S16" s="13">
        <f>MAX(0,$F16-INDEX(Grid_Stock[#Data],19,$P$7+11))</f>
        <v/>
      </c>
      <c r="T16" s="13">
        <f>MAX(0,$F16-INDEX(Grid_Stock[#Data],19,$P$7+12))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46227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INDEX(Grid_Stock[#Data],13,$P$7)</f>
        <v/>
      </c>
      <c r="H15" s="12">
        <f>MAX(0,$F15-INDEX(Grid_Stock[#Data],13,$P$7+0))</f>
        <v/>
      </c>
      <c r="I15" s="12">
        <f>MAX(0,$F15-INDEX(Grid_Stock[#Data],13,$P$7+1))</f>
        <v/>
      </c>
      <c r="J15" s="12">
        <f>MAX(0,$F15-INDEX(Grid_Stock[#Data],13,$P$7+2))</f>
        <v/>
      </c>
      <c r="K15" s="12">
        <f>MAX(0,$F15-INDEX(Grid_Stock[#Data],13,$P$7+3))</f>
        <v/>
      </c>
      <c r="L15" s="12">
        <f>MAX(0,$F15-INDEX(Grid_Stock[#Data],13,$P$7+4))</f>
        <v/>
      </c>
      <c r="M15" s="12">
        <f>MAX(0,$F15-INDEX(Grid_Stock[#Data],13,$P$7+5))</f>
        <v/>
      </c>
      <c r="N15" s="12">
        <f>MAX(0,$F15-INDEX(Grid_Stock[#Data],13,$P$7+6))</f>
        <v/>
      </c>
      <c r="O15" s="12">
        <f>MAX(0,$F15-INDEX(Grid_Stock[#Data],13,$P$7+7))</f>
        <v/>
      </c>
      <c r="P15" s="12">
        <f>MAX(0,$F15-INDEX(Grid_Stock[#Data],13,$P$7+8))</f>
        <v/>
      </c>
      <c r="Q15" s="12">
        <f>MAX(0,$F15-INDEX(Grid_Stock[#Data],13,$P$7+9))</f>
        <v/>
      </c>
      <c r="R15" s="12">
        <f>MAX(0,$F15-INDEX(Grid_Stock[#Data],13,$P$7+10))</f>
        <v/>
      </c>
      <c r="S15" s="12">
        <f>MAX(0,$F15-INDEX(Grid_Stock[#Data],13,$P$7+11))</f>
        <v/>
      </c>
      <c r="T15" s="12">
        <f>MAX(0,$F15-INDEX(Grid_Stock[#Data],13,$P$7+12))</f>
        <v/>
      </c>
      <c r="U15" s="12">
        <f>SUM(H15:T15)</f>
        <v/>
      </c>
    </row>
    <row r="16">
      <c r="B16" s="13">
        <f>IFERROR(INDEX(M_RawMaterials[Description],MATCH("0JN",M_RawMaterials[Part Name],0)),"")</f>
        <v/>
      </c>
      <c r="C16" s="13" t="inlineStr">
        <is>
          <t>KFD13117100</t>
        </is>
      </c>
      <c r="D16" s="13" t="inlineStr">
        <is>
          <t>0JN</t>
        </is>
      </c>
      <c r="E16" s="13" t="inlineStr">
        <is>
          <t>kg</t>
        </is>
      </c>
      <c r="F16" s="13">
        <f>IFERROR(INDEX(M_RawMaterials[基準在庫下限_要入力],MATCH("0JN",M_RawMaterials[Part Name],0)),0)</f>
        <v/>
      </c>
      <c r="G16" s="13">
        <f>INDEX(Grid_Stock[#Data],21,$P$7)</f>
        <v/>
      </c>
      <c r="H16" s="13">
        <f>MAX(0,$F16-INDEX(Grid_Stock[#Data],21,$P$7+0))</f>
        <v/>
      </c>
      <c r="I16" s="13">
        <f>MAX(0,$F16-INDEX(Grid_Stock[#Data],21,$P$7+1))</f>
        <v/>
      </c>
      <c r="J16" s="13">
        <f>MAX(0,$F16-INDEX(Grid_Stock[#Data],21,$P$7+2))</f>
        <v/>
      </c>
      <c r="K16" s="13">
        <f>MAX(0,$F16-INDEX(Grid_Stock[#Data],21,$P$7+3))</f>
        <v/>
      </c>
      <c r="L16" s="13">
        <f>MAX(0,$F16-INDEX(Grid_Stock[#Data],21,$P$7+4))</f>
        <v/>
      </c>
      <c r="M16" s="13">
        <f>MAX(0,$F16-INDEX(Grid_Stock[#Data],21,$P$7+5))</f>
        <v/>
      </c>
      <c r="N16" s="13">
        <f>MAX(0,$F16-INDEX(Grid_Stock[#Data],21,$P$7+6))</f>
        <v/>
      </c>
      <c r="O16" s="13">
        <f>MAX(0,$F16-INDEX(Grid_Stock[#Data],21,$P$7+7))</f>
        <v/>
      </c>
      <c r="P16" s="13">
        <f>MAX(0,$F16-INDEX(Grid_Stock[#Data],21,$P$7+8))</f>
        <v/>
      </c>
      <c r="Q16" s="13">
        <f>MAX(0,$F16-INDEX(Grid_Stock[#Data],21,$P$7+9))</f>
        <v/>
      </c>
      <c r="R16" s="13">
        <f>MAX(0,$F16-INDEX(Grid_Stock[#Data],21,$P$7+10))</f>
        <v/>
      </c>
      <c r="S16" s="13">
        <f>MAX(0,$F16-INDEX(Grid_Stock[#Data],21,$P$7+11))</f>
        <v/>
      </c>
      <c r="T16" s="13">
        <f>MAX(0,$F16-INDEX(Grid_Stock[#Data],21,$P$7+12))</f>
        <v/>
      </c>
      <c r="U16" s="13">
        <f>SUM(H16:T16)</f>
        <v/>
      </c>
    </row>
    <row r="17">
      <c r="B17" s="12">
        <f>IFERROR(INDEX(M_RawMaterials[Description],MATCH("TDJ",M_RawMaterials[Part Name],0)),"")</f>
        <v/>
      </c>
      <c r="C17" s="12" t="inlineStr">
        <is>
          <t>1846537010</t>
        </is>
      </c>
      <c r="D17" s="12" t="inlineStr">
        <is>
          <t>TDJ</t>
        </is>
      </c>
      <c r="E17" s="12" t="inlineStr">
        <is>
          <t>kg</t>
        </is>
      </c>
      <c r="F17" s="12">
        <f>IFERROR(INDEX(M_RawMaterials[基準在庫下限_要入力],MATCH("TDJ",M_RawMaterials[Part Name],0)),0)</f>
        <v/>
      </c>
      <c r="G17" s="12">
        <f>INDEX(Grid_Stock[#Data],29,$P$7)</f>
        <v/>
      </c>
      <c r="H17" s="12">
        <f>MAX(0,$F17-INDEX(Grid_Stock[#Data],29,$P$7+0))</f>
        <v/>
      </c>
      <c r="I17" s="12">
        <f>MAX(0,$F17-INDEX(Grid_Stock[#Data],29,$P$7+1))</f>
        <v/>
      </c>
      <c r="J17" s="12">
        <f>MAX(0,$F17-INDEX(Grid_Stock[#Data],29,$P$7+2))</f>
        <v/>
      </c>
      <c r="K17" s="12">
        <f>MAX(0,$F17-INDEX(Grid_Stock[#Data],29,$P$7+3))</f>
        <v/>
      </c>
      <c r="L17" s="12">
        <f>MAX(0,$F17-INDEX(Grid_Stock[#Data],29,$P$7+4))</f>
        <v/>
      </c>
      <c r="M17" s="12">
        <f>MAX(0,$F17-INDEX(Grid_Stock[#Data],29,$P$7+5))</f>
        <v/>
      </c>
      <c r="N17" s="12">
        <f>MAX(0,$F17-INDEX(Grid_Stock[#Data],29,$P$7+6))</f>
        <v/>
      </c>
      <c r="O17" s="12">
        <f>MAX(0,$F17-INDEX(Grid_Stock[#Data],29,$P$7+7))</f>
        <v/>
      </c>
      <c r="P17" s="12">
        <f>MAX(0,$F17-INDEX(Grid_Stock[#Data],29,$P$7+8))</f>
        <v/>
      </c>
      <c r="Q17" s="12">
        <f>MAX(0,$F17-INDEX(Grid_Stock[#Data],29,$P$7+9))</f>
        <v/>
      </c>
      <c r="R17" s="12">
        <f>MAX(0,$F17-INDEX(Grid_Stock[#Data],29,$P$7+10))</f>
        <v/>
      </c>
      <c r="S17" s="12">
        <f>MAX(0,$F17-INDEX(Grid_Stock[#Data],29,$P$7+11))</f>
        <v/>
      </c>
      <c r="T17" s="12">
        <f>MAX(0,$F17-INDEX(Grid_Stock[#Data],29,$P$7+12))</f>
        <v/>
      </c>
      <c r="U17" s="12">
        <f>SUM(H17:T17)</f>
        <v/>
      </c>
    </row>
    <row r="18">
      <c r="B18" s="13">
        <f>IFERROR(INDEX(M_RawMaterials[Description],MATCH("Ester Film",M_RawMaterials[Part Name],0)),"")</f>
        <v/>
      </c>
      <c r="C18" s="13" t="inlineStr"/>
      <c r="D18" s="13" t="inlineStr">
        <is>
          <t>Ester Film</t>
        </is>
      </c>
      <c r="E18" s="13" t="inlineStr">
        <is>
          <t>kg</t>
        </is>
      </c>
      <c r="F18" s="13">
        <f>IFERROR(INDEX(M_RawMaterials[基準在庫下限_要入力],MATCH("Ester Film",M_RawMaterials[Part Name],0)),0)</f>
        <v/>
      </c>
      <c r="G18" s="13">
        <f>INDEX(Grid_Stock[#Data],37,$P$7)</f>
        <v/>
      </c>
      <c r="H18" s="13">
        <f>MAX(0,$F18-INDEX(Grid_Stock[#Data],37,$P$7+0))</f>
        <v/>
      </c>
      <c r="I18" s="13">
        <f>MAX(0,$F18-INDEX(Grid_Stock[#Data],37,$P$7+1))</f>
        <v/>
      </c>
      <c r="J18" s="13">
        <f>MAX(0,$F18-INDEX(Grid_Stock[#Data],37,$P$7+2))</f>
        <v/>
      </c>
      <c r="K18" s="13">
        <f>MAX(0,$F18-INDEX(Grid_Stock[#Data],37,$P$7+3))</f>
        <v/>
      </c>
      <c r="L18" s="13">
        <f>MAX(0,$F18-INDEX(Grid_Stock[#Data],37,$P$7+4))</f>
        <v/>
      </c>
      <c r="M18" s="13">
        <f>MAX(0,$F18-INDEX(Grid_Stock[#Data],37,$P$7+5))</f>
        <v/>
      </c>
      <c r="N18" s="13">
        <f>MAX(0,$F18-INDEX(Grid_Stock[#Data],37,$P$7+6))</f>
        <v/>
      </c>
      <c r="O18" s="13">
        <f>MAX(0,$F18-INDEX(Grid_Stock[#Data],37,$P$7+7))</f>
        <v/>
      </c>
      <c r="P18" s="13">
        <f>MAX(0,$F18-INDEX(Grid_Stock[#Data],37,$P$7+8))</f>
        <v/>
      </c>
      <c r="Q18" s="13">
        <f>MAX(0,$F18-INDEX(Grid_Stock[#Data],37,$P$7+9))</f>
        <v/>
      </c>
      <c r="R18" s="13">
        <f>MAX(0,$F18-INDEX(Grid_Stock[#Data],37,$P$7+10))</f>
        <v/>
      </c>
      <c r="S18" s="13">
        <f>MAX(0,$F18-INDEX(Grid_Stock[#Data],37,$P$7+11))</f>
        <v/>
      </c>
      <c r="T18" s="13">
        <f>MAX(0,$F18-INDEX(Grid_Stock[#Data],37,$P$7+12))</f>
        <v/>
      </c>
      <c r="U18" s="13">
        <f>SUM(H18:T18)</f>
        <v/>
      </c>
    </row>
    <row r="19">
      <c r="B19" s="12">
        <f>IFERROR(INDEX(M_RawMaterials[Description],MATCH("PP Film",M_RawMaterials[Part Name],0)),"")</f>
        <v/>
      </c>
      <c r="C19" s="12" t="inlineStr">
        <is>
          <t>83988405701</t>
        </is>
      </c>
      <c r="D19" s="12" t="inlineStr">
        <is>
          <t>PP Film</t>
        </is>
      </c>
      <c r="E19" s="12" t="inlineStr">
        <is>
          <t>kg</t>
        </is>
      </c>
      <c r="F19" s="12">
        <f>IFERROR(INDEX(M_RawMaterials[基準在庫下限_要入力],MATCH("PP Film",M_RawMaterials[Part Name],0)),0)</f>
        <v/>
      </c>
      <c r="G19" s="12">
        <f>INDEX(Grid_Stock[#Data],38,$P$7)</f>
        <v/>
      </c>
      <c r="H19" s="12">
        <f>MAX(0,$F19-INDEX(Grid_Stock[#Data],38,$P$7+0))</f>
        <v/>
      </c>
      <c r="I19" s="12">
        <f>MAX(0,$F19-INDEX(Grid_Stock[#Data],38,$P$7+1))</f>
        <v/>
      </c>
      <c r="J19" s="12">
        <f>MAX(0,$F19-INDEX(Grid_Stock[#Data],38,$P$7+2))</f>
        <v/>
      </c>
      <c r="K19" s="12">
        <f>MAX(0,$F19-INDEX(Grid_Stock[#Data],38,$P$7+3))</f>
        <v/>
      </c>
      <c r="L19" s="12">
        <f>MAX(0,$F19-INDEX(Grid_Stock[#Data],38,$P$7+4))</f>
        <v/>
      </c>
      <c r="M19" s="12">
        <f>MAX(0,$F19-INDEX(Grid_Stock[#Data],38,$P$7+5))</f>
        <v/>
      </c>
      <c r="N19" s="12">
        <f>MAX(0,$F19-INDEX(Grid_Stock[#Data],38,$P$7+6))</f>
        <v/>
      </c>
      <c r="O19" s="12">
        <f>MAX(0,$F19-INDEX(Grid_Stock[#Data],38,$P$7+7))</f>
        <v/>
      </c>
      <c r="P19" s="12">
        <f>MAX(0,$F19-INDEX(Grid_Stock[#Data],38,$P$7+8))</f>
        <v/>
      </c>
      <c r="Q19" s="12">
        <f>MAX(0,$F19-INDEX(Grid_Stock[#Data],38,$P$7+9))</f>
        <v/>
      </c>
      <c r="R19" s="12">
        <f>MAX(0,$F19-INDEX(Grid_Stock[#Data],38,$P$7+10))</f>
        <v/>
      </c>
      <c r="S19" s="12">
        <f>MAX(0,$F19-INDEX(Grid_Stock[#Data],38,$P$7+11))</f>
        <v/>
      </c>
      <c r="T19" s="12">
        <f>MAX(0,$F19-INDEX(Grid_Stock[#Data],38,$P$7+12))</f>
        <v/>
      </c>
      <c r="U19" s="12">
        <f>SUM(H19:T19)</f>
        <v/>
      </c>
    </row>
    <row r="20">
      <c r="B20" s="13">
        <f>IFERROR(INDEX(M_RawMaterials[Description],MATCH("5SN",M_RawMaterials[Part Name],0)),"")</f>
        <v/>
      </c>
      <c r="C20" s="13" t="inlineStr"/>
      <c r="D20" s="13" t="inlineStr">
        <is>
          <t>5SN</t>
        </is>
      </c>
      <c r="E20" s="13" t="inlineStr">
        <is>
          <t>kg</t>
        </is>
      </c>
      <c r="F20" s="13">
        <f>IFERROR(INDEX(M_RawMaterials[基準在庫下限_要入力],MATCH("5SN",M_RawMaterials[Part Name],0)),0)</f>
        <v/>
      </c>
      <c r="G20" s="13">
        <f>INDEX(Grid_Stock[#Data],39,$P$7)</f>
        <v/>
      </c>
      <c r="H20" s="13">
        <f>MAX(0,$F20-INDEX(Grid_Stock[#Data],39,$P$7+0))</f>
        <v/>
      </c>
      <c r="I20" s="13">
        <f>MAX(0,$F20-INDEX(Grid_Stock[#Data],39,$P$7+1))</f>
        <v/>
      </c>
      <c r="J20" s="13">
        <f>MAX(0,$F20-INDEX(Grid_Stock[#Data],39,$P$7+2))</f>
        <v/>
      </c>
      <c r="K20" s="13">
        <f>MAX(0,$F20-INDEX(Grid_Stock[#Data],39,$P$7+3))</f>
        <v/>
      </c>
      <c r="L20" s="13">
        <f>MAX(0,$F20-INDEX(Grid_Stock[#Data],39,$P$7+4))</f>
        <v/>
      </c>
      <c r="M20" s="13">
        <f>MAX(0,$F20-INDEX(Grid_Stock[#Data],39,$P$7+5))</f>
        <v/>
      </c>
      <c r="N20" s="13">
        <f>MAX(0,$F20-INDEX(Grid_Stock[#Data],39,$P$7+6))</f>
        <v/>
      </c>
      <c r="O20" s="13">
        <f>MAX(0,$F20-INDEX(Grid_Stock[#Data],39,$P$7+7))</f>
        <v/>
      </c>
      <c r="P20" s="13">
        <f>MAX(0,$F20-INDEX(Grid_Stock[#Data],39,$P$7+8))</f>
        <v/>
      </c>
      <c r="Q20" s="13">
        <f>MAX(0,$F20-INDEX(Grid_Stock[#Data],39,$P$7+9))</f>
        <v/>
      </c>
      <c r="R20" s="13">
        <f>MAX(0,$F20-INDEX(Grid_Stock[#Data],39,$P$7+10))</f>
        <v/>
      </c>
      <c r="S20" s="13">
        <f>MAX(0,$F20-INDEX(Grid_Stock[#Data],39,$P$7+11))</f>
        <v/>
      </c>
      <c r="T20" s="13">
        <f>MAX(0,$F20-INDEX(Grid_Stock[#Data],39,$P$7+12))</f>
        <v/>
      </c>
      <c r="U20" s="13">
        <f>SUM(H20:T20)</f>
        <v/>
      </c>
    </row>
    <row r="21">
      <c r="B21" s="12">
        <f>IFERROR(INDEX(M_RawMaterials[Description],MATCH("3TP",M_RawMaterials[Part Name],0)),"")</f>
        <v/>
      </c>
      <c r="C21" s="12" t="inlineStr"/>
      <c r="D21" s="12" t="inlineStr">
        <is>
          <t>3TP</t>
        </is>
      </c>
      <c r="E21" s="12" t="inlineStr">
        <is>
          <t>kg</t>
        </is>
      </c>
      <c r="F21" s="12">
        <f>IFERROR(INDEX(M_RawMaterials[基準在庫下限_要入力],MATCH("3TP",M_RawMaterials[Part Name],0)),0)</f>
        <v/>
      </c>
      <c r="G21" s="12">
        <f>INDEX(Grid_Stock[#Data],43,$P$7)</f>
        <v/>
      </c>
      <c r="H21" s="12">
        <f>MAX(0,$F21-INDEX(Grid_Stock[#Data],43,$P$7+0))</f>
        <v/>
      </c>
      <c r="I21" s="12">
        <f>MAX(0,$F21-INDEX(Grid_Stock[#Data],43,$P$7+1))</f>
        <v/>
      </c>
      <c r="J21" s="12">
        <f>MAX(0,$F21-INDEX(Grid_Stock[#Data],43,$P$7+2))</f>
        <v/>
      </c>
      <c r="K21" s="12">
        <f>MAX(0,$F21-INDEX(Grid_Stock[#Data],43,$P$7+3))</f>
        <v/>
      </c>
      <c r="L21" s="12">
        <f>MAX(0,$F21-INDEX(Grid_Stock[#Data],43,$P$7+4))</f>
        <v/>
      </c>
      <c r="M21" s="12">
        <f>MAX(0,$F21-INDEX(Grid_Stock[#Data],43,$P$7+5))</f>
        <v/>
      </c>
      <c r="N21" s="12">
        <f>MAX(0,$F21-INDEX(Grid_Stock[#Data],43,$P$7+6))</f>
        <v/>
      </c>
      <c r="O21" s="12">
        <f>MAX(0,$F21-INDEX(Grid_Stock[#Data],43,$P$7+7))</f>
        <v/>
      </c>
      <c r="P21" s="12">
        <f>MAX(0,$F21-INDEX(Grid_Stock[#Data],43,$P$7+8))</f>
        <v/>
      </c>
      <c r="Q21" s="12">
        <f>MAX(0,$F21-INDEX(Grid_Stock[#Data],43,$P$7+9))</f>
        <v/>
      </c>
      <c r="R21" s="12">
        <f>MAX(0,$F21-INDEX(Grid_Stock[#Data],43,$P$7+10))</f>
        <v/>
      </c>
      <c r="S21" s="12">
        <f>MAX(0,$F21-INDEX(Grid_Stock[#Data],43,$P$7+11))</f>
        <v/>
      </c>
      <c r="T21" s="12">
        <f>MAX(0,$F21-INDEX(Grid_Stock[#Data],43,$P$7+12))</f>
        <v/>
      </c>
      <c r="U21" s="12">
        <f>SUM(H21:T21)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</row>
    <row r="52">
      <c r="A52" t="inlineStr">
        <is>
          <t>4HL</t>
        </is>
      </c>
      <c r="B52" t="inlineStr"/>
      <c r="C52" s="21" t="n"/>
      <c r="D52" t="n">
        <v>9600</v>
      </c>
      <c r="E52" s="17" t="n">
        <v>46048</v>
      </c>
      <c r="F52" s="17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</row>
    <row r="53">
      <c r="A53" t="inlineStr">
        <is>
          <t>4HL</t>
        </is>
      </c>
      <c r="B53" t="inlineStr"/>
      <c r="C53" s="21" t="n"/>
      <c r="D53" t="n">
        <v>17280</v>
      </c>
      <c r="E53" s="17" t="n">
        <v>46069</v>
      </c>
      <c r="F53" s="17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</row>
    <row r="54">
      <c r="A54" t="inlineStr">
        <is>
          <t>4HL</t>
        </is>
      </c>
      <c r="B54" t="inlineStr"/>
      <c r="C54" s="21" t="n"/>
      <c r="D54" t="n">
        <v>9600</v>
      </c>
      <c r="E54" s="17" t="n">
        <v>46056</v>
      </c>
      <c r="F54" s="17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</row>
    <row r="55">
      <c r="A55" t="inlineStr">
        <is>
          <t>4HL</t>
        </is>
      </c>
      <c r="B55" t="inlineStr"/>
      <c r="C55" s="21" t="n"/>
      <c r="D55" t="n">
        <v>1920</v>
      </c>
      <c r="E55" s="17" t="n">
        <v>46069</v>
      </c>
      <c r="F55" s="17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</row>
    <row r="56">
      <c r="A56" t="inlineStr">
        <is>
          <t>4HL</t>
        </is>
      </c>
      <c r="B56" t="inlineStr"/>
      <c r="C56" s="21" t="n"/>
      <c r="D56" t="n">
        <v>5280</v>
      </c>
      <c r="E56" s="17" t="n">
        <v>46087</v>
      </c>
      <c r="F56" s="17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</row>
    <row r="57">
      <c r="A57" t="inlineStr">
        <is>
          <t>4HL</t>
        </is>
      </c>
      <c r="B57" t="inlineStr"/>
      <c r="C57" s="21" t="n"/>
      <c r="D57" t="n">
        <v>365</v>
      </c>
      <c r="E57" s="17" t="n">
        <v>46069</v>
      </c>
      <c r="F57" s="17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</row>
    <row r="58">
      <c r="A58" t="inlineStr">
        <is>
          <t>1EK</t>
        </is>
      </c>
      <c r="B58" t="inlineStr"/>
      <c r="C58" s="21" t="n"/>
      <c r="D58" t="n">
        <v>7200</v>
      </c>
      <c r="E58" s="17" t="n">
        <v>46069</v>
      </c>
      <c r="F58" s="17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</row>
    <row r="59">
      <c r="A59" t="inlineStr">
        <is>
          <t>1EK</t>
        </is>
      </c>
      <c r="B59" t="inlineStr"/>
      <c r="C59" s="21" t="n"/>
      <c r="D59" t="n">
        <v>6720</v>
      </c>
      <c r="E59" s="17" t="n">
        <v>46087</v>
      </c>
      <c r="F59" s="17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</row>
    <row r="60">
      <c r="A60" t="inlineStr">
        <is>
          <t>1EK</t>
        </is>
      </c>
      <c r="B60" t="inlineStr"/>
      <c r="C60" s="21" t="n"/>
      <c r="D60" t="n">
        <v>160</v>
      </c>
      <c r="E60" s="17" t="n">
        <v>46069</v>
      </c>
      <c r="F60" s="17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</row>
    <row r="61">
      <c r="A61" t="inlineStr">
        <is>
          <t>1EK</t>
        </is>
      </c>
      <c r="B61" t="inlineStr"/>
      <c r="C61" s="21" t="n"/>
      <c r="D61" t="n">
        <v>474</v>
      </c>
      <c r="E61" s="17" t="n">
        <v>46087</v>
      </c>
      <c r="F61" s="17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</row>
    <row r="62">
      <c r="A62" t="inlineStr">
        <is>
          <t>7CL</t>
        </is>
      </c>
      <c r="B62" t="inlineStr"/>
      <c r="C62" s="21" t="n"/>
      <c r="D62" t="n">
        <v>1620</v>
      </c>
      <c r="E62" s="17" t="n">
        <v>46069</v>
      </c>
      <c r="F62" s="17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</row>
    <row r="63">
      <c r="A63" t="inlineStr">
        <is>
          <t>9RN</t>
        </is>
      </c>
      <c r="B63" t="inlineStr">
        <is>
          <t>PO066735</t>
        </is>
      </c>
      <c r="C63" s="21" t="n"/>
      <c r="D63" t="n">
        <v>19206</v>
      </c>
      <c r="E63" s="17" t="n">
        <v>46033</v>
      </c>
      <c r="F63" s="17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15642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</row>
    <row r="65">
      <c r="A65" t="inlineStr">
        <is>
          <t>0JN</t>
        </is>
      </c>
      <c r="B65" t="inlineStr">
        <is>
          <t>PO066755</t>
        </is>
      </c>
      <c r="C65" s="21" t="n"/>
      <c r="D65" t="n">
        <v>1584</v>
      </c>
      <c r="E65" s="17" t="n">
        <v>46047</v>
      </c>
      <c r="F65" s="17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</row>
    <row r="66">
      <c r="A66" t="inlineStr">
        <is>
          <t>0JN</t>
        </is>
      </c>
      <c r="B66" t="inlineStr">
        <is>
          <t>PO066755</t>
        </is>
      </c>
      <c r="C66" s="21" t="n"/>
      <c r="D66" t="n">
        <v>18530</v>
      </c>
      <c r="E66" s="17" t="n">
        <v>46076</v>
      </c>
      <c r="F66" s="17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</row>
    <row r="67">
      <c r="A67" t="inlineStr">
        <is>
          <t>CHEM-1240</t>
        </is>
      </c>
      <c r="B67" t="inlineStr">
        <is>
          <t>PO066939</t>
        </is>
      </c>
      <c r="C67" s="21" t="n"/>
      <c r="D67" t="n">
        <v>880</v>
      </c>
      <c r="E67" s="17" t="n">
        <v>46068</v>
      </c>
      <c r="F67" s="17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</row>
    <row r="68">
      <c r="A68" t="inlineStr">
        <is>
          <t>CHEM-1250</t>
        </is>
      </c>
      <c r="B68" t="inlineStr">
        <is>
          <t>PO066939</t>
        </is>
      </c>
      <c r="C68" s="21" t="n"/>
      <c r="D68" t="n">
        <v>50</v>
      </c>
      <c r="E68" s="17" t="n">
        <v>46068</v>
      </c>
      <c r="F68" s="17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</row>
    <row r="69">
      <c r="A69" t="inlineStr">
        <is>
          <t>CHEM-1400</t>
        </is>
      </c>
      <c r="B69" t="inlineStr">
        <is>
          <t>PO066939</t>
        </is>
      </c>
      <c r="C69" s="21" t="n"/>
      <c r="D69" t="n">
        <v>250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</row>
    <row r="70">
      <c r="A70" t="inlineStr">
        <is>
          <t>CHEM-1420</t>
        </is>
      </c>
      <c r="B70" t="inlineStr">
        <is>
          <t>PO066939</t>
        </is>
      </c>
      <c r="C70" s="21" t="n"/>
      <c r="D70" t="n">
        <v>240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</row>
    <row r="71">
      <c r="A71" t="inlineStr">
        <is>
          <t>CHEM-1440</t>
        </is>
      </c>
      <c r="B71" t="inlineStr">
        <is>
          <t>PO066939</t>
        </is>
      </c>
      <c r="C71" s="21" t="n"/>
      <c r="D71" t="n">
        <v>200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</row>
    <row r="72">
      <c r="A72" t="inlineStr">
        <is>
          <t>CHEM-1540</t>
        </is>
      </c>
      <c r="B72" t="inlineStr">
        <is>
          <t>PO066939</t>
        </is>
      </c>
      <c r="C72" s="21" t="n"/>
      <c r="D72" t="n">
        <v>2500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</row>
    <row r="73">
      <c r="A73" t="inlineStr">
        <is>
          <t>CHEM-1530</t>
        </is>
      </c>
      <c r="B73" t="inlineStr">
        <is>
          <t>PO066939</t>
        </is>
      </c>
      <c r="C73" s="21" t="n"/>
      <c r="D73" t="n">
        <v>2100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</row>
    <row r="74">
      <c r="A74" t="inlineStr">
        <is>
          <t>CHEM-1600</t>
        </is>
      </c>
      <c r="B74" t="inlineStr">
        <is>
          <t>PO066939</t>
        </is>
      </c>
      <c r="C74" s="21" t="n"/>
      <c r="D74" t="n">
        <v>300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</row>
    <row r="75">
      <c r="A75" t="inlineStr">
        <is>
          <t>CHEM-1570</t>
        </is>
      </c>
      <c r="B75" t="inlineStr">
        <is>
          <t>PO066939</t>
        </is>
      </c>
      <c r="C75" s="21" t="n"/>
      <c r="D75" t="n">
        <v>36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</row>
    <row r="76">
      <c r="A76" t="inlineStr">
        <is>
          <t>CHEM-1670</t>
        </is>
      </c>
      <c r="B76" t="inlineStr">
        <is>
          <t>PO066939</t>
        </is>
      </c>
      <c r="C76" s="21" t="n"/>
      <c r="D76" t="n">
        <v>180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</row>
    <row r="77">
      <c r="A77" t="inlineStr">
        <is>
          <t>CHEM-1690</t>
        </is>
      </c>
      <c r="B77" t="inlineStr">
        <is>
          <t>PO066939</t>
        </is>
      </c>
      <c r="C77" s="21" t="n"/>
      <c r="D77" t="n">
        <v>135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</row>
    <row r="78">
      <c r="A78" t="inlineStr">
        <is>
          <t>CHEM-1700</t>
        </is>
      </c>
      <c r="B78" t="inlineStr">
        <is>
          <t>PO066939</t>
        </is>
      </c>
      <c r="C78" s="21" t="n"/>
      <c r="D78" t="n">
        <v>60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</row>
    <row r="79">
      <c r="A79" t="inlineStr">
        <is>
          <t>CHEM-1720</t>
        </is>
      </c>
      <c r="B79" t="inlineStr">
        <is>
          <t>PO066939</t>
        </is>
      </c>
      <c r="C79" s="21" t="n"/>
      <c r="D79" t="n">
        <v>2040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</row>
    <row r="80">
      <c r="A80" t="inlineStr">
        <is>
          <t>CHEM-1760</t>
        </is>
      </c>
      <c r="B80" t="inlineStr">
        <is>
          <t>PO066939</t>
        </is>
      </c>
      <c r="C80" s="21" t="n"/>
      <c r="D80" t="n">
        <v>17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</row>
    <row r="81">
      <c r="A81" t="inlineStr">
        <is>
          <t>CHEM-1200</t>
        </is>
      </c>
      <c r="B81" t="inlineStr">
        <is>
          <t>PO066939</t>
        </is>
      </c>
      <c r="C81" s="21" t="n"/>
      <c r="D81" t="n">
        <v>25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</row>
    <row r="82">
      <c r="A82" t="inlineStr">
        <is>
          <t>CHEM-1680</t>
        </is>
      </c>
      <c r="B82" t="inlineStr">
        <is>
          <t>PO066939</t>
        </is>
      </c>
      <c r="C82" s="21" t="n"/>
      <c r="D82" t="n">
        <v>200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</row>
    <row r="83">
      <c r="A83" t="inlineStr">
        <is>
          <t>CHEM-1660</t>
        </is>
      </c>
      <c r="B83" t="inlineStr">
        <is>
          <t>PO066949</t>
        </is>
      </c>
      <c r="C83" s="21" t="n"/>
      <c r="D83" t="n">
        <v>60</v>
      </c>
      <c r="E83" s="17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</row>
    <row r="84">
      <c r="A84" t="inlineStr">
        <is>
          <t>CHEM-1830</t>
        </is>
      </c>
      <c r="B84" t="inlineStr"/>
      <c r="C84" s="21" t="n"/>
      <c r="D84" t="n">
        <v>75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</row>
    <row r="85">
      <c r="A85" t="inlineStr">
        <is>
          <t>CHEM-1820</t>
        </is>
      </c>
      <c r="B85" t="inlineStr"/>
      <c r="C85" s="21" t="n"/>
      <c r="D85" t="n">
        <v>500</v>
      </c>
      <c r="E85" s="17" t="n">
        <v>46068</v>
      </c>
      <c r="F85" s="17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</row>
    <row r="86">
      <c r="A86" t="inlineStr">
        <is>
          <t>CHEM-1840</t>
        </is>
      </c>
      <c r="B86" t="inlineStr"/>
      <c r="C86" s="21" t="n"/>
      <c r="D86" t="n">
        <v>18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</row>
    <row r="87">
      <c r="A87" t="inlineStr">
        <is>
          <t>4HL</t>
        </is>
      </c>
      <c r="B87" t="inlineStr"/>
      <c r="C87" s="21" t="n"/>
      <c r="D87" t="n">
        <v>9120</v>
      </c>
      <c r="E87" s="17" t="n">
        <v>46075</v>
      </c>
      <c r="F87" s="17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</row>
    <row r="88">
      <c r="A88" t="inlineStr">
        <is>
          <t>4HL</t>
        </is>
      </c>
      <c r="B88" t="inlineStr"/>
      <c r="C88" s="21" t="n"/>
      <c r="D88" t="n">
        <v>14400</v>
      </c>
      <c r="E88" s="17" t="n">
        <v>46097</v>
      </c>
      <c r="F88" s="17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</row>
    <row r="89">
      <c r="A89" t="inlineStr">
        <is>
          <t>4HL</t>
        </is>
      </c>
      <c r="B89" t="inlineStr"/>
      <c r="C89" s="21" t="n"/>
      <c r="D89" t="n">
        <v>14400</v>
      </c>
      <c r="E89" s="17" t="n">
        <v>46082</v>
      </c>
      <c r="F89" s="17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</row>
    <row r="90">
      <c r="A90" t="inlineStr">
        <is>
          <t>4HL</t>
        </is>
      </c>
      <c r="B90" t="inlineStr"/>
      <c r="C90" s="21" t="n"/>
      <c r="D90" t="n">
        <v>20640</v>
      </c>
      <c r="E90" s="17" t="n">
        <v>46092</v>
      </c>
      <c r="F90" s="17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</row>
    <row r="91">
      <c r="A91" t="inlineStr">
        <is>
          <t>4HL</t>
        </is>
      </c>
      <c r="B91" t="inlineStr"/>
      <c r="C91" s="21" t="n"/>
      <c r="D91" t="n">
        <v>16320</v>
      </c>
      <c r="E91" s="17" t="n">
        <v>46103</v>
      </c>
      <c r="F91" s="17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</row>
    <row r="92">
      <c r="A92" t="inlineStr">
        <is>
          <t>4HL</t>
        </is>
      </c>
      <c r="B92" t="inlineStr"/>
      <c r="C92" s="21" t="n"/>
      <c r="D92" t="n">
        <v>960</v>
      </c>
      <c r="E92" s="17" t="n">
        <v>46104</v>
      </c>
      <c r="F92" s="17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</row>
    <row r="93">
      <c r="A93" t="inlineStr">
        <is>
          <t>4HL</t>
        </is>
      </c>
      <c r="B93" t="inlineStr"/>
      <c r="C93" s="21" t="n"/>
      <c r="D93" t="n">
        <v>432</v>
      </c>
      <c r="E93" s="17" t="n">
        <v>46075</v>
      </c>
      <c r="F93" s="17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</row>
    <row r="94">
      <c r="A94" t="inlineStr">
        <is>
          <t>1EK</t>
        </is>
      </c>
      <c r="B94" t="inlineStr"/>
      <c r="C94" s="21" t="n"/>
      <c r="D94" t="n">
        <v>14400</v>
      </c>
      <c r="E94" s="17" t="n">
        <v>46075</v>
      </c>
      <c r="F94" s="17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</row>
    <row r="95">
      <c r="A95" t="inlineStr">
        <is>
          <t>1EK</t>
        </is>
      </c>
      <c r="B95" t="inlineStr"/>
      <c r="C95" s="21" t="n"/>
      <c r="D95" t="n">
        <v>14400</v>
      </c>
      <c r="E95" s="17" t="n">
        <v>46082</v>
      </c>
      <c r="F95" s="17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</row>
    <row r="96">
      <c r="A96" t="inlineStr">
        <is>
          <t>1EK</t>
        </is>
      </c>
      <c r="B96" t="inlineStr"/>
      <c r="C96" s="21" t="n"/>
      <c r="D96" t="n">
        <v>9120</v>
      </c>
      <c r="E96" s="17" t="n">
        <v>46092</v>
      </c>
      <c r="F96" s="17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</row>
    <row r="97">
      <c r="A97" t="inlineStr">
        <is>
          <t>TDJ</t>
        </is>
      </c>
      <c r="B97" t="inlineStr">
        <is>
          <t>PO066946</t>
        </is>
      </c>
      <c r="C97" s="21" t="n"/>
      <c r="D97" t="n">
        <v>784</v>
      </c>
      <c r="E97" s="17" t="n">
        <v>46112</v>
      </c>
      <c r="F97" s="17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</row>
    <row r="98">
      <c r="A98" t="inlineStr">
        <is>
          <t>9RN</t>
        </is>
      </c>
      <c r="B98" t="inlineStr">
        <is>
          <t>PO066934</t>
        </is>
      </c>
      <c r="C98" s="21" t="n"/>
      <c r="D98" t="n">
        <v>21780</v>
      </c>
      <c r="E98" s="17" t="n">
        <v>46068</v>
      </c>
      <c r="F98" s="17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</row>
    <row r="99">
      <c r="A99" t="inlineStr">
        <is>
          <t>0JN</t>
        </is>
      </c>
      <c r="B99" t="inlineStr">
        <is>
          <t>PO066940</t>
        </is>
      </c>
      <c r="C99" s="21" t="n"/>
      <c r="D99" t="n">
        <v>8243</v>
      </c>
      <c r="E99" s="17" t="n">
        <v>46095</v>
      </c>
      <c r="F99" s="17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</row>
    <row r="100">
      <c r="A100" t="inlineStr">
        <is>
          <t>CHEM-1240</t>
        </is>
      </c>
      <c r="B100" t="inlineStr">
        <is>
          <t>PO067067</t>
        </is>
      </c>
      <c r="C100" s="21" t="n"/>
      <c r="D100" t="n">
        <v>440</v>
      </c>
      <c r="E100" s="17" t="n">
        <v>46092</v>
      </c>
      <c r="F100" s="17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</row>
    <row r="101">
      <c r="A101" t="inlineStr">
        <is>
          <t>CHEM-1250</t>
        </is>
      </c>
      <c r="B101" t="inlineStr">
        <is>
          <t>PO067067</t>
        </is>
      </c>
      <c r="C101" s="21" t="n"/>
      <c r="D101" t="n">
        <v>100</v>
      </c>
      <c r="E101" s="17" t="n">
        <v>46092</v>
      </c>
      <c r="F101" s="17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</row>
    <row r="102">
      <c r="A102" t="inlineStr">
        <is>
          <t>CHEM-1400</t>
        </is>
      </c>
      <c r="B102" t="inlineStr">
        <is>
          <t>PO067067</t>
        </is>
      </c>
      <c r="C102" s="21" t="n"/>
      <c r="D102" t="n">
        <v>100</v>
      </c>
      <c r="E102" s="17" t="n">
        <v>46092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</row>
    <row r="103">
      <c r="A103" t="inlineStr">
        <is>
          <t>CHEM-1420</t>
        </is>
      </c>
      <c r="B103" t="inlineStr">
        <is>
          <t>PO067067</t>
        </is>
      </c>
      <c r="C103" s="21" t="n"/>
      <c r="D103" t="n">
        <v>160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</row>
    <row r="104">
      <c r="A104" t="inlineStr">
        <is>
          <t>CHEM-1440</t>
        </is>
      </c>
      <c r="B104" t="inlineStr">
        <is>
          <t>PO067067</t>
        </is>
      </c>
      <c r="C104" s="21" t="n"/>
      <c r="D104" t="n">
        <v>200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</row>
    <row r="105">
      <c r="A105" t="inlineStr">
        <is>
          <t>CHEM-1540</t>
        </is>
      </c>
      <c r="B105" t="inlineStr">
        <is>
          <t>PO067067</t>
        </is>
      </c>
      <c r="C105" s="21" t="n"/>
      <c r="D105" t="n">
        <v>3000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</row>
    <row r="106">
      <c r="A106" t="inlineStr">
        <is>
          <t>CHEM-1530</t>
        </is>
      </c>
      <c r="B106" t="inlineStr">
        <is>
          <t>PO067067</t>
        </is>
      </c>
      <c r="C106" s="21" t="n"/>
      <c r="D106" t="n">
        <v>2100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</row>
    <row r="107">
      <c r="A107" t="inlineStr">
        <is>
          <t>CHEM-1600</t>
        </is>
      </c>
      <c r="B107" t="inlineStr">
        <is>
          <t>PO067067</t>
        </is>
      </c>
      <c r="C107" s="21" t="n"/>
      <c r="D107" t="n">
        <v>100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</row>
    <row r="108">
      <c r="A108" t="inlineStr">
        <is>
          <t>CHEM-1570</t>
        </is>
      </c>
      <c r="B108" t="inlineStr">
        <is>
          <t>PO067067</t>
        </is>
      </c>
      <c r="C108" s="21" t="n"/>
      <c r="D108" t="n">
        <v>36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</row>
    <row r="109">
      <c r="A109" t="inlineStr">
        <is>
          <t>CHEM-1670</t>
        </is>
      </c>
      <c r="B109" t="inlineStr">
        <is>
          <t>PO067067</t>
        </is>
      </c>
      <c r="C109" s="21" t="n"/>
      <c r="D109" t="n">
        <v>180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</row>
    <row r="110">
      <c r="A110" t="inlineStr">
        <is>
          <t>CHEM-1700</t>
        </is>
      </c>
      <c r="B110" t="inlineStr">
        <is>
          <t>PO067067</t>
        </is>
      </c>
      <c r="C110" s="21" t="n"/>
      <c r="D110" t="n">
        <v>60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</row>
    <row r="111">
      <c r="A111" t="inlineStr">
        <is>
          <t>CHEM-1720</t>
        </is>
      </c>
      <c r="B111" t="inlineStr">
        <is>
          <t>PO067067</t>
        </is>
      </c>
      <c r="C111" s="21" t="n"/>
      <c r="D111" t="n">
        <v>720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</row>
    <row r="112">
      <c r="A112" t="inlineStr">
        <is>
          <t>PP Film</t>
        </is>
      </c>
      <c r="B112" t="inlineStr">
        <is>
          <t>PO067067</t>
        </is>
      </c>
      <c r="C112" s="21" t="n"/>
      <c r="D112" t="n">
        <v>3000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</row>
    <row r="113">
      <c r="A113" t="inlineStr">
        <is>
          <t>CHEM-1650</t>
        </is>
      </c>
      <c r="B113" t="inlineStr">
        <is>
          <t>PO067067</t>
        </is>
      </c>
      <c r="C113" s="21" t="n"/>
      <c r="D113" t="n">
        <v>25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</row>
    <row r="114">
      <c r="A114" t="inlineStr">
        <is>
          <t>Original Towel</t>
        </is>
      </c>
      <c r="B114" t="inlineStr">
        <is>
          <t>PO067067</t>
        </is>
      </c>
      <c r="C114" s="21" t="n"/>
      <c r="D114" t="n">
        <v>10000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</row>
    <row r="115">
      <c r="A115" t="inlineStr">
        <is>
          <t>CHEM-1660</t>
        </is>
      </c>
      <c r="B115" t="inlineStr">
        <is>
          <t>PO067070</t>
        </is>
      </c>
      <c r="C115" s="21" t="n"/>
      <c r="D115" t="n">
        <v>180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</row>
    <row r="116">
      <c r="A116" t="inlineStr">
        <is>
          <t>CHEM-1280</t>
        </is>
      </c>
      <c r="B116" t="inlineStr">
        <is>
          <t>PO067070</t>
        </is>
      </c>
      <c r="C116" s="21" t="n"/>
      <c r="D116" t="n">
        <v>1000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</row>
    <row r="117">
      <c r="A117" t="inlineStr">
        <is>
          <t>4HL</t>
        </is>
      </c>
      <c r="B117" t="inlineStr"/>
      <c r="C117" s="21" t="n"/>
      <c r="D117" t="n">
        <v>960</v>
      </c>
      <c r="E117" s="17" t="n">
        <v>46112</v>
      </c>
      <c r="F117" s="17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</row>
    <row r="118">
      <c r="A118" t="inlineStr">
        <is>
          <t>4HL</t>
        </is>
      </c>
      <c r="B118" t="inlineStr"/>
      <c r="C118" s="21" t="n"/>
      <c r="D118" t="n">
        <v>9600</v>
      </c>
      <c r="E118" s="17" t="n">
        <v>46120</v>
      </c>
      <c r="F118" s="17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</row>
    <row r="119">
      <c r="A119" t="inlineStr">
        <is>
          <t>4HL</t>
        </is>
      </c>
      <c r="B119" t="inlineStr"/>
      <c r="C119" s="21" t="n"/>
      <c r="D119" t="n">
        <v>4800</v>
      </c>
      <c r="E119" s="17" t="n">
        <v>46112</v>
      </c>
      <c r="F119" s="17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</row>
    <row r="120">
      <c r="A120" t="inlineStr">
        <is>
          <t>4HL</t>
        </is>
      </c>
      <c r="B120" t="inlineStr"/>
      <c r="C120" s="21" t="n"/>
      <c r="D120" t="n">
        <v>480</v>
      </c>
      <c r="E120" s="17" t="n">
        <v>46112</v>
      </c>
      <c r="F120" s="17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</row>
    <row r="121">
      <c r="A121" t="inlineStr">
        <is>
          <t>4HL</t>
        </is>
      </c>
      <c r="B121" t="inlineStr"/>
      <c r="C121" s="21" t="n"/>
      <c r="D121" t="n">
        <v>5760</v>
      </c>
      <c r="E121" s="17" t="n">
        <v>46125</v>
      </c>
      <c r="F121" s="17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</row>
    <row r="122">
      <c r="A122" t="inlineStr">
        <is>
          <t>4HL</t>
        </is>
      </c>
      <c r="B122" t="inlineStr"/>
      <c r="C122" s="21" t="n"/>
      <c r="D122" t="n">
        <v>156</v>
      </c>
      <c r="E122" s="17" t="n">
        <v>46112</v>
      </c>
      <c r="F122" s="17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</row>
    <row r="123">
      <c r="A123" t="inlineStr">
        <is>
          <t>4HL</t>
        </is>
      </c>
      <c r="B123" t="inlineStr"/>
      <c r="C123" s="21" t="n"/>
      <c r="D123" t="n">
        <v>144</v>
      </c>
      <c r="E123" s="17" t="n">
        <v>46112</v>
      </c>
      <c r="F123" s="17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</row>
    <row r="124">
      <c r="A124" t="inlineStr">
        <is>
          <t>1EK</t>
        </is>
      </c>
      <c r="B124" t="inlineStr"/>
      <c r="C124" s="21" t="n"/>
      <c r="D124" t="n">
        <v>4800</v>
      </c>
      <c r="E124" s="17" t="n">
        <v>46098</v>
      </c>
      <c r="F124" s="17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</row>
    <row r="125">
      <c r="A125" t="inlineStr">
        <is>
          <t>1EK</t>
        </is>
      </c>
      <c r="B125" t="inlineStr"/>
      <c r="C125" s="21" t="n"/>
      <c r="D125" t="n">
        <v>10080</v>
      </c>
      <c r="E125" s="17" t="n">
        <v>46112</v>
      </c>
      <c r="F125" s="17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</row>
    <row r="126">
      <c r="A126" t="inlineStr">
        <is>
          <t>1EK</t>
        </is>
      </c>
      <c r="B126" t="inlineStr"/>
      <c r="C126" s="21" t="n"/>
      <c r="D126" t="n">
        <v>1920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</row>
    <row r="127">
      <c r="A127" t="inlineStr">
        <is>
          <t>TDJ</t>
        </is>
      </c>
      <c r="B127" t="inlineStr">
        <is>
          <t>PO067121</t>
        </is>
      </c>
      <c r="C127" s="21" t="n"/>
      <c r="D127" t="n">
        <v>784</v>
      </c>
      <c r="E127" s="17" t="n">
        <v>46136</v>
      </c>
      <c r="F127" s="17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</row>
    <row r="128">
      <c r="A128" t="inlineStr">
        <is>
          <t>TDJ</t>
        </is>
      </c>
      <c r="B128" t="inlineStr">
        <is>
          <t>PO067121</t>
        </is>
      </c>
      <c r="C128" s="21" t="n"/>
      <c r="D128" t="n">
        <v>205</v>
      </c>
      <c r="E128" s="17" t="n">
        <v>46136</v>
      </c>
      <c r="F128" s="17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</row>
    <row r="129">
      <c r="A129" t="inlineStr">
        <is>
          <t>9RN</t>
        </is>
      </c>
      <c r="B129" t="inlineStr">
        <is>
          <t>PO067086</t>
        </is>
      </c>
      <c r="C129" s="21" t="n"/>
      <c r="D129" t="n">
        <v>22792</v>
      </c>
      <c r="E129" s="17" t="n">
        <v>46112</v>
      </c>
      <c r="F129" s="17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</row>
    <row r="130">
      <c r="A130" t="inlineStr">
        <is>
          <t>9RN</t>
        </is>
      </c>
      <c r="B130" t="inlineStr">
        <is>
          <t>PO067086</t>
        </is>
      </c>
      <c r="C130" s="21" t="n"/>
      <c r="D130" t="n">
        <v>4796</v>
      </c>
      <c r="E130" s="17" t="n">
        <v>46112</v>
      </c>
      <c r="F130" s="17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</row>
    <row r="131">
      <c r="A131" t="inlineStr">
        <is>
          <t>0JN</t>
        </is>
      </c>
      <c r="B131" t="inlineStr">
        <is>
          <t>PO067071</t>
        </is>
      </c>
      <c r="C131" s="21" t="n"/>
      <c r="D131" t="n">
        <v>18835</v>
      </c>
      <c r="E131" s="17" t="n">
        <v>46103</v>
      </c>
      <c r="F131" s="17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</row>
    <row r="132">
      <c r="A132" t="inlineStr">
        <is>
          <t>0JN</t>
        </is>
      </c>
      <c r="B132" t="inlineStr">
        <is>
          <t>PO067071</t>
        </is>
      </c>
      <c r="C132" s="21" t="n"/>
      <c r="D132" t="n">
        <v>9289</v>
      </c>
      <c r="E132" s="17" t="n">
        <v>46116</v>
      </c>
      <c r="F132" s="17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</row>
    <row r="133">
      <c r="A133" t="inlineStr">
        <is>
          <t>0JN</t>
        </is>
      </c>
      <c r="B133" t="inlineStr">
        <is>
          <t>PO067071</t>
        </is>
      </c>
      <c r="C133" s="21" t="n"/>
      <c r="D133" t="n">
        <v>11522</v>
      </c>
      <c r="E133" s="17" t="n">
        <v>46138</v>
      </c>
      <c r="F133" s="17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</row>
    <row r="134">
      <c r="A134" t="inlineStr">
        <is>
          <t>CHEM-1250</t>
        </is>
      </c>
      <c r="B134" t="inlineStr">
        <is>
          <t>PO067281</t>
        </is>
      </c>
      <c r="C134" s="21" t="n"/>
      <c r="D134" t="n">
        <v>150</v>
      </c>
      <c r="E134" s="17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</row>
    <row r="135">
      <c r="A135" t="inlineStr">
        <is>
          <t>CHEM-1400</t>
        </is>
      </c>
      <c r="B135" t="inlineStr">
        <is>
          <t>PO067281</t>
        </is>
      </c>
      <c r="C135" s="21" t="n"/>
      <c r="D135" t="n">
        <v>300</v>
      </c>
      <c r="E135" s="17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</row>
    <row r="136">
      <c r="A136" t="inlineStr">
        <is>
          <t>CHEM-1420</t>
        </is>
      </c>
      <c r="B136" t="inlineStr">
        <is>
          <t>PO067281</t>
        </is>
      </c>
      <c r="C136" s="21" t="n"/>
      <c r="D136" t="n">
        <v>240</v>
      </c>
      <c r="E136" s="17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</row>
    <row r="137">
      <c r="A137" t="inlineStr">
        <is>
          <t>CHEM-1440</t>
        </is>
      </c>
      <c r="B137" t="inlineStr">
        <is>
          <t>PO067281</t>
        </is>
      </c>
      <c r="C137" s="21" t="n"/>
      <c r="D137" t="n">
        <v>200</v>
      </c>
      <c r="E137" s="17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</row>
    <row r="138">
      <c r="A138" t="inlineStr">
        <is>
          <t>CHEM-1540</t>
        </is>
      </c>
      <c r="B138" t="inlineStr">
        <is>
          <t>PO067281</t>
        </is>
      </c>
      <c r="C138" s="21" t="n"/>
      <c r="D138" t="n">
        <v>2000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</row>
    <row r="139">
      <c r="A139" t="inlineStr">
        <is>
          <t>CHEM-1530</t>
        </is>
      </c>
      <c r="B139" t="inlineStr">
        <is>
          <t>PO067281</t>
        </is>
      </c>
      <c r="C139" s="21" t="n"/>
      <c r="D139" t="n">
        <v>2800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</row>
    <row r="140">
      <c r="A140" t="inlineStr">
        <is>
          <t>CHEM-1600</t>
        </is>
      </c>
      <c r="B140" t="inlineStr">
        <is>
          <t>PO067281</t>
        </is>
      </c>
      <c r="C140" s="21" t="n"/>
      <c r="D140" t="n">
        <v>250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</row>
    <row r="141">
      <c r="A141" t="inlineStr">
        <is>
          <t>CHEM-1570</t>
        </is>
      </c>
      <c r="B141" t="inlineStr">
        <is>
          <t>PO067281</t>
        </is>
      </c>
      <c r="C141" s="21" t="n"/>
      <c r="D141" t="n">
        <v>36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</row>
    <row r="142">
      <c r="A142" t="inlineStr">
        <is>
          <t>CHEM-1670</t>
        </is>
      </c>
      <c r="B142" t="inlineStr">
        <is>
          <t>PO067281</t>
        </is>
      </c>
      <c r="C142" s="21" t="n"/>
      <c r="D142" t="n">
        <v>180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</row>
    <row r="143">
      <c r="A143" t="inlineStr">
        <is>
          <t>CHEM-1690</t>
        </is>
      </c>
      <c r="B143" t="inlineStr">
        <is>
          <t>PO067281</t>
        </is>
      </c>
      <c r="C143" s="21" t="n"/>
      <c r="D143" t="n">
        <v>135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</row>
    <row r="144">
      <c r="A144" t="inlineStr">
        <is>
          <t>CHEM-1700</t>
        </is>
      </c>
      <c r="B144" t="inlineStr">
        <is>
          <t>PO067281</t>
        </is>
      </c>
      <c r="C144" s="21" t="n"/>
      <c r="D144" t="n">
        <v>60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</row>
    <row r="145">
      <c r="A145" t="inlineStr">
        <is>
          <t>CHEM-1720</t>
        </is>
      </c>
      <c r="B145" t="inlineStr">
        <is>
          <t>PO067281</t>
        </is>
      </c>
      <c r="C145" s="21" t="n"/>
      <c r="D145" t="n">
        <v>720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</row>
    <row r="146">
      <c r="A146" t="inlineStr">
        <is>
          <t>CHEM-1760</t>
        </is>
      </c>
      <c r="B146" t="inlineStr">
        <is>
          <t>PO067281</t>
        </is>
      </c>
      <c r="C146" s="21" t="n"/>
      <c r="D146" t="n">
        <v>17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</row>
    <row r="147">
      <c r="A147" t="inlineStr">
        <is>
          <t>CHEM-1200</t>
        </is>
      </c>
      <c r="B147" t="inlineStr">
        <is>
          <t>PO067281</t>
        </is>
      </c>
      <c r="C147" s="21" t="n"/>
      <c r="D147" t="n">
        <v>25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</row>
    <row r="148">
      <c r="A148" t="inlineStr">
        <is>
          <t>CHEM-1680</t>
        </is>
      </c>
      <c r="B148" t="inlineStr">
        <is>
          <t>PO067281</t>
        </is>
      </c>
      <c r="C148" s="21" t="n"/>
      <c r="D148" t="n">
        <v>200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</row>
    <row r="149">
      <c r="A149" t="inlineStr">
        <is>
          <t>CHEM-1660</t>
        </is>
      </c>
      <c r="B149" t="inlineStr">
        <is>
          <t>PO067274</t>
        </is>
      </c>
      <c r="C149" s="21" t="n"/>
      <c r="D149" t="n">
        <v>180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</row>
    <row r="150">
      <c r="A150" t="inlineStr">
        <is>
          <t>4HL</t>
        </is>
      </c>
      <c r="B150" t="inlineStr"/>
      <c r="C150" s="21" t="n"/>
      <c r="D150" t="n">
        <v>19200</v>
      </c>
      <c r="E150" s="17" t="n">
        <v>46131</v>
      </c>
      <c r="F150" s="17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</row>
    <row r="151">
      <c r="A151" t="inlineStr">
        <is>
          <t>4HL</t>
        </is>
      </c>
      <c r="B151" t="inlineStr"/>
      <c r="C151" s="21" t="n"/>
      <c r="D151" t="n">
        <v>19200</v>
      </c>
      <c r="E151" s="17" t="n">
        <v>46136</v>
      </c>
      <c r="F151" s="17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</row>
    <row r="152">
      <c r="A152" t="inlineStr">
        <is>
          <t>4HL</t>
        </is>
      </c>
      <c r="B152" t="inlineStr"/>
      <c r="C152" s="21" t="n"/>
      <c r="D152" t="n">
        <v>15840</v>
      </c>
      <c r="E152" s="17" t="n">
        <v>46155</v>
      </c>
      <c r="F152" s="17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</row>
    <row r="153">
      <c r="A153" t="inlineStr">
        <is>
          <t>4HL</t>
        </is>
      </c>
      <c r="B153" t="inlineStr"/>
      <c r="C153" s="21" t="n"/>
      <c r="D153" t="n">
        <v>5760</v>
      </c>
      <c r="E153" s="17" t="n">
        <v>46159</v>
      </c>
      <c r="F153" s="17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</row>
    <row r="154">
      <c r="A154" t="inlineStr">
        <is>
          <t>4HL</t>
        </is>
      </c>
      <c r="B154" t="inlineStr"/>
      <c r="C154" s="21" t="n"/>
      <c r="D154" t="n">
        <v>246</v>
      </c>
      <c r="E154" s="17" t="n">
        <v>46155</v>
      </c>
      <c r="F154" s="17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</row>
    <row r="155">
      <c r="A155" t="inlineStr">
        <is>
          <t>1EK</t>
        </is>
      </c>
      <c r="B155" t="inlineStr"/>
      <c r="C155" s="21" t="n"/>
      <c r="D155" t="n">
        <v>8640</v>
      </c>
      <c r="E155" s="17" t="n">
        <v>46146</v>
      </c>
      <c r="F155" s="17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</row>
    <row r="156">
      <c r="A156" t="inlineStr">
        <is>
          <t>1EK</t>
        </is>
      </c>
      <c r="B156" t="inlineStr"/>
      <c r="C156" s="21" t="n"/>
      <c r="D156" t="n">
        <v>9120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</row>
    <row r="157">
      <c r="A157" t="inlineStr">
        <is>
          <t>1EK</t>
        </is>
      </c>
      <c r="B157" t="inlineStr"/>
      <c r="C157" s="21" t="n"/>
      <c r="D157" t="n">
        <v>9600</v>
      </c>
      <c r="E157" s="17" t="n">
        <v>46151</v>
      </c>
      <c r="F157" s="17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</row>
    <row r="158">
      <c r="A158" t="inlineStr">
        <is>
          <t>1EK</t>
        </is>
      </c>
      <c r="B158" t="inlineStr"/>
      <c r="C158" s="21" t="n"/>
      <c r="D158" t="n">
        <v>2880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</row>
    <row r="159">
      <c r="A159" t="inlineStr">
        <is>
          <t>1EK</t>
        </is>
      </c>
      <c r="B159" t="inlineStr"/>
      <c r="C159" s="21" t="n"/>
      <c r="D159" t="n">
        <v>392</v>
      </c>
      <c r="E159" s="17" t="n">
        <v>46155</v>
      </c>
      <c r="F159" s="17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</row>
    <row r="160">
      <c r="A160" t="inlineStr">
        <is>
          <t>1EK</t>
        </is>
      </c>
      <c r="B160" t="inlineStr"/>
      <c r="C160" s="21" t="n"/>
      <c r="D160" t="n">
        <v>745</v>
      </c>
      <c r="E160" s="17" t="n">
        <v>46146</v>
      </c>
      <c r="F160" s="17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</row>
    <row r="161">
      <c r="A161" t="inlineStr">
        <is>
          <t>9RN</t>
        </is>
      </c>
      <c r="B161" t="inlineStr">
        <is>
          <t>PO067280</t>
        </is>
      </c>
      <c r="C161" s="21" t="n"/>
      <c r="D161" t="n">
        <v>22869</v>
      </c>
      <c r="E161" s="17" t="n">
        <v>46131</v>
      </c>
      <c r="F161" s="17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</row>
    <row r="162">
      <c r="A162" t="inlineStr">
        <is>
          <t>9RN</t>
        </is>
      </c>
      <c r="B162" t="inlineStr">
        <is>
          <t>PO067280</t>
        </is>
      </c>
      <c r="C162" s="21" t="n"/>
      <c r="D162" t="n">
        <v>18216</v>
      </c>
      <c r="E162" s="17" t="n">
        <v>46131</v>
      </c>
      <c r="F162" s="17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</row>
    <row r="163">
      <c r="A163" t="inlineStr">
        <is>
          <t>9RN</t>
        </is>
      </c>
      <c r="B163" t="inlineStr">
        <is>
          <t>PO067280</t>
        </is>
      </c>
      <c r="C163" s="21" t="n"/>
      <c r="D163" t="n">
        <v>19140</v>
      </c>
      <c r="E163" s="17" t="n">
        <v>46164</v>
      </c>
      <c r="F163" s="17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</row>
    <row r="164">
      <c r="A164" t="inlineStr">
        <is>
          <t>9RN</t>
        </is>
      </c>
      <c r="B164" t="inlineStr">
        <is>
          <t>PO067280</t>
        </is>
      </c>
      <c r="C164" s="21" t="n"/>
      <c r="D164" t="n">
        <v>14795</v>
      </c>
      <c r="E164" s="17" t="n">
        <v>46164</v>
      </c>
      <c r="F164" s="17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</row>
    <row r="165">
      <c r="A165" t="inlineStr">
        <is>
          <t>0JN</t>
        </is>
      </c>
      <c r="B165" t="inlineStr">
        <is>
          <t>PO067278</t>
        </is>
      </c>
      <c r="C165" s="21" t="n"/>
      <c r="D165" t="n">
        <v>7117</v>
      </c>
      <c r="E165" s="17" t="n">
        <v>46138</v>
      </c>
      <c r="F165" s="17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</row>
    <row r="166">
      <c r="A166" t="inlineStr">
        <is>
          <t>0JN</t>
        </is>
      </c>
      <c r="B166" t="inlineStr">
        <is>
          <t>PO067278</t>
        </is>
      </c>
      <c r="C166" s="21" t="n"/>
      <c r="D166" t="n">
        <v>12672</v>
      </c>
      <c r="E166" s="17" t="n">
        <v>46138</v>
      </c>
      <c r="F166" s="17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</row>
    <row r="167">
      <c r="A167" t="inlineStr">
        <is>
          <t>0JN</t>
        </is>
      </c>
      <c r="B167" t="inlineStr">
        <is>
          <t>PO067278</t>
        </is>
      </c>
      <c r="C167" s="21" t="n"/>
      <c r="D167" t="n">
        <v>18825</v>
      </c>
      <c r="E167" s="17" t="n">
        <v>46165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</row>
    <row r="168">
      <c r="A168" t="inlineStr">
        <is>
          <t>0JN</t>
        </is>
      </c>
      <c r="B168" t="inlineStr">
        <is>
          <t>PO067278</t>
        </is>
      </c>
      <c r="C168" s="21" t="n"/>
      <c r="D168" t="n">
        <v>1188</v>
      </c>
      <c r="E168" s="17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</row>
    <row r="169">
      <c r="A169" t="inlineStr">
        <is>
          <t>CHEM-1240</t>
        </is>
      </c>
      <c r="B169" t="inlineStr">
        <is>
          <t>PO067529</t>
        </is>
      </c>
      <c r="C169" s="21" t="n"/>
      <c r="D169" t="n">
        <v>660</v>
      </c>
      <c r="E169" s="17" t="n">
        <v>46156</v>
      </c>
      <c r="F169" s="17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</row>
    <row r="170">
      <c r="A170" t="inlineStr">
        <is>
          <t>CHEM-1250</t>
        </is>
      </c>
      <c r="B170" t="inlineStr">
        <is>
          <t>PO067529</t>
        </is>
      </c>
      <c r="C170" s="21" t="n"/>
      <c r="D170" t="n">
        <v>150</v>
      </c>
      <c r="E170" s="17" t="n">
        <v>46156</v>
      </c>
      <c r="F170" s="17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</row>
    <row r="171">
      <c r="A171" t="inlineStr">
        <is>
          <t>CHEM-1400</t>
        </is>
      </c>
      <c r="B171" t="inlineStr">
        <is>
          <t>PO067529</t>
        </is>
      </c>
      <c r="C171" s="21" t="n"/>
      <c r="D171" t="n">
        <v>350</v>
      </c>
      <c r="E171" s="17" t="n">
        <v>46156</v>
      </c>
      <c r="F171" s="17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</row>
    <row r="172">
      <c r="A172" t="inlineStr">
        <is>
          <t>CHEM-1420</t>
        </is>
      </c>
      <c r="B172" t="inlineStr">
        <is>
          <t>PO067529</t>
        </is>
      </c>
      <c r="C172" s="21" t="n"/>
      <c r="D172" t="n">
        <v>320</v>
      </c>
      <c r="E172" s="17" t="n">
        <v>46156</v>
      </c>
      <c r="F172" s="17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</row>
    <row r="173">
      <c r="A173" t="inlineStr">
        <is>
          <t>CHEM-1440</t>
        </is>
      </c>
      <c r="B173" t="inlineStr">
        <is>
          <t>PO067529</t>
        </is>
      </c>
      <c r="C173" s="21" t="n"/>
      <c r="D173" t="n">
        <v>200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</row>
    <row r="174">
      <c r="A174" t="inlineStr">
        <is>
          <t>CHEM-1540</t>
        </is>
      </c>
      <c r="B174" t="inlineStr">
        <is>
          <t>PO067529</t>
        </is>
      </c>
      <c r="C174" s="21" t="n"/>
      <c r="D174" t="n">
        <v>2500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</row>
    <row r="175">
      <c r="A175" t="inlineStr">
        <is>
          <t>CHEM-1530</t>
        </is>
      </c>
      <c r="B175" t="inlineStr">
        <is>
          <t>PO067529</t>
        </is>
      </c>
      <c r="C175" s="21" t="n"/>
      <c r="D175" t="n">
        <v>3500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</row>
    <row r="176">
      <c r="A176" t="inlineStr">
        <is>
          <t>CHEM-1600</t>
        </is>
      </c>
      <c r="B176" t="inlineStr">
        <is>
          <t>PO067529</t>
        </is>
      </c>
      <c r="C176" s="21" t="n"/>
      <c r="D176" t="n">
        <v>350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</row>
    <row r="177">
      <c r="A177" t="inlineStr">
        <is>
          <t>CHEM-1570</t>
        </is>
      </c>
      <c r="B177" t="inlineStr">
        <is>
          <t>PO067529</t>
        </is>
      </c>
      <c r="C177" s="21" t="n"/>
      <c r="D177" t="n">
        <v>36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</row>
    <row r="178">
      <c r="A178" t="inlineStr">
        <is>
          <t>CHEM-1670</t>
        </is>
      </c>
      <c r="B178" t="inlineStr">
        <is>
          <t>PO067529</t>
        </is>
      </c>
      <c r="C178" s="21" t="n"/>
      <c r="D178" t="n">
        <v>180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</row>
    <row r="179">
      <c r="A179" t="inlineStr">
        <is>
          <t>CHEM-1690</t>
        </is>
      </c>
      <c r="B179" t="inlineStr">
        <is>
          <t>PO067529</t>
        </is>
      </c>
      <c r="C179" s="21" t="n"/>
      <c r="D179" t="n">
        <v>135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</row>
    <row r="180">
      <c r="A180" t="inlineStr">
        <is>
          <t>CHEM-1700</t>
        </is>
      </c>
      <c r="B180" t="inlineStr">
        <is>
          <t>PO067529</t>
        </is>
      </c>
      <c r="C180" s="21" t="n"/>
      <c r="D180" t="n">
        <v>60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</row>
    <row r="181">
      <c r="A181" t="inlineStr">
        <is>
          <t>CHEM-1720</t>
        </is>
      </c>
      <c r="B181" t="inlineStr">
        <is>
          <t>PO067529</t>
        </is>
      </c>
      <c r="C181" s="21" t="n"/>
      <c r="D181" t="n">
        <v>1080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</row>
    <row r="182">
      <c r="A182" t="inlineStr">
        <is>
          <t>CHEM-1680</t>
        </is>
      </c>
      <c r="B182" t="inlineStr">
        <is>
          <t>PO067529</t>
        </is>
      </c>
      <c r="C182" s="21" t="n"/>
      <c r="D182" t="n">
        <v>200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</row>
    <row r="183">
      <c r="A183" t="inlineStr">
        <is>
          <t>CHEM-1730</t>
        </is>
      </c>
      <c r="B183" t="inlineStr">
        <is>
          <t>PO067529</t>
        </is>
      </c>
      <c r="C183" s="21" t="n"/>
      <c r="D183" t="n">
        <v>200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</row>
    <row r="184">
      <c r="A184" t="inlineStr">
        <is>
          <t>CHEM-1660</t>
        </is>
      </c>
      <c r="B184" t="inlineStr">
        <is>
          <t>PO067514</t>
        </is>
      </c>
      <c r="C184" s="21" t="n"/>
      <c r="D184" t="n">
        <v>120</v>
      </c>
      <c r="E184" s="17" t="n">
        <v>46155</v>
      </c>
      <c r="F184" s="17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</row>
    <row r="185">
      <c r="A185" t="inlineStr">
        <is>
          <t>CHEM-1280</t>
        </is>
      </c>
      <c r="B185" t="inlineStr">
        <is>
          <t>PO067514</t>
        </is>
      </c>
      <c r="C185" s="21" t="n"/>
      <c r="D185" t="n">
        <v>1000</v>
      </c>
      <c r="E185" s="17" t="n">
        <v>46155</v>
      </c>
      <c r="F185" s="17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</row>
    <row r="186">
      <c r="A186" t="inlineStr">
        <is>
          <t>4HL</t>
        </is>
      </c>
      <c r="B186" t="inlineStr"/>
      <c r="C186" s="21" t="n"/>
      <c r="D186" t="n">
        <v>6720</v>
      </c>
      <c r="E186" s="17" t="n">
        <v>46164</v>
      </c>
      <c r="F186" s="17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</row>
    <row r="187">
      <c r="A187" t="inlineStr">
        <is>
          <t>4HL</t>
        </is>
      </c>
      <c r="B187" t="inlineStr"/>
      <c r="C187" s="21" t="n"/>
      <c r="D187" t="n">
        <v>14400</v>
      </c>
      <c r="E187" s="17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</row>
    <row r="188">
      <c r="A188" t="inlineStr">
        <is>
          <t>4HL</t>
        </is>
      </c>
      <c r="B188" t="inlineStr"/>
      <c r="C188" s="21" t="n"/>
      <c r="D188" t="n">
        <v>9600</v>
      </c>
      <c r="E188" s="17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</row>
    <row r="189">
      <c r="A189" t="inlineStr">
        <is>
          <t>4HL</t>
        </is>
      </c>
      <c r="B189" t="inlineStr"/>
      <c r="C189" s="21" t="n"/>
      <c r="D189" t="n">
        <v>13440</v>
      </c>
      <c r="E189" s="17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</row>
    <row r="190">
      <c r="A190" t="inlineStr">
        <is>
          <t>4HL</t>
        </is>
      </c>
      <c r="B190" t="inlineStr"/>
      <c r="C190" s="21" t="n"/>
      <c r="D190" t="n">
        <v>11040</v>
      </c>
      <c r="E190" s="17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</row>
    <row r="191">
      <c r="A191" t="inlineStr">
        <is>
          <t>4HL</t>
        </is>
      </c>
      <c r="B191" t="inlineStr"/>
      <c r="C191" s="21" t="n"/>
      <c r="D191" t="n">
        <v>346</v>
      </c>
      <c r="E191" s="17" t="n">
        <v>46164</v>
      </c>
      <c r="F191" s="17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</row>
    <row r="192">
      <c r="A192" t="inlineStr">
        <is>
          <t>1EK</t>
        </is>
      </c>
      <c r="B192" t="inlineStr"/>
      <c r="C192" s="21" t="n"/>
      <c r="D192" t="n">
        <v>4800</v>
      </c>
      <c r="E192" s="17" t="n">
        <v>46164</v>
      </c>
      <c r="F192" s="17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</row>
    <row r="193">
      <c r="A193" t="inlineStr">
        <is>
          <t>1EK</t>
        </is>
      </c>
      <c r="B193" t="inlineStr"/>
      <c r="C193" s="21" t="n"/>
      <c r="D193" t="n">
        <v>434</v>
      </c>
      <c r="E193" s="17" t="n">
        <v>46164</v>
      </c>
      <c r="F193" s="17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</row>
    <row r="194">
      <c r="A194" t="inlineStr">
        <is>
          <t>9RN</t>
        </is>
      </c>
      <c r="B194" t="inlineStr">
        <is>
          <t>PO067508</t>
        </is>
      </c>
      <c r="C194" s="21" t="n"/>
      <c r="D194" t="n">
        <v>15554</v>
      </c>
      <c r="E194" s="17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</row>
    <row r="195">
      <c r="A195" t="inlineStr">
        <is>
          <t>9RN</t>
        </is>
      </c>
      <c r="B195" t="inlineStr">
        <is>
          <t>PO067508</t>
        </is>
      </c>
      <c r="C195" s="21" t="n"/>
      <c r="D195" t="n">
        <v>20746</v>
      </c>
      <c r="E195" s="17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</row>
    <row r="196">
      <c r="A196" t="inlineStr">
        <is>
          <t>0JN</t>
        </is>
      </c>
      <c r="B196" t="inlineStr">
        <is>
          <t>PO067515</t>
        </is>
      </c>
      <c r="C196" s="21" t="n"/>
      <c r="D196" t="n">
        <v>7919</v>
      </c>
      <c r="E196" s="17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</row>
    <row r="197">
      <c r="A197" t="inlineStr">
        <is>
          <t>CHEM-1240</t>
        </is>
      </c>
      <c r="B197" t="inlineStr">
        <is>
          <t>PO068015</t>
        </is>
      </c>
      <c r="C197" s="21" t="n"/>
      <c r="D197" t="n">
        <v>660</v>
      </c>
      <c r="E197" s="17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</row>
    <row r="198">
      <c r="A198" t="inlineStr">
        <is>
          <t>CHEM-1250</t>
        </is>
      </c>
      <c r="B198" t="inlineStr">
        <is>
          <t>PO068015</t>
        </is>
      </c>
      <c r="C198" s="21" t="n"/>
      <c r="D198" t="n">
        <v>50</v>
      </c>
      <c r="E198" s="17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</row>
    <row r="199">
      <c r="A199" t="inlineStr">
        <is>
          <t>CHEM-1400</t>
        </is>
      </c>
      <c r="B199" t="inlineStr">
        <is>
          <t>PO068015</t>
        </is>
      </c>
      <c r="C199" s="21" t="n"/>
      <c r="D199" t="n">
        <v>200</v>
      </c>
      <c r="E199" s="17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</row>
    <row r="200">
      <c r="A200" t="inlineStr">
        <is>
          <t>CHEM-1420</t>
        </is>
      </c>
      <c r="B200" t="inlineStr">
        <is>
          <t>PO068015</t>
        </is>
      </c>
      <c r="C200" s="21" t="n"/>
      <c r="D200" t="n">
        <v>240</v>
      </c>
      <c r="E200" s="17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</row>
    <row r="201">
      <c r="A201" t="inlineStr">
        <is>
          <t>CHEM-1540</t>
        </is>
      </c>
      <c r="B201" t="inlineStr">
        <is>
          <t>PO068015</t>
        </is>
      </c>
      <c r="C201" s="21" t="n"/>
      <c r="D201" t="n">
        <v>4500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</row>
    <row r="202">
      <c r="A202" t="inlineStr">
        <is>
          <t>CHEM-1530</t>
        </is>
      </c>
      <c r="B202" t="inlineStr">
        <is>
          <t>PO068015</t>
        </is>
      </c>
      <c r="C202" s="21" t="n"/>
      <c r="D202" t="n">
        <v>2100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</row>
    <row r="203">
      <c r="A203" t="inlineStr">
        <is>
          <t>CHEM-1570</t>
        </is>
      </c>
      <c r="B203" t="inlineStr">
        <is>
          <t>PO068015</t>
        </is>
      </c>
      <c r="C203" s="21" t="n"/>
      <c r="D203" t="n">
        <v>18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</row>
    <row r="204">
      <c r="A204" t="inlineStr">
        <is>
          <t>CHEM-1670</t>
        </is>
      </c>
      <c r="B204" t="inlineStr">
        <is>
          <t>PO068015</t>
        </is>
      </c>
      <c r="C204" s="21" t="n"/>
      <c r="D204" t="n">
        <v>360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</row>
    <row r="205">
      <c r="A205" t="inlineStr">
        <is>
          <t>CHEM-1690</t>
        </is>
      </c>
      <c r="B205" t="inlineStr">
        <is>
          <t>PO068015</t>
        </is>
      </c>
      <c r="C205" s="21" t="n"/>
      <c r="D205" t="n">
        <v>135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</row>
    <row r="206">
      <c r="A206" t="inlineStr">
        <is>
          <t>CHEM-1700</t>
        </is>
      </c>
      <c r="B206" t="inlineStr">
        <is>
          <t>PO068015</t>
        </is>
      </c>
      <c r="C206" s="21" t="n"/>
      <c r="D206" t="n">
        <v>60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</row>
    <row r="207">
      <c r="A207" t="inlineStr">
        <is>
          <t>CHEM-1720</t>
        </is>
      </c>
      <c r="B207" t="inlineStr">
        <is>
          <t>PO068015</t>
        </is>
      </c>
      <c r="C207" s="21" t="n"/>
      <c r="D207" t="n">
        <v>1320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</row>
    <row r="208">
      <c r="A208" t="inlineStr">
        <is>
          <t>CHEM-1760</t>
        </is>
      </c>
      <c r="B208" t="inlineStr">
        <is>
          <t>PO068015</t>
        </is>
      </c>
      <c r="C208" s="21" t="n"/>
      <c r="D208" t="n">
        <v>17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</row>
    <row r="209">
      <c r="A209" t="inlineStr">
        <is>
          <t>CHEM-1200</t>
        </is>
      </c>
      <c r="B209" t="inlineStr">
        <is>
          <t>PO068015</t>
        </is>
      </c>
      <c r="C209" s="21" t="n"/>
      <c r="D209" t="n">
        <v>25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</row>
    <row r="210">
      <c r="A210" t="inlineStr">
        <is>
          <t>CHEM-1840</t>
        </is>
      </c>
      <c r="B210" t="inlineStr">
        <is>
          <t>PO068015</t>
        </is>
      </c>
      <c r="C210" s="21" t="n"/>
      <c r="D210" t="n">
        <v>18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</row>
    <row r="211">
      <c r="A211" t="inlineStr">
        <is>
          <t>CHEM-1660</t>
        </is>
      </c>
      <c r="B211" t="inlineStr">
        <is>
          <t>PO067957</t>
        </is>
      </c>
      <c r="C211" s="21" t="n"/>
      <c r="D211" t="n">
        <v>180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</row>
    <row r="212">
      <c r="A212" t="inlineStr">
        <is>
          <t>CHEM-1280</t>
        </is>
      </c>
      <c r="B212" t="inlineStr">
        <is>
          <t>PO067957</t>
        </is>
      </c>
      <c r="C212" s="21" t="n"/>
      <c r="D212" t="n">
        <v>1000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</row>
    <row r="213">
      <c r="A213" t="inlineStr">
        <is>
          <t>4HL</t>
        </is>
      </c>
      <c r="B213" t="inlineStr"/>
      <c r="C213" s="21" t="n"/>
      <c r="D213" t="n">
        <v>12000</v>
      </c>
      <c r="E213" s="17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</row>
    <row r="214">
      <c r="A214" t="inlineStr">
        <is>
          <t>4HL</t>
        </is>
      </c>
      <c r="B214" t="inlineStr"/>
      <c r="C214" s="21" t="n"/>
      <c r="D214" t="n">
        <v>6240</v>
      </c>
      <c r="E214" s="17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</row>
    <row r="215">
      <c r="A215" t="inlineStr">
        <is>
          <t>4HL</t>
        </is>
      </c>
      <c r="B215" t="inlineStr"/>
      <c r="C215" s="21" t="n"/>
      <c r="D215" t="n">
        <v>6240</v>
      </c>
      <c r="E215" s="17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</row>
    <row r="216">
      <c r="A216" t="inlineStr">
        <is>
          <t>4HL</t>
        </is>
      </c>
      <c r="B216" t="inlineStr"/>
      <c r="C216" s="21" t="n"/>
      <c r="D216" t="n">
        <v>5972</v>
      </c>
      <c r="E216" s="17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</row>
    <row r="217">
      <c r="A217" t="inlineStr">
        <is>
          <t>4HL</t>
        </is>
      </c>
      <c r="B217" t="inlineStr"/>
      <c r="C217" s="21" t="n"/>
      <c r="D217" t="n">
        <v>5760</v>
      </c>
      <c r="E217" s="17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</row>
    <row r="218">
      <c r="A218" t="inlineStr">
        <is>
          <t>4HL</t>
        </is>
      </c>
      <c r="B218" t="inlineStr"/>
      <c r="C218" s="21" t="n"/>
      <c r="D218" t="n">
        <v>6240</v>
      </c>
      <c r="E218" s="17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</row>
    <row r="219">
      <c r="A219" t="inlineStr">
        <is>
          <t>4HL</t>
        </is>
      </c>
      <c r="B219" t="inlineStr"/>
      <c r="C219" s="21" t="n"/>
      <c r="D219" t="n">
        <v>5902</v>
      </c>
      <c r="E219" s="17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</row>
    <row r="221">
      <c r="A221" t="inlineStr">
        <is>
          <t>4HL</t>
        </is>
      </c>
      <c r="B221" t="inlineStr"/>
      <c r="C221" s="21" t="n"/>
      <c r="D221" t="n">
        <v>5760</v>
      </c>
      <c r="E221" s="17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</row>
    <row r="222">
      <c r="A222" t="inlineStr">
        <is>
          <t>TDJ</t>
        </is>
      </c>
      <c r="B222" t="inlineStr"/>
      <c r="C222" s="21" t="n"/>
      <c r="D222" t="n">
        <v>392</v>
      </c>
      <c r="E222" s="17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</row>
    <row r="223">
      <c r="A223" t="inlineStr">
        <is>
          <t>TDJ</t>
        </is>
      </c>
      <c r="B223" t="inlineStr"/>
      <c r="C223" s="21" t="n"/>
      <c r="D223" t="n">
        <v>200</v>
      </c>
      <c r="E223" s="17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</row>
    <row r="224">
      <c r="A224" t="inlineStr">
        <is>
          <t>TDJ</t>
        </is>
      </c>
      <c r="B224" t="inlineStr"/>
      <c r="C224" s="21" t="n"/>
      <c r="D224" t="n">
        <v>392</v>
      </c>
      <c r="E224" s="17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</row>
    <row r="225">
      <c r="A225" t="inlineStr">
        <is>
          <t>TDJ</t>
        </is>
      </c>
      <c r="B225" t="inlineStr"/>
      <c r="C225" s="21" t="n"/>
      <c r="D225" t="n">
        <v>392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</row>
    <row r="226">
      <c r="A226" t="inlineStr">
        <is>
          <t>TDJ</t>
        </is>
      </c>
      <c r="B226" t="inlineStr"/>
      <c r="C226" s="21" t="n"/>
      <c r="D226" t="n">
        <v>392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</row>
    <row r="227">
      <c r="A227" t="inlineStr">
        <is>
          <t>0JN</t>
        </is>
      </c>
      <c r="B227" t="inlineStr">
        <is>
          <t>PO067815</t>
        </is>
      </c>
      <c r="C227" s="21" t="n"/>
      <c r="D227" t="n">
        <v>12672</v>
      </c>
      <c r="E227" s="17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</row>
    <row r="228">
      <c r="A228" t="inlineStr">
        <is>
          <t>CHEM-1240</t>
        </is>
      </c>
      <c r="B228" t="inlineStr">
        <is>
          <t>PO067960</t>
        </is>
      </c>
      <c r="C228" s="21" t="n"/>
      <c r="D228" t="n">
        <v>440</v>
      </c>
      <c r="E228" s="17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</row>
    <row r="229">
      <c r="A229" t="inlineStr">
        <is>
          <t>CHEM-1250</t>
        </is>
      </c>
      <c r="B229" t="inlineStr">
        <is>
          <t>PO067960</t>
        </is>
      </c>
      <c r="C229" s="21" t="n"/>
      <c r="D229" t="n">
        <v>125</v>
      </c>
      <c r="E229" s="17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</row>
    <row r="230">
      <c r="A230" t="inlineStr">
        <is>
          <t>CHEM-1400</t>
        </is>
      </c>
      <c r="B230" t="inlineStr">
        <is>
          <t>PO067960</t>
        </is>
      </c>
      <c r="C230" s="21" t="n"/>
      <c r="D230" t="n">
        <v>250</v>
      </c>
      <c r="E230" s="17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</row>
    <row r="231">
      <c r="A231" t="inlineStr">
        <is>
          <t>CHEM-1420</t>
        </is>
      </c>
      <c r="B231" t="inlineStr">
        <is>
          <t>PO067960</t>
        </is>
      </c>
      <c r="C231" s="21" t="n"/>
      <c r="D231" t="n">
        <v>240</v>
      </c>
      <c r="E231" s="17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</row>
    <row r="232">
      <c r="A232" t="inlineStr">
        <is>
          <t>CHEM-1440</t>
        </is>
      </c>
      <c r="B232" t="inlineStr">
        <is>
          <t>PO067960</t>
        </is>
      </c>
      <c r="C232" s="21" t="n"/>
      <c r="D232" t="n">
        <v>200</v>
      </c>
      <c r="E232" s="17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</row>
    <row r="233">
      <c r="A233" t="inlineStr">
        <is>
          <t>CHEM-1540</t>
        </is>
      </c>
      <c r="B233" t="inlineStr">
        <is>
          <t>PO067960</t>
        </is>
      </c>
      <c r="C233" s="21" t="n"/>
      <c r="D233" t="n">
        <v>2000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</row>
    <row r="234">
      <c r="A234" t="inlineStr">
        <is>
          <t>CHEM-1530</t>
        </is>
      </c>
      <c r="B234" t="inlineStr">
        <is>
          <t>PO067960</t>
        </is>
      </c>
      <c r="C234" s="21" t="n"/>
      <c r="D234" t="n">
        <v>2100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</row>
    <row r="235">
      <c r="A235" t="inlineStr">
        <is>
          <t>CHEM-1600</t>
        </is>
      </c>
      <c r="B235" t="inlineStr">
        <is>
          <t>PO067960</t>
        </is>
      </c>
      <c r="C235" s="21" t="n"/>
      <c r="D235" t="n">
        <v>300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</row>
    <row r="236">
      <c r="A236" t="inlineStr">
        <is>
          <t>CHEM-1570</t>
        </is>
      </c>
      <c r="B236" t="inlineStr">
        <is>
          <t>PO067960</t>
        </is>
      </c>
      <c r="C236" s="21" t="n"/>
      <c r="D236" t="n">
        <v>54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</row>
    <row r="237">
      <c r="A237" t="inlineStr">
        <is>
          <t>CHEM-1670</t>
        </is>
      </c>
      <c r="B237" t="inlineStr">
        <is>
          <t>PO067960</t>
        </is>
      </c>
      <c r="C237" s="21" t="n"/>
      <c r="D237" t="n">
        <v>180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</row>
    <row r="238">
      <c r="A238" t="inlineStr">
        <is>
          <t>CHEM-1700</t>
        </is>
      </c>
      <c r="B238" t="inlineStr">
        <is>
          <t>PO067960</t>
        </is>
      </c>
      <c r="C238" s="21" t="n"/>
      <c r="D238" t="n">
        <v>90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</row>
    <row r="239">
      <c r="A239" t="inlineStr">
        <is>
          <t>CHEM-1720</t>
        </is>
      </c>
      <c r="B239" t="inlineStr">
        <is>
          <t>PO067960</t>
        </is>
      </c>
      <c r="C239" s="21" t="n"/>
      <c r="D239" t="n">
        <v>960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</row>
    <row r="240">
      <c r="A240" t="inlineStr">
        <is>
          <t>CHEM-1200</t>
        </is>
      </c>
      <c r="B240" t="inlineStr">
        <is>
          <t>PO067960</t>
        </is>
      </c>
      <c r="C240" s="21" t="n"/>
      <c r="D240" t="n">
        <v>25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</row>
    <row r="241">
      <c r="A241" t="inlineStr">
        <is>
          <t>CHEM-1680</t>
        </is>
      </c>
      <c r="B241" t="inlineStr">
        <is>
          <t>PO067960</t>
        </is>
      </c>
      <c r="C241" s="21" t="n"/>
      <c r="D241" t="n">
        <v>100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</row>
    <row r="242">
      <c r="A242" t="inlineStr">
        <is>
          <t>CHEM-1840</t>
        </is>
      </c>
      <c r="B242" t="inlineStr">
        <is>
          <t>PO067960</t>
        </is>
      </c>
      <c r="C242" s="21" t="n"/>
      <c r="D242" t="n">
        <v>18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</row>
    <row r="243">
      <c r="A243" t="inlineStr">
        <is>
          <t>CHEM-1660</t>
        </is>
      </c>
      <c r="B243" t="inlineStr">
        <is>
          <t>PO067957</t>
        </is>
      </c>
      <c r="C243" s="21" t="n"/>
      <c r="D243" t="n">
        <v>150</v>
      </c>
      <c r="E243" s="17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</row>
    <row r="244">
      <c r="A244" t="inlineStr">
        <is>
          <t>CHEM-1280</t>
        </is>
      </c>
      <c r="B244" t="inlineStr">
        <is>
          <t>PO067957</t>
        </is>
      </c>
      <c r="C244" s="21" t="n"/>
      <c r="D244" t="n">
        <v>1500</v>
      </c>
      <c r="E244" s="17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</row>
    <row r="245">
      <c r="A245" t="inlineStr">
        <is>
          <t>0JN</t>
        </is>
      </c>
      <c r="B245" t="inlineStr">
        <is>
          <t>PO067959</t>
        </is>
      </c>
      <c r="C245" s="21" t="n"/>
      <c r="D245" t="n">
        <v>18612</v>
      </c>
      <c r="E245" s="17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0" customWidth="1" min="4" max="4"/>
    <col width="12" customWidth="1" min="5" max="5"/>
  </cols>
  <sheetData>
    <row r="1">
      <c r="A1" s="20" t="inlineStr">
        <is>
          <t>Part Name</t>
        </is>
      </c>
      <c r="B1" s="20" t="inlineStr">
        <is>
          <t>TTAF_Code</t>
        </is>
      </c>
      <c r="C1" s="20" t="inlineStr">
        <is>
          <t>Delivery_Date</t>
        </is>
      </c>
      <c r="D1" s="20" t="inlineStr">
        <is>
          <t>WeekIndex</t>
        </is>
      </c>
      <c r="E1" s="20" t="inlineStr">
        <is>
          <t>PCS</t>
        </is>
      </c>
    </row>
    <row r="2">
      <c r="A2" t="inlineStr">
        <is>
          <t>(ダミー行、削除不可)</t>
        </is>
      </c>
      <c r="B2" t="inlineStr"/>
      <c r="C2" s="17" t="n">
        <v>36528</v>
      </c>
      <c r="D2">
        <f>IFERROR(MAX(1,MIN(104,INT(($C2-(DATE(Cal_Weeks!$B$1,1,1)-WEEKDAY(DATE(Cal_Weeks!$B$1,1,1),3)))/7)+1)),"")</f>
        <v/>
      </c>
      <c r="E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2" t="n">
        <v>46020</v>
      </c>
    </row>
    <row r="3">
      <c r="A3" t="inlineStr">
        <is>
          <t>CHEM-1670</t>
        </is>
      </c>
      <c r="B3" s="21" t="n">
        <v>0</v>
      </c>
      <c r="C3" s="22" t="n">
        <v>46020</v>
      </c>
    </row>
    <row r="4">
      <c r="A4" t="inlineStr">
        <is>
          <t>CHEM-1700</t>
        </is>
      </c>
      <c r="B4" s="21" t="n">
        <v>0</v>
      </c>
      <c r="C4" s="22" t="n">
        <v>46020</v>
      </c>
    </row>
    <row r="5">
      <c r="A5" t="inlineStr">
        <is>
          <t>CHEM-1420</t>
        </is>
      </c>
      <c r="B5" s="21" t="n">
        <v>0</v>
      </c>
      <c r="C5" s="22" t="n">
        <v>46020</v>
      </c>
    </row>
    <row r="6">
      <c r="A6" t="inlineStr">
        <is>
          <t>CHEM-1530</t>
        </is>
      </c>
      <c r="B6" s="21" t="n">
        <v>0</v>
      </c>
      <c r="C6" s="22" t="n">
        <v>46020</v>
      </c>
    </row>
    <row r="7">
      <c r="A7" t="inlineStr">
        <is>
          <t>CHEM-1540</t>
        </is>
      </c>
      <c r="B7" s="21" t="n">
        <v>0</v>
      </c>
      <c r="C7" s="22" t="n">
        <v>46020</v>
      </c>
    </row>
    <row r="8">
      <c r="A8" t="inlineStr">
        <is>
          <t>CHEM-1690</t>
        </is>
      </c>
      <c r="B8" s="21" t="n">
        <v>0</v>
      </c>
      <c r="C8" s="22" t="n">
        <v>46020</v>
      </c>
    </row>
    <row r="9">
      <c r="A9" t="inlineStr">
        <is>
          <t>CHEM-1720</t>
        </is>
      </c>
      <c r="B9" s="21" t="n">
        <v>0</v>
      </c>
      <c r="C9" s="22" t="n">
        <v>46020</v>
      </c>
    </row>
    <row r="10">
      <c r="A10" t="inlineStr">
        <is>
          <t>CHEM-1440</t>
        </is>
      </c>
      <c r="B10" s="21" t="n">
        <v>0</v>
      </c>
      <c r="C10" s="22" t="n">
        <v>46020</v>
      </c>
    </row>
    <row r="11">
      <c r="A11" t="inlineStr">
        <is>
          <t>4HL</t>
        </is>
      </c>
      <c r="B11" s="21" t="n">
        <v>0</v>
      </c>
      <c r="C11" s="22" t="n">
        <v>46020</v>
      </c>
    </row>
    <row r="12">
      <c r="A12" t="inlineStr">
        <is>
          <t>1EK</t>
        </is>
      </c>
      <c r="B12" s="21" t="n">
        <v>0</v>
      </c>
      <c r="C12" s="22" t="n">
        <v>46020</v>
      </c>
    </row>
    <row r="13">
      <c r="A13" t="inlineStr">
        <is>
          <t>7CL</t>
        </is>
      </c>
      <c r="B13" s="21" t="n">
        <v>0</v>
      </c>
      <c r="C13" s="22" t="n">
        <v>46020</v>
      </c>
    </row>
    <row r="14">
      <c r="A14" t="inlineStr">
        <is>
          <t>9RN</t>
        </is>
      </c>
      <c r="B14" s="21" t="n">
        <v>0</v>
      </c>
      <c r="C14" s="22" t="n">
        <v>46020</v>
      </c>
    </row>
    <row r="15">
      <c r="A15" t="inlineStr">
        <is>
          <t>CHEM-1400</t>
        </is>
      </c>
      <c r="B15" s="21" t="n">
        <v>0</v>
      </c>
      <c r="C15" s="22" t="n">
        <v>46020</v>
      </c>
    </row>
    <row r="16">
      <c r="A16" t="inlineStr">
        <is>
          <t>CHEM-1570</t>
        </is>
      </c>
      <c r="B16" s="21" t="n">
        <v>0</v>
      </c>
      <c r="C16" s="22" t="n">
        <v>46020</v>
      </c>
    </row>
    <row r="17">
      <c r="A17" t="inlineStr">
        <is>
          <t>CHEM-1650</t>
        </is>
      </c>
      <c r="B17" s="21" t="n">
        <v>0</v>
      </c>
      <c r="C17" s="22" t="n">
        <v>46020</v>
      </c>
    </row>
    <row r="18">
      <c r="A18" t="inlineStr">
        <is>
          <t>CHEM-1660</t>
        </is>
      </c>
      <c r="B18" s="21" t="n">
        <v>0</v>
      </c>
      <c r="C18" s="22" t="n">
        <v>46020</v>
      </c>
    </row>
    <row r="19">
      <c r="A19" t="inlineStr">
        <is>
          <t>CHEM-1600</t>
        </is>
      </c>
      <c r="B19" s="21" t="n">
        <v>0</v>
      </c>
      <c r="C19" s="22" t="n">
        <v>46020</v>
      </c>
    </row>
    <row r="20">
      <c r="A20" t="inlineStr">
        <is>
          <t>CHEM-1280</t>
        </is>
      </c>
      <c r="B20" s="21" t="n">
        <v>0</v>
      </c>
      <c r="C20" s="22" t="n">
        <v>46020</v>
      </c>
    </row>
    <row r="21">
      <c r="A21" t="inlineStr">
        <is>
          <t>CHEM-1240</t>
        </is>
      </c>
      <c r="B21" s="21" t="n">
        <v>0</v>
      </c>
      <c r="C21" s="22" t="n">
        <v>46020</v>
      </c>
    </row>
    <row r="22">
      <c r="A22" t="inlineStr">
        <is>
          <t>0JN</t>
        </is>
      </c>
      <c r="B22" s="21" t="n">
        <v>0</v>
      </c>
      <c r="C22" s="22" t="n">
        <v>46020</v>
      </c>
    </row>
    <row r="23">
      <c r="A23" t="inlineStr">
        <is>
          <t>CHEM-1760</t>
        </is>
      </c>
      <c r="B23" s="21" t="n">
        <v>0</v>
      </c>
      <c r="C23" s="22" t="n">
        <v>46020</v>
      </c>
    </row>
    <row r="24">
      <c r="A24" t="inlineStr">
        <is>
          <t>Original Towel</t>
        </is>
      </c>
      <c r="B24" s="21" t="n">
        <v>0</v>
      </c>
      <c r="C24" s="22" t="n">
        <v>46020</v>
      </c>
    </row>
    <row r="25">
      <c r="A25" t="inlineStr">
        <is>
          <t>CHEM-1200</t>
        </is>
      </c>
      <c r="B25" s="21" t="n">
        <v>0</v>
      </c>
      <c r="C25" s="22" t="n">
        <v>46020</v>
      </c>
    </row>
    <row r="26">
      <c r="A26" t="inlineStr">
        <is>
          <t>CHEM-1830</t>
        </is>
      </c>
      <c r="B26" s="21" t="n">
        <v>0</v>
      </c>
      <c r="C26" s="22" t="n">
        <v>46020</v>
      </c>
    </row>
    <row r="27">
      <c r="A27" t="inlineStr">
        <is>
          <t>CHEM-1680</t>
        </is>
      </c>
      <c r="B27" s="21" t="n">
        <v>0</v>
      </c>
      <c r="C27" s="22" t="n">
        <v>46020</v>
      </c>
    </row>
    <row r="28">
      <c r="A28" t="inlineStr">
        <is>
          <t>CHEM-1820</t>
        </is>
      </c>
      <c r="B28" s="21" t="n">
        <v>0</v>
      </c>
      <c r="C28" s="22" t="n">
        <v>46020</v>
      </c>
    </row>
    <row r="29">
      <c r="A29" t="inlineStr">
        <is>
          <t>CHEM-1840</t>
        </is>
      </c>
      <c r="B29" s="21" t="n">
        <v>0</v>
      </c>
      <c r="C29" s="22" t="n">
        <v>46020</v>
      </c>
    </row>
    <row r="30">
      <c r="A30" t="inlineStr">
        <is>
          <t>TDJ</t>
        </is>
      </c>
      <c r="B30" s="21" t="n">
        <v>0</v>
      </c>
      <c r="C30" s="22" t="n">
        <v>46020</v>
      </c>
    </row>
    <row r="31">
      <c r="A31" t="inlineStr">
        <is>
          <t>CHEM-1730</t>
        </is>
      </c>
      <c r="B31" s="21" t="n">
        <v>0</v>
      </c>
      <c r="C31" s="22" t="n">
        <v>46020</v>
      </c>
    </row>
    <row r="32">
      <c r="A32" t="inlineStr">
        <is>
          <t>CHEM-1430</t>
        </is>
      </c>
      <c r="B32" s="21" t="n">
        <v>0</v>
      </c>
      <c r="C32" s="22" t="n">
        <v>46020</v>
      </c>
    </row>
    <row r="33">
      <c r="A33" t="inlineStr">
        <is>
          <t>CHEM-1480</t>
        </is>
      </c>
      <c r="B33" s="21" t="n">
        <v>0</v>
      </c>
      <c r="C33" s="22" t="n">
        <v>46020</v>
      </c>
    </row>
    <row r="34">
      <c r="A34" t="inlineStr">
        <is>
          <t>CHEM-1560</t>
        </is>
      </c>
      <c r="B34" s="21" t="n">
        <v>0</v>
      </c>
      <c r="C34" s="22" t="n">
        <v>46020</v>
      </c>
    </row>
    <row r="35">
      <c r="A35" t="inlineStr">
        <is>
          <t>CHEM-1510</t>
        </is>
      </c>
      <c r="B35" s="21" t="n">
        <v>0</v>
      </c>
      <c r="C35" s="22" t="n">
        <v>46020</v>
      </c>
    </row>
    <row r="36">
      <c r="A36" t="inlineStr">
        <is>
          <t>CHEM-1770</t>
        </is>
      </c>
      <c r="B36" s="21" t="n">
        <v>0</v>
      </c>
      <c r="C36" s="22" t="n">
        <v>46020</v>
      </c>
    </row>
    <row r="37">
      <c r="A37" t="inlineStr">
        <is>
          <t>CHEM-1020</t>
        </is>
      </c>
      <c r="B37" s="21" t="n">
        <v>0</v>
      </c>
      <c r="C37" s="22" t="n">
        <v>46020</v>
      </c>
    </row>
    <row r="38">
      <c r="A38" t="inlineStr">
        <is>
          <t>Ester Film</t>
        </is>
      </c>
      <c r="B38" s="21" t="n">
        <v>0</v>
      </c>
      <c r="C38" s="22" t="n">
        <v>46020</v>
      </c>
    </row>
    <row r="39">
      <c r="A39" t="inlineStr">
        <is>
          <t>PP Film</t>
        </is>
      </c>
      <c r="B39" s="21" t="n">
        <v>0</v>
      </c>
      <c r="C39" s="22" t="n">
        <v>46020</v>
      </c>
    </row>
    <row r="40">
      <c r="A40" t="inlineStr">
        <is>
          <t>5SN</t>
        </is>
      </c>
      <c r="B40" s="21" t="n">
        <v>0</v>
      </c>
      <c r="C40" s="22" t="n">
        <v>46020</v>
      </c>
    </row>
    <row r="41">
      <c r="A41" t="inlineStr">
        <is>
          <t>1JN</t>
        </is>
      </c>
      <c r="B41" s="21" t="n">
        <v>0</v>
      </c>
      <c r="C41" s="22" t="n">
        <v>46020</v>
      </c>
    </row>
    <row r="42">
      <c r="A42" t="inlineStr">
        <is>
          <t>V03</t>
        </is>
      </c>
      <c r="B42" s="21" t="n">
        <v>0</v>
      </c>
      <c r="C42" s="22" t="n">
        <v>46020</v>
      </c>
    </row>
    <row r="43">
      <c r="A43" t="inlineStr">
        <is>
          <t>V19</t>
        </is>
      </c>
      <c r="B43" s="21" t="n">
        <v>0</v>
      </c>
      <c r="C43" s="22" t="n">
        <v>46020</v>
      </c>
    </row>
    <row r="44">
      <c r="A44" t="inlineStr">
        <is>
          <t>3TP</t>
        </is>
      </c>
      <c r="B44" s="21" t="n">
        <v>0</v>
      </c>
      <c r="C44" s="22" t="n">
        <v>46020</v>
      </c>
    </row>
    <row r="45">
      <c r="A45" t="inlineStr">
        <is>
          <t>A043</t>
        </is>
      </c>
      <c r="B45" s="21" t="n">
        <v>0</v>
      </c>
      <c r="C45" s="22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IF(COUNTIFS(T_SelfStock_Log[Part Name],$A6,T_SelfStock_Log[WeekIndex],1)=0,"",SUMIFS(T_SelfStock_Log[Self_Qty],T_SelfStock_Log[Part Name],$A6,T_SelfStock_Log[WeekIndex],1))</f>
        <v/>
      </c>
      <c r="C6" s="12">
        <f>IF(COUNTIFS(T_SelfStock_Log[Part Name],$A6,T_SelfStock_Log[WeekIndex],2)=0,"",SUMIFS(T_SelfStock_Log[Self_Qty],T_SelfStock_Log[Part Name],$A6,T_SelfStock_Log[WeekIndex],2))</f>
        <v/>
      </c>
      <c r="D6" s="12">
        <f>IF(COUNTIFS(T_SelfStock_Log[Part Name],$A6,T_SelfStock_Log[WeekIndex],3)=0,"",SUMIFS(T_SelfStock_Log[Self_Qty],T_SelfStock_Log[Part Name],$A6,T_SelfStock_Log[WeekIndex],3))</f>
        <v/>
      </c>
      <c r="E6" s="12">
        <f>IF(COUNTIFS(T_SelfStock_Log[Part Name],$A6,T_SelfStock_Log[WeekIndex],4)=0,"",SUMIFS(T_SelfStock_Log[Self_Qty],T_SelfStock_Log[Part Name],$A6,T_SelfStock_Log[WeekIndex],4))</f>
        <v/>
      </c>
      <c r="F6" s="12">
        <f>IF(COUNTIFS(T_SelfStock_Log[Part Name],$A6,T_SelfStock_Log[WeekIndex],5)=0,"",SUMIFS(T_SelfStock_Log[Self_Qty],T_SelfStock_Log[Part Name],$A6,T_SelfStock_Log[WeekIndex],5))</f>
        <v/>
      </c>
      <c r="G6" s="12">
        <f>IF(COUNTIFS(T_SelfStock_Log[Part Name],$A6,T_SelfStock_Log[WeekIndex],6)=0,"",SUMIFS(T_SelfStock_Log[Self_Qty],T_SelfStock_Log[Part Name],$A6,T_SelfStock_Log[WeekIndex],6))</f>
        <v/>
      </c>
      <c r="H6" s="12">
        <f>IF(COUNTIFS(T_SelfStock_Log[Part Name],$A6,T_SelfStock_Log[WeekIndex],7)=0,"",SUMIFS(T_SelfStock_Log[Self_Qty],T_SelfStock_Log[Part Name],$A6,T_SelfStock_Log[WeekIndex],7))</f>
        <v/>
      </c>
      <c r="I6" s="12">
        <f>IF(COUNTIFS(T_SelfStock_Log[Part Name],$A6,T_SelfStock_Log[WeekIndex],8)=0,"",SUMIFS(T_SelfStock_Log[Self_Qty],T_SelfStock_Log[Part Name],$A6,T_SelfStock_Log[WeekIndex],8))</f>
        <v/>
      </c>
      <c r="J6" s="12">
        <f>IF(COUNTIFS(T_SelfStock_Log[Part Name],$A6,T_SelfStock_Log[WeekIndex],9)=0,"",SUMIFS(T_SelfStock_Log[Self_Qty],T_SelfStock_Log[Part Name],$A6,T_SelfStock_Log[WeekIndex],9))</f>
        <v/>
      </c>
      <c r="K6" s="12">
        <f>IF(COUNTIFS(T_SelfStock_Log[Part Name],$A6,T_SelfStock_Log[WeekIndex],10)=0,"",SUMIFS(T_SelfStock_Log[Self_Qty],T_SelfStock_Log[Part Name],$A6,T_SelfStock_Log[WeekIndex],10))</f>
        <v/>
      </c>
      <c r="L6" s="12">
        <f>IF(COUNTIFS(T_SelfStock_Log[Part Name],$A6,T_SelfStock_Log[WeekIndex],11)=0,"",SUMIFS(T_SelfStock_Log[Self_Qty],T_SelfStock_Log[Part Name],$A6,T_SelfStock_Log[WeekIndex],11))</f>
        <v/>
      </c>
      <c r="M6" s="12">
        <f>IF(COUNTIFS(T_SelfStock_Log[Part Name],$A6,T_SelfStock_Log[WeekIndex],12)=0,"",SUMIFS(T_SelfStock_Log[Self_Qty],T_SelfStock_Log[Part Name],$A6,T_SelfStock_Log[WeekIndex],12))</f>
        <v/>
      </c>
      <c r="N6" s="12">
        <f>IF(COUNTIFS(T_SelfStock_Log[Part Name],$A6,T_SelfStock_Log[WeekIndex],13)=0,"",SUMIFS(T_SelfStock_Log[Self_Qty],T_SelfStock_Log[Part Name],$A6,T_SelfStock_Log[WeekIndex],13))</f>
        <v/>
      </c>
      <c r="O6" s="12">
        <f>IF(COUNTIFS(T_SelfStock_Log[Part Name],$A6,T_SelfStock_Log[WeekIndex],14)=0,"",SUMIFS(T_SelfStock_Log[Self_Qty],T_SelfStock_Log[Part Name],$A6,T_SelfStock_Log[WeekIndex],14))</f>
        <v/>
      </c>
      <c r="P6" s="12">
        <f>IF(COUNTIFS(T_SelfStock_Log[Part Name],$A6,T_SelfStock_Log[WeekIndex],15)=0,"",SUMIFS(T_SelfStock_Log[Self_Qty],T_SelfStock_Log[Part Name],$A6,T_SelfStock_Log[WeekIndex],15))</f>
        <v/>
      </c>
      <c r="Q6" s="12">
        <f>IF(COUNTIFS(T_SelfStock_Log[Part Name],$A6,T_SelfStock_Log[WeekIndex],16)=0,"",SUMIFS(T_SelfStock_Log[Self_Qty],T_SelfStock_Log[Part Name],$A6,T_SelfStock_Log[WeekIndex],16))</f>
        <v/>
      </c>
      <c r="R6" s="12">
        <f>IF(COUNTIFS(T_SelfStock_Log[Part Name],$A6,T_SelfStock_Log[WeekIndex],17)=0,"",SUMIFS(T_SelfStock_Log[Self_Qty],T_SelfStock_Log[Part Name],$A6,T_SelfStock_Log[WeekIndex],17))</f>
        <v/>
      </c>
      <c r="S6" s="12">
        <f>IF(COUNTIFS(T_SelfStock_Log[Part Name],$A6,T_SelfStock_Log[WeekIndex],18)=0,"",SUMIFS(T_SelfStock_Log[Self_Qty],T_SelfStock_Log[Part Name],$A6,T_SelfStock_Log[WeekIndex],18))</f>
        <v/>
      </c>
      <c r="T6" s="12">
        <f>IF(COUNTIFS(T_SelfStock_Log[Part Name],$A6,T_SelfStock_Log[WeekIndex],19)=0,"",SUMIFS(T_SelfStock_Log[Self_Qty],T_SelfStock_Log[Part Name],$A6,T_SelfStock_Log[WeekIndex],19))</f>
        <v/>
      </c>
      <c r="U6" s="12">
        <f>IF(COUNTIFS(T_SelfStock_Log[Part Name],$A6,T_SelfStock_Log[WeekIndex],20)=0,"",SUMIFS(T_SelfStock_Log[Self_Qty],T_SelfStock_Log[Part Name],$A6,T_SelfStock_Log[WeekIndex],20))</f>
        <v/>
      </c>
      <c r="V6" s="12">
        <f>IF(COUNTIFS(T_SelfStock_Log[Part Name],$A6,T_SelfStock_Log[WeekIndex],21)=0,"",SUMIFS(T_SelfStock_Log[Self_Qty],T_SelfStock_Log[Part Name],$A6,T_SelfStock_Log[WeekIndex],21))</f>
        <v/>
      </c>
      <c r="W6" s="12">
        <f>IF(COUNTIFS(T_SelfStock_Log[Part Name],$A6,T_SelfStock_Log[WeekIndex],22)=0,"",SUMIFS(T_SelfStock_Log[Self_Qty],T_SelfStock_Log[Part Name],$A6,T_SelfStock_Log[WeekIndex],22))</f>
        <v/>
      </c>
      <c r="X6" s="12">
        <f>IF(COUNTIFS(T_SelfStock_Log[Part Name],$A6,T_SelfStock_Log[WeekIndex],23)=0,"",SUMIFS(T_SelfStock_Log[Self_Qty],T_SelfStock_Log[Part Name],$A6,T_SelfStock_Log[WeekIndex],23))</f>
        <v/>
      </c>
      <c r="Y6" s="12">
        <f>IF(COUNTIFS(T_SelfStock_Log[Part Name],$A6,T_SelfStock_Log[WeekIndex],24)=0,"",SUMIFS(T_SelfStock_Log[Self_Qty],T_SelfStock_Log[Part Name],$A6,T_SelfStock_Log[WeekIndex],24))</f>
        <v/>
      </c>
      <c r="Z6" s="12">
        <f>IF(COUNTIFS(T_SelfStock_Log[Part Name],$A6,T_SelfStock_Log[WeekIndex],25)=0,"",SUMIFS(T_SelfStock_Log[Self_Qty],T_SelfStock_Log[Part Name],$A6,T_SelfStock_Log[WeekIndex],25))</f>
        <v/>
      </c>
      <c r="AA6" s="12">
        <f>IF(COUNTIFS(T_SelfStock_Log[Part Name],$A6,T_SelfStock_Log[WeekIndex],26)=0,"",SUMIFS(T_SelfStock_Log[Self_Qty],T_SelfStock_Log[Part Name],$A6,T_SelfStock_Log[WeekIndex],26))</f>
        <v/>
      </c>
      <c r="AB6" s="12">
        <f>IF(COUNTIFS(T_SelfStock_Log[Part Name],$A6,T_SelfStock_Log[WeekIndex],27)=0,"",SUMIFS(T_SelfStock_Log[Self_Qty],T_SelfStock_Log[Part Name],$A6,T_SelfStock_Log[WeekIndex],27))</f>
        <v/>
      </c>
      <c r="AC6" s="12">
        <f>IF(COUNTIFS(T_SelfStock_Log[Part Name],$A6,T_SelfStock_Log[WeekIndex],28)=0,"",SUMIFS(T_SelfStock_Log[Self_Qty],T_SelfStock_Log[Part Name],$A6,T_SelfStock_Log[WeekIndex],28))</f>
        <v/>
      </c>
      <c r="AD6" s="12">
        <f>IF(COUNTIFS(T_SelfStock_Log[Part Name],$A6,T_SelfStock_Log[WeekIndex],29)=0,"",SUMIFS(T_SelfStock_Log[Self_Qty],T_SelfStock_Log[Part Name],$A6,T_SelfStock_Log[WeekIndex],29))</f>
        <v/>
      </c>
      <c r="AE6" s="12">
        <f>IF(COUNTIFS(T_SelfStock_Log[Part Name],$A6,T_SelfStock_Log[WeekIndex],30)=0,"",SUMIFS(T_SelfStock_Log[Self_Qty],T_SelfStock_Log[Part Name],$A6,T_SelfStock_Log[WeekIndex],30))</f>
        <v/>
      </c>
      <c r="AF6" s="12">
        <f>IF(COUNTIFS(T_SelfStock_Log[Part Name],$A6,T_SelfStock_Log[WeekIndex],31)=0,"",SUMIFS(T_SelfStock_Log[Self_Qty],T_SelfStock_Log[Part Name],$A6,T_SelfStock_Log[WeekIndex],31))</f>
        <v/>
      </c>
      <c r="AG6" s="12">
        <f>IF(COUNTIFS(T_SelfStock_Log[Part Name],$A6,T_SelfStock_Log[WeekIndex],32)=0,"",SUMIFS(T_SelfStock_Log[Self_Qty],T_SelfStock_Log[Part Name],$A6,T_SelfStock_Log[WeekIndex],32))</f>
        <v/>
      </c>
      <c r="AH6" s="12">
        <f>IF(COUNTIFS(T_SelfStock_Log[Part Name],$A6,T_SelfStock_Log[WeekIndex],33)=0,"",SUMIFS(T_SelfStock_Log[Self_Qty],T_SelfStock_Log[Part Name],$A6,T_SelfStock_Log[WeekIndex],33))</f>
        <v/>
      </c>
      <c r="AI6" s="12">
        <f>IF(COUNTIFS(T_SelfStock_Log[Part Name],$A6,T_SelfStock_Log[WeekIndex],34)=0,"",SUMIFS(T_SelfStock_Log[Self_Qty],T_SelfStock_Log[Part Name],$A6,T_SelfStock_Log[WeekIndex],34))</f>
        <v/>
      </c>
      <c r="AJ6" s="12">
        <f>IF(COUNTIFS(T_SelfStock_Log[Part Name],$A6,T_SelfStock_Log[WeekIndex],35)=0,"",SUMIFS(T_SelfStock_Log[Self_Qty],T_SelfStock_Log[Part Name],$A6,T_SelfStock_Log[WeekIndex],35))</f>
        <v/>
      </c>
      <c r="AK6" s="12">
        <f>IF(COUNTIFS(T_SelfStock_Log[Part Name],$A6,T_SelfStock_Log[WeekIndex],36)=0,"",SUMIFS(T_SelfStock_Log[Self_Qty],T_SelfStock_Log[Part Name],$A6,T_SelfStock_Log[WeekIndex],36))</f>
        <v/>
      </c>
      <c r="AL6" s="12">
        <f>IF(COUNTIFS(T_SelfStock_Log[Part Name],$A6,T_SelfStock_Log[WeekIndex],37)=0,"",SUMIFS(T_SelfStock_Log[Self_Qty],T_SelfStock_Log[Part Name],$A6,T_SelfStock_Log[WeekIndex],37))</f>
        <v/>
      </c>
      <c r="AM6" s="12">
        <f>IF(COUNTIFS(T_SelfStock_Log[Part Name],$A6,T_SelfStock_Log[WeekIndex],38)=0,"",SUMIFS(T_SelfStock_Log[Self_Qty],T_SelfStock_Log[Part Name],$A6,T_SelfStock_Log[WeekIndex],38))</f>
        <v/>
      </c>
      <c r="AN6" s="12">
        <f>IF(COUNTIFS(T_SelfStock_Log[Part Name],$A6,T_SelfStock_Log[WeekIndex],39)=0,"",SUMIFS(T_SelfStock_Log[Self_Qty],T_SelfStock_Log[Part Name],$A6,T_SelfStock_Log[WeekIndex],39))</f>
        <v/>
      </c>
      <c r="AO6" s="12">
        <f>IF(COUNTIFS(T_SelfStock_Log[Part Name],$A6,T_SelfStock_Log[WeekIndex],40)=0,"",SUMIFS(T_SelfStock_Log[Self_Qty],T_SelfStock_Log[Part Name],$A6,T_SelfStock_Log[WeekIndex],40))</f>
        <v/>
      </c>
      <c r="AP6" s="12">
        <f>IF(COUNTIFS(T_SelfStock_Log[Part Name],$A6,T_SelfStock_Log[WeekIndex],41)=0,"",SUMIFS(T_SelfStock_Log[Self_Qty],T_SelfStock_Log[Part Name],$A6,T_SelfStock_Log[WeekIndex],41))</f>
        <v/>
      </c>
      <c r="AQ6" s="12">
        <f>IF(COUNTIFS(T_SelfStock_Log[Part Name],$A6,T_SelfStock_Log[WeekIndex],42)=0,"",SUMIFS(T_SelfStock_Log[Self_Qty],T_SelfStock_Log[Part Name],$A6,T_SelfStock_Log[WeekIndex],42))</f>
        <v/>
      </c>
      <c r="AR6" s="12">
        <f>IF(COUNTIFS(T_SelfStock_Log[Part Name],$A6,T_SelfStock_Log[WeekIndex],43)=0,"",SUMIFS(T_SelfStock_Log[Self_Qty],T_SelfStock_Log[Part Name],$A6,T_SelfStock_Log[WeekIndex],43))</f>
        <v/>
      </c>
      <c r="AS6" s="12">
        <f>IF(COUNTIFS(T_SelfStock_Log[Part Name],$A6,T_SelfStock_Log[WeekIndex],44)=0,"",SUMIFS(T_SelfStock_Log[Self_Qty],T_SelfStock_Log[Part Name],$A6,T_SelfStock_Log[WeekIndex],44))</f>
        <v/>
      </c>
      <c r="AT6" s="12">
        <f>IF(COUNTIFS(T_SelfStock_Log[Part Name],$A6,T_SelfStock_Log[WeekIndex],45)=0,"",SUMIFS(T_SelfStock_Log[Self_Qty],T_SelfStock_Log[Part Name],$A6,T_SelfStock_Log[WeekIndex],45))</f>
        <v/>
      </c>
      <c r="AU6" s="12">
        <f>IF(COUNTIFS(T_SelfStock_Log[Part Name],$A6,T_SelfStock_Log[WeekIndex],46)=0,"",SUMIFS(T_SelfStock_Log[Self_Qty],T_SelfStock_Log[Part Name],$A6,T_SelfStock_Log[WeekIndex],46))</f>
        <v/>
      </c>
      <c r="AV6" s="12">
        <f>IF(COUNTIFS(T_SelfStock_Log[Part Name],$A6,T_SelfStock_Log[WeekIndex],47)=0,"",SUMIFS(T_SelfStock_Log[Self_Qty],T_SelfStock_Log[Part Name],$A6,T_SelfStock_Log[WeekIndex],47))</f>
        <v/>
      </c>
      <c r="AW6" s="12">
        <f>IF(COUNTIFS(T_SelfStock_Log[Part Name],$A6,T_SelfStock_Log[WeekIndex],48)=0,"",SUMIFS(T_SelfStock_Log[Self_Qty],T_SelfStock_Log[Part Name],$A6,T_SelfStock_Log[WeekIndex],48))</f>
        <v/>
      </c>
      <c r="AX6" s="12">
        <f>IF(COUNTIFS(T_SelfStock_Log[Part Name],$A6,T_SelfStock_Log[WeekIndex],49)=0,"",SUMIFS(T_SelfStock_Log[Self_Qty],T_SelfStock_Log[Part Name],$A6,T_SelfStock_Log[WeekIndex],49))</f>
        <v/>
      </c>
      <c r="AY6" s="12">
        <f>IF(COUNTIFS(T_SelfStock_Log[Part Name],$A6,T_SelfStock_Log[WeekIndex],50)=0,"",SUMIFS(T_SelfStock_Log[Self_Qty],T_SelfStock_Log[Part Name],$A6,T_SelfStock_Log[WeekIndex],50))</f>
        <v/>
      </c>
      <c r="AZ6" s="12">
        <f>IF(COUNTIFS(T_SelfStock_Log[Part Name],$A6,T_SelfStock_Log[WeekIndex],51)=0,"",SUMIFS(T_SelfStock_Log[Self_Qty],T_SelfStock_Log[Part Name],$A6,T_SelfStock_Log[WeekIndex],51))</f>
        <v/>
      </c>
      <c r="BA6" s="12">
        <f>IF(COUNTIFS(T_SelfStock_Log[Part Name],$A6,T_SelfStock_Log[WeekIndex],52)=0,"",SUMIFS(T_SelfStock_Log[Self_Qty],T_SelfStock_Log[Part Name],$A6,T_SelfStock_Log[WeekIndex],52))</f>
        <v/>
      </c>
      <c r="BB6" s="12">
        <f>IF(COUNTIFS(T_SelfStock_Log[Part Name],$A6,T_SelfStock_Log[WeekIndex],53)=0,"",SUMIFS(T_SelfStock_Log[Self_Qty],T_SelfStock_Log[Part Name],$A6,T_SelfStock_Log[WeekIndex],53))</f>
        <v/>
      </c>
      <c r="BC6" s="12">
        <f>IF(COUNTIFS(T_SelfStock_Log[Part Name],$A6,T_SelfStock_Log[WeekIndex],54)=0,"",SUMIFS(T_SelfStock_Log[Self_Qty],T_SelfStock_Log[Part Name],$A6,T_SelfStock_Log[WeekIndex],54))</f>
        <v/>
      </c>
      <c r="BD6" s="12">
        <f>IF(COUNTIFS(T_SelfStock_Log[Part Name],$A6,T_SelfStock_Log[WeekIndex],55)=0,"",SUMIFS(T_SelfStock_Log[Self_Qty],T_SelfStock_Log[Part Name],$A6,T_SelfStock_Log[WeekIndex],55))</f>
        <v/>
      </c>
      <c r="BE6" s="12">
        <f>IF(COUNTIFS(T_SelfStock_Log[Part Name],$A6,T_SelfStock_Log[WeekIndex],56)=0,"",SUMIFS(T_SelfStock_Log[Self_Qty],T_SelfStock_Log[Part Name],$A6,T_SelfStock_Log[WeekIndex],56))</f>
        <v/>
      </c>
      <c r="BF6" s="12">
        <f>IF(COUNTIFS(T_SelfStock_Log[Part Name],$A6,T_SelfStock_Log[WeekIndex],57)=0,"",SUMIFS(T_SelfStock_Log[Self_Qty],T_SelfStock_Log[Part Name],$A6,T_SelfStock_Log[WeekIndex],57))</f>
        <v/>
      </c>
      <c r="BG6" s="12">
        <f>IF(COUNTIFS(T_SelfStock_Log[Part Name],$A6,T_SelfStock_Log[WeekIndex],58)=0,"",SUMIFS(T_SelfStock_Log[Self_Qty],T_SelfStock_Log[Part Name],$A6,T_SelfStock_Log[WeekIndex],58))</f>
        <v/>
      </c>
      <c r="BH6" s="12">
        <f>IF(COUNTIFS(T_SelfStock_Log[Part Name],$A6,T_SelfStock_Log[WeekIndex],59)=0,"",SUMIFS(T_SelfStock_Log[Self_Qty],T_SelfStock_Log[Part Name],$A6,T_SelfStock_Log[WeekIndex],59))</f>
        <v/>
      </c>
      <c r="BI6" s="12">
        <f>IF(COUNTIFS(T_SelfStock_Log[Part Name],$A6,T_SelfStock_Log[WeekIndex],60)=0,"",SUMIFS(T_SelfStock_Log[Self_Qty],T_SelfStock_Log[Part Name],$A6,T_SelfStock_Log[WeekIndex],60))</f>
        <v/>
      </c>
      <c r="BJ6" s="12">
        <f>IF(COUNTIFS(T_SelfStock_Log[Part Name],$A6,T_SelfStock_Log[WeekIndex],61)=0,"",SUMIFS(T_SelfStock_Log[Self_Qty],T_SelfStock_Log[Part Name],$A6,T_SelfStock_Log[WeekIndex],61))</f>
        <v/>
      </c>
      <c r="BK6" s="12">
        <f>IF(COUNTIFS(T_SelfStock_Log[Part Name],$A6,T_SelfStock_Log[WeekIndex],62)=0,"",SUMIFS(T_SelfStock_Log[Self_Qty],T_SelfStock_Log[Part Name],$A6,T_SelfStock_Log[WeekIndex],62))</f>
        <v/>
      </c>
      <c r="BL6" s="12">
        <f>IF(COUNTIFS(T_SelfStock_Log[Part Name],$A6,T_SelfStock_Log[WeekIndex],63)=0,"",SUMIFS(T_SelfStock_Log[Self_Qty],T_SelfStock_Log[Part Name],$A6,T_SelfStock_Log[WeekIndex],63))</f>
        <v/>
      </c>
      <c r="BM6" s="12">
        <f>IF(COUNTIFS(T_SelfStock_Log[Part Name],$A6,T_SelfStock_Log[WeekIndex],64)=0,"",SUMIFS(T_SelfStock_Log[Self_Qty],T_SelfStock_Log[Part Name],$A6,T_SelfStock_Log[WeekIndex],64))</f>
        <v/>
      </c>
      <c r="BN6" s="12">
        <f>IF(COUNTIFS(T_SelfStock_Log[Part Name],$A6,T_SelfStock_Log[WeekIndex],65)=0,"",SUMIFS(T_SelfStock_Log[Self_Qty],T_SelfStock_Log[Part Name],$A6,T_SelfStock_Log[WeekIndex],65))</f>
        <v/>
      </c>
      <c r="BO6" s="12">
        <f>IF(COUNTIFS(T_SelfStock_Log[Part Name],$A6,T_SelfStock_Log[WeekIndex],66)=0,"",SUMIFS(T_SelfStock_Log[Self_Qty],T_SelfStock_Log[Part Name],$A6,T_SelfStock_Log[WeekIndex],66))</f>
        <v/>
      </c>
      <c r="BP6" s="12">
        <f>IF(COUNTIFS(T_SelfStock_Log[Part Name],$A6,T_SelfStock_Log[WeekIndex],67)=0,"",SUMIFS(T_SelfStock_Log[Self_Qty],T_SelfStock_Log[Part Name],$A6,T_SelfStock_Log[WeekIndex],67))</f>
        <v/>
      </c>
      <c r="BQ6" s="12">
        <f>IF(COUNTIFS(T_SelfStock_Log[Part Name],$A6,T_SelfStock_Log[WeekIndex],68)=0,"",SUMIFS(T_SelfStock_Log[Self_Qty],T_SelfStock_Log[Part Name],$A6,T_SelfStock_Log[WeekIndex],68))</f>
        <v/>
      </c>
      <c r="BR6" s="12">
        <f>IF(COUNTIFS(T_SelfStock_Log[Part Name],$A6,T_SelfStock_Log[WeekIndex],69)=0,"",SUMIFS(T_SelfStock_Log[Self_Qty],T_SelfStock_Log[Part Name],$A6,T_SelfStock_Log[WeekIndex],69))</f>
        <v/>
      </c>
      <c r="BS6" s="12">
        <f>IF(COUNTIFS(T_SelfStock_Log[Part Name],$A6,T_SelfStock_Log[WeekIndex],70)=0,"",SUMIFS(T_SelfStock_Log[Self_Qty],T_SelfStock_Log[Part Name],$A6,T_SelfStock_Log[WeekIndex],70))</f>
        <v/>
      </c>
      <c r="BT6" s="12">
        <f>IF(COUNTIFS(T_SelfStock_Log[Part Name],$A6,T_SelfStock_Log[WeekIndex],71)=0,"",SUMIFS(T_SelfStock_Log[Self_Qty],T_SelfStock_Log[Part Name],$A6,T_SelfStock_Log[WeekIndex],71))</f>
        <v/>
      </c>
      <c r="BU6" s="12">
        <f>IF(COUNTIFS(T_SelfStock_Log[Part Name],$A6,T_SelfStock_Log[WeekIndex],72)=0,"",SUMIFS(T_SelfStock_Log[Self_Qty],T_SelfStock_Log[Part Name],$A6,T_SelfStock_Log[WeekIndex],72))</f>
        <v/>
      </c>
      <c r="BV6" s="12">
        <f>IF(COUNTIFS(T_SelfStock_Log[Part Name],$A6,T_SelfStock_Log[WeekIndex],73)=0,"",SUMIFS(T_SelfStock_Log[Self_Qty],T_SelfStock_Log[Part Name],$A6,T_SelfStock_Log[WeekIndex],73))</f>
        <v/>
      </c>
      <c r="BW6" s="12">
        <f>IF(COUNTIFS(T_SelfStock_Log[Part Name],$A6,T_SelfStock_Log[WeekIndex],74)=0,"",SUMIFS(T_SelfStock_Log[Self_Qty],T_SelfStock_Log[Part Name],$A6,T_SelfStock_Log[WeekIndex],74))</f>
        <v/>
      </c>
      <c r="BX6" s="12">
        <f>IF(COUNTIFS(T_SelfStock_Log[Part Name],$A6,T_SelfStock_Log[WeekIndex],75)=0,"",SUMIFS(T_SelfStock_Log[Self_Qty],T_SelfStock_Log[Part Name],$A6,T_SelfStock_Log[WeekIndex],75))</f>
        <v/>
      </c>
      <c r="BY6" s="12">
        <f>IF(COUNTIFS(T_SelfStock_Log[Part Name],$A6,T_SelfStock_Log[WeekIndex],76)=0,"",SUMIFS(T_SelfStock_Log[Self_Qty],T_SelfStock_Log[Part Name],$A6,T_SelfStock_Log[WeekIndex],76))</f>
        <v/>
      </c>
      <c r="BZ6" s="12">
        <f>IF(COUNTIFS(T_SelfStock_Log[Part Name],$A6,T_SelfStock_Log[WeekIndex],77)=0,"",SUMIFS(T_SelfStock_Log[Self_Qty],T_SelfStock_Log[Part Name],$A6,T_SelfStock_Log[WeekIndex],77))</f>
        <v/>
      </c>
      <c r="CA6" s="12">
        <f>IF(COUNTIFS(T_SelfStock_Log[Part Name],$A6,T_SelfStock_Log[WeekIndex],78)=0,"",SUMIFS(T_SelfStock_Log[Self_Qty],T_SelfStock_Log[Part Name],$A6,T_SelfStock_Log[WeekIndex],78))</f>
        <v/>
      </c>
      <c r="CB6" s="12">
        <f>IF(COUNTIFS(T_SelfStock_Log[Part Name],$A6,T_SelfStock_Log[WeekIndex],79)=0,"",SUMIFS(T_SelfStock_Log[Self_Qty],T_SelfStock_Log[Part Name],$A6,T_SelfStock_Log[WeekIndex],79))</f>
        <v/>
      </c>
      <c r="CC6" s="12">
        <f>IF(COUNTIFS(T_SelfStock_Log[Part Name],$A6,T_SelfStock_Log[WeekIndex],80)=0,"",SUMIFS(T_SelfStock_Log[Self_Qty],T_SelfStock_Log[Part Name],$A6,T_SelfStock_Log[WeekIndex],80))</f>
        <v/>
      </c>
      <c r="CD6" s="12">
        <f>IF(COUNTIFS(T_SelfStock_Log[Part Name],$A6,T_SelfStock_Log[WeekIndex],81)=0,"",SUMIFS(T_SelfStock_Log[Self_Qty],T_SelfStock_Log[Part Name],$A6,T_SelfStock_Log[WeekIndex],81))</f>
        <v/>
      </c>
      <c r="CE6" s="12">
        <f>IF(COUNTIFS(T_SelfStock_Log[Part Name],$A6,T_SelfStock_Log[WeekIndex],82)=0,"",SUMIFS(T_SelfStock_Log[Self_Qty],T_SelfStock_Log[Part Name],$A6,T_SelfStock_Log[WeekIndex],82))</f>
        <v/>
      </c>
      <c r="CF6" s="12">
        <f>IF(COUNTIFS(T_SelfStock_Log[Part Name],$A6,T_SelfStock_Log[WeekIndex],83)=0,"",SUMIFS(T_SelfStock_Log[Self_Qty],T_SelfStock_Log[Part Name],$A6,T_SelfStock_Log[WeekIndex],83))</f>
        <v/>
      </c>
      <c r="CG6" s="12">
        <f>IF(COUNTIFS(T_SelfStock_Log[Part Name],$A6,T_SelfStock_Log[WeekIndex],84)=0,"",SUMIFS(T_SelfStock_Log[Self_Qty],T_SelfStock_Log[Part Name],$A6,T_SelfStock_Log[WeekIndex],84))</f>
        <v/>
      </c>
      <c r="CH6" s="12">
        <f>IF(COUNTIFS(T_SelfStock_Log[Part Name],$A6,T_SelfStock_Log[WeekIndex],85)=0,"",SUMIFS(T_SelfStock_Log[Self_Qty],T_SelfStock_Log[Part Name],$A6,T_SelfStock_Log[WeekIndex],85))</f>
        <v/>
      </c>
      <c r="CI6" s="12">
        <f>IF(COUNTIFS(T_SelfStock_Log[Part Name],$A6,T_SelfStock_Log[WeekIndex],86)=0,"",SUMIFS(T_SelfStock_Log[Self_Qty],T_SelfStock_Log[Part Name],$A6,T_SelfStock_Log[WeekIndex],86))</f>
        <v/>
      </c>
      <c r="CJ6" s="12">
        <f>IF(COUNTIFS(T_SelfStock_Log[Part Name],$A6,T_SelfStock_Log[WeekIndex],87)=0,"",SUMIFS(T_SelfStock_Log[Self_Qty],T_SelfStock_Log[Part Name],$A6,T_SelfStock_Log[WeekIndex],87))</f>
        <v/>
      </c>
      <c r="CK6" s="12">
        <f>IF(COUNTIFS(T_SelfStock_Log[Part Name],$A6,T_SelfStock_Log[WeekIndex],88)=0,"",SUMIFS(T_SelfStock_Log[Self_Qty],T_SelfStock_Log[Part Name],$A6,T_SelfStock_Log[WeekIndex],88))</f>
        <v/>
      </c>
      <c r="CL6" s="12">
        <f>IF(COUNTIFS(T_SelfStock_Log[Part Name],$A6,T_SelfStock_Log[WeekIndex],89)=0,"",SUMIFS(T_SelfStock_Log[Self_Qty],T_SelfStock_Log[Part Name],$A6,T_SelfStock_Log[WeekIndex],89))</f>
        <v/>
      </c>
      <c r="CM6" s="12">
        <f>IF(COUNTIFS(T_SelfStock_Log[Part Name],$A6,T_SelfStock_Log[WeekIndex],90)=0,"",SUMIFS(T_SelfStock_Log[Self_Qty],T_SelfStock_Log[Part Name],$A6,T_SelfStock_Log[WeekIndex],90))</f>
        <v/>
      </c>
      <c r="CN6" s="12">
        <f>IF(COUNTIFS(T_SelfStock_Log[Part Name],$A6,T_SelfStock_Log[WeekIndex],91)=0,"",SUMIFS(T_SelfStock_Log[Self_Qty],T_SelfStock_Log[Part Name],$A6,T_SelfStock_Log[WeekIndex],91))</f>
        <v/>
      </c>
      <c r="CO6" s="12">
        <f>IF(COUNTIFS(T_SelfStock_Log[Part Name],$A6,T_SelfStock_Log[WeekIndex],92)=0,"",SUMIFS(T_SelfStock_Log[Self_Qty],T_SelfStock_Log[Part Name],$A6,T_SelfStock_Log[WeekIndex],92))</f>
        <v/>
      </c>
      <c r="CP6" s="12">
        <f>IF(COUNTIFS(T_SelfStock_Log[Part Name],$A6,T_SelfStock_Log[WeekIndex],93)=0,"",SUMIFS(T_SelfStock_Log[Self_Qty],T_SelfStock_Log[Part Name],$A6,T_SelfStock_Log[WeekIndex],93))</f>
        <v/>
      </c>
      <c r="CQ6" s="12">
        <f>IF(COUNTIFS(T_SelfStock_Log[Part Name],$A6,T_SelfStock_Log[WeekIndex],94)=0,"",SUMIFS(T_SelfStock_Log[Self_Qty],T_SelfStock_Log[Part Name],$A6,T_SelfStock_Log[WeekIndex],94))</f>
        <v/>
      </c>
      <c r="CR6" s="12">
        <f>IF(COUNTIFS(T_SelfStock_Log[Part Name],$A6,T_SelfStock_Log[WeekIndex],95)=0,"",SUMIFS(T_SelfStock_Log[Self_Qty],T_SelfStock_Log[Part Name],$A6,T_SelfStock_Log[WeekIndex],95))</f>
        <v/>
      </c>
      <c r="CS6" s="12">
        <f>IF(COUNTIFS(T_SelfStock_Log[Part Name],$A6,T_SelfStock_Log[WeekIndex],96)=0,"",SUMIFS(T_SelfStock_Log[Self_Qty],T_SelfStock_Log[Part Name],$A6,T_SelfStock_Log[WeekIndex],96))</f>
        <v/>
      </c>
      <c r="CT6" s="12">
        <f>IF(COUNTIFS(T_SelfStock_Log[Part Name],$A6,T_SelfStock_Log[WeekIndex],97)=0,"",SUMIFS(T_SelfStock_Log[Self_Qty],T_SelfStock_Log[Part Name],$A6,T_SelfStock_Log[WeekIndex],97))</f>
        <v/>
      </c>
      <c r="CU6" s="12">
        <f>IF(COUNTIFS(T_SelfStock_Log[Part Name],$A6,T_SelfStock_Log[WeekIndex],98)=0,"",SUMIFS(T_SelfStock_Log[Self_Qty],T_SelfStock_Log[Part Name],$A6,T_SelfStock_Log[WeekIndex],98))</f>
        <v/>
      </c>
      <c r="CV6" s="12">
        <f>IF(COUNTIFS(T_SelfStock_Log[Part Name],$A6,T_SelfStock_Log[WeekIndex],99)=0,"",SUMIFS(T_SelfStock_Log[Self_Qty],T_SelfStock_Log[Part Name],$A6,T_SelfStock_Log[WeekIndex],99))</f>
        <v/>
      </c>
      <c r="CW6" s="12">
        <f>IF(COUNTIFS(T_SelfStock_Log[Part Name],$A6,T_SelfStock_Log[WeekIndex],100)=0,"",SUMIFS(T_SelfStock_Log[Self_Qty],T_SelfStock_Log[Part Name],$A6,T_SelfStock_Log[WeekIndex],100))</f>
        <v/>
      </c>
      <c r="CX6" s="12">
        <f>IF(COUNTIFS(T_SelfStock_Log[Part Name],$A6,T_SelfStock_Log[WeekIndex],101)=0,"",SUMIFS(T_SelfStock_Log[Self_Qty],T_SelfStock_Log[Part Name],$A6,T_SelfStock_Log[WeekIndex],101))</f>
        <v/>
      </c>
      <c r="CY6" s="12">
        <f>IF(COUNTIFS(T_SelfStock_Log[Part Name],$A6,T_SelfStock_Log[WeekIndex],102)=0,"",SUMIFS(T_SelfStock_Log[Self_Qty],T_SelfStock_Log[Part Name],$A6,T_SelfStock_Log[WeekIndex],102))</f>
        <v/>
      </c>
      <c r="CZ6" s="12">
        <f>IF(COUNTIFS(T_SelfStock_Log[Part Name],$A6,T_SelfStock_Log[WeekIndex],103)=0,"",SUMIFS(T_SelfStock_Log[Self_Qty],T_SelfStock_Log[Part Name],$A6,T_SelfStock_Log[WeekIndex],103))</f>
        <v/>
      </c>
      <c r="DA6" s="12">
        <f>IF(COUNTIFS(T_SelfStock_Log[Part Name],$A6,T_SelfStock_Log[WeekIndex],104)=0,"",SUMIFS(T_SelfStock_Log[Self_Qty],T_SelfStock_Log[Part Name],$A6,T_SelfStock_Log[WeekIndex],104))</f>
        <v/>
      </c>
    </row>
    <row r="7">
      <c r="A7" s="13" t="inlineStr">
        <is>
          <t>CHEM-1670</t>
        </is>
      </c>
      <c r="B7" s="13">
        <f>IF(COUNTIFS(T_SelfStock_Log[Part Name],$A7,T_SelfStock_Log[WeekIndex],1)=0,"",SUMIFS(T_SelfStock_Log[Self_Qty],T_SelfStock_Log[Part Name],$A7,T_SelfStock_Log[WeekIndex],1))</f>
        <v/>
      </c>
      <c r="C7" s="13">
        <f>IF(COUNTIFS(T_SelfStock_Log[Part Name],$A7,T_SelfStock_Log[WeekIndex],2)=0,"",SUMIFS(T_SelfStock_Log[Self_Qty],T_SelfStock_Log[Part Name],$A7,T_SelfStock_Log[WeekIndex],2))</f>
        <v/>
      </c>
      <c r="D7" s="13">
        <f>IF(COUNTIFS(T_SelfStock_Log[Part Name],$A7,T_SelfStock_Log[WeekIndex],3)=0,"",SUMIFS(T_SelfStock_Log[Self_Qty],T_SelfStock_Log[Part Name],$A7,T_SelfStock_Log[WeekIndex],3))</f>
        <v/>
      </c>
      <c r="E7" s="13">
        <f>IF(COUNTIFS(T_SelfStock_Log[Part Name],$A7,T_SelfStock_Log[WeekIndex],4)=0,"",SUMIFS(T_SelfStock_Log[Self_Qty],T_SelfStock_Log[Part Name],$A7,T_SelfStock_Log[WeekIndex],4))</f>
        <v/>
      </c>
      <c r="F7" s="13">
        <f>IF(COUNTIFS(T_SelfStock_Log[Part Name],$A7,T_SelfStock_Log[WeekIndex],5)=0,"",SUMIFS(T_SelfStock_Log[Self_Qty],T_SelfStock_Log[Part Name],$A7,T_SelfStock_Log[WeekIndex],5))</f>
        <v/>
      </c>
      <c r="G7" s="13">
        <f>IF(COUNTIFS(T_SelfStock_Log[Part Name],$A7,T_SelfStock_Log[WeekIndex],6)=0,"",SUMIFS(T_SelfStock_Log[Self_Qty],T_SelfStock_Log[Part Name],$A7,T_SelfStock_Log[WeekIndex],6))</f>
        <v/>
      </c>
      <c r="H7" s="13">
        <f>IF(COUNTIFS(T_SelfStock_Log[Part Name],$A7,T_SelfStock_Log[WeekIndex],7)=0,"",SUMIFS(T_SelfStock_Log[Self_Qty],T_SelfStock_Log[Part Name],$A7,T_SelfStock_Log[WeekIndex],7))</f>
        <v/>
      </c>
      <c r="I7" s="13">
        <f>IF(COUNTIFS(T_SelfStock_Log[Part Name],$A7,T_SelfStock_Log[WeekIndex],8)=0,"",SUMIFS(T_SelfStock_Log[Self_Qty],T_SelfStock_Log[Part Name],$A7,T_SelfStock_Log[WeekIndex],8))</f>
        <v/>
      </c>
      <c r="J7" s="13">
        <f>IF(COUNTIFS(T_SelfStock_Log[Part Name],$A7,T_SelfStock_Log[WeekIndex],9)=0,"",SUMIFS(T_SelfStock_Log[Self_Qty],T_SelfStock_Log[Part Name],$A7,T_SelfStock_Log[WeekIndex],9))</f>
        <v/>
      </c>
      <c r="K7" s="13">
        <f>IF(COUNTIFS(T_SelfStock_Log[Part Name],$A7,T_SelfStock_Log[WeekIndex],10)=0,"",SUMIFS(T_SelfStock_Log[Self_Qty],T_SelfStock_Log[Part Name],$A7,T_SelfStock_Log[WeekIndex],10))</f>
        <v/>
      </c>
      <c r="L7" s="13">
        <f>IF(COUNTIFS(T_SelfStock_Log[Part Name],$A7,T_SelfStock_Log[WeekIndex],11)=0,"",SUMIFS(T_SelfStock_Log[Self_Qty],T_SelfStock_Log[Part Name],$A7,T_SelfStock_Log[WeekIndex],11))</f>
        <v/>
      </c>
      <c r="M7" s="13">
        <f>IF(COUNTIFS(T_SelfStock_Log[Part Name],$A7,T_SelfStock_Log[WeekIndex],12)=0,"",SUMIFS(T_SelfStock_Log[Self_Qty],T_SelfStock_Log[Part Name],$A7,T_SelfStock_Log[WeekIndex],12))</f>
        <v/>
      </c>
      <c r="N7" s="13">
        <f>IF(COUNTIFS(T_SelfStock_Log[Part Name],$A7,T_SelfStock_Log[WeekIndex],13)=0,"",SUMIFS(T_SelfStock_Log[Self_Qty],T_SelfStock_Log[Part Name],$A7,T_SelfStock_Log[WeekIndex],13))</f>
        <v/>
      </c>
      <c r="O7" s="13">
        <f>IF(COUNTIFS(T_SelfStock_Log[Part Name],$A7,T_SelfStock_Log[WeekIndex],14)=0,"",SUMIFS(T_SelfStock_Log[Self_Qty],T_SelfStock_Log[Part Name],$A7,T_SelfStock_Log[WeekIndex],14))</f>
        <v/>
      </c>
      <c r="P7" s="13">
        <f>IF(COUNTIFS(T_SelfStock_Log[Part Name],$A7,T_SelfStock_Log[WeekIndex],15)=0,"",SUMIFS(T_SelfStock_Log[Self_Qty],T_SelfStock_Log[Part Name],$A7,T_SelfStock_Log[WeekIndex],15))</f>
        <v/>
      </c>
      <c r="Q7" s="13">
        <f>IF(COUNTIFS(T_SelfStock_Log[Part Name],$A7,T_SelfStock_Log[WeekIndex],16)=0,"",SUMIFS(T_SelfStock_Log[Self_Qty],T_SelfStock_Log[Part Name],$A7,T_SelfStock_Log[WeekIndex],16))</f>
        <v/>
      </c>
      <c r="R7" s="13">
        <f>IF(COUNTIFS(T_SelfStock_Log[Part Name],$A7,T_SelfStock_Log[WeekIndex],17)=0,"",SUMIFS(T_SelfStock_Log[Self_Qty],T_SelfStock_Log[Part Name],$A7,T_SelfStock_Log[WeekIndex],17))</f>
        <v/>
      </c>
      <c r="S7" s="13">
        <f>IF(COUNTIFS(T_SelfStock_Log[Part Name],$A7,T_SelfStock_Log[WeekIndex],18)=0,"",SUMIFS(T_SelfStock_Log[Self_Qty],T_SelfStock_Log[Part Name],$A7,T_SelfStock_Log[WeekIndex],18))</f>
        <v/>
      </c>
      <c r="T7" s="13">
        <f>IF(COUNTIFS(T_SelfStock_Log[Part Name],$A7,T_SelfStock_Log[WeekIndex],19)=0,"",SUMIFS(T_SelfStock_Log[Self_Qty],T_SelfStock_Log[Part Name],$A7,T_SelfStock_Log[WeekIndex],19))</f>
        <v/>
      </c>
      <c r="U7" s="13">
        <f>IF(COUNTIFS(T_SelfStock_Log[Part Name],$A7,T_SelfStock_Log[WeekIndex],20)=0,"",SUMIFS(T_SelfStock_Log[Self_Qty],T_SelfStock_Log[Part Name],$A7,T_SelfStock_Log[WeekIndex],20))</f>
        <v/>
      </c>
      <c r="V7" s="13">
        <f>IF(COUNTIFS(T_SelfStock_Log[Part Name],$A7,T_SelfStock_Log[WeekIndex],21)=0,"",SUMIFS(T_SelfStock_Log[Self_Qty],T_SelfStock_Log[Part Name],$A7,T_SelfStock_Log[WeekIndex],21))</f>
        <v/>
      </c>
      <c r="W7" s="13">
        <f>IF(COUNTIFS(T_SelfStock_Log[Part Name],$A7,T_SelfStock_Log[WeekIndex],22)=0,"",SUMIFS(T_SelfStock_Log[Self_Qty],T_SelfStock_Log[Part Name],$A7,T_SelfStock_Log[WeekIndex],22))</f>
        <v/>
      </c>
      <c r="X7" s="13">
        <f>IF(COUNTIFS(T_SelfStock_Log[Part Name],$A7,T_SelfStock_Log[WeekIndex],23)=0,"",SUMIFS(T_SelfStock_Log[Self_Qty],T_SelfStock_Log[Part Name],$A7,T_SelfStock_Log[WeekIndex],23))</f>
        <v/>
      </c>
      <c r="Y7" s="13">
        <f>IF(COUNTIFS(T_SelfStock_Log[Part Name],$A7,T_SelfStock_Log[WeekIndex],24)=0,"",SUMIFS(T_SelfStock_Log[Self_Qty],T_SelfStock_Log[Part Name],$A7,T_SelfStock_Log[WeekIndex],24))</f>
        <v/>
      </c>
      <c r="Z7" s="13">
        <f>IF(COUNTIFS(T_SelfStock_Log[Part Name],$A7,T_SelfStock_Log[WeekIndex],25)=0,"",SUMIFS(T_SelfStock_Log[Self_Qty],T_SelfStock_Log[Part Name],$A7,T_SelfStock_Log[WeekIndex],25))</f>
        <v/>
      </c>
      <c r="AA7" s="13">
        <f>IF(COUNTIFS(T_SelfStock_Log[Part Name],$A7,T_SelfStock_Log[WeekIndex],26)=0,"",SUMIFS(T_SelfStock_Log[Self_Qty],T_SelfStock_Log[Part Name],$A7,T_SelfStock_Log[WeekIndex],26))</f>
        <v/>
      </c>
      <c r="AB7" s="13">
        <f>IF(COUNTIFS(T_SelfStock_Log[Part Name],$A7,T_SelfStock_Log[WeekIndex],27)=0,"",SUMIFS(T_SelfStock_Log[Self_Qty],T_SelfStock_Log[Part Name],$A7,T_SelfStock_Log[WeekIndex],27))</f>
        <v/>
      </c>
      <c r="AC7" s="13">
        <f>IF(COUNTIFS(T_SelfStock_Log[Part Name],$A7,T_SelfStock_Log[WeekIndex],28)=0,"",SUMIFS(T_SelfStock_Log[Self_Qty],T_SelfStock_Log[Part Name],$A7,T_SelfStock_Log[WeekIndex],28))</f>
        <v/>
      </c>
      <c r="AD7" s="13">
        <f>IF(COUNTIFS(T_SelfStock_Log[Part Name],$A7,T_SelfStock_Log[WeekIndex],29)=0,"",SUMIFS(T_SelfStock_Log[Self_Qty],T_SelfStock_Log[Part Name],$A7,T_SelfStock_Log[WeekIndex],29))</f>
        <v/>
      </c>
      <c r="AE7" s="13">
        <f>IF(COUNTIFS(T_SelfStock_Log[Part Name],$A7,T_SelfStock_Log[WeekIndex],30)=0,"",SUMIFS(T_SelfStock_Log[Self_Qty],T_SelfStock_Log[Part Name],$A7,T_SelfStock_Log[WeekIndex],30))</f>
        <v/>
      </c>
      <c r="AF7" s="13">
        <f>IF(COUNTIFS(T_SelfStock_Log[Part Name],$A7,T_SelfStock_Log[WeekIndex],31)=0,"",SUMIFS(T_SelfStock_Log[Self_Qty],T_SelfStock_Log[Part Name],$A7,T_SelfStock_Log[WeekIndex],31))</f>
        <v/>
      </c>
      <c r="AG7" s="13">
        <f>IF(COUNTIFS(T_SelfStock_Log[Part Name],$A7,T_SelfStock_Log[WeekIndex],32)=0,"",SUMIFS(T_SelfStock_Log[Self_Qty],T_SelfStock_Log[Part Name],$A7,T_SelfStock_Log[WeekIndex],32))</f>
        <v/>
      </c>
      <c r="AH7" s="13">
        <f>IF(COUNTIFS(T_SelfStock_Log[Part Name],$A7,T_SelfStock_Log[WeekIndex],33)=0,"",SUMIFS(T_SelfStock_Log[Self_Qty],T_SelfStock_Log[Part Name],$A7,T_SelfStock_Log[WeekIndex],33))</f>
        <v/>
      </c>
      <c r="AI7" s="13">
        <f>IF(COUNTIFS(T_SelfStock_Log[Part Name],$A7,T_SelfStock_Log[WeekIndex],34)=0,"",SUMIFS(T_SelfStock_Log[Self_Qty],T_SelfStock_Log[Part Name],$A7,T_SelfStock_Log[WeekIndex],34))</f>
        <v/>
      </c>
      <c r="AJ7" s="13">
        <f>IF(COUNTIFS(T_SelfStock_Log[Part Name],$A7,T_SelfStock_Log[WeekIndex],35)=0,"",SUMIFS(T_SelfStock_Log[Self_Qty],T_SelfStock_Log[Part Name],$A7,T_SelfStock_Log[WeekIndex],35))</f>
        <v/>
      </c>
      <c r="AK7" s="13">
        <f>IF(COUNTIFS(T_SelfStock_Log[Part Name],$A7,T_SelfStock_Log[WeekIndex],36)=0,"",SUMIFS(T_SelfStock_Log[Self_Qty],T_SelfStock_Log[Part Name],$A7,T_SelfStock_Log[WeekIndex],36))</f>
        <v/>
      </c>
      <c r="AL7" s="13">
        <f>IF(COUNTIFS(T_SelfStock_Log[Part Name],$A7,T_SelfStock_Log[WeekIndex],37)=0,"",SUMIFS(T_SelfStock_Log[Self_Qty],T_SelfStock_Log[Part Name],$A7,T_SelfStock_Log[WeekIndex],37))</f>
        <v/>
      </c>
      <c r="AM7" s="13">
        <f>IF(COUNTIFS(T_SelfStock_Log[Part Name],$A7,T_SelfStock_Log[WeekIndex],38)=0,"",SUMIFS(T_SelfStock_Log[Self_Qty],T_SelfStock_Log[Part Name],$A7,T_SelfStock_Log[WeekIndex],38))</f>
        <v/>
      </c>
      <c r="AN7" s="13">
        <f>IF(COUNTIFS(T_SelfStock_Log[Part Name],$A7,T_SelfStock_Log[WeekIndex],39)=0,"",SUMIFS(T_SelfStock_Log[Self_Qty],T_SelfStock_Log[Part Name],$A7,T_SelfStock_Log[WeekIndex],39))</f>
        <v/>
      </c>
      <c r="AO7" s="13">
        <f>IF(COUNTIFS(T_SelfStock_Log[Part Name],$A7,T_SelfStock_Log[WeekIndex],40)=0,"",SUMIFS(T_SelfStock_Log[Self_Qty],T_SelfStock_Log[Part Name],$A7,T_SelfStock_Log[WeekIndex],40))</f>
        <v/>
      </c>
      <c r="AP7" s="13">
        <f>IF(COUNTIFS(T_SelfStock_Log[Part Name],$A7,T_SelfStock_Log[WeekIndex],41)=0,"",SUMIFS(T_SelfStock_Log[Self_Qty],T_SelfStock_Log[Part Name],$A7,T_SelfStock_Log[WeekIndex],41))</f>
        <v/>
      </c>
      <c r="AQ7" s="13">
        <f>IF(COUNTIFS(T_SelfStock_Log[Part Name],$A7,T_SelfStock_Log[WeekIndex],42)=0,"",SUMIFS(T_SelfStock_Log[Self_Qty],T_SelfStock_Log[Part Name],$A7,T_SelfStock_Log[WeekIndex],42))</f>
        <v/>
      </c>
      <c r="AR7" s="13">
        <f>IF(COUNTIFS(T_SelfStock_Log[Part Name],$A7,T_SelfStock_Log[WeekIndex],43)=0,"",SUMIFS(T_SelfStock_Log[Self_Qty],T_SelfStock_Log[Part Name],$A7,T_SelfStock_Log[WeekIndex],43))</f>
        <v/>
      </c>
      <c r="AS7" s="13">
        <f>IF(COUNTIFS(T_SelfStock_Log[Part Name],$A7,T_SelfStock_Log[WeekIndex],44)=0,"",SUMIFS(T_SelfStock_Log[Self_Qty],T_SelfStock_Log[Part Name],$A7,T_SelfStock_Log[WeekIndex],44))</f>
        <v/>
      </c>
      <c r="AT7" s="13">
        <f>IF(COUNTIFS(T_SelfStock_Log[Part Name],$A7,T_SelfStock_Log[WeekIndex],45)=0,"",SUMIFS(T_SelfStock_Log[Self_Qty],T_SelfStock_Log[Part Name],$A7,T_SelfStock_Log[WeekIndex],45))</f>
        <v/>
      </c>
      <c r="AU7" s="13">
        <f>IF(COUNTIFS(T_SelfStock_Log[Part Name],$A7,T_SelfStock_Log[WeekIndex],46)=0,"",SUMIFS(T_SelfStock_Log[Self_Qty],T_SelfStock_Log[Part Name],$A7,T_SelfStock_Log[WeekIndex],46))</f>
        <v/>
      </c>
      <c r="AV7" s="13">
        <f>IF(COUNTIFS(T_SelfStock_Log[Part Name],$A7,T_SelfStock_Log[WeekIndex],47)=0,"",SUMIFS(T_SelfStock_Log[Self_Qty],T_SelfStock_Log[Part Name],$A7,T_SelfStock_Log[WeekIndex],47))</f>
        <v/>
      </c>
      <c r="AW7" s="13">
        <f>IF(COUNTIFS(T_SelfStock_Log[Part Name],$A7,T_SelfStock_Log[WeekIndex],48)=0,"",SUMIFS(T_SelfStock_Log[Self_Qty],T_SelfStock_Log[Part Name],$A7,T_SelfStock_Log[WeekIndex],48))</f>
        <v/>
      </c>
      <c r="AX7" s="13">
        <f>IF(COUNTIFS(T_SelfStock_Log[Part Name],$A7,T_SelfStock_Log[WeekIndex],49)=0,"",SUMIFS(T_SelfStock_Log[Self_Qty],T_SelfStock_Log[Part Name],$A7,T_SelfStock_Log[WeekIndex],49))</f>
        <v/>
      </c>
      <c r="AY7" s="13">
        <f>IF(COUNTIFS(T_SelfStock_Log[Part Name],$A7,T_SelfStock_Log[WeekIndex],50)=0,"",SUMIFS(T_SelfStock_Log[Self_Qty],T_SelfStock_Log[Part Name],$A7,T_SelfStock_Log[WeekIndex],50))</f>
        <v/>
      </c>
      <c r="AZ7" s="13">
        <f>IF(COUNTIFS(T_SelfStock_Log[Part Name],$A7,T_SelfStock_Log[WeekIndex],51)=0,"",SUMIFS(T_SelfStock_Log[Self_Qty],T_SelfStock_Log[Part Name],$A7,T_SelfStock_Log[WeekIndex],51))</f>
        <v/>
      </c>
      <c r="BA7" s="13">
        <f>IF(COUNTIFS(T_SelfStock_Log[Part Name],$A7,T_SelfStock_Log[WeekIndex],52)=0,"",SUMIFS(T_SelfStock_Log[Self_Qty],T_SelfStock_Log[Part Name],$A7,T_SelfStock_Log[WeekIndex],52))</f>
        <v/>
      </c>
      <c r="BB7" s="13">
        <f>IF(COUNTIFS(T_SelfStock_Log[Part Name],$A7,T_SelfStock_Log[WeekIndex],53)=0,"",SUMIFS(T_SelfStock_Log[Self_Qty],T_SelfStock_Log[Part Name],$A7,T_SelfStock_Log[WeekIndex],53))</f>
        <v/>
      </c>
      <c r="BC7" s="13">
        <f>IF(COUNTIFS(T_SelfStock_Log[Part Name],$A7,T_SelfStock_Log[WeekIndex],54)=0,"",SUMIFS(T_SelfStock_Log[Self_Qty],T_SelfStock_Log[Part Name],$A7,T_SelfStock_Log[WeekIndex],54))</f>
        <v/>
      </c>
      <c r="BD7" s="13">
        <f>IF(COUNTIFS(T_SelfStock_Log[Part Name],$A7,T_SelfStock_Log[WeekIndex],55)=0,"",SUMIFS(T_SelfStock_Log[Self_Qty],T_SelfStock_Log[Part Name],$A7,T_SelfStock_Log[WeekIndex],55))</f>
        <v/>
      </c>
      <c r="BE7" s="13">
        <f>IF(COUNTIFS(T_SelfStock_Log[Part Name],$A7,T_SelfStock_Log[WeekIndex],56)=0,"",SUMIFS(T_SelfStock_Log[Self_Qty],T_SelfStock_Log[Part Name],$A7,T_SelfStock_Log[WeekIndex],56))</f>
        <v/>
      </c>
      <c r="BF7" s="13">
        <f>IF(COUNTIFS(T_SelfStock_Log[Part Name],$A7,T_SelfStock_Log[WeekIndex],57)=0,"",SUMIFS(T_SelfStock_Log[Self_Qty],T_SelfStock_Log[Part Name],$A7,T_SelfStock_Log[WeekIndex],57))</f>
        <v/>
      </c>
      <c r="BG7" s="13">
        <f>IF(COUNTIFS(T_SelfStock_Log[Part Name],$A7,T_SelfStock_Log[WeekIndex],58)=0,"",SUMIFS(T_SelfStock_Log[Self_Qty],T_SelfStock_Log[Part Name],$A7,T_SelfStock_Log[WeekIndex],58))</f>
        <v/>
      </c>
      <c r="BH7" s="13">
        <f>IF(COUNTIFS(T_SelfStock_Log[Part Name],$A7,T_SelfStock_Log[WeekIndex],59)=0,"",SUMIFS(T_SelfStock_Log[Self_Qty],T_SelfStock_Log[Part Name],$A7,T_SelfStock_Log[WeekIndex],59))</f>
        <v/>
      </c>
      <c r="BI7" s="13">
        <f>IF(COUNTIFS(T_SelfStock_Log[Part Name],$A7,T_SelfStock_Log[WeekIndex],60)=0,"",SUMIFS(T_SelfStock_Log[Self_Qty],T_SelfStock_Log[Part Name],$A7,T_SelfStock_Log[WeekIndex],60))</f>
        <v/>
      </c>
      <c r="BJ7" s="13">
        <f>IF(COUNTIFS(T_SelfStock_Log[Part Name],$A7,T_SelfStock_Log[WeekIndex],61)=0,"",SUMIFS(T_SelfStock_Log[Self_Qty],T_SelfStock_Log[Part Name],$A7,T_SelfStock_Log[WeekIndex],61))</f>
        <v/>
      </c>
      <c r="BK7" s="13">
        <f>IF(COUNTIFS(T_SelfStock_Log[Part Name],$A7,T_SelfStock_Log[WeekIndex],62)=0,"",SUMIFS(T_SelfStock_Log[Self_Qty],T_SelfStock_Log[Part Name],$A7,T_SelfStock_Log[WeekIndex],62))</f>
        <v/>
      </c>
      <c r="BL7" s="13">
        <f>IF(COUNTIFS(T_SelfStock_Log[Part Name],$A7,T_SelfStock_Log[WeekIndex],63)=0,"",SUMIFS(T_SelfStock_Log[Self_Qty],T_SelfStock_Log[Part Name],$A7,T_SelfStock_Log[WeekIndex],63))</f>
        <v/>
      </c>
      <c r="BM7" s="13">
        <f>IF(COUNTIFS(T_SelfStock_Log[Part Name],$A7,T_SelfStock_Log[WeekIndex],64)=0,"",SUMIFS(T_SelfStock_Log[Self_Qty],T_SelfStock_Log[Part Name],$A7,T_SelfStock_Log[WeekIndex],64))</f>
        <v/>
      </c>
      <c r="BN7" s="13">
        <f>IF(COUNTIFS(T_SelfStock_Log[Part Name],$A7,T_SelfStock_Log[WeekIndex],65)=0,"",SUMIFS(T_SelfStock_Log[Self_Qty],T_SelfStock_Log[Part Name],$A7,T_SelfStock_Log[WeekIndex],65))</f>
        <v/>
      </c>
      <c r="BO7" s="13">
        <f>IF(COUNTIFS(T_SelfStock_Log[Part Name],$A7,T_SelfStock_Log[WeekIndex],66)=0,"",SUMIFS(T_SelfStock_Log[Self_Qty],T_SelfStock_Log[Part Name],$A7,T_SelfStock_Log[WeekIndex],66))</f>
        <v/>
      </c>
      <c r="BP7" s="13">
        <f>IF(COUNTIFS(T_SelfStock_Log[Part Name],$A7,T_SelfStock_Log[WeekIndex],67)=0,"",SUMIFS(T_SelfStock_Log[Self_Qty],T_SelfStock_Log[Part Name],$A7,T_SelfStock_Log[WeekIndex],67))</f>
        <v/>
      </c>
      <c r="BQ7" s="13">
        <f>IF(COUNTIFS(T_SelfStock_Log[Part Name],$A7,T_SelfStock_Log[WeekIndex],68)=0,"",SUMIFS(T_SelfStock_Log[Self_Qty],T_SelfStock_Log[Part Name],$A7,T_SelfStock_Log[WeekIndex],68))</f>
        <v/>
      </c>
      <c r="BR7" s="13">
        <f>IF(COUNTIFS(T_SelfStock_Log[Part Name],$A7,T_SelfStock_Log[WeekIndex],69)=0,"",SUMIFS(T_SelfStock_Log[Self_Qty],T_SelfStock_Log[Part Name],$A7,T_SelfStock_Log[WeekIndex],69))</f>
        <v/>
      </c>
      <c r="BS7" s="13">
        <f>IF(COUNTIFS(T_SelfStock_Log[Part Name],$A7,T_SelfStock_Log[WeekIndex],70)=0,"",SUMIFS(T_SelfStock_Log[Self_Qty],T_SelfStock_Log[Part Name],$A7,T_SelfStock_Log[WeekIndex],70))</f>
        <v/>
      </c>
      <c r="BT7" s="13">
        <f>IF(COUNTIFS(T_SelfStock_Log[Part Name],$A7,T_SelfStock_Log[WeekIndex],71)=0,"",SUMIFS(T_SelfStock_Log[Self_Qty],T_SelfStock_Log[Part Name],$A7,T_SelfStock_Log[WeekIndex],71))</f>
        <v/>
      </c>
      <c r="BU7" s="13">
        <f>IF(COUNTIFS(T_SelfStock_Log[Part Name],$A7,T_SelfStock_Log[WeekIndex],72)=0,"",SUMIFS(T_SelfStock_Log[Self_Qty],T_SelfStock_Log[Part Name],$A7,T_SelfStock_Log[WeekIndex],72))</f>
        <v/>
      </c>
      <c r="BV7" s="13">
        <f>IF(COUNTIFS(T_SelfStock_Log[Part Name],$A7,T_SelfStock_Log[WeekIndex],73)=0,"",SUMIFS(T_SelfStock_Log[Self_Qty],T_SelfStock_Log[Part Name],$A7,T_SelfStock_Log[WeekIndex],73))</f>
        <v/>
      </c>
      <c r="BW7" s="13">
        <f>IF(COUNTIFS(T_SelfStock_Log[Part Name],$A7,T_SelfStock_Log[WeekIndex],74)=0,"",SUMIFS(T_SelfStock_Log[Self_Qty],T_SelfStock_Log[Part Name],$A7,T_SelfStock_Log[WeekIndex],74))</f>
        <v/>
      </c>
      <c r="BX7" s="13">
        <f>IF(COUNTIFS(T_SelfStock_Log[Part Name],$A7,T_SelfStock_Log[WeekIndex],75)=0,"",SUMIFS(T_SelfStock_Log[Self_Qty],T_SelfStock_Log[Part Name],$A7,T_SelfStock_Log[WeekIndex],75))</f>
        <v/>
      </c>
      <c r="BY7" s="13">
        <f>IF(COUNTIFS(T_SelfStock_Log[Part Name],$A7,T_SelfStock_Log[WeekIndex],76)=0,"",SUMIFS(T_SelfStock_Log[Self_Qty],T_SelfStock_Log[Part Name],$A7,T_SelfStock_Log[WeekIndex],76))</f>
        <v/>
      </c>
      <c r="BZ7" s="13">
        <f>IF(COUNTIFS(T_SelfStock_Log[Part Name],$A7,T_SelfStock_Log[WeekIndex],77)=0,"",SUMIFS(T_SelfStock_Log[Self_Qty],T_SelfStock_Log[Part Name],$A7,T_SelfStock_Log[WeekIndex],77))</f>
        <v/>
      </c>
      <c r="CA7" s="13">
        <f>IF(COUNTIFS(T_SelfStock_Log[Part Name],$A7,T_SelfStock_Log[WeekIndex],78)=0,"",SUMIFS(T_SelfStock_Log[Self_Qty],T_SelfStock_Log[Part Name],$A7,T_SelfStock_Log[WeekIndex],78))</f>
        <v/>
      </c>
      <c r="CB7" s="13">
        <f>IF(COUNTIFS(T_SelfStock_Log[Part Name],$A7,T_SelfStock_Log[WeekIndex],79)=0,"",SUMIFS(T_SelfStock_Log[Self_Qty],T_SelfStock_Log[Part Name],$A7,T_SelfStock_Log[WeekIndex],79))</f>
        <v/>
      </c>
      <c r="CC7" s="13">
        <f>IF(COUNTIFS(T_SelfStock_Log[Part Name],$A7,T_SelfStock_Log[WeekIndex],80)=0,"",SUMIFS(T_SelfStock_Log[Self_Qty],T_SelfStock_Log[Part Name],$A7,T_SelfStock_Log[WeekIndex],80))</f>
        <v/>
      </c>
      <c r="CD7" s="13">
        <f>IF(COUNTIFS(T_SelfStock_Log[Part Name],$A7,T_SelfStock_Log[WeekIndex],81)=0,"",SUMIFS(T_SelfStock_Log[Self_Qty],T_SelfStock_Log[Part Name],$A7,T_SelfStock_Log[WeekIndex],81))</f>
        <v/>
      </c>
      <c r="CE7" s="13">
        <f>IF(COUNTIFS(T_SelfStock_Log[Part Name],$A7,T_SelfStock_Log[WeekIndex],82)=0,"",SUMIFS(T_SelfStock_Log[Self_Qty],T_SelfStock_Log[Part Name],$A7,T_SelfStock_Log[WeekIndex],82))</f>
        <v/>
      </c>
      <c r="CF7" s="13">
        <f>IF(COUNTIFS(T_SelfStock_Log[Part Name],$A7,T_SelfStock_Log[WeekIndex],83)=0,"",SUMIFS(T_SelfStock_Log[Self_Qty],T_SelfStock_Log[Part Name],$A7,T_SelfStock_Log[WeekIndex],83))</f>
        <v/>
      </c>
      <c r="CG7" s="13">
        <f>IF(COUNTIFS(T_SelfStock_Log[Part Name],$A7,T_SelfStock_Log[WeekIndex],84)=0,"",SUMIFS(T_SelfStock_Log[Self_Qty],T_SelfStock_Log[Part Name],$A7,T_SelfStock_Log[WeekIndex],84))</f>
        <v/>
      </c>
      <c r="CH7" s="13">
        <f>IF(COUNTIFS(T_SelfStock_Log[Part Name],$A7,T_SelfStock_Log[WeekIndex],85)=0,"",SUMIFS(T_SelfStock_Log[Self_Qty],T_SelfStock_Log[Part Name],$A7,T_SelfStock_Log[WeekIndex],85))</f>
        <v/>
      </c>
      <c r="CI7" s="13">
        <f>IF(COUNTIFS(T_SelfStock_Log[Part Name],$A7,T_SelfStock_Log[WeekIndex],86)=0,"",SUMIFS(T_SelfStock_Log[Self_Qty],T_SelfStock_Log[Part Name],$A7,T_SelfStock_Log[WeekIndex],86))</f>
        <v/>
      </c>
      <c r="CJ7" s="13">
        <f>IF(COUNTIFS(T_SelfStock_Log[Part Name],$A7,T_SelfStock_Log[WeekIndex],87)=0,"",SUMIFS(T_SelfStock_Log[Self_Qty],T_SelfStock_Log[Part Name],$A7,T_SelfStock_Log[WeekIndex],87))</f>
        <v/>
      </c>
      <c r="CK7" s="13">
        <f>IF(COUNTIFS(T_SelfStock_Log[Part Name],$A7,T_SelfStock_Log[WeekIndex],88)=0,"",SUMIFS(T_SelfStock_Log[Self_Qty],T_SelfStock_Log[Part Name],$A7,T_SelfStock_Log[WeekIndex],88))</f>
        <v/>
      </c>
      <c r="CL7" s="13">
        <f>IF(COUNTIFS(T_SelfStock_Log[Part Name],$A7,T_SelfStock_Log[WeekIndex],89)=0,"",SUMIFS(T_SelfStock_Log[Self_Qty],T_SelfStock_Log[Part Name],$A7,T_SelfStock_Log[WeekIndex],89))</f>
        <v/>
      </c>
      <c r="CM7" s="13">
        <f>IF(COUNTIFS(T_SelfStock_Log[Part Name],$A7,T_SelfStock_Log[WeekIndex],90)=0,"",SUMIFS(T_SelfStock_Log[Self_Qty],T_SelfStock_Log[Part Name],$A7,T_SelfStock_Log[WeekIndex],90))</f>
        <v/>
      </c>
      <c r="CN7" s="13">
        <f>IF(COUNTIFS(T_SelfStock_Log[Part Name],$A7,T_SelfStock_Log[WeekIndex],91)=0,"",SUMIFS(T_SelfStock_Log[Self_Qty],T_SelfStock_Log[Part Name],$A7,T_SelfStock_Log[WeekIndex],91))</f>
        <v/>
      </c>
      <c r="CO7" s="13">
        <f>IF(COUNTIFS(T_SelfStock_Log[Part Name],$A7,T_SelfStock_Log[WeekIndex],92)=0,"",SUMIFS(T_SelfStock_Log[Self_Qty],T_SelfStock_Log[Part Name],$A7,T_SelfStock_Log[WeekIndex],92))</f>
        <v/>
      </c>
      <c r="CP7" s="13">
        <f>IF(COUNTIFS(T_SelfStock_Log[Part Name],$A7,T_SelfStock_Log[WeekIndex],93)=0,"",SUMIFS(T_SelfStock_Log[Self_Qty],T_SelfStock_Log[Part Name],$A7,T_SelfStock_Log[WeekIndex],93))</f>
        <v/>
      </c>
      <c r="CQ7" s="13">
        <f>IF(COUNTIFS(T_SelfStock_Log[Part Name],$A7,T_SelfStock_Log[WeekIndex],94)=0,"",SUMIFS(T_SelfStock_Log[Self_Qty],T_SelfStock_Log[Part Name],$A7,T_SelfStock_Log[WeekIndex],94))</f>
        <v/>
      </c>
      <c r="CR7" s="13">
        <f>IF(COUNTIFS(T_SelfStock_Log[Part Name],$A7,T_SelfStock_Log[WeekIndex],95)=0,"",SUMIFS(T_SelfStock_Log[Self_Qty],T_SelfStock_Log[Part Name],$A7,T_SelfStock_Log[WeekIndex],95))</f>
        <v/>
      </c>
      <c r="CS7" s="13">
        <f>IF(COUNTIFS(T_SelfStock_Log[Part Name],$A7,T_SelfStock_Log[WeekIndex],96)=0,"",SUMIFS(T_SelfStock_Log[Self_Qty],T_SelfStock_Log[Part Name],$A7,T_SelfStock_Log[WeekIndex],96))</f>
        <v/>
      </c>
      <c r="CT7" s="13">
        <f>IF(COUNTIFS(T_SelfStock_Log[Part Name],$A7,T_SelfStock_Log[WeekIndex],97)=0,"",SUMIFS(T_SelfStock_Log[Self_Qty],T_SelfStock_Log[Part Name],$A7,T_SelfStock_Log[WeekIndex],97))</f>
        <v/>
      </c>
      <c r="CU7" s="13">
        <f>IF(COUNTIFS(T_SelfStock_Log[Part Name],$A7,T_SelfStock_Log[WeekIndex],98)=0,"",SUMIFS(T_SelfStock_Log[Self_Qty],T_SelfStock_Log[Part Name],$A7,T_SelfStock_Log[WeekIndex],98))</f>
        <v/>
      </c>
      <c r="CV7" s="13">
        <f>IF(COUNTIFS(T_SelfStock_Log[Part Name],$A7,T_SelfStock_Log[WeekIndex],99)=0,"",SUMIFS(T_SelfStock_Log[Self_Qty],T_SelfStock_Log[Part Name],$A7,T_SelfStock_Log[WeekIndex],99))</f>
        <v/>
      </c>
      <c r="CW7" s="13">
        <f>IF(COUNTIFS(T_SelfStock_Log[Part Name],$A7,T_SelfStock_Log[WeekIndex],100)=0,"",SUMIFS(T_SelfStock_Log[Self_Qty],T_SelfStock_Log[Part Name],$A7,T_SelfStock_Log[WeekIndex],100))</f>
        <v/>
      </c>
      <c r="CX7" s="13">
        <f>IF(COUNTIFS(T_SelfStock_Log[Part Name],$A7,T_SelfStock_Log[WeekIndex],101)=0,"",SUMIFS(T_SelfStock_Log[Self_Qty],T_SelfStock_Log[Part Name],$A7,T_SelfStock_Log[WeekIndex],101))</f>
        <v/>
      </c>
      <c r="CY7" s="13">
        <f>IF(COUNTIFS(T_SelfStock_Log[Part Name],$A7,T_SelfStock_Log[WeekIndex],102)=0,"",SUMIFS(T_SelfStock_Log[Self_Qty],T_SelfStock_Log[Part Name],$A7,T_SelfStock_Log[WeekIndex],102))</f>
        <v/>
      </c>
      <c r="CZ7" s="13">
        <f>IF(COUNTIFS(T_SelfStock_Log[Part Name],$A7,T_SelfStock_Log[WeekIndex],103)=0,"",SUMIFS(T_SelfStock_Log[Self_Qty],T_SelfStock_Log[Part Name],$A7,T_SelfStock_Log[WeekIndex],103))</f>
        <v/>
      </c>
      <c r="DA7" s="13">
        <f>IF(COUNTIFS(T_SelfStock_Log[Part Name],$A7,T_SelfStock_Log[WeekIndex],104)=0,"",SUMIFS(T_SelfStock_Log[Self_Qty],T_SelfStock_Log[Part Name],$A7,T_SelfStock_Log[WeekIndex],104))</f>
        <v/>
      </c>
    </row>
    <row r="8">
      <c r="A8" s="12" t="inlineStr">
        <is>
          <t>CHEM-1700</t>
        </is>
      </c>
      <c r="B8" s="12">
        <f>IF(COUNTIFS(T_SelfStock_Log[Part Name],$A8,T_SelfStock_Log[WeekIndex],1)=0,"",SUMIFS(T_SelfStock_Log[Self_Qty],T_SelfStock_Log[Part Name],$A8,T_SelfStock_Log[WeekIndex],1))</f>
        <v/>
      </c>
      <c r="C8" s="12">
        <f>IF(COUNTIFS(T_SelfStock_Log[Part Name],$A8,T_SelfStock_Log[WeekIndex],2)=0,"",SUMIFS(T_SelfStock_Log[Self_Qty],T_SelfStock_Log[Part Name],$A8,T_SelfStock_Log[WeekIndex],2))</f>
        <v/>
      </c>
      <c r="D8" s="12">
        <f>IF(COUNTIFS(T_SelfStock_Log[Part Name],$A8,T_SelfStock_Log[WeekIndex],3)=0,"",SUMIFS(T_SelfStock_Log[Self_Qty],T_SelfStock_Log[Part Name],$A8,T_SelfStock_Log[WeekIndex],3))</f>
        <v/>
      </c>
      <c r="E8" s="12">
        <f>IF(COUNTIFS(T_SelfStock_Log[Part Name],$A8,T_SelfStock_Log[WeekIndex],4)=0,"",SUMIFS(T_SelfStock_Log[Self_Qty],T_SelfStock_Log[Part Name],$A8,T_SelfStock_Log[WeekIndex],4))</f>
        <v/>
      </c>
      <c r="F8" s="12">
        <f>IF(COUNTIFS(T_SelfStock_Log[Part Name],$A8,T_SelfStock_Log[WeekIndex],5)=0,"",SUMIFS(T_SelfStock_Log[Self_Qty],T_SelfStock_Log[Part Name],$A8,T_SelfStock_Log[WeekIndex],5))</f>
        <v/>
      </c>
      <c r="G8" s="12">
        <f>IF(COUNTIFS(T_SelfStock_Log[Part Name],$A8,T_SelfStock_Log[WeekIndex],6)=0,"",SUMIFS(T_SelfStock_Log[Self_Qty],T_SelfStock_Log[Part Name],$A8,T_SelfStock_Log[WeekIndex],6))</f>
        <v/>
      </c>
      <c r="H8" s="12">
        <f>IF(COUNTIFS(T_SelfStock_Log[Part Name],$A8,T_SelfStock_Log[WeekIndex],7)=0,"",SUMIFS(T_SelfStock_Log[Self_Qty],T_SelfStock_Log[Part Name],$A8,T_SelfStock_Log[WeekIndex],7))</f>
        <v/>
      </c>
      <c r="I8" s="12">
        <f>IF(COUNTIFS(T_SelfStock_Log[Part Name],$A8,T_SelfStock_Log[WeekIndex],8)=0,"",SUMIFS(T_SelfStock_Log[Self_Qty],T_SelfStock_Log[Part Name],$A8,T_SelfStock_Log[WeekIndex],8))</f>
        <v/>
      </c>
      <c r="J8" s="12">
        <f>IF(COUNTIFS(T_SelfStock_Log[Part Name],$A8,T_SelfStock_Log[WeekIndex],9)=0,"",SUMIFS(T_SelfStock_Log[Self_Qty],T_SelfStock_Log[Part Name],$A8,T_SelfStock_Log[WeekIndex],9))</f>
        <v/>
      </c>
      <c r="K8" s="12">
        <f>IF(COUNTIFS(T_SelfStock_Log[Part Name],$A8,T_SelfStock_Log[WeekIndex],10)=0,"",SUMIFS(T_SelfStock_Log[Self_Qty],T_SelfStock_Log[Part Name],$A8,T_SelfStock_Log[WeekIndex],10))</f>
        <v/>
      </c>
      <c r="L8" s="12">
        <f>IF(COUNTIFS(T_SelfStock_Log[Part Name],$A8,T_SelfStock_Log[WeekIndex],11)=0,"",SUMIFS(T_SelfStock_Log[Self_Qty],T_SelfStock_Log[Part Name],$A8,T_SelfStock_Log[WeekIndex],11))</f>
        <v/>
      </c>
      <c r="M8" s="12">
        <f>IF(COUNTIFS(T_SelfStock_Log[Part Name],$A8,T_SelfStock_Log[WeekIndex],12)=0,"",SUMIFS(T_SelfStock_Log[Self_Qty],T_SelfStock_Log[Part Name],$A8,T_SelfStock_Log[WeekIndex],12))</f>
        <v/>
      </c>
      <c r="N8" s="12">
        <f>IF(COUNTIFS(T_SelfStock_Log[Part Name],$A8,T_SelfStock_Log[WeekIndex],13)=0,"",SUMIFS(T_SelfStock_Log[Self_Qty],T_SelfStock_Log[Part Name],$A8,T_SelfStock_Log[WeekIndex],13))</f>
        <v/>
      </c>
      <c r="O8" s="12">
        <f>IF(COUNTIFS(T_SelfStock_Log[Part Name],$A8,T_SelfStock_Log[WeekIndex],14)=0,"",SUMIFS(T_SelfStock_Log[Self_Qty],T_SelfStock_Log[Part Name],$A8,T_SelfStock_Log[WeekIndex],14))</f>
        <v/>
      </c>
      <c r="P8" s="12">
        <f>IF(COUNTIFS(T_SelfStock_Log[Part Name],$A8,T_SelfStock_Log[WeekIndex],15)=0,"",SUMIFS(T_SelfStock_Log[Self_Qty],T_SelfStock_Log[Part Name],$A8,T_SelfStock_Log[WeekIndex],15))</f>
        <v/>
      </c>
      <c r="Q8" s="12">
        <f>IF(COUNTIFS(T_SelfStock_Log[Part Name],$A8,T_SelfStock_Log[WeekIndex],16)=0,"",SUMIFS(T_SelfStock_Log[Self_Qty],T_SelfStock_Log[Part Name],$A8,T_SelfStock_Log[WeekIndex],16))</f>
        <v/>
      </c>
      <c r="R8" s="12">
        <f>IF(COUNTIFS(T_SelfStock_Log[Part Name],$A8,T_SelfStock_Log[WeekIndex],17)=0,"",SUMIFS(T_SelfStock_Log[Self_Qty],T_SelfStock_Log[Part Name],$A8,T_SelfStock_Log[WeekIndex],17))</f>
        <v/>
      </c>
      <c r="S8" s="12">
        <f>IF(COUNTIFS(T_SelfStock_Log[Part Name],$A8,T_SelfStock_Log[WeekIndex],18)=0,"",SUMIFS(T_SelfStock_Log[Self_Qty],T_SelfStock_Log[Part Name],$A8,T_SelfStock_Log[WeekIndex],18))</f>
        <v/>
      </c>
      <c r="T8" s="12">
        <f>IF(COUNTIFS(T_SelfStock_Log[Part Name],$A8,T_SelfStock_Log[WeekIndex],19)=0,"",SUMIFS(T_SelfStock_Log[Self_Qty],T_SelfStock_Log[Part Name],$A8,T_SelfStock_Log[WeekIndex],19))</f>
        <v/>
      </c>
      <c r="U8" s="12">
        <f>IF(COUNTIFS(T_SelfStock_Log[Part Name],$A8,T_SelfStock_Log[WeekIndex],20)=0,"",SUMIFS(T_SelfStock_Log[Self_Qty],T_SelfStock_Log[Part Name],$A8,T_SelfStock_Log[WeekIndex],20))</f>
        <v/>
      </c>
      <c r="V8" s="12">
        <f>IF(COUNTIFS(T_SelfStock_Log[Part Name],$A8,T_SelfStock_Log[WeekIndex],21)=0,"",SUMIFS(T_SelfStock_Log[Self_Qty],T_SelfStock_Log[Part Name],$A8,T_SelfStock_Log[WeekIndex],21))</f>
        <v/>
      </c>
      <c r="W8" s="12">
        <f>IF(COUNTIFS(T_SelfStock_Log[Part Name],$A8,T_SelfStock_Log[WeekIndex],22)=0,"",SUMIFS(T_SelfStock_Log[Self_Qty],T_SelfStock_Log[Part Name],$A8,T_SelfStock_Log[WeekIndex],22))</f>
        <v/>
      </c>
      <c r="X8" s="12">
        <f>IF(COUNTIFS(T_SelfStock_Log[Part Name],$A8,T_SelfStock_Log[WeekIndex],23)=0,"",SUMIFS(T_SelfStock_Log[Self_Qty],T_SelfStock_Log[Part Name],$A8,T_SelfStock_Log[WeekIndex],23))</f>
        <v/>
      </c>
      <c r="Y8" s="12">
        <f>IF(COUNTIFS(T_SelfStock_Log[Part Name],$A8,T_SelfStock_Log[WeekIndex],24)=0,"",SUMIFS(T_SelfStock_Log[Self_Qty],T_SelfStock_Log[Part Name],$A8,T_SelfStock_Log[WeekIndex],24))</f>
        <v/>
      </c>
      <c r="Z8" s="12">
        <f>IF(COUNTIFS(T_SelfStock_Log[Part Name],$A8,T_SelfStock_Log[WeekIndex],25)=0,"",SUMIFS(T_SelfStock_Log[Self_Qty],T_SelfStock_Log[Part Name],$A8,T_SelfStock_Log[WeekIndex],25))</f>
        <v/>
      </c>
      <c r="AA8" s="12">
        <f>IF(COUNTIFS(T_SelfStock_Log[Part Name],$A8,T_SelfStock_Log[WeekIndex],26)=0,"",SUMIFS(T_SelfStock_Log[Self_Qty],T_SelfStock_Log[Part Name],$A8,T_SelfStock_Log[WeekIndex],26))</f>
        <v/>
      </c>
      <c r="AB8" s="12">
        <f>IF(COUNTIFS(T_SelfStock_Log[Part Name],$A8,T_SelfStock_Log[WeekIndex],27)=0,"",SUMIFS(T_SelfStock_Log[Self_Qty],T_SelfStock_Log[Part Name],$A8,T_SelfStock_Log[WeekIndex],27))</f>
        <v/>
      </c>
      <c r="AC8" s="12">
        <f>IF(COUNTIFS(T_SelfStock_Log[Part Name],$A8,T_SelfStock_Log[WeekIndex],28)=0,"",SUMIFS(T_SelfStock_Log[Self_Qty],T_SelfStock_Log[Part Name],$A8,T_SelfStock_Log[WeekIndex],28))</f>
        <v/>
      </c>
      <c r="AD8" s="12">
        <f>IF(COUNTIFS(T_SelfStock_Log[Part Name],$A8,T_SelfStock_Log[WeekIndex],29)=0,"",SUMIFS(T_SelfStock_Log[Self_Qty],T_SelfStock_Log[Part Name],$A8,T_SelfStock_Log[WeekIndex],29))</f>
        <v/>
      </c>
      <c r="AE8" s="12">
        <f>IF(COUNTIFS(T_SelfStock_Log[Part Name],$A8,T_SelfStock_Log[WeekIndex],30)=0,"",SUMIFS(T_SelfStock_Log[Self_Qty],T_SelfStock_Log[Part Name],$A8,T_SelfStock_Log[WeekIndex],30))</f>
        <v/>
      </c>
      <c r="AF8" s="12">
        <f>IF(COUNTIFS(T_SelfStock_Log[Part Name],$A8,T_SelfStock_Log[WeekIndex],31)=0,"",SUMIFS(T_SelfStock_Log[Self_Qty],T_SelfStock_Log[Part Name],$A8,T_SelfStock_Log[WeekIndex],31))</f>
        <v/>
      </c>
      <c r="AG8" s="12">
        <f>IF(COUNTIFS(T_SelfStock_Log[Part Name],$A8,T_SelfStock_Log[WeekIndex],32)=0,"",SUMIFS(T_SelfStock_Log[Self_Qty],T_SelfStock_Log[Part Name],$A8,T_SelfStock_Log[WeekIndex],32))</f>
        <v/>
      </c>
      <c r="AH8" s="12">
        <f>IF(COUNTIFS(T_SelfStock_Log[Part Name],$A8,T_SelfStock_Log[WeekIndex],33)=0,"",SUMIFS(T_SelfStock_Log[Self_Qty],T_SelfStock_Log[Part Name],$A8,T_SelfStock_Log[WeekIndex],33))</f>
        <v/>
      </c>
      <c r="AI8" s="12">
        <f>IF(COUNTIFS(T_SelfStock_Log[Part Name],$A8,T_SelfStock_Log[WeekIndex],34)=0,"",SUMIFS(T_SelfStock_Log[Self_Qty],T_SelfStock_Log[Part Name],$A8,T_SelfStock_Log[WeekIndex],34))</f>
        <v/>
      </c>
      <c r="AJ8" s="12">
        <f>IF(COUNTIFS(T_SelfStock_Log[Part Name],$A8,T_SelfStock_Log[WeekIndex],35)=0,"",SUMIFS(T_SelfStock_Log[Self_Qty],T_SelfStock_Log[Part Name],$A8,T_SelfStock_Log[WeekIndex],35))</f>
        <v/>
      </c>
      <c r="AK8" s="12">
        <f>IF(COUNTIFS(T_SelfStock_Log[Part Name],$A8,T_SelfStock_Log[WeekIndex],36)=0,"",SUMIFS(T_SelfStock_Log[Self_Qty],T_SelfStock_Log[Part Name],$A8,T_SelfStock_Log[WeekIndex],36))</f>
        <v/>
      </c>
      <c r="AL8" s="12">
        <f>IF(COUNTIFS(T_SelfStock_Log[Part Name],$A8,T_SelfStock_Log[WeekIndex],37)=0,"",SUMIFS(T_SelfStock_Log[Self_Qty],T_SelfStock_Log[Part Name],$A8,T_SelfStock_Log[WeekIndex],37))</f>
        <v/>
      </c>
      <c r="AM8" s="12">
        <f>IF(COUNTIFS(T_SelfStock_Log[Part Name],$A8,T_SelfStock_Log[WeekIndex],38)=0,"",SUMIFS(T_SelfStock_Log[Self_Qty],T_SelfStock_Log[Part Name],$A8,T_SelfStock_Log[WeekIndex],38))</f>
        <v/>
      </c>
      <c r="AN8" s="12">
        <f>IF(COUNTIFS(T_SelfStock_Log[Part Name],$A8,T_SelfStock_Log[WeekIndex],39)=0,"",SUMIFS(T_SelfStock_Log[Self_Qty],T_SelfStock_Log[Part Name],$A8,T_SelfStock_Log[WeekIndex],39))</f>
        <v/>
      </c>
      <c r="AO8" s="12">
        <f>IF(COUNTIFS(T_SelfStock_Log[Part Name],$A8,T_SelfStock_Log[WeekIndex],40)=0,"",SUMIFS(T_SelfStock_Log[Self_Qty],T_SelfStock_Log[Part Name],$A8,T_SelfStock_Log[WeekIndex],40))</f>
        <v/>
      </c>
      <c r="AP8" s="12">
        <f>IF(COUNTIFS(T_SelfStock_Log[Part Name],$A8,T_SelfStock_Log[WeekIndex],41)=0,"",SUMIFS(T_SelfStock_Log[Self_Qty],T_SelfStock_Log[Part Name],$A8,T_SelfStock_Log[WeekIndex],41))</f>
        <v/>
      </c>
      <c r="AQ8" s="12">
        <f>IF(COUNTIFS(T_SelfStock_Log[Part Name],$A8,T_SelfStock_Log[WeekIndex],42)=0,"",SUMIFS(T_SelfStock_Log[Self_Qty],T_SelfStock_Log[Part Name],$A8,T_SelfStock_Log[WeekIndex],42))</f>
        <v/>
      </c>
      <c r="AR8" s="12">
        <f>IF(COUNTIFS(T_SelfStock_Log[Part Name],$A8,T_SelfStock_Log[WeekIndex],43)=0,"",SUMIFS(T_SelfStock_Log[Self_Qty],T_SelfStock_Log[Part Name],$A8,T_SelfStock_Log[WeekIndex],43))</f>
        <v/>
      </c>
      <c r="AS8" s="12">
        <f>IF(COUNTIFS(T_SelfStock_Log[Part Name],$A8,T_SelfStock_Log[WeekIndex],44)=0,"",SUMIFS(T_SelfStock_Log[Self_Qty],T_SelfStock_Log[Part Name],$A8,T_SelfStock_Log[WeekIndex],44))</f>
        <v/>
      </c>
      <c r="AT8" s="12">
        <f>IF(COUNTIFS(T_SelfStock_Log[Part Name],$A8,T_SelfStock_Log[WeekIndex],45)=0,"",SUMIFS(T_SelfStock_Log[Self_Qty],T_SelfStock_Log[Part Name],$A8,T_SelfStock_Log[WeekIndex],45))</f>
        <v/>
      </c>
      <c r="AU8" s="12">
        <f>IF(COUNTIFS(T_SelfStock_Log[Part Name],$A8,T_SelfStock_Log[WeekIndex],46)=0,"",SUMIFS(T_SelfStock_Log[Self_Qty],T_SelfStock_Log[Part Name],$A8,T_SelfStock_Log[WeekIndex],46))</f>
        <v/>
      </c>
      <c r="AV8" s="12">
        <f>IF(COUNTIFS(T_SelfStock_Log[Part Name],$A8,T_SelfStock_Log[WeekIndex],47)=0,"",SUMIFS(T_SelfStock_Log[Self_Qty],T_SelfStock_Log[Part Name],$A8,T_SelfStock_Log[WeekIndex],47))</f>
        <v/>
      </c>
      <c r="AW8" s="12">
        <f>IF(COUNTIFS(T_SelfStock_Log[Part Name],$A8,T_SelfStock_Log[WeekIndex],48)=0,"",SUMIFS(T_SelfStock_Log[Self_Qty],T_SelfStock_Log[Part Name],$A8,T_SelfStock_Log[WeekIndex],48))</f>
        <v/>
      </c>
      <c r="AX8" s="12">
        <f>IF(COUNTIFS(T_SelfStock_Log[Part Name],$A8,T_SelfStock_Log[WeekIndex],49)=0,"",SUMIFS(T_SelfStock_Log[Self_Qty],T_SelfStock_Log[Part Name],$A8,T_SelfStock_Log[WeekIndex],49))</f>
        <v/>
      </c>
      <c r="AY8" s="12">
        <f>IF(COUNTIFS(T_SelfStock_Log[Part Name],$A8,T_SelfStock_Log[WeekIndex],50)=0,"",SUMIFS(T_SelfStock_Log[Self_Qty],T_SelfStock_Log[Part Name],$A8,T_SelfStock_Log[WeekIndex],50))</f>
        <v/>
      </c>
      <c r="AZ8" s="12">
        <f>IF(COUNTIFS(T_SelfStock_Log[Part Name],$A8,T_SelfStock_Log[WeekIndex],51)=0,"",SUMIFS(T_SelfStock_Log[Self_Qty],T_SelfStock_Log[Part Name],$A8,T_SelfStock_Log[WeekIndex],51))</f>
        <v/>
      </c>
      <c r="BA8" s="12">
        <f>IF(COUNTIFS(T_SelfStock_Log[Part Name],$A8,T_SelfStock_Log[WeekIndex],52)=0,"",SUMIFS(T_SelfStock_Log[Self_Qty],T_SelfStock_Log[Part Name],$A8,T_SelfStock_Log[WeekIndex],52))</f>
        <v/>
      </c>
      <c r="BB8" s="12">
        <f>IF(COUNTIFS(T_SelfStock_Log[Part Name],$A8,T_SelfStock_Log[WeekIndex],53)=0,"",SUMIFS(T_SelfStock_Log[Self_Qty],T_SelfStock_Log[Part Name],$A8,T_SelfStock_Log[WeekIndex],53))</f>
        <v/>
      </c>
      <c r="BC8" s="12">
        <f>IF(COUNTIFS(T_SelfStock_Log[Part Name],$A8,T_SelfStock_Log[WeekIndex],54)=0,"",SUMIFS(T_SelfStock_Log[Self_Qty],T_SelfStock_Log[Part Name],$A8,T_SelfStock_Log[WeekIndex],54))</f>
        <v/>
      </c>
      <c r="BD8" s="12">
        <f>IF(COUNTIFS(T_SelfStock_Log[Part Name],$A8,T_SelfStock_Log[WeekIndex],55)=0,"",SUMIFS(T_SelfStock_Log[Self_Qty],T_SelfStock_Log[Part Name],$A8,T_SelfStock_Log[WeekIndex],55))</f>
        <v/>
      </c>
      <c r="BE8" s="12">
        <f>IF(COUNTIFS(T_SelfStock_Log[Part Name],$A8,T_SelfStock_Log[WeekIndex],56)=0,"",SUMIFS(T_SelfStock_Log[Self_Qty],T_SelfStock_Log[Part Name],$A8,T_SelfStock_Log[WeekIndex],56))</f>
        <v/>
      </c>
      <c r="BF8" s="12">
        <f>IF(COUNTIFS(T_SelfStock_Log[Part Name],$A8,T_SelfStock_Log[WeekIndex],57)=0,"",SUMIFS(T_SelfStock_Log[Self_Qty],T_SelfStock_Log[Part Name],$A8,T_SelfStock_Log[WeekIndex],57))</f>
        <v/>
      </c>
      <c r="BG8" s="12">
        <f>IF(COUNTIFS(T_SelfStock_Log[Part Name],$A8,T_SelfStock_Log[WeekIndex],58)=0,"",SUMIFS(T_SelfStock_Log[Self_Qty],T_SelfStock_Log[Part Name],$A8,T_SelfStock_Log[WeekIndex],58))</f>
        <v/>
      </c>
      <c r="BH8" s="12">
        <f>IF(COUNTIFS(T_SelfStock_Log[Part Name],$A8,T_SelfStock_Log[WeekIndex],59)=0,"",SUMIFS(T_SelfStock_Log[Self_Qty],T_SelfStock_Log[Part Name],$A8,T_SelfStock_Log[WeekIndex],59))</f>
        <v/>
      </c>
      <c r="BI8" s="12">
        <f>IF(COUNTIFS(T_SelfStock_Log[Part Name],$A8,T_SelfStock_Log[WeekIndex],60)=0,"",SUMIFS(T_SelfStock_Log[Self_Qty],T_SelfStock_Log[Part Name],$A8,T_SelfStock_Log[WeekIndex],60))</f>
        <v/>
      </c>
      <c r="BJ8" s="12">
        <f>IF(COUNTIFS(T_SelfStock_Log[Part Name],$A8,T_SelfStock_Log[WeekIndex],61)=0,"",SUMIFS(T_SelfStock_Log[Self_Qty],T_SelfStock_Log[Part Name],$A8,T_SelfStock_Log[WeekIndex],61))</f>
        <v/>
      </c>
      <c r="BK8" s="12">
        <f>IF(COUNTIFS(T_SelfStock_Log[Part Name],$A8,T_SelfStock_Log[WeekIndex],62)=0,"",SUMIFS(T_SelfStock_Log[Self_Qty],T_SelfStock_Log[Part Name],$A8,T_SelfStock_Log[WeekIndex],62))</f>
        <v/>
      </c>
      <c r="BL8" s="12">
        <f>IF(COUNTIFS(T_SelfStock_Log[Part Name],$A8,T_SelfStock_Log[WeekIndex],63)=0,"",SUMIFS(T_SelfStock_Log[Self_Qty],T_SelfStock_Log[Part Name],$A8,T_SelfStock_Log[WeekIndex],63))</f>
        <v/>
      </c>
      <c r="BM8" s="12">
        <f>IF(COUNTIFS(T_SelfStock_Log[Part Name],$A8,T_SelfStock_Log[WeekIndex],64)=0,"",SUMIFS(T_SelfStock_Log[Self_Qty],T_SelfStock_Log[Part Name],$A8,T_SelfStock_Log[WeekIndex],64))</f>
        <v/>
      </c>
      <c r="BN8" s="12">
        <f>IF(COUNTIFS(T_SelfStock_Log[Part Name],$A8,T_SelfStock_Log[WeekIndex],65)=0,"",SUMIFS(T_SelfStock_Log[Self_Qty],T_SelfStock_Log[Part Name],$A8,T_SelfStock_Log[WeekIndex],65))</f>
        <v/>
      </c>
      <c r="BO8" s="12">
        <f>IF(COUNTIFS(T_SelfStock_Log[Part Name],$A8,T_SelfStock_Log[WeekIndex],66)=0,"",SUMIFS(T_SelfStock_Log[Self_Qty],T_SelfStock_Log[Part Name],$A8,T_SelfStock_Log[WeekIndex],66))</f>
        <v/>
      </c>
      <c r="BP8" s="12">
        <f>IF(COUNTIFS(T_SelfStock_Log[Part Name],$A8,T_SelfStock_Log[WeekIndex],67)=0,"",SUMIFS(T_SelfStock_Log[Self_Qty],T_SelfStock_Log[Part Name],$A8,T_SelfStock_Log[WeekIndex],67))</f>
        <v/>
      </c>
      <c r="BQ8" s="12">
        <f>IF(COUNTIFS(T_SelfStock_Log[Part Name],$A8,T_SelfStock_Log[WeekIndex],68)=0,"",SUMIFS(T_SelfStock_Log[Self_Qty],T_SelfStock_Log[Part Name],$A8,T_SelfStock_Log[WeekIndex],68))</f>
        <v/>
      </c>
      <c r="BR8" s="12">
        <f>IF(COUNTIFS(T_SelfStock_Log[Part Name],$A8,T_SelfStock_Log[WeekIndex],69)=0,"",SUMIFS(T_SelfStock_Log[Self_Qty],T_SelfStock_Log[Part Name],$A8,T_SelfStock_Log[WeekIndex],69))</f>
        <v/>
      </c>
      <c r="BS8" s="12">
        <f>IF(COUNTIFS(T_SelfStock_Log[Part Name],$A8,T_SelfStock_Log[WeekIndex],70)=0,"",SUMIFS(T_SelfStock_Log[Self_Qty],T_SelfStock_Log[Part Name],$A8,T_SelfStock_Log[WeekIndex],70))</f>
        <v/>
      </c>
      <c r="BT8" s="12">
        <f>IF(COUNTIFS(T_SelfStock_Log[Part Name],$A8,T_SelfStock_Log[WeekIndex],71)=0,"",SUMIFS(T_SelfStock_Log[Self_Qty],T_SelfStock_Log[Part Name],$A8,T_SelfStock_Log[WeekIndex],71))</f>
        <v/>
      </c>
      <c r="BU8" s="12">
        <f>IF(COUNTIFS(T_SelfStock_Log[Part Name],$A8,T_SelfStock_Log[WeekIndex],72)=0,"",SUMIFS(T_SelfStock_Log[Self_Qty],T_SelfStock_Log[Part Name],$A8,T_SelfStock_Log[WeekIndex],72))</f>
        <v/>
      </c>
      <c r="BV8" s="12">
        <f>IF(COUNTIFS(T_SelfStock_Log[Part Name],$A8,T_SelfStock_Log[WeekIndex],73)=0,"",SUMIFS(T_SelfStock_Log[Self_Qty],T_SelfStock_Log[Part Name],$A8,T_SelfStock_Log[WeekIndex],73))</f>
        <v/>
      </c>
      <c r="BW8" s="12">
        <f>IF(COUNTIFS(T_SelfStock_Log[Part Name],$A8,T_SelfStock_Log[WeekIndex],74)=0,"",SUMIFS(T_SelfStock_Log[Self_Qty],T_SelfStock_Log[Part Name],$A8,T_SelfStock_Log[WeekIndex],74))</f>
        <v/>
      </c>
      <c r="BX8" s="12">
        <f>IF(COUNTIFS(T_SelfStock_Log[Part Name],$A8,T_SelfStock_Log[WeekIndex],75)=0,"",SUMIFS(T_SelfStock_Log[Self_Qty],T_SelfStock_Log[Part Name],$A8,T_SelfStock_Log[WeekIndex],75))</f>
        <v/>
      </c>
      <c r="BY8" s="12">
        <f>IF(COUNTIFS(T_SelfStock_Log[Part Name],$A8,T_SelfStock_Log[WeekIndex],76)=0,"",SUMIFS(T_SelfStock_Log[Self_Qty],T_SelfStock_Log[Part Name],$A8,T_SelfStock_Log[WeekIndex],76))</f>
        <v/>
      </c>
      <c r="BZ8" s="12">
        <f>IF(COUNTIFS(T_SelfStock_Log[Part Name],$A8,T_SelfStock_Log[WeekIndex],77)=0,"",SUMIFS(T_SelfStock_Log[Self_Qty],T_SelfStock_Log[Part Name],$A8,T_SelfStock_Log[WeekIndex],77))</f>
        <v/>
      </c>
      <c r="CA8" s="12">
        <f>IF(COUNTIFS(T_SelfStock_Log[Part Name],$A8,T_SelfStock_Log[WeekIndex],78)=0,"",SUMIFS(T_SelfStock_Log[Self_Qty],T_SelfStock_Log[Part Name],$A8,T_SelfStock_Log[WeekIndex],78))</f>
        <v/>
      </c>
      <c r="CB8" s="12">
        <f>IF(COUNTIFS(T_SelfStock_Log[Part Name],$A8,T_SelfStock_Log[WeekIndex],79)=0,"",SUMIFS(T_SelfStock_Log[Self_Qty],T_SelfStock_Log[Part Name],$A8,T_SelfStock_Log[WeekIndex],79))</f>
        <v/>
      </c>
      <c r="CC8" s="12">
        <f>IF(COUNTIFS(T_SelfStock_Log[Part Name],$A8,T_SelfStock_Log[WeekIndex],80)=0,"",SUMIFS(T_SelfStock_Log[Self_Qty],T_SelfStock_Log[Part Name],$A8,T_SelfStock_Log[WeekIndex],80))</f>
        <v/>
      </c>
      <c r="CD8" s="12">
        <f>IF(COUNTIFS(T_SelfStock_Log[Part Name],$A8,T_SelfStock_Log[WeekIndex],81)=0,"",SUMIFS(T_SelfStock_Log[Self_Qty],T_SelfStock_Log[Part Name],$A8,T_SelfStock_Log[WeekIndex],81))</f>
        <v/>
      </c>
      <c r="CE8" s="12">
        <f>IF(COUNTIFS(T_SelfStock_Log[Part Name],$A8,T_SelfStock_Log[WeekIndex],82)=0,"",SUMIFS(T_SelfStock_Log[Self_Qty],T_SelfStock_Log[Part Name],$A8,T_SelfStock_Log[WeekIndex],82))</f>
        <v/>
      </c>
      <c r="CF8" s="12">
        <f>IF(COUNTIFS(T_SelfStock_Log[Part Name],$A8,T_SelfStock_Log[WeekIndex],83)=0,"",SUMIFS(T_SelfStock_Log[Self_Qty],T_SelfStock_Log[Part Name],$A8,T_SelfStock_Log[WeekIndex],83))</f>
        <v/>
      </c>
      <c r="CG8" s="12">
        <f>IF(COUNTIFS(T_SelfStock_Log[Part Name],$A8,T_SelfStock_Log[WeekIndex],84)=0,"",SUMIFS(T_SelfStock_Log[Self_Qty],T_SelfStock_Log[Part Name],$A8,T_SelfStock_Log[WeekIndex],84))</f>
        <v/>
      </c>
      <c r="CH8" s="12">
        <f>IF(COUNTIFS(T_SelfStock_Log[Part Name],$A8,T_SelfStock_Log[WeekIndex],85)=0,"",SUMIFS(T_SelfStock_Log[Self_Qty],T_SelfStock_Log[Part Name],$A8,T_SelfStock_Log[WeekIndex],85))</f>
        <v/>
      </c>
      <c r="CI8" s="12">
        <f>IF(COUNTIFS(T_SelfStock_Log[Part Name],$A8,T_SelfStock_Log[WeekIndex],86)=0,"",SUMIFS(T_SelfStock_Log[Self_Qty],T_SelfStock_Log[Part Name],$A8,T_SelfStock_Log[WeekIndex],86))</f>
        <v/>
      </c>
      <c r="CJ8" s="12">
        <f>IF(COUNTIFS(T_SelfStock_Log[Part Name],$A8,T_SelfStock_Log[WeekIndex],87)=0,"",SUMIFS(T_SelfStock_Log[Self_Qty],T_SelfStock_Log[Part Name],$A8,T_SelfStock_Log[WeekIndex],87))</f>
        <v/>
      </c>
      <c r="CK8" s="12">
        <f>IF(COUNTIFS(T_SelfStock_Log[Part Name],$A8,T_SelfStock_Log[WeekIndex],88)=0,"",SUMIFS(T_SelfStock_Log[Self_Qty],T_SelfStock_Log[Part Name],$A8,T_SelfStock_Log[WeekIndex],88))</f>
        <v/>
      </c>
      <c r="CL8" s="12">
        <f>IF(COUNTIFS(T_SelfStock_Log[Part Name],$A8,T_SelfStock_Log[WeekIndex],89)=0,"",SUMIFS(T_SelfStock_Log[Self_Qty],T_SelfStock_Log[Part Name],$A8,T_SelfStock_Log[WeekIndex],89))</f>
        <v/>
      </c>
      <c r="CM8" s="12">
        <f>IF(COUNTIFS(T_SelfStock_Log[Part Name],$A8,T_SelfStock_Log[WeekIndex],90)=0,"",SUMIFS(T_SelfStock_Log[Self_Qty],T_SelfStock_Log[Part Name],$A8,T_SelfStock_Log[WeekIndex],90))</f>
        <v/>
      </c>
      <c r="CN8" s="12">
        <f>IF(COUNTIFS(T_SelfStock_Log[Part Name],$A8,T_SelfStock_Log[WeekIndex],91)=0,"",SUMIFS(T_SelfStock_Log[Self_Qty],T_SelfStock_Log[Part Name],$A8,T_SelfStock_Log[WeekIndex],91))</f>
        <v/>
      </c>
      <c r="CO8" s="12">
        <f>IF(COUNTIFS(T_SelfStock_Log[Part Name],$A8,T_SelfStock_Log[WeekIndex],92)=0,"",SUMIFS(T_SelfStock_Log[Self_Qty],T_SelfStock_Log[Part Name],$A8,T_SelfStock_Log[WeekIndex],92))</f>
        <v/>
      </c>
      <c r="CP8" s="12">
        <f>IF(COUNTIFS(T_SelfStock_Log[Part Name],$A8,T_SelfStock_Log[WeekIndex],93)=0,"",SUMIFS(T_SelfStock_Log[Self_Qty],T_SelfStock_Log[Part Name],$A8,T_SelfStock_Log[WeekIndex],93))</f>
        <v/>
      </c>
      <c r="CQ8" s="12">
        <f>IF(COUNTIFS(T_SelfStock_Log[Part Name],$A8,T_SelfStock_Log[WeekIndex],94)=0,"",SUMIFS(T_SelfStock_Log[Self_Qty],T_SelfStock_Log[Part Name],$A8,T_SelfStock_Log[WeekIndex],94))</f>
        <v/>
      </c>
      <c r="CR8" s="12">
        <f>IF(COUNTIFS(T_SelfStock_Log[Part Name],$A8,T_SelfStock_Log[WeekIndex],95)=0,"",SUMIFS(T_SelfStock_Log[Self_Qty],T_SelfStock_Log[Part Name],$A8,T_SelfStock_Log[WeekIndex],95))</f>
        <v/>
      </c>
      <c r="CS8" s="12">
        <f>IF(COUNTIFS(T_SelfStock_Log[Part Name],$A8,T_SelfStock_Log[WeekIndex],96)=0,"",SUMIFS(T_SelfStock_Log[Self_Qty],T_SelfStock_Log[Part Name],$A8,T_SelfStock_Log[WeekIndex],96))</f>
        <v/>
      </c>
      <c r="CT8" s="12">
        <f>IF(COUNTIFS(T_SelfStock_Log[Part Name],$A8,T_SelfStock_Log[WeekIndex],97)=0,"",SUMIFS(T_SelfStock_Log[Self_Qty],T_SelfStock_Log[Part Name],$A8,T_SelfStock_Log[WeekIndex],97))</f>
        <v/>
      </c>
      <c r="CU8" s="12">
        <f>IF(COUNTIFS(T_SelfStock_Log[Part Name],$A8,T_SelfStock_Log[WeekIndex],98)=0,"",SUMIFS(T_SelfStock_Log[Self_Qty],T_SelfStock_Log[Part Name],$A8,T_SelfStock_Log[WeekIndex],98))</f>
        <v/>
      </c>
      <c r="CV8" s="12">
        <f>IF(COUNTIFS(T_SelfStock_Log[Part Name],$A8,T_SelfStock_Log[WeekIndex],99)=0,"",SUMIFS(T_SelfStock_Log[Self_Qty],T_SelfStock_Log[Part Name],$A8,T_SelfStock_Log[WeekIndex],99))</f>
        <v/>
      </c>
      <c r="CW8" s="12">
        <f>IF(COUNTIFS(T_SelfStock_Log[Part Name],$A8,T_SelfStock_Log[WeekIndex],100)=0,"",SUMIFS(T_SelfStock_Log[Self_Qty],T_SelfStock_Log[Part Name],$A8,T_SelfStock_Log[WeekIndex],100))</f>
        <v/>
      </c>
      <c r="CX8" s="12">
        <f>IF(COUNTIFS(T_SelfStock_Log[Part Name],$A8,T_SelfStock_Log[WeekIndex],101)=0,"",SUMIFS(T_SelfStock_Log[Self_Qty],T_SelfStock_Log[Part Name],$A8,T_SelfStock_Log[WeekIndex],101))</f>
        <v/>
      </c>
      <c r="CY8" s="12">
        <f>IF(COUNTIFS(T_SelfStock_Log[Part Name],$A8,T_SelfStock_Log[WeekIndex],102)=0,"",SUMIFS(T_SelfStock_Log[Self_Qty],T_SelfStock_Log[Part Name],$A8,T_SelfStock_Log[WeekIndex],102))</f>
        <v/>
      </c>
      <c r="CZ8" s="12">
        <f>IF(COUNTIFS(T_SelfStock_Log[Part Name],$A8,T_SelfStock_Log[WeekIndex],103)=0,"",SUMIFS(T_SelfStock_Log[Self_Qty],T_SelfStock_Log[Part Name],$A8,T_SelfStock_Log[WeekIndex],103))</f>
        <v/>
      </c>
      <c r="DA8" s="12">
        <f>IF(COUNTIFS(T_SelfStock_Log[Part Name],$A8,T_SelfStock_Log[WeekIndex],104)=0,"",SUMIFS(T_SelfStock_Log[Self_Qty],T_SelfStock_Log[Part Name],$A8,T_SelfStock_Log[WeekIndex],104))</f>
        <v/>
      </c>
    </row>
    <row r="9">
      <c r="A9" s="13" t="inlineStr">
        <is>
          <t>CHEM-1420</t>
        </is>
      </c>
      <c r="B9" s="13">
        <f>IF(COUNTIFS(T_SelfStock_Log[Part Name],$A9,T_SelfStock_Log[WeekIndex],1)=0,"",SUMIFS(T_SelfStock_Log[Self_Qty],T_SelfStock_Log[Part Name],$A9,T_SelfStock_Log[WeekIndex],1))</f>
        <v/>
      </c>
      <c r="C9" s="13">
        <f>IF(COUNTIFS(T_SelfStock_Log[Part Name],$A9,T_SelfStock_Log[WeekIndex],2)=0,"",SUMIFS(T_SelfStock_Log[Self_Qty],T_SelfStock_Log[Part Name],$A9,T_SelfStock_Log[WeekIndex],2))</f>
        <v/>
      </c>
      <c r="D9" s="13">
        <f>IF(COUNTIFS(T_SelfStock_Log[Part Name],$A9,T_SelfStock_Log[WeekIndex],3)=0,"",SUMIFS(T_SelfStock_Log[Self_Qty],T_SelfStock_Log[Part Name],$A9,T_SelfStock_Log[WeekIndex],3))</f>
        <v/>
      </c>
      <c r="E9" s="13">
        <f>IF(COUNTIFS(T_SelfStock_Log[Part Name],$A9,T_SelfStock_Log[WeekIndex],4)=0,"",SUMIFS(T_SelfStock_Log[Self_Qty],T_SelfStock_Log[Part Name],$A9,T_SelfStock_Log[WeekIndex],4))</f>
        <v/>
      </c>
      <c r="F9" s="13">
        <f>IF(COUNTIFS(T_SelfStock_Log[Part Name],$A9,T_SelfStock_Log[WeekIndex],5)=0,"",SUMIFS(T_SelfStock_Log[Self_Qty],T_SelfStock_Log[Part Name],$A9,T_SelfStock_Log[WeekIndex],5))</f>
        <v/>
      </c>
      <c r="G9" s="13">
        <f>IF(COUNTIFS(T_SelfStock_Log[Part Name],$A9,T_SelfStock_Log[WeekIndex],6)=0,"",SUMIFS(T_SelfStock_Log[Self_Qty],T_SelfStock_Log[Part Name],$A9,T_SelfStock_Log[WeekIndex],6))</f>
        <v/>
      </c>
      <c r="H9" s="13">
        <f>IF(COUNTIFS(T_SelfStock_Log[Part Name],$A9,T_SelfStock_Log[WeekIndex],7)=0,"",SUMIFS(T_SelfStock_Log[Self_Qty],T_SelfStock_Log[Part Name],$A9,T_SelfStock_Log[WeekIndex],7))</f>
        <v/>
      </c>
      <c r="I9" s="13">
        <f>IF(COUNTIFS(T_SelfStock_Log[Part Name],$A9,T_SelfStock_Log[WeekIndex],8)=0,"",SUMIFS(T_SelfStock_Log[Self_Qty],T_SelfStock_Log[Part Name],$A9,T_SelfStock_Log[WeekIndex],8))</f>
        <v/>
      </c>
      <c r="J9" s="13">
        <f>IF(COUNTIFS(T_SelfStock_Log[Part Name],$A9,T_SelfStock_Log[WeekIndex],9)=0,"",SUMIFS(T_SelfStock_Log[Self_Qty],T_SelfStock_Log[Part Name],$A9,T_SelfStock_Log[WeekIndex],9))</f>
        <v/>
      </c>
      <c r="K9" s="13">
        <f>IF(COUNTIFS(T_SelfStock_Log[Part Name],$A9,T_SelfStock_Log[WeekIndex],10)=0,"",SUMIFS(T_SelfStock_Log[Self_Qty],T_SelfStock_Log[Part Name],$A9,T_SelfStock_Log[WeekIndex],10))</f>
        <v/>
      </c>
      <c r="L9" s="13">
        <f>IF(COUNTIFS(T_SelfStock_Log[Part Name],$A9,T_SelfStock_Log[WeekIndex],11)=0,"",SUMIFS(T_SelfStock_Log[Self_Qty],T_SelfStock_Log[Part Name],$A9,T_SelfStock_Log[WeekIndex],11))</f>
        <v/>
      </c>
      <c r="M9" s="13">
        <f>IF(COUNTIFS(T_SelfStock_Log[Part Name],$A9,T_SelfStock_Log[WeekIndex],12)=0,"",SUMIFS(T_SelfStock_Log[Self_Qty],T_SelfStock_Log[Part Name],$A9,T_SelfStock_Log[WeekIndex],12))</f>
        <v/>
      </c>
      <c r="N9" s="13">
        <f>IF(COUNTIFS(T_SelfStock_Log[Part Name],$A9,T_SelfStock_Log[WeekIndex],13)=0,"",SUMIFS(T_SelfStock_Log[Self_Qty],T_SelfStock_Log[Part Name],$A9,T_SelfStock_Log[WeekIndex],13))</f>
        <v/>
      </c>
      <c r="O9" s="13">
        <f>IF(COUNTIFS(T_SelfStock_Log[Part Name],$A9,T_SelfStock_Log[WeekIndex],14)=0,"",SUMIFS(T_SelfStock_Log[Self_Qty],T_SelfStock_Log[Part Name],$A9,T_SelfStock_Log[WeekIndex],14))</f>
        <v/>
      </c>
      <c r="P9" s="13">
        <f>IF(COUNTIFS(T_SelfStock_Log[Part Name],$A9,T_SelfStock_Log[WeekIndex],15)=0,"",SUMIFS(T_SelfStock_Log[Self_Qty],T_SelfStock_Log[Part Name],$A9,T_SelfStock_Log[WeekIndex],15))</f>
        <v/>
      </c>
      <c r="Q9" s="13">
        <f>IF(COUNTIFS(T_SelfStock_Log[Part Name],$A9,T_SelfStock_Log[WeekIndex],16)=0,"",SUMIFS(T_SelfStock_Log[Self_Qty],T_SelfStock_Log[Part Name],$A9,T_SelfStock_Log[WeekIndex],16))</f>
        <v/>
      </c>
      <c r="R9" s="13">
        <f>IF(COUNTIFS(T_SelfStock_Log[Part Name],$A9,T_SelfStock_Log[WeekIndex],17)=0,"",SUMIFS(T_SelfStock_Log[Self_Qty],T_SelfStock_Log[Part Name],$A9,T_SelfStock_Log[WeekIndex],17))</f>
        <v/>
      </c>
      <c r="S9" s="13">
        <f>IF(COUNTIFS(T_SelfStock_Log[Part Name],$A9,T_SelfStock_Log[WeekIndex],18)=0,"",SUMIFS(T_SelfStock_Log[Self_Qty],T_SelfStock_Log[Part Name],$A9,T_SelfStock_Log[WeekIndex],18))</f>
        <v/>
      </c>
      <c r="T9" s="13">
        <f>IF(COUNTIFS(T_SelfStock_Log[Part Name],$A9,T_SelfStock_Log[WeekIndex],19)=0,"",SUMIFS(T_SelfStock_Log[Self_Qty],T_SelfStock_Log[Part Name],$A9,T_SelfStock_Log[WeekIndex],19))</f>
        <v/>
      </c>
      <c r="U9" s="13">
        <f>IF(COUNTIFS(T_SelfStock_Log[Part Name],$A9,T_SelfStock_Log[WeekIndex],20)=0,"",SUMIFS(T_SelfStock_Log[Self_Qty],T_SelfStock_Log[Part Name],$A9,T_SelfStock_Log[WeekIndex],20))</f>
        <v/>
      </c>
      <c r="V9" s="13">
        <f>IF(COUNTIFS(T_SelfStock_Log[Part Name],$A9,T_SelfStock_Log[WeekIndex],21)=0,"",SUMIFS(T_SelfStock_Log[Self_Qty],T_SelfStock_Log[Part Name],$A9,T_SelfStock_Log[WeekIndex],21))</f>
        <v/>
      </c>
      <c r="W9" s="13">
        <f>IF(COUNTIFS(T_SelfStock_Log[Part Name],$A9,T_SelfStock_Log[WeekIndex],22)=0,"",SUMIFS(T_SelfStock_Log[Self_Qty],T_SelfStock_Log[Part Name],$A9,T_SelfStock_Log[WeekIndex],22))</f>
        <v/>
      </c>
      <c r="X9" s="13">
        <f>IF(COUNTIFS(T_SelfStock_Log[Part Name],$A9,T_SelfStock_Log[WeekIndex],23)=0,"",SUMIFS(T_SelfStock_Log[Self_Qty],T_SelfStock_Log[Part Name],$A9,T_SelfStock_Log[WeekIndex],23))</f>
        <v/>
      </c>
      <c r="Y9" s="13">
        <f>IF(COUNTIFS(T_SelfStock_Log[Part Name],$A9,T_SelfStock_Log[WeekIndex],24)=0,"",SUMIFS(T_SelfStock_Log[Self_Qty],T_SelfStock_Log[Part Name],$A9,T_SelfStock_Log[WeekIndex],24))</f>
        <v/>
      </c>
      <c r="Z9" s="13">
        <f>IF(COUNTIFS(T_SelfStock_Log[Part Name],$A9,T_SelfStock_Log[WeekIndex],25)=0,"",SUMIFS(T_SelfStock_Log[Self_Qty],T_SelfStock_Log[Part Name],$A9,T_SelfStock_Log[WeekIndex],25))</f>
        <v/>
      </c>
      <c r="AA9" s="13">
        <f>IF(COUNTIFS(T_SelfStock_Log[Part Name],$A9,T_SelfStock_Log[WeekIndex],26)=0,"",SUMIFS(T_SelfStock_Log[Self_Qty],T_SelfStock_Log[Part Name],$A9,T_SelfStock_Log[WeekIndex],26))</f>
        <v/>
      </c>
      <c r="AB9" s="13">
        <f>IF(COUNTIFS(T_SelfStock_Log[Part Name],$A9,T_SelfStock_Log[WeekIndex],27)=0,"",SUMIFS(T_SelfStock_Log[Self_Qty],T_SelfStock_Log[Part Name],$A9,T_SelfStock_Log[WeekIndex],27))</f>
        <v/>
      </c>
      <c r="AC9" s="13">
        <f>IF(COUNTIFS(T_SelfStock_Log[Part Name],$A9,T_SelfStock_Log[WeekIndex],28)=0,"",SUMIFS(T_SelfStock_Log[Self_Qty],T_SelfStock_Log[Part Name],$A9,T_SelfStock_Log[WeekIndex],28))</f>
        <v/>
      </c>
      <c r="AD9" s="13">
        <f>IF(COUNTIFS(T_SelfStock_Log[Part Name],$A9,T_SelfStock_Log[WeekIndex],29)=0,"",SUMIFS(T_SelfStock_Log[Self_Qty],T_SelfStock_Log[Part Name],$A9,T_SelfStock_Log[WeekIndex],29))</f>
        <v/>
      </c>
      <c r="AE9" s="13">
        <f>IF(COUNTIFS(T_SelfStock_Log[Part Name],$A9,T_SelfStock_Log[WeekIndex],30)=0,"",SUMIFS(T_SelfStock_Log[Self_Qty],T_SelfStock_Log[Part Name],$A9,T_SelfStock_Log[WeekIndex],30))</f>
        <v/>
      </c>
      <c r="AF9" s="13">
        <f>IF(COUNTIFS(T_SelfStock_Log[Part Name],$A9,T_SelfStock_Log[WeekIndex],31)=0,"",SUMIFS(T_SelfStock_Log[Self_Qty],T_SelfStock_Log[Part Name],$A9,T_SelfStock_Log[WeekIndex],31))</f>
        <v/>
      </c>
      <c r="AG9" s="13">
        <f>IF(COUNTIFS(T_SelfStock_Log[Part Name],$A9,T_SelfStock_Log[WeekIndex],32)=0,"",SUMIFS(T_SelfStock_Log[Self_Qty],T_SelfStock_Log[Part Name],$A9,T_SelfStock_Log[WeekIndex],32))</f>
        <v/>
      </c>
      <c r="AH9" s="13">
        <f>IF(COUNTIFS(T_SelfStock_Log[Part Name],$A9,T_SelfStock_Log[WeekIndex],33)=0,"",SUMIFS(T_SelfStock_Log[Self_Qty],T_SelfStock_Log[Part Name],$A9,T_SelfStock_Log[WeekIndex],33))</f>
        <v/>
      </c>
      <c r="AI9" s="13">
        <f>IF(COUNTIFS(T_SelfStock_Log[Part Name],$A9,T_SelfStock_Log[WeekIndex],34)=0,"",SUMIFS(T_SelfStock_Log[Self_Qty],T_SelfStock_Log[Part Name],$A9,T_SelfStock_Log[WeekIndex],34))</f>
        <v/>
      </c>
      <c r="AJ9" s="13">
        <f>IF(COUNTIFS(T_SelfStock_Log[Part Name],$A9,T_SelfStock_Log[WeekIndex],35)=0,"",SUMIFS(T_SelfStock_Log[Self_Qty],T_SelfStock_Log[Part Name],$A9,T_SelfStock_Log[WeekIndex],35))</f>
        <v/>
      </c>
      <c r="AK9" s="13">
        <f>IF(COUNTIFS(T_SelfStock_Log[Part Name],$A9,T_SelfStock_Log[WeekIndex],36)=0,"",SUMIFS(T_SelfStock_Log[Self_Qty],T_SelfStock_Log[Part Name],$A9,T_SelfStock_Log[WeekIndex],36))</f>
        <v/>
      </c>
      <c r="AL9" s="13">
        <f>IF(COUNTIFS(T_SelfStock_Log[Part Name],$A9,T_SelfStock_Log[WeekIndex],37)=0,"",SUMIFS(T_SelfStock_Log[Self_Qty],T_SelfStock_Log[Part Name],$A9,T_SelfStock_Log[WeekIndex],37))</f>
        <v/>
      </c>
      <c r="AM9" s="13">
        <f>IF(COUNTIFS(T_SelfStock_Log[Part Name],$A9,T_SelfStock_Log[WeekIndex],38)=0,"",SUMIFS(T_SelfStock_Log[Self_Qty],T_SelfStock_Log[Part Name],$A9,T_SelfStock_Log[WeekIndex],38))</f>
        <v/>
      </c>
      <c r="AN9" s="13">
        <f>IF(COUNTIFS(T_SelfStock_Log[Part Name],$A9,T_SelfStock_Log[WeekIndex],39)=0,"",SUMIFS(T_SelfStock_Log[Self_Qty],T_SelfStock_Log[Part Name],$A9,T_SelfStock_Log[WeekIndex],39))</f>
        <v/>
      </c>
      <c r="AO9" s="13">
        <f>IF(COUNTIFS(T_SelfStock_Log[Part Name],$A9,T_SelfStock_Log[WeekIndex],40)=0,"",SUMIFS(T_SelfStock_Log[Self_Qty],T_SelfStock_Log[Part Name],$A9,T_SelfStock_Log[WeekIndex],40))</f>
        <v/>
      </c>
      <c r="AP9" s="13">
        <f>IF(COUNTIFS(T_SelfStock_Log[Part Name],$A9,T_SelfStock_Log[WeekIndex],41)=0,"",SUMIFS(T_SelfStock_Log[Self_Qty],T_SelfStock_Log[Part Name],$A9,T_SelfStock_Log[WeekIndex],41))</f>
        <v/>
      </c>
      <c r="AQ9" s="13">
        <f>IF(COUNTIFS(T_SelfStock_Log[Part Name],$A9,T_SelfStock_Log[WeekIndex],42)=0,"",SUMIFS(T_SelfStock_Log[Self_Qty],T_SelfStock_Log[Part Name],$A9,T_SelfStock_Log[WeekIndex],42))</f>
        <v/>
      </c>
      <c r="AR9" s="13">
        <f>IF(COUNTIFS(T_SelfStock_Log[Part Name],$A9,T_SelfStock_Log[WeekIndex],43)=0,"",SUMIFS(T_SelfStock_Log[Self_Qty],T_SelfStock_Log[Part Name],$A9,T_SelfStock_Log[WeekIndex],43))</f>
        <v/>
      </c>
      <c r="AS9" s="13">
        <f>IF(COUNTIFS(T_SelfStock_Log[Part Name],$A9,T_SelfStock_Log[WeekIndex],44)=0,"",SUMIFS(T_SelfStock_Log[Self_Qty],T_SelfStock_Log[Part Name],$A9,T_SelfStock_Log[WeekIndex],44))</f>
        <v/>
      </c>
      <c r="AT9" s="13">
        <f>IF(COUNTIFS(T_SelfStock_Log[Part Name],$A9,T_SelfStock_Log[WeekIndex],45)=0,"",SUMIFS(T_SelfStock_Log[Self_Qty],T_SelfStock_Log[Part Name],$A9,T_SelfStock_Log[WeekIndex],45))</f>
        <v/>
      </c>
      <c r="AU9" s="13">
        <f>IF(COUNTIFS(T_SelfStock_Log[Part Name],$A9,T_SelfStock_Log[WeekIndex],46)=0,"",SUMIFS(T_SelfStock_Log[Self_Qty],T_SelfStock_Log[Part Name],$A9,T_SelfStock_Log[WeekIndex],46))</f>
        <v/>
      </c>
      <c r="AV9" s="13">
        <f>IF(COUNTIFS(T_SelfStock_Log[Part Name],$A9,T_SelfStock_Log[WeekIndex],47)=0,"",SUMIFS(T_SelfStock_Log[Self_Qty],T_SelfStock_Log[Part Name],$A9,T_SelfStock_Log[WeekIndex],47))</f>
        <v/>
      </c>
      <c r="AW9" s="13">
        <f>IF(COUNTIFS(T_SelfStock_Log[Part Name],$A9,T_SelfStock_Log[WeekIndex],48)=0,"",SUMIFS(T_SelfStock_Log[Self_Qty],T_SelfStock_Log[Part Name],$A9,T_SelfStock_Log[WeekIndex],48))</f>
        <v/>
      </c>
      <c r="AX9" s="13">
        <f>IF(COUNTIFS(T_SelfStock_Log[Part Name],$A9,T_SelfStock_Log[WeekIndex],49)=0,"",SUMIFS(T_SelfStock_Log[Self_Qty],T_SelfStock_Log[Part Name],$A9,T_SelfStock_Log[WeekIndex],49))</f>
        <v/>
      </c>
      <c r="AY9" s="13">
        <f>IF(COUNTIFS(T_SelfStock_Log[Part Name],$A9,T_SelfStock_Log[WeekIndex],50)=0,"",SUMIFS(T_SelfStock_Log[Self_Qty],T_SelfStock_Log[Part Name],$A9,T_SelfStock_Log[WeekIndex],50))</f>
        <v/>
      </c>
      <c r="AZ9" s="13">
        <f>IF(COUNTIFS(T_SelfStock_Log[Part Name],$A9,T_SelfStock_Log[WeekIndex],51)=0,"",SUMIFS(T_SelfStock_Log[Self_Qty],T_SelfStock_Log[Part Name],$A9,T_SelfStock_Log[WeekIndex],51))</f>
        <v/>
      </c>
      <c r="BA9" s="13">
        <f>IF(COUNTIFS(T_SelfStock_Log[Part Name],$A9,T_SelfStock_Log[WeekIndex],52)=0,"",SUMIFS(T_SelfStock_Log[Self_Qty],T_SelfStock_Log[Part Name],$A9,T_SelfStock_Log[WeekIndex],52))</f>
        <v/>
      </c>
      <c r="BB9" s="13">
        <f>IF(COUNTIFS(T_SelfStock_Log[Part Name],$A9,T_SelfStock_Log[WeekIndex],53)=0,"",SUMIFS(T_SelfStock_Log[Self_Qty],T_SelfStock_Log[Part Name],$A9,T_SelfStock_Log[WeekIndex],53))</f>
        <v/>
      </c>
      <c r="BC9" s="13">
        <f>IF(COUNTIFS(T_SelfStock_Log[Part Name],$A9,T_SelfStock_Log[WeekIndex],54)=0,"",SUMIFS(T_SelfStock_Log[Self_Qty],T_SelfStock_Log[Part Name],$A9,T_SelfStock_Log[WeekIndex],54))</f>
        <v/>
      </c>
      <c r="BD9" s="13">
        <f>IF(COUNTIFS(T_SelfStock_Log[Part Name],$A9,T_SelfStock_Log[WeekIndex],55)=0,"",SUMIFS(T_SelfStock_Log[Self_Qty],T_SelfStock_Log[Part Name],$A9,T_SelfStock_Log[WeekIndex],55))</f>
        <v/>
      </c>
      <c r="BE9" s="13">
        <f>IF(COUNTIFS(T_SelfStock_Log[Part Name],$A9,T_SelfStock_Log[WeekIndex],56)=0,"",SUMIFS(T_SelfStock_Log[Self_Qty],T_SelfStock_Log[Part Name],$A9,T_SelfStock_Log[WeekIndex],56))</f>
        <v/>
      </c>
      <c r="BF9" s="13">
        <f>IF(COUNTIFS(T_SelfStock_Log[Part Name],$A9,T_SelfStock_Log[WeekIndex],57)=0,"",SUMIFS(T_SelfStock_Log[Self_Qty],T_SelfStock_Log[Part Name],$A9,T_SelfStock_Log[WeekIndex],57))</f>
        <v/>
      </c>
      <c r="BG9" s="13">
        <f>IF(COUNTIFS(T_SelfStock_Log[Part Name],$A9,T_SelfStock_Log[WeekIndex],58)=0,"",SUMIFS(T_SelfStock_Log[Self_Qty],T_SelfStock_Log[Part Name],$A9,T_SelfStock_Log[WeekIndex],58))</f>
        <v/>
      </c>
      <c r="BH9" s="13">
        <f>IF(COUNTIFS(T_SelfStock_Log[Part Name],$A9,T_SelfStock_Log[WeekIndex],59)=0,"",SUMIFS(T_SelfStock_Log[Self_Qty],T_SelfStock_Log[Part Name],$A9,T_SelfStock_Log[WeekIndex],59))</f>
        <v/>
      </c>
      <c r="BI9" s="13">
        <f>IF(COUNTIFS(T_SelfStock_Log[Part Name],$A9,T_SelfStock_Log[WeekIndex],60)=0,"",SUMIFS(T_SelfStock_Log[Self_Qty],T_SelfStock_Log[Part Name],$A9,T_SelfStock_Log[WeekIndex],60))</f>
        <v/>
      </c>
      <c r="BJ9" s="13">
        <f>IF(COUNTIFS(T_SelfStock_Log[Part Name],$A9,T_SelfStock_Log[WeekIndex],61)=0,"",SUMIFS(T_SelfStock_Log[Self_Qty],T_SelfStock_Log[Part Name],$A9,T_SelfStock_Log[WeekIndex],61))</f>
        <v/>
      </c>
      <c r="BK9" s="13">
        <f>IF(COUNTIFS(T_SelfStock_Log[Part Name],$A9,T_SelfStock_Log[WeekIndex],62)=0,"",SUMIFS(T_SelfStock_Log[Self_Qty],T_SelfStock_Log[Part Name],$A9,T_SelfStock_Log[WeekIndex],62))</f>
        <v/>
      </c>
      <c r="BL9" s="13">
        <f>IF(COUNTIFS(T_SelfStock_Log[Part Name],$A9,T_SelfStock_Log[WeekIndex],63)=0,"",SUMIFS(T_SelfStock_Log[Self_Qty],T_SelfStock_Log[Part Name],$A9,T_SelfStock_Log[WeekIndex],63))</f>
        <v/>
      </c>
      <c r="BM9" s="13">
        <f>IF(COUNTIFS(T_SelfStock_Log[Part Name],$A9,T_SelfStock_Log[WeekIndex],64)=0,"",SUMIFS(T_SelfStock_Log[Self_Qty],T_SelfStock_Log[Part Name],$A9,T_SelfStock_Log[WeekIndex],64))</f>
        <v/>
      </c>
      <c r="BN9" s="13">
        <f>IF(COUNTIFS(T_SelfStock_Log[Part Name],$A9,T_SelfStock_Log[WeekIndex],65)=0,"",SUMIFS(T_SelfStock_Log[Self_Qty],T_SelfStock_Log[Part Name],$A9,T_SelfStock_Log[WeekIndex],65))</f>
        <v/>
      </c>
      <c r="BO9" s="13">
        <f>IF(COUNTIFS(T_SelfStock_Log[Part Name],$A9,T_SelfStock_Log[WeekIndex],66)=0,"",SUMIFS(T_SelfStock_Log[Self_Qty],T_SelfStock_Log[Part Name],$A9,T_SelfStock_Log[WeekIndex],66))</f>
        <v/>
      </c>
      <c r="BP9" s="13">
        <f>IF(COUNTIFS(T_SelfStock_Log[Part Name],$A9,T_SelfStock_Log[WeekIndex],67)=0,"",SUMIFS(T_SelfStock_Log[Self_Qty],T_SelfStock_Log[Part Name],$A9,T_SelfStock_Log[WeekIndex],67))</f>
        <v/>
      </c>
      <c r="BQ9" s="13">
        <f>IF(COUNTIFS(T_SelfStock_Log[Part Name],$A9,T_SelfStock_Log[WeekIndex],68)=0,"",SUMIFS(T_SelfStock_Log[Self_Qty],T_SelfStock_Log[Part Name],$A9,T_SelfStock_Log[WeekIndex],68))</f>
        <v/>
      </c>
      <c r="BR9" s="13">
        <f>IF(COUNTIFS(T_SelfStock_Log[Part Name],$A9,T_SelfStock_Log[WeekIndex],69)=0,"",SUMIFS(T_SelfStock_Log[Self_Qty],T_SelfStock_Log[Part Name],$A9,T_SelfStock_Log[WeekIndex],69))</f>
        <v/>
      </c>
      <c r="BS9" s="13">
        <f>IF(COUNTIFS(T_SelfStock_Log[Part Name],$A9,T_SelfStock_Log[WeekIndex],70)=0,"",SUMIFS(T_SelfStock_Log[Self_Qty],T_SelfStock_Log[Part Name],$A9,T_SelfStock_Log[WeekIndex],70))</f>
        <v/>
      </c>
      <c r="BT9" s="13">
        <f>IF(COUNTIFS(T_SelfStock_Log[Part Name],$A9,T_SelfStock_Log[WeekIndex],71)=0,"",SUMIFS(T_SelfStock_Log[Self_Qty],T_SelfStock_Log[Part Name],$A9,T_SelfStock_Log[WeekIndex],71))</f>
        <v/>
      </c>
      <c r="BU9" s="13">
        <f>IF(COUNTIFS(T_SelfStock_Log[Part Name],$A9,T_SelfStock_Log[WeekIndex],72)=0,"",SUMIFS(T_SelfStock_Log[Self_Qty],T_SelfStock_Log[Part Name],$A9,T_SelfStock_Log[WeekIndex],72))</f>
        <v/>
      </c>
      <c r="BV9" s="13">
        <f>IF(COUNTIFS(T_SelfStock_Log[Part Name],$A9,T_SelfStock_Log[WeekIndex],73)=0,"",SUMIFS(T_SelfStock_Log[Self_Qty],T_SelfStock_Log[Part Name],$A9,T_SelfStock_Log[WeekIndex],73))</f>
        <v/>
      </c>
      <c r="BW9" s="13">
        <f>IF(COUNTIFS(T_SelfStock_Log[Part Name],$A9,T_SelfStock_Log[WeekIndex],74)=0,"",SUMIFS(T_SelfStock_Log[Self_Qty],T_SelfStock_Log[Part Name],$A9,T_SelfStock_Log[WeekIndex],74))</f>
        <v/>
      </c>
      <c r="BX9" s="13">
        <f>IF(COUNTIFS(T_SelfStock_Log[Part Name],$A9,T_SelfStock_Log[WeekIndex],75)=0,"",SUMIFS(T_SelfStock_Log[Self_Qty],T_SelfStock_Log[Part Name],$A9,T_SelfStock_Log[WeekIndex],75))</f>
        <v/>
      </c>
      <c r="BY9" s="13">
        <f>IF(COUNTIFS(T_SelfStock_Log[Part Name],$A9,T_SelfStock_Log[WeekIndex],76)=0,"",SUMIFS(T_SelfStock_Log[Self_Qty],T_SelfStock_Log[Part Name],$A9,T_SelfStock_Log[WeekIndex],76))</f>
        <v/>
      </c>
      <c r="BZ9" s="13">
        <f>IF(COUNTIFS(T_SelfStock_Log[Part Name],$A9,T_SelfStock_Log[WeekIndex],77)=0,"",SUMIFS(T_SelfStock_Log[Self_Qty],T_SelfStock_Log[Part Name],$A9,T_SelfStock_Log[WeekIndex],77))</f>
        <v/>
      </c>
      <c r="CA9" s="13">
        <f>IF(COUNTIFS(T_SelfStock_Log[Part Name],$A9,T_SelfStock_Log[WeekIndex],78)=0,"",SUMIFS(T_SelfStock_Log[Self_Qty],T_SelfStock_Log[Part Name],$A9,T_SelfStock_Log[WeekIndex],78))</f>
        <v/>
      </c>
      <c r="CB9" s="13">
        <f>IF(COUNTIFS(T_SelfStock_Log[Part Name],$A9,T_SelfStock_Log[WeekIndex],79)=0,"",SUMIFS(T_SelfStock_Log[Self_Qty],T_SelfStock_Log[Part Name],$A9,T_SelfStock_Log[WeekIndex],79))</f>
        <v/>
      </c>
      <c r="CC9" s="13">
        <f>IF(COUNTIFS(T_SelfStock_Log[Part Name],$A9,T_SelfStock_Log[WeekIndex],80)=0,"",SUMIFS(T_SelfStock_Log[Self_Qty],T_SelfStock_Log[Part Name],$A9,T_SelfStock_Log[WeekIndex],80))</f>
        <v/>
      </c>
      <c r="CD9" s="13">
        <f>IF(COUNTIFS(T_SelfStock_Log[Part Name],$A9,T_SelfStock_Log[WeekIndex],81)=0,"",SUMIFS(T_SelfStock_Log[Self_Qty],T_SelfStock_Log[Part Name],$A9,T_SelfStock_Log[WeekIndex],81))</f>
        <v/>
      </c>
      <c r="CE9" s="13">
        <f>IF(COUNTIFS(T_SelfStock_Log[Part Name],$A9,T_SelfStock_Log[WeekIndex],82)=0,"",SUMIFS(T_SelfStock_Log[Self_Qty],T_SelfStock_Log[Part Name],$A9,T_SelfStock_Log[WeekIndex],82))</f>
        <v/>
      </c>
      <c r="CF9" s="13">
        <f>IF(COUNTIFS(T_SelfStock_Log[Part Name],$A9,T_SelfStock_Log[WeekIndex],83)=0,"",SUMIFS(T_SelfStock_Log[Self_Qty],T_SelfStock_Log[Part Name],$A9,T_SelfStock_Log[WeekIndex],83))</f>
        <v/>
      </c>
      <c r="CG9" s="13">
        <f>IF(COUNTIFS(T_SelfStock_Log[Part Name],$A9,T_SelfStock_Log[WeekIndex],84)=0,"",SUMIFS(T_SelfStock_Log[Self_Qty],T_SelfStock_Log[Part Name],$A9,T_SelfStock_Log[WeekIndex],84))</f>
        <v/>
      </c>
      <c r="CH9" s="13">
        <f>IF(COUNTIFS(T_SelfStock_Log[Part Name],$A9,T_SelfStock_Log[WeekIndex],85)=0,"",SUMIFS(T_SelfStock_Log[Self_Qty],T_SelfStock_Log[Part Name],$A9,T_SelfStock_Log[WeekIndex],85))</f>
        <v/>
      </c>
      <c r="CI9" s="13">
        <f>IF(COUNTIFS(T_SelfStock_Log[Part Name],$A9,T_SelfStock_Log[WeekIndex],86)=0,"",SUMIFS(T_SelfStock_Log[Self_Qty],T_SelfStock_Log[Part Name],$A9,T_SelfStock_Log[WeekIndex],86))</f>
        <v/>
      </c>
      <c r="CJ9" s="13">
        <f>IF(COUNTIFS(T_SelfStock_Log[Part Name],$A9,T_SelfStock_Log[WeekIndex],87)=0,"",SUMIFS(T_SelfStock_Log[Self_Qty],T_SelfStock_Log[Part Name],$A9,T_SelfStock_Log[WeekIndex],87))</f>
        <v/>
      </c>
      <c r="CK9" s="13">
        <f>IF(COUNTIFS(T_SelfStock_Log[Part Name],$A9,T_SelfStock_Log[WeekIndex],88)=0,"",SUMIFS(T_SelfStock_Log[Self_Qty],T_SelfStock_Log[Part Name],$A9,T_SelfStock_Log[WeekIndex],88))</f>
        <v/>
      </c>
      <c r="CL9" s="13">
        <f>IF(COUNTIFS(T_SelfStock_Log[Part Name],$A9,T_SelfStock_Log[WeekIndex],89)=0,"",SUMIFS(T_SelfStock_Log[Self_Qty],T_SelfStock_Log[Part Name],$A9,T_SelfStock_Log[WeekIndex],89))</f>
        <v/>
      </c>
      <c r="CM9" s="13">
        <f>IF(COUNTIFS(T_SelfStock_Log[Part Name],$A9,T_SelfStock_Log[WeekIndex],90)=0,"",SUMIFS(T_SelfStock_Log[Self_Qty],T_SelfStock_Log[Part Name],$A9,T_SelfStock_Log[WeekIndex],90))</f>
        <v/>
      </c>
      <c r="CN9" s="13">
        <f>IF(COUNTIFS(T_SelfStock_Log[Part Name],$A9,T_SelfStock_Log[WeekIndex],91)=0,"",SUMIFS(T_SelfStock_Log[Self_Qty],T_SelfStock_Log[Part Name],$A9,T_SelfStock_Log[WeekIndex],91))</f>
        <v/>
      </c>
      <c r="CO9" s="13">
        <f>IF(COUNTIFS(T_SelfStock_Log[Part Name],$A9,T_SelfStock_Log[WeekIndex],92)=0,"",SUMIFS(T_SelfStock_Log[Self_Qty],T_SelfStock_Log[Part Name],$A9,T_SelfStock_Log[WeekIndex],92))</f>
        <v/>
      </c>
      <c r="CP9" s="13">
        <f>IF(COUNTIFS(T_SelfStock_Log[Part Name],$A9,T_SelfStock_Log[WeekIndex],93)=0,"",SUMIFS(T_SelfStock_Log[Self_Qty],T_SelfStock_Log[Part Name],$A9,T_SelfStock_Log[WeekIndex],93))</f>
        <v/>
      </c>
      <c r="CQ9" s="13">
        <f>IF(COUNTIFS(T_SelfStock_Log[Part Name],$A9,T_SelfStock_Log[WeekIndex],94)=0,"",SUMIFS(T_SelfStock_Log[Self_Qty],T_SelfStock_Log[Part Name],$A9,T_SelfStock_Log[WeekIndex],94))</f>
        <v/>
      </c>
      <c r="CR9" s="13">
        <f>IF(COUNTIFS(T_SelfStock_Log[Part Name],$A9,T_SelfStock_Log[WeekIndex],95)=0,"",SUMIFS(T_SelfStock_Log[Self_Qty],T_SelfStock_Log[Part Name],$A9,T_SelfStock_Log[WeekIndex],95))</f>
        <v/>
      </c>
      <c r="CS9" s="13">
        <f>IF(COUNTIFS(T_SelfStock_Log[Part Name],$A9,T_SelfStock_Log[WeekIndex],96)=0,"",SUMIFS(T_SelfStock_Log[Self_Qty],T_SelfStock_Log[Part Name],$A9,T_SelfStock_Log[WeekIndex],96))</f>
        <v/>
      </c>
      <c r="CT9" s="13">
        <f>IF(COUNTIFS(T_SelfStock_Log[Part Name],$A9,T_SelfStock_Log[WeekIndex],97)=0,"",SUMIFS(T_SelfStock_Log[Self_Qty],T_SelfStock_Log[Part Name],$A9,T_SelfStock_Log[WeekIndex],97))</f>
        <v/>
      </c>
      <c r="CU9" s="13">
        <f>IF(COUNTIFS(T_SelfStock_Log[Part Name],$A9,T_SelfStock_Log[WeekIndex],98)=0,"",SUMIFS(T_SelfStock_Log[Self_Qty],T_SelfStock_Log[Part Name],$A9,T_SelfStock_Log[WeekIndex],98))</f>
        <v/>
      </c>
      <c r="CV9" s="13">
        <f>IF(COUNTIFS(T_SelfStock_Log[Part Name],$A9,T_SelfStock_Log[WeekIndex],99)=0,"",SUMIFS(T_SelfStock_Log[Self_Qty],T_SelfStock_Log[Part Name],$A9,T_SelfStock_Log[WeekIndex],99))</f>
        <v/>
      </c>
      <c r="CW9" s="13">
        <f>IF(COUNTIFS(T_SelfStock_Log[Part Name],$A9,T_SelfStock_Log[WeekIndex],100)=0,"",SUMIFS(T_SelfStock_Log[Self_Qty],T_SelfStock_Log[Part Name],$A9,T_SelfStock_Log[WeekIndex],100))</f>
        <v/>
      </c>
      <c r="CX9" s="13">
        <f>IF(COUNTIFS(T_SelfStock_Log[Part Name],$A9,T_SelfStock_Log[WeekIndex],101)=0,"",SUMIFS(T_SelfStock_Log[Self_Qty],T_SelfStock_Log[Part Name],$A9,T_SelfStock_Log[WeekIndex],101))</f>
        <v/>
      </c>
      <c r="CY9" s="13">
        <f>IF(COUNTIFS(T_SelfStock_Log[Part Name],$A9,T_SelfStock_Log[WeekIndex],102)=0,"",SUMIFS(T_SelfStock_Log[Self_Qty],T_SelfStock_Log[Part Name],$A9,T_SelfStock_Log[WeekIndex],102))</f>
        <v/>
      </c>
      <c r="CZ9" s="13">
        <f>IF(COUNTIFS(T_SelfStock_Log[Part Name],$A9,T_SelfStock_Log[WeekIndex],103)=0,"",SUMIFS(T_SelfStock_Log[Self_Qty],T_SelfStock_Log[Part Name],$A9,T_SelfStock_Log[WeekIndex],103))</f>
        <v/>
      </c>
      <c r="DA9" s="13">
        <f>IF(COUNTIFS(T_SelfStock_Log[Part Name],$A9,T_SelfStock_Log[WeekIndex],104)=0,"",SUMIFS(T_SelfStock_Log[Self_Qty],T_SelfStock_Log[Part Name],$A9,T_SelfStock_Log[WeekIndex],104))</f>
        <v/>
      </c>
    </row>
    <row r="10">
      <c r="A10" s="12" t="inlineStr">
        <is>
          <t>CHEM-1530</t>
        </is>
      </c>
      <c r="B10" s="12">
        <f>IF(COUNTIFS(T_SelfStock_Log[Part Name],$A10,T_SelfStock_Log[WeekIndex],1)=0,"",SUMIFS(T_SelfStock_Log[Self_Qty],T_SelfStock_Log[Part Name],$A10,T_SelfStock_Log[WeekIndex],1))</f>
        <v/>
      </c>
      <c r="C10" s="12">
        <f>IF(COUNTIFS(T_SelfStock_Log[Part Name],$A10,T_SelfStock_Log[WeekIndex],2)=0,"",SUMIFS(T_SelfStock_Log[Self_Qty],T_SelfStock_Log[Part Name],$A10,T_SelfStock_Log[WeekIndex],2))</f>
        <v/>
      </c>
      <c r="D10" s="12">
        <f>IF(COUNTIFS(T_SelfStock_Log[Part Name],$A10,T_SelfStock_Log[WeekIndex],3)=0,"",SUMIFS(T_SelfStock_Log[Self_Qty],T_SelfStock_Log[Part Name],$A10,T_SelfStock_Log[WeekIndex],3))</f>
        <v/>
      </c>
      <c r="E10" s="12">
        <f>IF(COUNTIFS(T_SelfStock_Log[Part Name],$A10,T_SelfStock_Log[WeekIndex],4)=0,"",SUMIFS(T_SelfStock_Log[Self_Qty],T_SelfStock_Log[Part Name],$A10,T_SelfStock_Log[WeekIndex],4))</f>
        <v/>
      </c>
      <c r="F10" s="12">
        <f>IF(COUNTIFS(T_SelfStock_Log[Part Name],$A10,T_SelfStock_Log[WeekIndex],5)=0,"",SUMIFS(T_SelfStock_Log[Self_Qty],T_SelfStock_Log[Part Name],$A10,T_SelfStock_Log[WeekIndex],5))</f>
        <v/>
      </c>
      <c r="G10" s="12">
        <f>IF(COUNTIFS(T_SelfStock_Log[Part Name],$A10,T_SelfStock_Log[WeekIndex],6)=0,"",SUMIFS(T_SelfStock_Log[Self_Qty],T_SelfStock_Log[Part Name],$A10,T_SelfStock_Log[WeekIndex],6))</f>
        <v/>
      </c>
      <c r="H10" s="12">
        <f>IF(COUNTIFS(T_SelfStock_Log[Part Name],$A10,T_SelfStock_Log[WeekIndex],7)=0,"",SUMIFS(T_SelfStock_Log[Self_Qty],T_SelfStock_Log[Part Name],$A10,T_SelfStock_Log[WeekIndex],7))</f>
        <v/>
      </c>
      <c r="I10" s="12">
        <f>IF(COUNTIFS(T_SelfStock_Log[Part Name],$A10,T_SelfStock_Log[WeekIndex],8)=0,"",SUMIFS(T_SelfStock_Log[Self_Qty],T_SelfStock_Log[Part Name],$A10,T_SelfStock_Log[WeekIndex],8))</f>
        <v/>
      </c>
      <c r="J10" s="12">
        <f>IF(COUNTIFS(T_SelfStock_Log[Part Name],$A10,T_SelfStock_Log[WeekIndex],9)=0,"",SUMIFS(T_SelfStock_Log[Self_Qty],T_SelfStock_Log[Part Name],$A10,T_SelfStock_Log[WeekIndex],9))</f>
        <v/>
      </c>
      <c r="K10" s="12">
        <f>IF(COUNTIFS(T_SelfStock_Log[Part Name],$A10,T_SelfStock_Log[WeekIndex],10)=0,"",SUMIFS(T_SelfStock_Log[Self_Qty],T_SelfStock_Log[Part Name],$A10,T_SelfStock_Log[WeekIndex],10))</f>
        <v/>
      </c>
      <c r="L10" s="12">
        <f>IF(COUNTIFS(T_SelfStock_Log[Part Name],$A10,T_SelfStock_Log[WeekIndex],11)=0,"",SUMIFS(T_SelfStock_Log[Self_Qty],T_SelfStock_Log[Part Name],$A10,T_SelfStock_Log[WeekIndex],11))</f>
        <v/>
      </c>
      <c r="M10" s="12">
        <f>IF(COUNTIFS(T_SelfStock_Log[Part Name],$A10,T_SelfStock_Log[WeekIndex],12)=0,"",SUMIFS(T_SelfStock_Log[Self_Qty],T_SelfStock_Log[Part Name],$A10,T_SelfStock_Log[WeekIndex],12))</f>
        <v/>
      </c>
      <c r="N10" s="12">
        <f>IF(COUNTIFS(T_SelfStock_Log[Part Name],$A10,T_SelfStock_Log[WeekIndex],13)=0,"",SUMIFS(T_SelfStock_Log[Self_Qty],T_SelfStock_Log[Part Name],$A10,T_SelfStock_Log[WeekIndex],13))</f>
        <v/>
      </c>
      <c r="O10" s="12">
        <f>IF(COUNTIFS(T_SelfStock_Log[Part Name],$A10,T_SelfStock_Log[WeekIndex],14)=0,"",SUMIFS(T_SelfStock_Log[Self_Qty],T_SelfStock_Log[Part Name],$A10,T_SelfStock_Log[WeekIndex],14))</f>
        <v/>
      </c>
      <c r="P10" s="12">
        <f>IF(COUNTIFS(T_SelfStock_Log[Part Name],$A10,T_SelfStock_Log[WeekIndex],15)=0,"",SUMIFS(T_SelfStock_Log[Self_Qty],T_SelfStock_Log[Part Name],$A10,T_SelfStock_Log[WeekIndex],15))</f>
        <v/>
      </c>
      <c r="Q10" s="12">
        <f>IF(COUNTIFS(T_SelfStock_Log[Part Name],$A10,T_SelfStock_Log[WeekIndex],16)=0,"",SUMIFS(T_SelfStock_Log[Self_Qty],T_SelfStock_Log[Part Name],$A10,T_SelfStock_Log[WeekIndex],16))</f>
        <v/>
      </c>
      <c r="R10" s="12">
        <f>IF(COUNTIFS(T_SelfStock_Log[Part Name],$A10,T_SelfStock_Log[WeekIndex],17)=0,"",SUMIFS(T_SelfStock_Log[Self_Qty],T_SelfStock_Log[Part Name],$A10,T_SelfStock_Log[WeekIndex],17))</f>
        <v/>
      </c>
      <c r="S10" s="12">
        <f>IF(COUNTIFS(T_SelfStock_Log[Part Name],$A10,T_SelfStock_Log[WeekIndex],18)=0,"",SUMIFS(T_SelfStock_Log[Self_Qty],T_SelfStock_Log[Part Name],$A10,T_SelfStock_Log[WeekIndex],18))</f>
        <v/>
      </c>
      <c r="T10" s="12">
        <f>IF(COUNTIFS(T_SelfStock_Log[Part Name],$A10,T_SelfStock_Log[WeekIndex],19)=0,"",SUMIFS(T_SelfStock_Log[Self_Qty],T_SelfStock_Log[Part Name],$A10,T_SelfStock_Log[WeekIndex],19))</f>
        <v/>
      </c>
      <c r="U10" s="12">
        <f>IF(COUNTIFS(T_SelfStock_Log[Part Name],$A10,T_SelfStock_Log[WeekIndex],20)=0,"",SUMIFS(T_SelfStock_Log[Self_Qty],T_SelfStock_Log[Part Name],$A10,T_SelfStock_Log[WeekIndex],20))</f>
        <v/>
      </c>
      <c r="V10" s="12">
        <f>IF(COUNTIFS(T_SelfStock_Log[Part Name],$A10,T_SelfStock_Log[WeekIndex],21)=0,"",SUMIFS(T_SelfStock_Log[Self_Qty],T_SelfStock_Log[Part Name],$A10,T_SelfStock_Log[WeekIndex],21))</f>
        <v/>
      </c>
      <c r="W10" s="12">
        <f>IF(COUNTIFS(T_SelfStock_Log[Part Name],$A10,T_SelfStock_Log[WeekIndex],22)=0,"",SUMIFS(T_SelfStock_Log[Self_Qty],T_SelfStock_Log[Part Name],$A10,T_SelfStock_Log[WeekIndex],22))</f>
        <v/>
      </c>
      <c r="X10" s="12">
        <f>IF(COUNTIFS(T_SelfStock_Log[Part Name],$A10,T_SelfStock_Log[WeekIndex],23)=0,"",SUMIFS(T_SelfStock_Log[Self_Qty],T_SelfStock_Log[Part Name],$A10,T_SelfStock_Log[WeekIndex],23))</f>
        <v/>
      </c>
      <c r="Y10" s="12">
        <f>IF(COUNTIFS(T_SelfStock_Log[Part Name],$A10,T_SelfStock_Log[WeekIndex],24)=0,"",SUMIFS(T_SelfStock_Log[Self_Qty],T_SelfStock_Log[Part Name],$A10,T_SelfStock_Log[WeekIndex],24))</f>
        <v/>
      </c>
      <c r="Z10" s="12">
        <f>IF(COUNTIFS(T_SelfStock_Log[Part Name],$A10,T_SelfStock_Log[WeekIndex],25)=0,"",SUMIFS(T_SelfStock_Log[Self_Qty],T_SelfStock_Log[Part Name],$A10,T_SelfStock_Log[WeekIndex],25))</f>
        <v/>
      </c>
      <c r="AA10" s="12">
        <f>IF(COUNTIFS(T_SelfStock_Log[Part Name],$A10,T_SelfStock_Log[WeekIndex],26)=0,"",SUMIFS(T_SelfStock_Log[Self_Qty],T_SelfStock_Log[Part Name],$A10,T_SelfStock_Log[WeekIndex],26))</f>
        <v/>
      </c>
      <c r="AB10" s="12">
        <f>IF(COUNTIFS(T_SelfStock_Log[Part Name],$A10,T_SelfStock_Log[WeekIndex],27)=0,"",SUMIFS(T_SelfStock_Log[Self_Qty],T_SelfStock_Log[Part Name],$A10,T_SelfStock_Log[WeekIndex],27))</f>
        <v/>
      </c>
      <c r="AC10" s="12">
        <f>IF(COUNTIFS(T_SelfStock_Log[Part Name],$A10,T_SelfStock_Log[WeekIndex],28)=0,"",SUMIFS(T_SelfStock_Log[Self_Qty],T_SelfStock_Log[Part Name],$A10,T_SelfStock_Log[WeekIndex],28))</f>
        <v/>
      </c>
      <c r="AD10" s="12">
        <f>IF(COUNTIFS(T_SelfStock_Log[Part Name],$A10,T_SelfStock_Log[WeekIndex],29)=0,"",SUMIFS(T_SelfStock_Log[Self_Qty],T_SelfStock_Log[Part Name],$A10,T_SelfStock_Log[WeekIndex],29))</f>
        <v/>
      </c>
      <c r="AE10" s="12">
        <f>IF(COUNTIFS(T_SelfStock_Log[Part Name],$A10,T_SelfStock_Log[WeekIndex],30)=0,"",SUMIFS(T_SelfStock_Log[Self_Qty],T_SelfStock_Log[Part Name],$A10,T_SelfStock_Log[WeekIndex],30))</f>
        <v/>
      </c>
      <c r="AF10" s="12">
        <f>IF(COUNTIFS(T_SelfStock_Log[Part Name],$A10,T_SelfStock_Log[WeekIndex],31)=0,"",SUMIFS(T_SelfStock_Log[Self_Qty],T_SelfStock_Log[Part Name],$A10,T_SelfStock_Log[WeekIndex],31))</f>
        <v/>
      </c>
      <c r="AG10" s="12">
        <f>IF(COUNTIFS(T_SelfStock_Log[Part Name],$A10,T_SelfStock_Log[WeekIndex],32)=0,"",SUMIFS(T_SelfStock_Log[Self_Qty],T_SelfStock_Log[Part Name],$A10,T_SelfStock_Log[WeekIndex],32))</f>
        <v/>
      </c>
      <c r="AH10" s="12">
        <f>IF(COUNTIFS(T_SelfStock_Log[Part Name],$A10,T_SelfStock_Log[WeekIndex],33)=0,"",SUMIFS(T_SelfStock_Log[Self_Qty],T_SelfStock_Log[Part Name],$A10,T_SelfStock_Log[WeekIndex],33))</f>
        <v/>
      </c>
      <c r="AI10" s="12">
        <f>IF(COUNTIFS(T_SelfStock_Log[Part Name],$A10,T_SelfStock_Log[WeekIndex],34)=0,"",SUMIFS(T_SelfStock_Log[Self_Qty],T_SelfStock_Log[Part Name],$A10,T_SelfStock_Log[WeekIndex],34))</f>
        <v/>
      </c>
      <c r="AJ10" s="12">
        <f>IF(COUNTIFS(T_SelfStock_Log[Part Name],$A10,T_SelfStock_Log[WeekIndex],35)=0,"",SUMIFS(T_SelfStock_Log[Self_Qty],T_SelfStock_Log[Part Name],$A10,T_SelfStock_Log[WeekIndex],35))</f>
        <v/>
      </c>
      <c r="AK10" s="12">
        <f>IF(COUNTIFS(T_SelfStock_Log[Part Name],$A10,T_SelfStock_Log[WeekIndex],36)=0,"",SUMIFS(T_SelfStock_Log[Self_Qty],T_SelfStock_Log[Part Name],$A10,T_SelfStock_Log[WeekIndex],36))</f>
        <v/>
      </c>
      <c r="AL10" s="12">
        <f>IF(COUNTIFS(T_SelfStock_Log[Part Name],$A10,T_SelfStock_Log[WeekIndex],37)=0,"",SUMIFS(T_SelfStock_Log[Self_Qty],T_SelfStock_Log[Part Name],$A10,T_SelfStock_Log[WeekIndex],37))</f>
        <v/>
      </c>
      <c r="AM10" s="12">
        <f>IF(COUNTIFS(T_SelfStock_Log[Part Name],$A10,T_SelfStock_Log[WeekIndex],38)=0,"",SUMIFS(T_SelfStock_Log[Self_Qty],T_SelfStock_Log[Part Name],$A10,T_SelfStock_Log[WeekIndex],38))</f>
        <v/>
      </c>
      <c r="AN10" s="12">
        <f>IF(COUNTIFS(T_SelfStock_Log[Part Name],$A10,T_SelfStock_Log[WeekIndex],39)=0,"",SUMIFS(T_SelfStock_Log[Self_Qty],T_SelfStock_Log[Part Name],$A10,T_SelfStock_Log[WeekIndex],39))</f>
        <v/>
      </c>
      <c r="AO10" s="12">
        <f>IF(COUNTIFS(T_SelfStock_Log[Part Name],$A10,T_SelfStock_Log[WeekIndex],40)=0,"",SUMIFS(T_SelfStock_Log[Self_Qty],T_SelfStock_Log[Part Name],$A10,T_SelfStock_Log[WeekIndex],40))</f>
        <v/>
      </c>
      <c r="AP10" s="12">
        <f>IF(COUNTIFS(T_SelfStock_Log[Part Name],$A10,T_SelfStock_Log[WeekIndex],41)=0,"",SUMIFS(T_SelfStock_Log[Self_Qty],T_SelfStock_Log[Part Name],$A10,T_SelfStock_Log[WeekIndex],41))</f>
        <v/>
      </c>
      <c r="AQ10" s="12">
        <f>IF(COUNTIFS(T_SelfStock_Log[Part Name],$A10,T_SelfStock_Log[WeekIndex],42)=0,"",SUMIFS(T_SelfStock_Log[Self_Qty],T_SelfStock_Log[Part Name],$A10,T_SelfStock_Log[WeekIndex],42))</f>
        <v/>
      </c>
      <c r="AR10" s="12">
        <f>IF(COUNTIFS(T_SelfStock_Log[Part Name],$A10,T_SelfStock_Log[WeekIndex],43)=0,"",SUMIFS(T_SelfStock_Log[Self_Qty],T_SelfStock_Log[Part Name],$A10,T_SelfStock_Log[WeekIndex],43))</f>
        <v/>
      </c>
      <c r="AS10" s="12">
        <f>IF(COUNTIFS(T_SelfStock_Log[Part Name],$A10,T_SelfStock_Log[WeekIndex],44)=0,"",SUMIFS(T_SelfStock_Log[Self_Qty],T_SelfStock_Log[Part Name],$A10,T_SelfStock_Log[WeekIndex],44))</f>
        <v/>
      </c>
      <c r="AT10" s="12">
        <f>IF(COUNTIFS(T_SelfStock_Log[Part Name],$A10,T_SelfStock_Log[WeekIndex],45)=0,"",SUMIFS(T_SelfStock_Log[Self_Qty],T_SelfStock_Log[Part Name],$A10,T_SelfStock_Log[WeekIndex],45))</f>
        <v/>
      </c>
      <c r="AU10" s="12">
        <f>IF(COUNTIFS(T_SelfStock_Log[Part Name],$A10,T_SelfStock_Log[WeekIndex],46)=0,"",SUMIFS(T_SelfStock_Log[Self_Qty],T_SelfStock_Log[Part Name],$A10,T_SelfStock_Log[WeekIndex],46))</f>
        <v/>
      </c>
      <c r="AV10" s="12">
        <f>IF(COUNTIFS(T_SelfStock_Log[Part Name],$A10,T_SelfStock_Log[WeekIndex],47)=0,"",SUMIFS(T_SelfStock_Log[Self_Qty],T_SelfStock_Log[Part Name],$A10,T_SelfStock_Log[WeekIndex],47))</f>
        <v/>
      </c>
      <c r="AW10" s="12">
        <f>IF(COUNTIFS(T_SelfStock_Log[Part Name],$A10,T_SelfStock_Log[WeekIndex],48)=0,"",SUMIFS(T_SelfStock_Log[Self_Qty],T_SelfStock_Log[Part Name],$A10,T_SelfStock_Log[WeekIndex],48))</f>
        <v/>
      </c>
      <c r="AX10" s="12">
        <f>IF(COUNTIFS(T_SelfStock_Log[Part Name],$A10,T_SelfStock_Log[WeekIndex],49)=0,"",SUMIFS(T_SelfStock_Log[Self_Qty],T_SelfStock_Log[Part Name],$A10,T_SelfStock_Log[WeekIndex],49))</f>
        <v/>
      </c>
      <c r="AY10" s="12">
        <f>IF(COUNTIFS(T_SelfStock_Log[Part Name],$A10,T_SelfStock_Log[WeekIndex],50)=0,"",SUMIFS(T_SelfStock_Log[Self_Qty],T_SelfStock_Log[Part Name],$A10,T_SelfStock_Log[WeekIndex],50))</f>
        <v/>
      </c>
      <c r="AZ10" s="12">
        <f>IF(COUNTIFS(T_SelfStock_Log[Part Name],$A10,T_SelfStock_Log[WeekIndex],51)=0,"",SUMIFS(T_SelfStock_Log[Self_Qty],T_SelfStock_Log[Part Name],$A10,T_SelfStock_Log[WeekIndex],51))</f>
        <v/>
      </c>
      <c r="BA10" s="12">
        <f>IF(COUNTIFS(T_SelfStock_Log[Part Name],$A10,T_SelfStock_Log[WeekIndex],52)=0,"",SUMIFS(T_SelfStock_Log[Self_Qty],T_SelfStock_Log[Part Name],$A10,T_SelfStock_Log[WeekIndex],52))</f>
        <v/>
      </c>
      <c r="BB10" s="12">
        <f>IF(COUNTIFS(T_SelfStock_Log[Part Name],$A10,T_SelfStock_Log[WeekIndex],53)=0,"",SUMIFS(T_SelfStock_Log[Self_Qty],T_SelfStock_Log[Part Name],$A10,T_SelfStock_Log[WeekIndex],53))</f>
        <v/>
      </c>
      <c r="BC10" s="12">
        <f>IF(COUNTIFS(T_SelfStock_Log[Part Name],$A10,T_SelfStock_Log[WeekIndex],54)=0,"",SUMIFS(T_SelfStock_Log[Self_Qty],T_SelfStock_Log[Part Name],$A10,T_SelfStock_Log[WeekIndex],54))</f>
        <v/>
      </c>
      <c r="BD10" s="12">
        <f>IF(COUNTIFS(T_SelfStock_Log[Part Name],$A10,T_SelfStock_Log[WeekIndex],55)=0,"",SUMIFS(T_SelfStock_Log[Self_Qty],T_SelfStock_Log[Part Name],$A10,T_SelfStock_Log[WeekIndex],55))</f>
        <v/>
      </c>
      <c r="BE10" s="12">
        <f>IF(COUNTIFS(T_SelfStock_Log[Part Name],$A10,T_SelfStock_Log[WeekIndex],56)=0,"",SUMIFS(T_SelfStock_Log[Self_Qty],T_SelfStock_Log[Part Name],$A10,T_SelfStock_Log[WeekIndex],56))</f>
        <v/>
      </c>
      <c r="BF10" s="12">
        <f>IF(COUNTIFS(T_SelfStock_Log[Part Name],$A10,T_SelfStock_Log[WeekIndex],57)=0,"",SUMIFS(T_SelfStock_Log[Self_Qty],T_SelfStock_Log[Part Name],$A10,T_SelfStock_Log[WeekIndex],57))</f>
        <v/>
      </c>
      <c r="BG10" s="12">
        <f>IF(COUNTIFS(T_SelfStock_Log[Part Name],$A10,T_SelfStock_Log[WeekIndex],58)=0,"",SUMIFS(T_SelfStock_Log[Self_Qty],T_SelfStock_Log[Part Name],$A10,T_SelfStock_Log[WeekIndex],58))</f>
        <v/>
      </c>
      <c r="BH10" s="12">
        <f>IF(COUNTIFS(T_SelfStock_Log[Part Name],$A10,T_SelfStock_Log[WeekIndex],59)=0,"",SUMIFS(T_SelfStock_Log[Self_Qty],T_SelfStock_Log[Part Name],$A10,T_SelfStock_Log[WeekIndex],59))</f>
        <v/>
      </c>
      <c r="BI10" s="12">
        <f>IF(COUNTIFS(T_SelfStock_Log[Part Name],$A10,T_SelfStock_Log[WeekIndex],60)=0,"",SUMIFS(T_SelfStock_Log[Self_Qty],T_SelfStock_Log[Part Name],$A10,T_SelfStock_Log[WeekIndex],60))</f>
        <v/>
      </c>
      <c r="BJ10" s="12">
        <f>IF(COUNTIFS(T_SelfStock_Log[Part Name],$A10,T_SelfStock_Log[WeekIndex],61)=0,"",SUMIFS(T_SelfStock_Log[Self_Qty],T_SelfStock_Log[Part Name],$A10,T_SelfStock_Log[WeekIndex],61))</f>
        <v/>
      </c>
      <c r="BK10" s="12">
        <f>IF(COUNTIFS(T_SelfStock_Log[Part Name],$A10,T_SelfStock_Log[WeekIndex],62)=0,"",SUMIFS(T_SelfStock_Log[Self_Qty],T_SelfStock_Log[Part Name],$A10,T_SelfStock_Log[WeekIndex],62))</f>
        <v/>
      </c>
      <c r="BL10" s="12">
        <f>IF(COUNTIFS(T_SelfStock_Log[Part Name],$A10,T_SelfStock_Log[WeekIndex],63)=0,"",SUMIFS(T_SelfStock_Log[Self_Qty],T_SelfStock_Log[Part Name],$A10,T_SelfStock_Log[WeekIndex],63))</f>
        <v/>
      </c>
      <c r="BM10" s="12">
        <f>IF(COUNTIFS(T_SelfStock_Log[Part Name],$A10,T_SelfStock_Log[WeekIndex],64)=0,"",SUMIFS(T_SelfStock_Log[Self_Qty],T_SelfStock_Log[Part Name],$A10,T_SelfStock_Log[WeekIndex],64))</f>
        <v/>
      </c>
      <c r="BN10" s="12">
        <f>IF(COUNTIFS(T_SelfStock_Log[Part Name],$A10,T_SelfStock_Log[WeekIndex],65)=0,"",SUMIFS(T_SelfStock_Log[Self_Qty],T_SelfStock_Log[Part Name],$A10,T_SelfStock_Log[WeekIndex],65))</f>
        <v/>
      </c>
      <c r="BO10" s="12">
        <f>IF(COUNTIFS(T_SelfStock_Log[Part Name],$A10,T_SelfStock_Log[WeekIndex],66)=0,"",SUMIFS(T_SelfStock_Log[Self_Qty],T_SelfStock_Log[Part Name],$A10,T_SelfStock_Log[WeekIndex],66))</f>
        <v/>
      </c>
      <c r="BP10" s="12">
        <f>IF(COUNTIFS(T_SelfStock_Log[Part Name],$A10,T_SelfStock_Log[WeekIndex],67)=0,"",SUMIFS(T_SelfStock_Log[Self_Qty],T_SelfStock_Log[Part Name],$A10,T_SelfStock_Log[WeekIndex],67))</f>
        <v/>
      </c>
      <c r="BQ10" s="12">
        <f>IF(COUNTIFS(T_SelfStock_Log[Part Name],$A10,T_SelfStock_Log[WeekIndex],68)=0,"",SUMIFS(T_SelfStock_Log[Self_Qty],T_SelfStock_Log[Part Name],$A10,T_SelfStock_Log[WeekIndex],68))</f>
        <v/>
      </c>
      <c r="BR10" s="12">
        <f>IF(COUNTIFS(T_SelfStock_Log[Part Name],$A10,T_SelfStock_Log[WeekIndex],69)=0,"",SUMIFS(T_SelfStock_Log[Self_Qty],T_SelfStock_Log[Part Name],$A10,T_SelfStock_Log[WeekIndex],69))</f>
        <v/>
      </c>
      <c r="BS10" s="12">
        <f>IF(COUNTIFS(T_SelfStock_Log[Part Name],$A10,T_SelfStock_Log[WeekIndex],70)=0,"",SUMIFS(T_SelfStock_Log[Self_Qty],T_SelfStock_Log[Part Name],$A10,T_SelfStock_Log[WeekIndex],70))</f>
        <v/>
      </c>
      <c r="BT10" s="12">
        <f>IF(COUNTIFS(T_SelfStock_Log[Part Name],$A10,T_SelfStock_Log[WeekIndex],71)=0,"",SUMIFS(T_SelfStock_Log[Self_Qty],T_SelfStock_Log[Part Name],$A10,T_SelfStock_Log[WeekIndex],71))</f>
        <v/>
      </c>
      <c r="BU10" s="12">
        <f>IF(COUNTIFS(T_SelfStock_Log[Part Name],$A10,T_SelfStock_Log[WeekIndex],72)=0,"",SUMIFS(T_SelfStock_Log[Self_Qty],T_SelfStock_Log[Part Name],$A10,T_SelfStock_Log[WeekIndex],72))</f>
        <v/>
      </c>
      <c r="BV10" s="12">
        <f>IF(COUNTIFS(T_SelfStock_Log[Part Name],$A10,T_SelfStock_Log[WeekIndex],73)=0,"",SUMIFS(T_SelfStock_Log[Self_Qty],T_SelfStock_Log[Part Name],$A10,T_SelfStock_Log[WeekIndex],73))</f>
        <v/>
      </c>
      <c r="BW10" s="12">
        <f>IF(COUNTIFS(T_SelfStock_Log[Part Name],$A10,T_SelfStock_Log[WeekIndex],74)=0,"",SUMIFS(T_SelfStock_Log[Self_Qty],T_SelfStock_Log[Part Name],$A10,T_SelfStock_Log[WeekIndex],74))</f>
        <v/>
      </c>
      <c r="BX10" s="12">
        <f>IF(COUNTIFS(T_SelfStock_Log[Part Name],$A10,T_SelfStock_Log[WeekIndex],75)=0,"",SUMIFS(T_SelfStock_Log[Self_Qty],T_SelfStock_Log[Part Name],$A10,T_SelfStock_Log[WeekIndex],75))</f>
        <v/>
      </c>
      <c r="BY10" s="12">
        <f>IF(COUNTIFS(T_SelfStock_Log[Part Name],$A10,T_SelfStock_Log[WeekIndex],76)=0,"",SUMIFS(T_SelfStock_Log[Self_Qty],T_SelfStock_Log[Part Name],$A10,T_SelfStock_Log[WeekIndex],76))</f>
        <v/>
      </c>
      <c r="BZ10" s="12">
        <f>IF(COUNTIFS(T_SelfStock_Log[Part Name],$A10,T_SelfStock_Log[WeekIndex],77)=0,"",SUMIFS(T_SelfStock_Log[Self_Qty],T_SelfStock_Log[Part Name],$A10,T_SelfStock_Log[WeekIndex],77))</f>
        <v/>
      </c>
      <c r="CA10" s="12">
        <f>IF(COUNTIFS(T_SelfStock_Log[Part Name],$A10,T_SelfStock_Log[WeekIndex],78)=0,"",SUMIFS(T_SelfStock_Log[Self_Qty],T_SelfStock_Log[Part Name],$A10,T_SelfStock_Log[WeekIndex],78))</f>
        <v/>
      </c>
      <c r="CB10" s="12">
        <f>IF(COUNTIFS(T_SelfStock_Log[Part Name],$A10,T_SelfStock_Log[WeekIndex],79)=0,"",SUMIFS(T_SelfStock_Log[Self_Qty],T_SelfStock_Log[Part Name],$A10,T_SelfStock_Log[WeekIndex],79))</f>
        <v/>
      </c>
      <c r="CC10" s="12">
        <f>IF(COUNTIFS(T_SelfStock_Log[Part Name],$A10,T_SelfStock_Log[WeekIndex],80)=0,"",SUMIFS(T_SelfStock_Log[Self_Qty],T_SelfStock_Log[Part Name],$A10,T_SelfStock_Log[WeekIndex],80))</f>
        <v/>
      </c>
      <c r="CD10" s="12">
        <f>IF(COUNTIFS(T_SelfStock_Log[Part Name],$A10,T_SelfStock_Log[WeekIndex],81)=0,"",SUMIFS(T_SelfStock_Log[Self_Qty],T_SelfStock_Log[Part Name],$A10,T_SelfStock_Log[WeekIndex],81))</f>
        <v/>
      </c>
      <c r="CE10" s="12">
        <f>IF(COUNTIFS(T_SelfStock_Log[Part Name],$A10,T_SelfStock_Log[WeekIndex],82)=0,"",SUMIFS(T_SelfStock_Log[Self_Qty],T_SelfStock_Log[Part Name],$A10,T_SelfStock_Log[WeekIndex],82))</f>
        <v/>
      </c>
      <c r="CF10" s="12">
        <f>IF(COUNTIFS(T_SelfStock_Log[Part Name],$A10,T_SelfStock_Log[WeekIndex],83)=0,"",SUMIFS(T_SelfStock_Log[Self_Qty],T_SelfStock_Log[Part Name],$A10,T_SelfStock_Log[WeekIndex],83))</f>
        <v/>
      </c>
      <c r="CG10" s="12">
        <f>IF(COUNTIFS(T_SelfStock_Log[Part Name],$A10,T_SelfStock_Log[WeekIndex],84)=0,"",SUMIFS(T_SelfStock_Log[Self_Qty],T_SelfStock_Log[Part Name],$A10,T_SelfStock_Log[WeekIndex],84))</f>
        <v/>
      </c>
      <c r="CH10" s="12">
        <f>IF(COUNTIFS(T_SelfStock_Log[Part Name],$A10,T_SelfStock_Log[WeekIndex],85)=0,"",SUMIFS(T_SelfStock_Log[Self_Qty],T_SelfStock_Log[Part Name],$A10,T_SelfStock_Log[WeekIndex],85))</f>
        <v/>
      </c>
      <c r="CI10" s="12">
        <f>IF(COUNTIFS(T_SelfStock_Log[Part Name],$A10,T_SelfStock_Log[WeekIndex],86)=0,"",SUMIFS(T_SelfStock_Log[Self_Qty],T_SelfStock_Log[Part Name],$A10,T_SelfStock_Log[WeekIndex],86))</f>
        <v/>
      </c>
      <c r="CJ10" s="12">
        <f>IF(COUNTIFS(T_SelfStock_Log[Part Name],$A10,T_SelfStock_Log[WeekIndex],87)=0,"",SUMIFS(T_SelfStock_Log[Self_Qty],T_SelfStock_Log[Part Name],$A10,T_SelfStock_Log[WeekIndex],87))</f>
        <v/>
      </c>
      <c r="CK10" s="12">
        <f>IF(COUNTIFS(T_SelfStock_Log[Part Name],$A10,T_SelfStock_Log[WeekIndex],88)=0,"",SUMIFS(T_SelfStock_Log[Self_Qty],T_SelfStock_Log[Part Name],$A10,T_SelfStock_Log[WeekIndex],88))</f>
        <v/>
      </c>
      <c r="CL10" s="12">
        <f>IF(COUNTIFS(T_SelfStock_Log[Part Name],$A10,T_SelfStock_Log[WeekIndex],89)=0,"",SUMIFS(T_SelfStock_Log[Self_Qty],T_SelfStock_Log[Part Name],$A10,T_SelfStock_Log[WeekIndex],89))</f>
        <v/>
      </c>
      <c r="CM10" s="12">
        <f>IF(COUNTIFS(T_SelfStock_Log[Part Name],$A10,T_SelfStock_Log[WeekIndex],90)=0,"",SUMIFS(T_SelfStock_Log[Self_Qty],T_SelfStock_Log[Part Name],$A10,T_SelfStock_Log[WeekIndex],90))</f>
        <v/>
      </c>
      <c r="CN10" s="12">
        <f>IF(COUNTIFS(T_SelfStock_Log[Part Name],$A10,T_SelfStock_Log[WeekIndex],91)=0,"",SUMIFS(T_SelfStock_Log[Self_Qty],T_SelfStock_Log[Part Name],$A10,T_SelfStock_Log[WeekIndex],91))</f>
        <v/>
      </c>
      <c r="CO10" s="12">
        <f>IF(COUNTIFS(T_SelfStock_Log[Part Name],$A10,T_SelfStock_Log[WeekIndex],92)=0,"",SUMIFS(T_SelfStock_Log[Self_Qty],T_SelfStock_Log[Part Name],$A10,T_SelfStock_Log[WeekIndex],92))</f>
        <v/>
      </c>
      <c r="CP10" s="12">
        <f>IF(COUNTIFS(T_SelfStock_Log[Part Name],$A10,T_SelfStock_Log[WeekIndex],93)=0,"",SUMIFS(T_SelfStock_Log[Self_Qty],T_SelfStock_Log[Part Name],$A10,T_SelfStock_Log[WeekIndex],93))</f>
        <v/>
      </c>
      <c r="CQ10" s="12">
        <f>IF(COUNTIFS(T_SelfStock_Log[Part Name],$A10,T_SelfStock_Log[WeekIndex],94)=0,"",SUMIFS(T_SelfStock_Log[Self_Qty],T_SelfStock_Log[Part Name],$A10,T_SelfStock_Log[WeekIndex],94))</f>
        <v/>
      </c>
      <c r="CR10" s="12">
        <f>IF(COUNTIFS(T_SelfStock_Log[Part Name],$A10,T_SelfStock_Log[WeekIndex],95)=0,"",SUMIFS(T_SelfStock_Log[Self_Qty],T_SelfStock_Log[Part Name],$A10,T_SelfStock_Log[WeekIndex],95))</f>
        <v/>
      </c>
      <c r="CS10" s="12">
        <f>IF(COUNTIFS(T_SelfStock_Log[Part Name],$A10,T_SelfStock_Log[WeekIndex],96)=0,"",SUMIFS(T_SelfStock_Log[Self_Qty],T_SelfStock_Log[Part Name],$A10,T_SelfStock_Log[WeekIndex],96))</f>
        <v/>
      </c>
      <c r="CT10" s="12">
        <f>IF(COUNTIFS(T_SelfStock_Log[Part Name],$A10,T_SelfStock_Log[WeekIndex],97)=0,"",SUMIFS(T_SelfStock_Log[Self_Qty],T_SelfStock_Log[Part Name],$A10,T_SelfStock_Log[WeekIndex],97))</f>
        <v/>
      </c>
      <c r="CU10" s="12">
        <f>IF(COUNTIFS(T_SelfStock_Log[Part Name],$A10,T_SelfStock_Log[WeekIndex],98)=0,"",SUMIFS(T_SelfStock_Log[Self_Qty],T_SelfStock_Log[Part Name],$A10,T_SelfStock_Log[WeekIndex],98))</f>
        <v/>
      </c>
      <c r="CV10" s="12">
        <f>IF(COUNTIFS(T_SelfStock_Log[Part Name],$A10,T_SelfStock_Log[WeekIndex],99)=0,"",SUMIFS(T_SelfStock_Log[Self_Qty],T_SelfStock_Log[Part Name],$A10,T_SelfStock_Log[WeekIndex],99))</f>
        <v/>
      </c>
      <c r="CW10" s="12">
        <f>IF(COUNTIFS(T_SelfStock_Log[Part Name],$A10,T_SelfStock_Log[WeekIndex],100)=0,"",SUMIFS(T_SelfStock_Log[Self_Qty],T_SelfStock_Log[Part Name],$A10,T_SelfStock_Log[WeekIndex],100))</f>
        <v/>
      </c>
      <c r="CX10" s="12">
        <f>IF(COUNTIFS(T_SelfStock_Log[Part Name],$A10,T_SelfStock_Log[WeekIndex],101)=0,"",SUMIFS(T_SelfStock_Log[Self_Qty],T_SelfStock_Log[Part Name],$A10,T_SelfStock_Log[WeekIndex],101))</f>
        <v/>
      </c>
      <c r="CY10" s="12">
        <f>IF(COUNTIFS(T_SelfStock_Log[Part Name],$A10,T_SelfStock_Log[WeekIndex],102)=0,"",SUMIFS(T_SelfStock_Log[Self_Qty],T_SelfStock_Log[Part Name],$A10,T_SelfStock_Log[WeekIndex],102))</f>
        <v/>
      </c>
      <c r="CZ10" s="12">
        <f>IF(COUNTIFS(T_SelfStock_Log[Part Name],$A10,T_SelfStock_Log[WeekIndex],103)=0,"",SUMIFS(T_SelfStock_Log[Self_Qty],T_SelfStock_Log[Part Name],$A10,T_SelfStock_Log[WeekIndex],103))</f>
        <v/>
      </c>
      <c r="DA10" s="12">
        <f>IF(COUNTIFS(T_SelfStock_Log[Part Name],$A10,T_SelfStock_Log[WeekIndex],104)=0,"",SUMIFS(T_SelfStock_Log[Self_Qty],T_SelfStock_Log[Part Name],$A10,T_SelfStock_Log[WeekIndex],104))</f>
        <v/>
      </c>
    </row>
    <row r="11">
      <c r="A11" s="13" t="inlineStr">
        <is>
          <t>CHEM-1540</t>
        </is>
      </c>
      <c r="B11" s="13">
        <f>IF(COUNTIFS(T_SelfStock_Log[Part Name],$A11,T_SelfStock_Log[WeekIndex],1)=0,"",SUMIFS(T_SelfStock_Log[Self_Qty],T_SelfStock_Log[Part Name],$A11,T_SelfStock_Log[WeekIndex],1))</f>
        <v/>
      </c>
      <c r="C11" s="13">
        <f>IF(COUNTIFS(T_SelfStock_Log[Part Name],$A11,T_SelfStock_Log[WeekIndex],2)=0,"",SUMIFS(T_SelfStock_Log[Self_Qty],T_SelfStock_Log[Part Name],$A11,T_SelfStock_Log[WeekIndex],2))</f>
        <v/>
      </c>
      <c r="D11" s="13">
        <f>IF(COUNTIFS(T_SelfStock_Log[Part Name],$A11,T_SelfStock_Log[WeekIndex],3)=0,"",SUMIFS(T_SelfStock_Log[Self_Qty],T_SelfStock_Log[Part Name],$A11,T_SelfStock_Log[WeekIndex],3))</f>
        <v/>
      </c>
      <c r="E11" s="13">
        <f>IF(COUNTIFS(T_SelfStock_Log[Part Name],$A11,T_SelfStock_Log[WeekIndex],4)=0,"",SUMIFS(T_SelfStock_Log[Self_Qty],T_SelfStock_Log[Part Name],$A11,T_SelfStock_Log[WeekIndex],4))</f>
        <v/>
      </c>
      <c r="F11" s="13">
        <f>IF(COUNTIFS(T_SelfStock_Log[Part Name],$A11,T_SelfStock_Log[WeekIndex],5)=0,"",SUMIFS(T_SelfStock_Log[Self_Qty],T_SelfStock_Log[Part Name],$A11,T_SelfStock_Log[WeekIndex],5))</f>
        <v/>
      </c>
      <c r="G11" s="13">
        <f>IF(COUNTIFS(T_SelfStock_Log[Part Name],$A11,T_SelfStock_Log[WeekIndex],6)=0,"",SUMIFS(T_SelfStock_Log[Self_Qty],T_SelfStock_Log[Part Name],$A11,T_SelfStock_Log[WeekIndex],6))</f>
        <v/>
      </c>
      <c r="H11" s="13">
        <f>IF(COUNTIFS(T_SelfStock_Log[Part Name],$A11,T_SelfStock_Log[WeekIndex],7)=0,"",SUMIFS(T_SelfStock_Log[Self_Qty],T_SelfStock_Log[Part Name],$A11,T_SelfStock_Log[WeekIndex],7))</f>
        <v/>
      </c>
      <c r="I11" s="13">
        <f>IF(COUNTIFS(T_SelfStock_Log[Part Name],$A11,T_SelfStock_Log[WeekIndex],8)=0,"",SUMIFS(T_SelfStock_Log[Self_Qty],T_SelfStock_Log[Part Name],$A11,T_SelfStock_Log[WeekIndex],8))</f>
        <v/>
      </c>
      <c r="J11" s="13">
        <f>IF(COUNTIFS(T_SelfStock_Log[Part Name],$A11,T_SelfStock_Log[WeekIndex],9)=0,"",SUMIFS(T_SelfStock_Log[Self_Qty],T_SelfStock_Log[Part Name],$A11,T_SelfStock_Log[WeekIndex],9))</f>
        <v/>
      </c>
      <c r="K11" s="13">
        <f>IF(COUNTIFS(T_SelfStock_Log[Part Name],$A11,T_SelfStock_Log[WeekIndex],10)=0,"",SUMIFS(T_SelfStock_Log[Self_Qty],T_SelfStock_Log[Part Name],$A11,T_SelfStock_Log[WeekIndex],10))</f>
        <v/>
      </c>
      <c r="L11" s="13">
        <f>IF(COUNTIFS(T_SelfStock_Log[Part Name],$A11,T_SelfStock_Log[WeekIndex],11)=0,"",SUMIFS(T_SelfStock_Log[Self_Qty],T_SelfStock_Log[Part Name],$A11,T_SelfStock_Log[WeekIndex],11))</f>
        <v/>
      </c>
      <c r="M11" s="13">
        <f>IF(COUNTIFS(T_SelfStock_Log[Part Name],$A11,T_SelfStock_Log[WeekIndex],12)=0,"",SUMIFS(T_SelfStock_Log[Self_Qty],T_SelfStock_Log[Part Name],$A11,T_SelfStock_Log[WeekIndex],12))</f>
        <v/>
      </c>
      <c r="N11" s="13">
        <f>IF(COUNTIFS(T_SelfStock_Log[Part Name],$A11,T_SelfStock_Log[WeekIndex],13)=0,"",SUMIFS(T_SelfStock_Log[Self_Qty],T_SelfStock_Log[Part Name],$A11,T_SelfStock_Log[WeekIndex],13))</f>
        <v/>
      </c>
      <c r="O11" s="13">
        <f>IF(COUNTIFS(T_SelfStock_Log[Part Name],$A11,T_SelfStock_Log[WeekIndex],14)=0,"",SUMIFS(T_SelfStock_Log[Self_Qty],T_SelfStock_Log[Part Name],$A11,T_SelfStock_Log[WeekIndex],14))</f>
        <v/>
      </c>
      <c r="P11" s="13">
        <f>IF(COUNTIFS(T_SelfStock_Log[Part Name],$A11,T_SelfStock_Log[WeekIndex],15)=0,"",SUMIFS(T_SelfStock_Log[Self_Qty],T_SelfStock_Log[Part Name],$A11,T_SelfStock_Log[WeekIndex],15))</f>
        <v/>
      </c>
      <c r="Q11" s="13">
        <f>IF(COUNTIFS(T_SelfStock_Log[Part Name],$A11,T_SelfStock_Log[WeekIndex],16)=0,"",SUMIFS(T_SelfStock_Log[Self_Qty],T_SelfStock_Log[Part Name],$A11,T_SelfStock_Log[WeekIndex],16))</f>
        <v/>
      </c>
      <c r="R11" s="13">
        <f>IF(COUNTIFS(T_SelfStock_Log[Part Name],$A11,T_SelfStock_Log[WeekIndex],17)=0,"",SUMIFS(T_SelfStock_Log[Self_Qty],T_SelfStock_Log[Part Name],$A11,T_SelfStock_Log[WeekIndex],17))</f>
        <v/>
      </c>
      <c r="S11" s="13">
        <f>IF(COUNTIFS(T_SelfStock_Log[Part Name],$A11,T_SelfStock_Log[WeekIndex],18)=0,"",SUMIFS(T_SelfStock_Log[Self_Qty],T_SelfStock_Log[Part Name],$A11,T_SelfStock_Log[WeekIndex],18))</f>
        <v/>
      </c>
      <c r="T11" s="13">
        <f>IF(COUNTIFS(T_SelfStock_Log[Part Name],$A11,T_SelfStock_Log[WeekIndex],19)=0,"",SUMIFS(T_SelfStock_Log[Self_Qty],T_SelfStock_Log[Part Name],$A11,T_SelfStock_Log[WeekIndex],19))</f>
        <v/>
      </c>
      <c r="U11" s="13">
        <f>IF(COUNTIFS(T_SelfStock_Log[Part Name],$A11,T_SelfStock_Log[WeekIndex],20)=0,"",SUMIFS(T_SelfStock_Log[Self_Qty],T_SelfStock_Log[Part Name],$A11,T_SelfStock_Log[WeekIndex],20))</f>
        <v/>
      </c>
      <c r="V11" s="13">
        <f>IF(COUNTIFS(T_SelfStock_Log[Part Name],$A11,T_SelfStock_Log[WeekIndex],21)=0,"",SUMIFS(T_SelfStock_Log[Self_Qty],T_SelfStock_Log[Part Name],$A11,T_SelfStock_Log[WeekIndex],21))</f>
        <v/>
      </c>
      <c r="W11" s="13">
        <f>IF(COUNTIFS(T_SelfStock_Log[Part Name],$A11,T_SelfStock_Log[WeekIndex],22)=0,"",SUMIFS(T_SelfStock_Log[Self_Qty],T_SelfStock_Log[Part Name],$A11,T_SelfStock_Log[WeekIndex],22))</f>
        <v/>
      </c>
      <c r="X11" s="13">
        <f>IF(COUNTIFS(T_SelfStock_Log[Part Name],$A11,T_SelfStock_Log[WeekIndex],23)=0,"",SUMIFS(T_SelfStock_Log[Self_Qty],T_SelfStock_Log[Part Name],$A11,T_SelfStock_Log[WeekIndex],23))</f>
        <v/>
      </c>
      <c r="Y11" s="13">
        <f>IF(COUNTIFS(T_SelfStock_Log[Part Name],$A11,T_SelfStock_Log[WeekIndex],24)=0,"",SUMIFS(T_SelfStock_Log[Self_Qty],T_SelfStock_Log[Part Name],$A11,T_SelfStock_Log[WeekIndex],24))</f>
        <v/>
      </c>
      <c r="Z11" s="13">
        <f>IF(COUNTIFS(T_SelfStock_Log[Part Name],$A11,T_SelfStock_Log[WeekIndex],25)=0,"",SUMIFS(T_SelfStock_Log[Self_Qty],T_SelfStock_Log[Part Name],$A11,T_SelfStock_Log[WeekIndex],25))</f>
        <v/>
      </c>
      <c r="AA11" s="13">
        <f>IF(COUNTIFS(T_SelfStock_Log[Part Name],$A11,T_SelfStock_Log[WeekIndex],26)=0,"",SUMIFS(T_SelfStock_Log[Self_Qty],T_SelfStock_Log[Part Name],$A11,T_SelfStock_Log[WeekIndex],26))</f>
        <v/>
      </c>
      <c r="AB11" s="13">
        <f>IF(COUNTIFS(T_SelfStock_Log[Part Name],$A11,T_SelfStock_Log[WeekIndex],27)=0,"",SUMIFS(T_SelfStock_Log[Self_Qty],T_SelfStock_Log[Part Name],$A11,T_SelfStock_Log[WeekIndex],27))</f>
        <v/>
      </c>
      <c r="AC11" s="13">
        <f>IF(COUNTIFS(T_SelfStock_Log[Part Name],$A11,T_SelfStock_Log[WeekIndex],28)=0,"",SUMIFS(T_SelfStock_Log[Self_Qty],T_SelfStock_Log[Part Name],$A11,T_SelfStock_Log[WeekIndex],28))</f>
        <v/>
      </c>
      <c r="AD11" s="13">
        <f>IF(COUNTIFS(T_SelfStock_Log[Part Name],$A11,T_SelfStock_Log[WeekIndex],29)=0,"",SUMIFS(T_SelfStock_Log[Self_Qty],T_SelfStock_Log[Part Name],$A11,T_SelfStock_Log[WeekIndex],29))</f>
        <v/>
      </c>
      <c r="AE11" s="13">
        <f>IF(COUNTIFS(T_SelfStock_Log[Part Name],$A11,T_SelfStock_Log[WeekIndex],30)=0,"",SUMIFS(T_SelfStock_Log[Self_Qty],T_SelfStock_Log[Part Name],$A11,T_SelfStock_Log[WeekIndex],30))</f>
        <v/>
      </c>
      <c r="AF11" s="13">
        <f>IF(COUNTIFS(T_SelfStock_Log[Part Name],$A11,T_SelfStock_Log[WeekIndex],31)=0,"",SUMIFS(T_SelfStock_Log[Self_Qty],T_SelfStock_Log[Part Name],$A11,T_SelfStock_Log[WeekIndex],31))</f>
        <v/>
      </c>
      <c r="AG11" s="13">
        <f>IF(COUNTIFS(T_SelfStock_Log[Part Name],$A11,T_SelfStock_Log[WeekIndex],32)=0,"",SUMIFS(T_SelfStock_Log[Self_Qty],T_SelfStock_Log[Part Name],$A11,T_SelfStock_Log[WeekIndex],32))</f>
        <v/>
      </c>
      <c r="AH11" s="13">
        <f>IF(COUNTIFS(T_SelfStock_Log[Part Name],$A11,T_SelfStock_Log[WeekIndex],33)=0,"",SUMIFS(T_SelfStock_Log[Self_Qty],T_SelfStock_Log[Part Name],$A11,T_SelfStock_Log[WeekIndex],33))</f>
        <v/>
      </c>
      <c r="AI11" s="13">
        <f>IF(COUNTIFS(T_SelfStock_Log[Part Name],$A11,T_SelfStock_Log[WeekIndex],34)=0,"",SUMIFS(T_SelfStock_Log[Self_Qty],T_SelfStock_Log[Part Name],$A11,T_SelfStock_Log[WeekIndex],34))</f>
        <v/>
      </c>
      <c r="AJ11" s="13">
        <f>IF(COUNTIFS(T_SelfStock_Log[Part Name],$A11,T_SelfStock_Log[WeekIndex],35)=0,"",SUMIFS(T_SelfStock_Log[Self_Qty],T_SelfStock_Log[Part Name],$A11,T_SelfStock_Log[WeekIndex],35))</f>
        <v/>
      </c>
      <c r="AK11" s="13">
        <f>IF(COUNTIFS(T_SelfStock_Log[Part Name],$A11,T_SelfStock_Log[WeekIndex],36)=0,"",SUMIFS(T_SelfStock_Log[Self_Qty],T_SelfStock_Log[Part Name],$A11,T_SelfStock_Log[WeekIndex],36))</f>
        <v/>
      </c>
      <c r="AL11" s="13">
        <f>IF(COUNTIFS(T_SelfStock_Log[Part Name],$A11,T_SelfStock_Log[WeekIndex],37)=0,"",SUMIFS(T_SelfStock_Log[Self_Qty],T_SelfStock_Log[Part Name],$A11,T_SelfStock_Log[WeekIndex],37))</f>
        <v/>
      </c>
      <c r="AM11" s="13">
        <f>IF(COUNTIFS(T_SelfStock_Log[Part Name],$A11,T_SelfStock_Log[WeekIndex],38)=0,"",SUMIFS(T_SelfStock_Log[Self_Qty],T_SelfStock_Log[Part Name],$A11,T_SelfStock_Log[WeekIndex],38))</f>
        <v/>
      </c>
      <c r="AN11" s="13">
        <f>IF(COUNTIFS(T_SelfStock_Log[Part Name],$A11,T_SelfStock_Log[WeekIndex],39)=0,"",SUMIFS(T_SelfStock_Log[Self_Qty],T_SelfStock_Log[Part Name],$A11,T_SelfStock_Log[WeekIndex],39))</f>
        <v/>
      </c>
      <c r="AO11" s="13">
        <f>IF(COUNTIFS(T_SelfStock_Log[Part Name],$A11,T_SelfStock_Log[WeekIndex],40)=0,"",SUMIFS(T_SelfStock_Log[Self_Qty],T_SelfStock_Log[Part Name],$A11,T_SelfStock_Log[WeekIndex],40))</f>
        <v/>
      </c>
      <c r="AP11" s="13">
        <f>IF(COUNTIFS(T_SelfStock_Log[Part Name],$A11,T_SelfStock_Log[WeekIndex],41)=0,"",SUMIFS(T_SelfStock_Log[Self_Qty],T_SelfStock_Log[Part Name],$A11,T_SelfStock_Log[WeekIndex],41))</f>
        <v/>
      </c>
      <c r="AQ11" s="13">
        <f>IF(COUNTIFS(T_SelfStock_Log[Part Name],$A11,T_SelfStock_Log[WeekIndex],42)=0,"",SUMIFS(T_SelfStock_Log[Self_Qty],T_SelfStock_Log[Part Name],$A11,T_SelfStock_Log[WeekIndex],42))</f>
        <v/>
      </c>
      <c r="AR11" s="13">
        <f>IF(COUNTIFS(T_SelfStock_Log[Part Name],$A11,T_SelfStock_Log[WeekIndex],43)=0,"",SUMIFS(T_SelfStock_Log[Self_Qty],T_SelfStock_Log[Part Name],$A11,T_SelfStock_Log[WeekIndex],43))</f>
        <v/>
      </c>
      <c r="AS11" s="13">
        <f>IF(COUNTIFS(T_SelfStock_Log[Part Name],$A11,T_SelfStock_Log[WeekIndex],44)=0,"",SUMIFS(T_SelfStock_Log[Self_Qty],T_SelfStock_Log[Part Name],$A11,T_SelfStock_Log[WeekIndex],44))</f>
        <v/>
      </c>
      <c r="AT11" s="13">
        <f>IF(COUNTIFS(T_SelfStock_Log[Part Name],$A11,T_SelfStock_Log[WeekIndex],45)=0,"",SUMIFS(T_SelfStock_Log[Self_Qty],T_SelfStock_Log[Part Name],$A11,T_SelfStock_Log[WeekIndex],45))</f>
        <v/>
      </c>
      <c r="AU11" s="13">
        <f>IF(COUNTIFS(T_SelfStock_Log[Part Name],$A11,T_SelfStock_Log[WeekIndex],46)=0,"",SUMIFS(T_SelfStock_Log[Self_Qty],T_SelfStock_Log[Part Name],$A11,T_SelfStock_Log[WeekIndex],46))</f>
        <v/>
      </c>
      <c r="AV11" s="13">
        <f>IF(COUNTIFS(T_SelfStock_Log[Part Name],$A11,T_SelfStock_Log[WeekIndex],47)=0,"",SUMIFS(T_SelfStock_Log[Self_Qty],T_SelfStock_Log[Part Name],$A11,T_SelfStock_Log[WeekIndex],47))</f>
        <v/>
      </c>
      <c r="AW11" s="13">
        <f>IF(COUNTIFS(T_SelfStock_Log[Part Name],$A11,T_SelfStock_Log[WeekIndex],48)=0,"",SUMIFS(T_SelfStock_Log[Self_Qty],T_SelfStock_Log[Part Name],$A11,T_SelfStock_Log[WeekIndex],48))</f>
        <v/>
      </c>
      <c r="AX11" s="13">
        <f>IF(COUNTIFS(T_SelfStock_Log[Part Name],$A11,T_SelfStock_Log[WeekIndex],49)=0,"",SUMIFS(T_SelfStock_Log[Self_Qty],T_SelfStock_Log[Part Name],$A11,T_SelfStock_Log[WeekIndex],49))</f>
        <v/>
      </c>
      <c r="AY11" s="13">
        <f>IF(COUNTIFS(T_SelfStock_Log[Part Name],$A11,T_SelfStock_Log[WeekIndex],50)=0,"",SUMIFS(T_SelfStock_Log[Self_Qty],T_SelfStock_Log[Part Name],$A11,T_SelfStock_Log[WeekIndex],50))</f>
        <v/>
      </c>
      <c r="AZ11" s="13">
        <f>IF(COUNTIFS(T_SelfStock_Log[Part Name],$A11,T_SelfStock_Log[WeekIndex],51)=0,"",SUMIFS(T_SelfStock_Log[Self_Qty],T_SelfStock_Log[Part Name],$A11,T_SelfStock_Log[WeekIndex],51))</f>
        <v/>
      </c>
      <c r="BA11" s="13">
        <f>IF(COUNTIFS(T_SelfStock_Log[Part Name],$A11,T_SelfStock_Log[WeekIndex],52)=0,"",SUMIFS(T_SelfStock_Log[Self_Qty],T_SelfStock_Log[Part Name],$A11,T_SelfStock_Log[WeekIndex],52))</f>
        <v/>
      </c>
      <c r="BB11" s="13">
        <f>IF(COUNTIFS(T_SelfStock_Log[Part Name],$A11,T_SelfStock_Log[WeekIndex],53)=0,"",SUMIFS(T_SelfStock_Log[Self_Qty],T_SelfStock_Log[Part Name],$A11,T_SelfStock_Log[WeekIndex],53))</f>
        <v/>
      </c>
      <c r="BC11" s="13">
        <f>IF(COUNTIFS(T_SelfStock_Log[Part Name],$A11,T_SelfStock_Log[WeekIndex],54)=0,"",SUMIFS(T_SelfStock_Log[Self_Qty],T_SelfStock_Log[Part Name],$A11,T_SelfStock_Log[WeekIndex],54))</f>
        <v/>
      </c>
      <c r="BD11" s="13">
        <f>IF(COUNTIFS(T_SelfStock_Log[Part Name],$A11,T_SelfStock_Log[WeekIndex],55)=0,"",SUMIFS(T_SelfStock_Log[Self_Qty],T_SelfStock_Log[Part Name],$A11,T_SelfStock_Log[WeekIndex],55))</f>
        <v/>
      </c>
      <c r="BE11" s="13">
        <f>IF(COUNTIFS(T_SelfStock_Log[Part Name],$A11,T_SelfStock_Log[WeekIndex],56)=0,"",SUMIFS(T_SelfStock_Log[Self_Qty],T_SelfStock_Log[Part Name],$A11,T_SelfStock_Log[WeekIndex],56))</f>
        <v/>
      </c>
      <c r="BF11" s="13">
        <f>IF(COUNTIFS(T_SelfStock_Log[Part Name],$A11,T_SelfStock_Log[WeekIndex],57)=0,"",SUMIFS(T_SelfStock_Log[Self_Qty],T_SelfStock_Log[Part Name],$A11,T_SelfStock_Log[WeekIndex],57))</f>
        <v/>
      </c>
      <c r="BG11" s="13">
        <f>IF(COUNTIFS(T_SelfStock_Log[Part Name],$A11,T_SelfStock_Log[WeekIndex],58)=0,"",SUMIFS(T_SelfStock_Log[Self_Qty],T_SelfStock_Log[Part Name],$A11,T_SelfStock_Log[WeekIndex],58))</f>
        <v/>
      </c>
      <c r="BH11" s="13">
        <f>IF(COUNTIFS(T_SelfStock_Log[Part Name],$A11,T_SelfStock_Log[WeekIndex],59)=0,"",SUMIFS(T_SelfStock_Log[Self_Qty],T_SelfStock_Log[Part Name],$A11,T_SelfStock_Log[WeekIndex],59))</f>
        <v/>
      </c>
      <c r="BI11" s="13">
        <f>IF(COUNTIFS(T_SelfStock_Log[Part Name],$A11,T_SelfStock_Log[WeekIndex],60)=0,"",SUMIFS(T_SelfStock_Log[Self_Qty],T_SelfStock_Log[Part Name],$A11,T_SelfStock_Log[WeekIndex],60))</f>
        <v/>
      </c>
      <c r="BJ11" s="13">
        <f>IF(COUNTIFS(T_SelfStock_Log[Part Name],$A11,T_SelfStock_Log[WeekIndex],61)=0,"",SUMIFS(T_SelfStock_Log[Self_Qty],T_SelfStock_Log[Part Name],$A11,T_SelfStock_Log[WeekIndex],61))</f>
        <v/>
      </c>
      <c r="BK11" s="13">
        <f>IF(COUNTIFS(T_SelfStock_Log[Part Name],$A11,T_SelfStock_Log[WeekIndex],62)=0,"",SUMIFS(T_SelfStock_Log[Self_Qty],T_SelfStock_Log[Part Name],$A11,T_SelfStock_Log[WeekIndex],62))</f>
        <v/>
      </c>
      <c r="BL11" s="13">
        <f>IF(COUNTIFS(T_SelfStock_Log[Part Name],$A11,T_SelfStock_Log[WeekIndex],63)=0,"",SUMIFS(T_SelfStock_Log[Self_Qty],T_SelfStock_Log[Part Name],$A11,T_SelfStock_Log[WeekIndex],63))</f>
        <v/>
      </c>
      <c r="BM11" s="13">
        <f>IF(COUNTIFS(T_SelfStock_Log[Part Name],$A11,T_SelfStock_Log[WeekIndex],64)=0,"",SUMIFS(T_SelfStock_Log[Self_Qty],T_SelfStock_Log[Part Name],$A11,T_SelfStock_Log[WeekIndex],64))</f>
        <v/>
      </c>
      <c r="BN11" s="13">
        <f>IF(COUNTIFS(T_SelfStock_Log[Part Name],$A11,T_SelfStock_Log[WeekIndex],65)=0,"",SUMIFS(T_SelfStock_Log[Self_Qty],T_SelfStock_Log[Part Name],$A11,T_SelfStock_Log[WeekIndex],65))</f>
        <v/>
      </c>
      <c r="BO11" s="13">
        <f>IF(COUNTIFS(T_SelfStock_Log[Part Name],$A11,T_SelfStock_Log[WeekIndex],66)=0,"",SUMIFS(T_SelfStock_Log[Self_Qty],T_SelfStock_Log[Part Name],$A11,T_SelfStock_Log[WeekIndex],66))</f>
        <v/>
      </c>
      <c r="BP11" s="13">
        <f>IF(COUNTIFS(T_SelfStock_Log[Part Name],$A11,T_SelfStock_Log[WeekIndex],67)=0,"",SUMIFS(T_SelfStock_Log[Self_Qty],T_SelfStock_Log[Part Name],$A11,T_SelfStock_Log[WeekIndex],67))</f>
        <v/>
      </c>
      <c r="BQ11" s="13">
        <f>IF(COUNTIFS(T_SelfStock_Log[Part Name],$A11,T_SelfStock_Log[WeekIndex],68)=0,"",SUMIFS(T_SelfStock_Log[Self_Qty],T_SelfStock_Log[Part Name],$A11,T_SelfStock_Log[WeekIndex],68))</f>
        <v/>
      </c>
      <c r="BR11" s="13">
        <f>IF(COUNTIFS(T_SelfStock_Log[Part Name],$A11,T_SelfStock_Log[WeekIndex],69)=0,"",SUMIFS(T_SelfStock_Log[Self_Qty],T_SelfStock_Log[Part Name],$A11,T_SelfStock_Log[WeekIndex],69))</f>
        <v/>
      </c>
      <c r="BS11" s="13">
        <f>IF(COUNTIFS(T_SelfStock_Log[Part Name],$A11,T_SelfStock_Log[WeekIndex],70)=0,"",SUMIFS(T_SelfStock_Log[Self_Qty],T_SelfStock_Log[Part Name],$A11,T_SelfStock_Log[WeekIndex],70))</f>
        <v/>
      </c>
      <c r="BT11" s="13">
        <f>IF(COUNTIFS(T_SelfStock_Log[Part Name],$A11,T_SelfStock_Log[WeekIndex],71)=0,"",SUMIFS(T_SelfStock_Log[Self_Qty],T_SelfStock_Log[Part Name],$A11,T_SelfStock_Log[WeekIndex],71))</f>
        <v/>
      </c>
      <c r="BU11" s="13">
        <f>IF(COUNTIFS(T_SelfStock_Log[Part Name],$A11,T_SelfStock_Log[WeekIndex],72)=0,"",SUMIFS(T_SelfStock_Log[Self_Qty],T_SelfStock_Log[Part Name],$A11,T_SelfStock_Log[WeekIndex],72))</f>
        <v/>
      </c>
      <c r="BV11" s="13">
        <f>IF(COUNTIFS(T_SelfStock_Log[Part Name],$A11,T_SelfStock_Log[WeekIndex],73)=0,"",SUMIFS(T_SelfStock_Log[Self_Qty],T_SelfStock_Log[Part Name],$A11,T_SelfStock_Log[WeekIndex],73))</f>
        <v/>
      </c>
      <c r="BW11" s="13">
        <f>IF(COUNTIFS(T_SelfStock_Log[Part Name],$A11,T_SelfStock_Log[WeekIndex],74)=0,"",SUMIFS(T_SelfStock_Log[Self_Qty],T_SelfStock_Log[Part Name],$A11,T_SelfStock_Log[WeekIndex],74))</f>
        <v/>
      </c>
      <c r="BX11" s="13">
        <f>IF(COUNTIFS(T_SelfStock_Log[Part Name],$A11,T_SelfStock_Log[WeekIndex],75)=0,"",SUMIFS(T_SelfStock_Log[Self_Qty],T_SelfStock_Log[Part Name],$A11,T_SelfStock_Log[WeekIndex],75))</f>
        <v/>
      </c>
      <c r="BY11" s="13">
        <f>IF(COUNTIFS(T_SelfStock_Log[Part Name],$A11,T_SelfStock_Log[WeekIndex],76)=0,"",SUMIFS(T_SelfStock_Log[Self_Qty],T_SelfStock_Log[Part Name],$A11,T_SelfStock_Log[WeekIndex],76))</f>
        <v/>
      </c>
      <c r="BZ11" s="13">
        <f>IF(COUNTIFS(T_SelfStock_Log[Part Name],$A11,T_SelfStock_Log[WeekIndex],77)=0,"",SUMIFS(T_SelfStock_Log[Self_Qty],T_SelfStock_Log[Part Name],$A11,T_SelfStock_Log[WeekIndex],77))</f>
        <v/>
      </c>
      <c r="CA11" s="13">
        <f>IF(COUNTIFS(T_SelfStock_Log[Part Name],$A11,T_SelfStock_Log[WeekIndex],78)=0,"",SUMIFS(T_SelfStock_Log[Self_Qty],T_SelfStock_Log[Part Name],$A11,T_SelfStock_Log[WeekIndex],78))</f>
        <v/>
      </c>
      <c r="CB11" s="13">
        <f>IF(COUNTIFS(T_SelfStock_Log[Part Name],$A11,T_SelfStock_Log[WeekIndex],79)=0,"",SUMIFS(T_SelfStock_Log[Self_Qty],T_SelfStock_Log[Part Name],$A11,T_SelfStock_Log[WeekIndex],79))</f>
        <v/>
      </c>
      <c r="CC11" s="13">
        <f>IF(COUNTIFS(T_SelfStock_Log[Part Name],$A11,T_SelfStock_Log[WeekIndex],80)=0,"",SUMIFS(T_SelfStock_Log[Self_Qty],T_SelfStock_Log[Part Name],$A11,T_SelfStock_Log[WeekIndex],80))</f>
        <v/>
      </c>
      <c r="CD11" s="13">
        <f>IF(COUNTIFS(T_SelfStock_Log[Part Name],$A11,T_SelfStock_Log[WeekIndex],81)=0,"",SUMIFS(T_SelfStock_Log[Self_Qty],T_SelfStock_Log[Part Name],$A11,T_SelfStock_Log[WeekIndex],81))</f>
        <v/>
      </c>
      <c r="CE11" s="13">
        <f>IF(COUNTIFS(T_SelfStock_Log[Part Name],$A11,T_SelfStock_Log[WeekIndex],82)=0,"",SUMIFS(T_SelfStock_Log[Self_Qty],T_SelfStock_Log[Part Name],$A11,T_SelfStock_Log[WeekIndex],82))</f>
        <v/>
      </c>
      <c r="CF11" s="13">
        <f>IF(COUNTIFS(T_SelfStock_Log[Part Name],$A11,T_SelfStock_Log[WeekIndex],83)=0,"",SUMIFS(T_SelfStock_Log[Self_Qty],T_SelfStock_Log[Part Name],$A11,T_SelfStock_Log[WeekIndex],83))</f>
        <v/>
      </c>
      <c r="CG11" s="13">
        <f>IF(COUNTIFS(T_SelfStock_Log[Part Name],$A11,T_SelfStock_Log[WeekIndex],84)=0,"",SUMIFS(T_SelfStock_Log[Self_Qty],T_SelfStock_Log[Part Name],$A11,T_SelfStock_Log[WeekIndex],84))</f>
        <v/>
      </c>
      <c r="CH11" s="13">
        <f>IF(COUNTIFS(T_SelfStock_Log[Part Name],$A11,T_SelfStock_Log[WeekIndex],85)=0,"",SUMIFS(T_SelfStock_Log[Self_Qty],T_SelfStock_Log[Part Name],$A11,T_SelfStock_Log[WeekIndex],85))</f>
        <v/>
      </c>
      <c r="CI11" s="13">
        <f>IF(COUNTIFS(T_SelfStock_Log[Part Name],$A11,T_SelfStock_Log[WeekIndex],86)=0,"",SUMIFS(T_SelfStock_Log[Self_Qty],T_SelfStock_Log[Part Name],$A11,T_SelfStock_Log[WeekIndex],86))</f>
        <v/>
      </c>
      <c r="CJ11" s="13">
        <f>IF(COUNTIFS(T_SelfStock_Log[Part Name],$A11,T_SelfStock_Log[WeekIndex],87)=0,"",SUMIFS(T_SelfStock_Log[Self_Qty],T_SelfStock_Log[Part Name],$A11,T_SelfStock_Log[WeekIndex],87))</f>
        <v/>
      </c>
      <c r="CK11" s="13">
        <f>IF(COUNTIFS(T_SelfStock_Log[Part Name],$A11,T_SelfStock_Log[WeekIndex],88)=0,"",SUMIFS(T_SelfStock_Log[Self_Qty],T_SelfStock_Log[Part Name],$A11,T_SelfStock_Log[WeekIndex],88))</f>
        <v/>
      </c>
      <c r="CL11" s="13">
        <f>IF(COUNTIFS(T_SelfStock_Log[Part Name],$A11,T_SelfStock_Log[WeekIndex],89)=0,"",SUMIFS(T_SelfStock_Log[Self_Qty],T_SelfStock_Log[Part Name],$A11,T_SelfStock_Log[WeekIndex],89))</f>
        <v/>
      </c>
      <c r="CM11" s="13">
        <f>IF(COUNTIFS(T_SelfStock_Log[Part Name],$A11,T_SelfStock_Log[WeekIndex],90)=0,"",SUMIFS(T_SelfStock_Log[Self_Qty],T_SelfStock_Log[Part Name],$A11,T_SelfStock_Log[WeekIndex],90))</f>
        <v/>
      </c>
      <c r="CN11" s="13">
        <f>IF(COUNTIFS(T_SelfStock_Log[Part Name],$A11,T_SelfStock_Log[WeekIndex],91)=0,"",SUMIFS(T_SelfStock_Log[Self_Qty],T_SelfStock_Log[Part Name],$A11,T_SelfStock_Log[WeekIndex],91))</f>
        <v/>
      </c>
      <c r="CO11" s="13">
        <f>IF(COUNTIFS(T_SelfStock_Log[Part Name],$A11,T_SelfStock_Log[WeekIndex],92)=0,"",SUMIFS(T_SelfStock_Log[Self_Qty],T_SelfStock_Log[Part Name],$A11,T_SelfStock_Log[WeekIndex],92))</f>
        <v/>
      </c>
      <c r="CP11" s="13">
        <f>IF(COUNTIFS(T_SelfStock_Log[Part Name],$A11,T_SelfStock_Log[WeekIndex],93)=0,"",SUMIFS(T_SelfStock_Log[Self_Qty],T_SelfStock_Log[Part Name],$A11,T_SelfStock_Log[WeekIndex],93))</f>
        <v/>
      </c>
      <c r="CQ11" s="13">
        <f>IF(COUNTIFS(T_SelfStock_Log[Part Name],$A11,T_SelfStock_Log[WeekIndex],94)=0,"",SUMIFS(T_SelfStock_Log[Self_Qty],T_SelfStock_Log[Part Name],$A11,T_SelfStock_Log[WeekIndex],94))</f>
        <v/>
      </c>
      <c r="CR11" s="13">
        <f>IF(COUNTIFS(T_SelfStock_Log[Part Name],$A11,T_SelfStock_Log[WeekIndex],95)=0,"",SUMIFS(T_SelfStock_Log[Self_Qty],T_SelfStock_Log[Part Name],$A11,T_SelfStock_Log[WeekIndex],95))</f>
        <v/>
      </c>
      <c r="CS11" s="13">
        <f>IF(COUNTIFS(T_SelfStock_Log[Part Name],$A11,T_SelfStock_Log[WeekIndex],96)=0,"",SUMIFS(T_SelfStock_Log[Self_Qty],T_SelfStock_Log[Part Name],$A11,T_SelfStock_Log[WeekIndex],96))</f>
        <v/>
      </c>
      <c r="CT11" s="13">
        <f>IF(COUNTIFS(T_SelfStock_Log[Part Name],$A11,T_SelfStock_Log[WeekIndex],97)=0,"",SUMIFS(T_SelfStock_Log[Self_Qty],T_SelfStock_Log[Part Name],$A11,T_SelfStock_Log[WeekIndex],97))</f>
        <v/>
      </c>
      <c r="CU11" s="13">
        <f>IF(COUNTIFS(T_SelfStock_Log[Part Name],$A11,T_SelfStock_Log[WeekIndex],98)=0,"",SUMIFS(T_SelfStock_Log[Self_Qty],T_SelfStock_Log[Part Name],$A11,T_SelfStock_Log[WeekIndex],98))</f>
        <v/>
      </c>
      <c r="CV11" s="13">
        <f>IF(COUNTIFS(T_SelfStock_Log[Part Name],$A11,T_SelfStock_Log[WeekIndex],99)=0,"",SUMIFS(T_SelfStock_Log[Self_Qty],T_SelfStock_Log[Part Name],$A11,T_SelfStock_Log[WeekIndex],99))</f>
        <v/>
      </c>
      <c r="CW11" s="13">
        <f>IF(COUNTIFS(T_SelfStock_Log[Part Name],$A11,T_SelfStock_Log[WeekIndex],100)=0,"",SUMIFS(T_SelfStock_Log[Self_Qty],T_SelfStock_Log[Part Name],$A11,T_SelfStock_Log[WeekIndex],100))</f>
        <v/>
      </c>
      <c r="CX11" s="13">
        <f>IF(COUNTIFS(T_SelfStock_Log[Part Name],$A11,T_SelfStock_Log[WeekIndex],101)=0,"",SUMIFS(T_SelfStock_Log[Self_Qty],T_SelfStock_Log[Part Name],$A11,T_SelfStock_Log[WeekIndex],101))</f>
        <v/>
      </c>
      <c r="CY11" s="13">
        <f>IF(COUNTIFS(T_SelfStock_Log[Part Name],$A11,T_SelfStock_Log[WeekIndex],102)=0,"",SUMIFS(T_SelfStock_Log[Self_Qty],T_SelfStock_Log[Part Name],$A11,T_SelfStock_Log[WeekIndex],102))</f>
        <v/>
      </c>
      <c r="CZ11" s="13">
        <f>IF(COUNTIFS(T_SelfStock_Log[Part Name],$A11,T_SelfStock_Log[WeekIndex],103)=0,"",SUMIFS(T_SelfStock_Log[Self_Qty],T_SelfStock_Log[Part Name],$A11,T_SelfStock_Log[WeekIndex],103))</f>
        <v/>
      </c>
      <c r="DA11" s="13">
        <f>IF(COUNTIFS(T_SelfStock_Log[Part Name],$A11,T_SelfStock_Log[WeekIndex],104)=0,"",SUMIFS(T_SelfStock_Log[Self_Qty],T_SelfStock_Log[Part Name],$A11,T_SelfStock_Log[WeekIndex],104))</f>
        <v/>
      </c>
    </row>
    <row r="12">
      <c r="A12" s="12" t="inlineStr">
        <is>
          <t>CHEM-1690</t>
        </is>
      </c>
      <c r="B12" s="12">
        <f>IF(COUNTIFS(T_SelfStock_Log[Part Name],$A12,T_SelfStock_Log[WeekIndex],1)=0,"",SUMIFS(T_SelfStock_Log[Self_Qty],T_SelfStock_Log[Part Name],$A12,T_SelfStock_Log[WeekIndex],1))</f>
        <v/>
      </c>
      <c r="C12" s="12">
        <f>IF(COUNTIFS(T_SelfStock_Log[Part Name],$A12,T_SelfStock_Log[WeekIndex],2)=0,"",SUMIFS(T_SelfStock_Log[Self_Qty],T_SelfStock_Log[Part Name],$A12,T_SelfStock_Log[WeekIndex],2))</f>
        <v/>
      </c>
      <c r="D12" s="12">
        <f>IF(COUNTIFS(T_SelfStock_Log[Part Name],$A12,T_SelfStock_Log[WeekIndex],3)=0,"",SUMIFS(T_SelfStock_Log[Self_Qty],T_SelfStock_Log[Part Name],$A12,T_SelfStock_Log[WeekIndex],3))</f>
        <v/>
      </c>
      <c r="E12" s="12">
        <f>IF(COUNTIFS(T_SelfStock_Log[Part Name],$A12,T_SelfStock_Log[WeekIndex],4)=0,"",SUMIFS(T_SelfStock_Log[Self_Qty],T_SelfStock_Log[Part Name],$A12,T_SelfStock_Log[WeekIndex],4))</f>
        <v/>
      </c>
      <c r="F12" s="12">
        <f>IF(COUNTIFS(T_SelfStock_Log[Part Name],$A12,T_SelfStock_Log[WeekIndex],5)=0,"",SUMIFS(T_SelfStock_Log[Self_Qty],T_SelfStock_Log[Part Name],$A12,T_SelfStock_Log[WeekIndex],5))</f>
        <v/>
      </c>
      <c r="G12" s="12">
        <f>IF(COUNTIFS(T_SelfStock_Log[Part Name],$A12,T_SelfStock_Log[WeekIndex],6)=0,"",SUMIFS(T_SelfStock_Log[Self_Qty],T_SelfStock_Log[Part Name],$A12,T_SelfStock_Log[WeekIndex],6))</f>
        <v/>
      </c>
      <c r="H12" s="12">
        <f>IF(COUNTIFS(T_SelfStock_Log[Part Name],$A12,T_SelfStock_Log[WeekIndex],7)=0,"",SUMIFS(T_SelfStock_Log[Self_Qty],T_SelfStock_Log[Part Name],$A12,T_SelfStock_Log[WeekIndex],7))</f>
        <v/>
      </c>
      <c r="I12" s="12">
        <f>IF(COUNTIFS(T_SelfStock_Log[Part Name],$A12,T_SelfStock_Log[WeekIndex],8)=0,"",SUMIFS(T_SelfStock_Log[Self_Qty],T_SelfStock_Log[Part Name],$A12,T_SelfStock_Log[WeekIndex],8))</f>
        <v/>
      </c>
      <c r="J12" s="12">
        <f>IF(COUNTIFS(T_SelfStock_Log[Part Name],$A12,T_SelfStock_Log[WeekIndex],9)=0,"",SUMIFS(T_SelfStock_Log[Self_Qty],T_SelfStock_Log[Part Name],$A12,T_SelfStock_Log[WeekIndex],9))</f>
        <v/>
      </c>
      <c r="K12" s="12">
        <f>IF(COUNTIFS(T_SelfStock_Log[Part Name],$A12,T_SelfStock_Log[WeekIndex],10)=0,"",SUMIFS(T_SelfStock_Log[Self_Qty],T_SelfStock_Log[Part Name],$A12,T_SelfStock_Log[WeekIndex],10))</f>
        <v/>
      </c>
      <c r="L12" s="12">
        <f>IF(COUNTIFS(T_SelfStock_Log[Part Name],$A12,T_SelfStock_Log[WeekIndex],11)=0,"",SUMIFS(T_SelfStock_Log[Self_Qty],T_SelfStock_Log[Part Name],$A12,T_SelfStock_Log[WeekIndex],11))</f>
        <v/>
      </c>
      <c r="M12" s="12">
        <f>IF(COUNTIFS(T_SelfStock_Log[Part Name],$A12,T_SelfStock_Log[WeekIndex],12)=0,"",SUMIFS(T_SelfStock_Log[Self_Qty],T_SelfStock_Log[Part Name],$A12,T_SelfStock_Log[WeekIndex],12))</f>
        <v/>
      </c>
      <c r="N12" s="12">
        <f>IF(COUNTIFS(T_SelfStock_Log[Part Name],$A12,T_SelfStock_Log[WeekIndex],13)=0,"",SUMIFS(T_SelfStock_Log[Self_Qty],T_SelfStock_Log[Part Name],$A12,T_SelfStock_Log[WeekIndex],13))</f>
        <v/>
      </c>
      <c r="O12" s="12">
        <f>IF(COUNTIFS(T_SelfStock_Log[Part Name],$A12,T_SelfStock_Log[WeekIndex],14)=0,"",SUMIFS(T_SelfStock_Log[Self_Qty],T_SelfStock_Log[Part Name],$A12,T_SelfStock_Log[WeekIndex],14))</f>
        <v/>
      </c>
      <c r="P12" s="12">
        <f>IF(COUNTIFS(T_SelfStock_Log[Part Name],$A12,T_SelfStock_Log[WeekIndex],15)=0,"",SUMIFS(T_SelfStock_Log[Self_Qty],T_SelfStock_Log[Part Name],$A12,T_SelfStock_Log[WeekIndex],15))</f>
        <v/>
      </c>
      <c r="Q12" s="12">
        <f>IF(COUNTIFS(T_SelfStock_Log[Part Name],$A12,T_SelfStock_Log[WeekIndex],16)=0,"",SUMIFS(T_SelfStock_Log[Self_Qty],T_SelfStock_Log[Part Name],$A12,T_SelfStock_Log[WeekIndex],16))</f>
        <v/>
      </c>
      <c r="R12" s="12">
        <f>IF(COUNTIFS(T_SelfStock_Log[Part Name],$A12,T_SelfStock_Log[WeekIndex],17)=0,"",SUMIFS(T_SelfStock_Log[Self_Qty],T_SelfStock_Log[Part Name],$A12,T_SelfStock_Log[WeekIndex],17))</f>
        <v/>
      </c>
      <c r="S12" s="12">
        <f>IF(COUNTIFS(T_SelfStock_Log[Part Name],$A12,T_SelfStock_Log[WeekIndex],18)=0,"",SUMIFS(T_SelfStock_Log[Self_Qty],T_SelfStock_Log[Part Name],$A12,T_SelfStock_Log[WeekIndex],18))</f>
        <v/>
      </c>
      <c r="T12" s="12">
        <f>IF(COUNTIFS(T_SelfStock_Log[Part Name],$A12,T_SelfStock_Log[WeekIndex],19)=0,"",SUMIFS(T_SelfStock_Log[Self_Qty],T_SelfStock_Log[Part Name],$A12,T_SelfStock_Log[WeekIndex],19))</f>
        <v/>
      </c>
      <c r="U12" s="12">
        <f>IF(COUNTIFS(T_SelfStock_Log[Part Name],$A12,T_SelfStock_Log[WeekIndex],20)=0,"",SUMIFS(T_SelfStock_Log[Self_Qty],T_SelfStock_Log[Part Name],$A12,T_SelfStock_Log[WeekIndex],20))</f>
        <v/>
      </c>
      <c r="V12" s="12">
        <f>IF(COUNTIFS(T_SelfStock_Log[Part Name],$A12,T_SelfStock_Log[WeekIndex],21)=0,"",SUMIFS(T_SelfStock_Log[Self_Qty],T_SelfStock_Log[Part Name],$A12,T_SelfStock_Log[WeekIndex],21))</f>
        <v/>
      </c>
      <c r="W12" s="12">
        <f>IF(COUNTIFS(T_SelfStock_Log[Part Name],$A12,T_SelfStock_Log[WeekIndex],22)=0,"",SUMIFS(T_SelfStock_Log[Self_Qty],T_SelfStock_Log[Part Name],$A12,T_SelfStock_Log[WeekIndex],22))</f>
        <v/>
      </c>
      <c r="X12" s="12">
        <f>IF(COUNTIFS(T_SelfStock_Log[Part Name],$A12,T_SelfStock_Log[WeekIndex],23)=0,"",SUMIFS(T_SelfStock_Log[Self_Qty],T_SelfStock_Log[Part Name],$A12,T_SelfStock_Log[WeekIndex],23))</f>
        <v/>
      </c>
      <c r="Y12" s="12">
        <f>IF(COUNTIFS(T_SelfStock_Log[Part Name],$A12,T_SelfStock_Log[WeekIndex],24)=0,"",SUMIFS(T_SelfStock_Log[Self_Qty],T_SelfStock_Log[Part Name],$A12,T_SelfStock_Log[WeekIndex],24))</f>
        <v/>
      </c>
      <c r="Z12" s="12">
        <f>IF(COUNTIFS(T_SelfStock_Log[Part Name],$A12,T_SelfStock_Log[WeekIndex],25)=0,"",SUMIFS(T_SelfStock_Log[Self_Qty],T_SelfStock_Log[Part Name],$A12,T_SelfStock_Log[WeekIndex],25))</f>
        <v/>
      </c>
      <c r="AA12" s="12">
        <f>IF(COUNTIFS(T_SelfStock_Log[Part Name],$A12,T_SelfStock_Log[WeekIndex],26)=0,"",SUMIFS(T_SelfStock_Log[Self_Qty],T_SelfStock_Log[Part Name],$A12,T_SelfStock_Log[WeekIndex],26))</f>
        <v/>
      </c>
      <c r="AB12" s="12">
        <f>IF(COUNTIFS(T_SelfStock_Log[Part Name],$A12,T_SelfStock_Log[WeekIndex],27)=0,"",SUMIFS(T_SelfStock_Log[Self_Qty],T_SelfStock_Log[Part Name],$A12,T_SelfStock_Log[WeekIndex],27))</f>
        <v/>
      </c>
      <c r="AC12" s="12">
        <f>IF(COUNTIFS(T_SelfStock_Log[Part Name],$A12,T_SelfStock_Log[WeekIndex],28)=0,"",SUMIFS(T_SelfStock_Log[Self_Qty],T_SelfStock_Log[Part Name],$A12,T_SelfStock_Log[WeekIndex],28))</f>
        <v/>
      </c>
      <c r="AD12" s="12">
        <f>IF(COUNTIFS(T_SelfStock_Log[Part Name],$A12,T_SelfStock_Log[WeekIndex],29)=0,"",SUMIFS(T_SelfStock_Log[Self_Qty],T_SelfStock_Log[Part Name],$A12,T_SelfStock_Log[WeekIndex],29))</f>
        <v/>
      </c>
      <c r="AE12" s="12">
        <f>IF(COUNTIFS(T_SelfStock_Log[Part Name],$A12,T_SelfStock_Log[WeekIndex],30)=0,"",SUMIFS(T_SelfStock_Log[Self_Qty],T_SelfStock_Log[Part Name],$A12,T_SelfStock_Log[WeekIndex],30))</f>
        <v/>
      </c>
      <c r="AF12" s="12">
        <f>IF(COUNTIFS(T_SelfStock_Log[Part Name],$A12,T_SelfStock_Log[WeekIndex],31)=0,"",SUMIFS(T_SelfStock_Log[Self_Qty],T_SelfStock_Log[Part Name],$A12,T_SelfStock_Log[WeekIndex],31))</f>
        <v/>
      </c>
      <c r="AG12" s="12">
        <f>IF(COUNTIFS(T_SelfStock_Log[Part Name],$A12,T_SelfStock_Log[WeekIndex],32)=0,"",SUMIFS(T_SelfStock_Log[Self_Qty],T_SelfStock_Log[Part Name],$A12,T_SelfStock_Log[WeekIndex],32))</f>
        <v/>
      </c>
      <c r="AH12" s="12">
        <f>IF(COUNTIFS(T_SelfStock_Log[Part Name],$A12,T_SelfStock_Log[WeekIndex],33)=0,"",SUMIFS(T_SelfStock_Log[Self_Qty],T_SelfStock_Log[Part Name],$A12,T_SelfStock_Log[WeekIndex],33))</f>
        <v/>
      </c>
      <c r="AI12" s="12">
        <f>IF(COUNTIFS(T_SelfStock_Log[Part Name],$A12,T_SelfStock_Log[WeekIndex],34)=0,"",SUMIFS(T_SelfStock_Log[Self_Qty],T_SelfStock_Log[Part Name],$A12,T_SelfStock_Log[WeekIndex],34))</f>
        <v/>
      </c>
      <c r="AJ12" s="12">
        <f>IF(COUNTIFS(T_SelfStock_Log[Part Name],$A12,T_SelfStock_Log[WeekIndex],35)=0,"",SUMIFS(T_SelfStock_Log[Self_Qty],T_SelfStock_Log[Part Name],$A12,T_SelfStock_Log[WeekIndex],35))</f>
        <v/>
      </c>
      <c r="AK12" s="12">
        <f>IF(COUNTIFS(T_SelfStock_Log[Part Name],$A12,T_SelfStock_Log[WeekIndex],36)=0,"",SUMIFS(T_SelfStock_Log[Self_Qty],T_SelfStock_Log[Part Name],$A12,T_SelfStock_Log[WeekIndex],36))</f>
        <v/>
      </c>
      <c r="AL12" s="12">
        <f>IF(COUNTIFS(T_SelfStock_Log[Part Name],$A12,T_SelfStock_Log[WeekIndex],37)=0,"",SUMIFS(T_SelfStock_Log[Self_Qty],T_SelfStock_Log[Part Name],$A12,T_SelfStock_Log[WeekIndex],37))</f>
        <v/>
      </c>
      <c r="AM12" s="12">
        <f>IF(COUNTIFS(T_SelfStock_Log[Part Name],$A12,T_SelfStock_Log[WeekIndex],38)=0,"",SUMIFS(T_SelfStock_Log[Self_Qty],T_SelfStock_Log[Part Name],$A12,T_SelfStock_Log[WeekIndex],38))</f>
        <v/>
      </c>
      <c r="AN12" s="12">
        <f>IF(COUNTIFS(T_SelfStock_Log[Part Name],$A12,T_SelfStock_Log[WeekIndex],39)=0,"",SUMIFS(T_SelfStock_Log[Self_Qty],T_SelfStock_Log[Part Name],$A12,T_SelfStock_Log[WeekIndex],39))</f>
        <v/>
      </c>
      <c r="AO12" s="12">
        <f>IF(COUNTIFS(T_SelfStock_Log[Part Name],$A12,T_SelfStock_Log[WeekIndex],40)=0,"",SUMIFS(T_SelfStock_Log[Self_Qty],T_SelfStock_Log[Part Name],$A12,T_SelfStock_Log[WeekIndex],40))</f>
        <v/>
      </c>
      <c r="AP12" s="12">
        <f>IF(COUNTIFS(T_SelfStock_Log[Part Name],$A12,T_SelfStock_Log[WeekIndex],41)=0,"",SUMIFS(T_SelfStock_Log[Self_Qty],T_SelfStock_Log[Part Name],$A12,T_SelfStock_Log[WeekIndex],41))</f>
        <v/>
      </c>
      <c r="AQ12" s="12">
        <f>IF(COUNTIFS(T_SelfStock_Log[Part Name],$A12,T_SelfStock_Log[WeekIndex],42)=0,"",SUMIFS(T_SelfStock_Log[Self_Qty],T_SelfStock_Log[Part Name],$A12,T_SelfStock_Log[WeekIndex],42))</f>
        <v/>
      </c>
      <c r="AR12" s="12">
        <f>IF(COUNTIFS(T_SelfStock_Log[Part Name],$A12,T_SelfStock_Log[WeekIndex],43)=0,"",SUMIFS(T_SelfStock_Log[Self_Qty],T_SelfStock_Log[Part Name],$A12,T_SelfStock_Log[WeekIndex],43))</f>
        <v/>
      </c>
      <c r="AS12" s="12">
        <f>IF(COUNTIFS(T_SelfStock_Log[Part Name],$A12,T_SelfStock_Log[WeekIndex],44)=0,"",SUMIFS(T_SelfStock_Log[Self_Qty],T_SelfStock_Log[Part Name],$A12,T_SelfStock_Log[WeekIndex],44))</f>
        <v/>
      </c>
      <c r="AT12" s="12">
        <f>IF(COUNTIFS(T_SelfStock_Log[Part Name],$A12,T_SelfStock_Log[WeekIndex],45)=0,"",SUMIFS(T_SelfStock_Log[Self_Qty],T_SelfStock_Log[Part Name],$A12,T_SelfStock_Log[WeekIndex],45))</f>
        <v/>
      </c>
      <c r="AU12" s="12">
        <f>IF(COUNTIFS(T_SelfStock_Log[Part Name],$A12,T_SelfStock_Log[WeekIndex],46)=0,"",SUMIFS(T_SelfStock_Log[Self_Qty],T_SelfStock_Log[Part Name],$A12,T_SelfStock_Log[WeekIndex],46))</f>
        <v/>
      </c>
      <c r="AV12" s="12">
        <f>IF(COUNTIFS(T_SelfStock_Log[Part Name],$A12,T_SelfStock_Log[WeekIndex],47)=0,"",SUMIFS(T_SelfStock_Log[Self_Qty],T_SelfStock_Log[Part Name],$A12,T_SelfStock_Log[WeekIndex],47))</f>
        <v/>
      </c>
      <c r="AW12" s="12">
        <f>IF(COUNTIFS(T_SelfStock_Log[Part Name],$A12,T_SelfStock_Log[WeekIndex],48)=0,"",SUMIFS(T_SelfStock_Log[Self_Qty],T_SelfStock_Log[Part Name],$A12,T_SelfStock_Log[WeekIndex],48))</f>
        <v/>
      </c>
      <c r="AX12" s="12">
        <f>IF(COUNTIFS(T_SelfStock_Log[Part Name],$A12,T_SelfStock_Log[WeekIndex],49)=0,"",SUMIFS(T_SelfStock_Log[Self_Qty],T_SelfStock_Log[Part Name],$A12,T_SelfStock_Log[WeekIndex],49))</f>
        <v/>
      </c>
      <c r="AY12" s="12">
        <f>IF(COUNTIFS(T_SelfStock_Log[Part Name],$A12,T_SelfStock_Log[WeekIndex],50)=0,"",SUMIFS(T_SelfStock_Log[Self_Qty],T_SelfStock_Log[Part Name],$A12,T_SelfStock_Log[WeekIndex],50))</f>
        <v/>
      </c>
      <c r="AZ12" s="12">
        <f>IF(COUNTIFS(T_SelfStock_Log[Part Name],$A12,T_SelfStock_Log[WeekIndex],51)=0,"",SUMIFS(T_SelfStock_Log[Self_Qty],T_SelfStock_Log[Part Name],$A12,T_SelfStock_Log[WeekIndex],51))</f>
        <v/>
      </c>
      <c r="BA12" s="12">
        <f>IF(COUNTIFS(T_SelfStock_Log[Part Name],$A12,T_SelfStock_Log[WeekIndex],52)=0,"",SUMIFS(T_SelfStock_Log[Self_Qty],T_SelfStock_Log[Part Name],$A12,T_SelfStock_Log[WeekIndex],52))</f>
        <v/>
      </c>
      <c r="BB12" s="12">
        <f>IF(COUNTIFS(T_SelfStock_Log[Part Name],$A12,T_SelfStock_Log[WeekIndex],53)=0,"",SUMIFS(T_SelfStock_Log[Self_Qty],T_SelfStock_Log[Part Name],$A12,T_SelfStock_Log[WeekIndex],53))</f>
        <v/>
      </c>
      <c r="BC12" s="12">
        <f>IF(COUNTIFS(T_SelfStock_Log[Part Name],$A12,T_SelfStock_Log[WeekIndex],54)=0,"",SUMIFS(T_SelfStock_Log[Self_Qty],T_SelfStock_Log[Part Name],$A12,T_SelfStock_Log[WeekIndex],54))</f>
        <v/>
      </c>
      <c r="BD12" s="12">
        <f>IF(COUNTIFS(T_SelfStock_Log[Part Name],$A12,T_SelfStock_Log[WeekIndex],55)=0,"",SUMIFS(T_SelfStock_Log[Self_Qty],T_SelfStock_Log[Part Name],$A12,T_SelfStock_Log[WeekIndex],55))</f>
        <v/>
      </c>
      <c r="BE12" s="12">
        <f>IF(COUNTIFS(T_SelfStock_Log[Part Name],$A12,T_SelfStock_Log[WeekIndex],56)=0,"",SUMIFS(T_SelfStock_Log[Self_Qty],T_SelfStock_Log[Part Name],$A12,T_SelfStock_Log[WeekIndex],56))</f>
        <v/>
      </c>
      <c r="BF12" s="12">
        <f>IF(COUNTIFS(T_SelfStock_Log[Part Name],$A12,T_SelfStock_Log[WeekIndex],57)=0,"",SUMIFS(T_SelfStock_Log[Self_Qty],T_SelfStock_Log[Part Name],$A12,T_SelfStock_Log[WeekIndex],57))</f>
        <v/>
      </c>
      <c r="BG12" s="12">
        <f>IF(COUNTIFS(T_SelfStock_Log[Part Name],$A12,T_SelfStock_Log[WeekIndex],58)=0,"",SUMIFS(T_SelfStock_Log[Self_Qty],T_SelfStock_Log[Part Name],$A12,T_SelfStock_Log[WeekIndex],58))</f>
        <v/>
      </c>
      <c r="BH12" s="12">
        <f>IF(COUNTIFS(T_SelfStock_Log[Part Name],$A12,T_SelfStock_Log[WeekIndex],59)=0,"",SUMIFS(T_SelfStock_Log[Self_Qty],T_SelfStock_Log[Part Name],$A12,T_SelfStock_Log[WeekIndex],59))</f>
        <v/>
      </c>
      <c r="BI12" s="12">
        <f>IF(COUNTIFS(T_SelfStock_Log[Part Name],$A12,T_SelfStock_Log[WeekIndex],60)=0,"",SUMIFS(T_SelfStock_Log[Self_Qty],T_SelfStock_Log[Part Name],$A12,T_SelfStock_Log[WeekIndex],60))</f>
        <v/>
      </c>
      <c r="BJ12" s="12">
        <f>IF(COUNTIFS(T_SelfStock_Log[Part Name],$A12,T_SelfStock_Log[WeekIndex],61)=0,"",SUMIFS(T_SelfStock_Log[Self_Qty],T_SelfStock_Log[Part Name],$A12,T_SelfStock_Log[WeekIndex],61))</f>
        <v/>
      </c>
      <c r="BK12" s="12">
        <f>IF(COUNTIFS(T_SelfStock_Log[Part Name],$A12,T_SelfStock_Log[WeekIndex],62)=0,"",SUMIFS(T_SelfStock_Log[Self_Qty],T_SelfStock_Log[Part Name],$A12,T_SelfStock_Log[WeekIndex],62))</f>
        <v/>
      </c>
      <c r="BL12" s="12">
        <f>IF(COUNTIFS(T_SelfStock_Log[Part Name],$A12,T_SelfStock_Log[WeekIndex],63)=0,"",SUMIFS(T_SelfStock_Log[Self_Qty],T_SelfStock_Log[Part Name],$A12,T_SelfStock_Log[WeekIndex],63))</f>
        <v/>
      </c>
      <c r="BM12" s="12">
        <f>IF(COUNTIFS(T_SelfStock_Log[Part Name],$A12,T_SelfStock_Log[WeekIndex],64)=0,"",SUMIFS(T_SelfStock_Log[Self_Qty],T_SelfStock_Log[Part Name],$A12,T_SelfStock_Log[WeekIndex],64))</f>
        <v/>
      </c>
      <c r="BN12" s="12">
        <f>IF(COUNTIFS(T_SelfStock_Log[Part Name],$A12,T_SelfStock_Log[WeekIndex],65)=0,"",SUMIFS(T_SelfStock_Log[Self_Qty],T_SelfStock_Log[Part Name],$A12,T_SelfStock_Log[WeekIndex],65))</f>
        <v/>
      </c>
      <c r="BO12" s="12">
        <f>IF(COUNTIFS(T_SelfStock_Log[Part Name],$A12,T_SelfStock_Log[WeekIndex],66)=0,"",SUMIFS(T_SelfStock_Log[Self_Qty],T_SelfStock_Log[Part Name],$A12,T_SelfStock_Log[WeekIndex],66))</f>
        <v/>
      </c>
      <c r="BP12" s="12">
        <f>IF(COUNTIFS(T_SelfStock_Log[Part Name],$A12,T_SelfStock_Log[WeekIndex],67)=0,"",SUMIFS(T_SelfStock_Log[Self_Qty],T_SelfStock_Log[Part Name],$A12,T_SelfStock_Log[WeekIndex],67))</f>
        <v/>
      </c>
      <c r="BQ12" s="12">
        <f>IF(COUNTIFS(T_SelfStock_Log[Part Name],$A12,T_SelfStock_Log[WeekIndex],68)=0,"",SUMIFS(T_SelfStock_Log[Self_Qty],T_SelfStock_Log[Part Name],$A12,T_SelfStock_Log[WeekIndex],68))</f>
        <v/>
      </c>
      <c r="BR12" s="12">
        <f>IF(COUNTIFS(T_SelfStock_Log[Part Name],$A12,T_SelfStock_Log[WeekIndex],69)=0,"",SUMIFS(T_SelfStock_Log[Self_Qty],T_SelfStock_Log[Part Name],$A12,T_SelfStock_Log[WeekIndex],69))</f>
        <v/>
      </c>
      <c r="BS12" s="12">
        <f>IF(COUNTIFS(T_SelfStock_Log[Part Name],$A12,T_SelfStock_Log[WeekIndex],70)=0,"",SUMIFS(T_SelfStock_Log[Self_Qty],T_SelfStock_Log[Part Name],$A12,T_SelfStock_Log[WeekIndex],70))</f>
        <v/>
      </c>
      <c r="BT12" s="12">
        <f>IF(COUNTIFS(T_SelfStock_Log[Part Name],$A12,T_SelfStock_Log[WeekIndex],71)=0,"",SUMIFS(T_SelfStock_Log[Self_Qty],T_SelfStock_Log[Part Name],$A12,T_SelfStock_Log[WeekIndex],71))</f>
        <v/>
      </c>
      <c r="BU12" s="12">
        <f>IF(COUNTIFS(T_SelfStock_Log[Part Name],$A12,T_SelfStock_Log[WeekIndex],72)=0,"",SUMIFS(T_SelfStock_Log[Self_Qty],T_SelfStock_Log[Part Name],$A12,T_SelfStock_Log[WeekIndex],72))</f>
        <v/>
      </c>
      <c r="BV12" s="12">
        <f>IF(COUNTIFS(T_SelfStock_Log[Part Name],$A12,T_SelfStock_Log[WeekIndex],73)=0,"",SUMIFS(T_SelfStock_Log[Self_Qty],T_SelfStock_Log[Part Name],$A12,T_SelfStock_Log[WeekIndex],73))</f>
        <v/>
      </c>
      <c r="BW12" s="12">
        <f>IF(COUNTIFS(T_SelfStock_Log[Part Name],$A12,T_SelfStock_Log[WeekIndex],74)=0,"",SUMIFS(T_SelfStock_Log[Self_Qty],T_SelfStock_Log[Part Name],$A12,T_SelfStock_Log[WeekIndex],74))</f>
        <v/>
      </c>
      <c r="BX12" s="12">
        <f>IF(COUNTIFS(T_SelfStock_Log[Part Name],$A12,T_SelfStock_Log[WeekIndex],75)=0,"",SUMIFS(T_SelfStock_Log[Self_Qty],T_SelfStock_Log[Part Name],$A12,T_SelfStock_Log[WeekIndex],75))</f>
        <v/>
      </c>
      <c r="BY12" s="12">
        <f>IF(COUNTIFS(T_SelfStock_Log[Part Name],$A12,T_SelfStock_Log[WeekIndex],76)=0,"",SUMIFS(T_SelfStock_Log[Self_Qty],T_SelfStock_Log[Part Name],$A12,T_SelfStock_Log[WeekIndex],76))</f>
        <v/>
      </c>
      <c r="BZ12" s="12">
        <f>IF(COUNTIFS(T_SelfStock_Log[Part Name],$A12,T_SelfStock_Log[WeekIndex],77)=0,"",SUMIFS(T_SelfStock_Log[Self_Qty],T_SelfStock_Log[Part Name],$A12,T_SelfStock_Log[WeekIndex],77))</f>
        <v/>
      </c>
      <c r="CA12" s="12">
        <f>IF(COUNTIFS(T_SelfStock_Log[Part Name],$A12,T_SelfStock_Log[WeekIndex],78)=0,"",SUMIFS(T_SelfStock_Log[Self_Qty],T_SelfStock_Log[Part Name],$A12,T_SelfStock_Log[WeekIndex],78))</f>
        <v/>
      </c>
      <c r="CB12" s="12">
        <f>IF(COUNTIFS(T_SelfStock_Log[Part Name],$A12,T_SelfStock_Log[WeekIndex],79)=0,"",SUMIFS(T_SelfStock_Log[Self_Qty],T_SelfStock_Log[Part Name],$A12,T_SelfStock_Log[WeekIndex],79))</f>
        <v/>
      </c>
      <c r="CC12" s="12">
        <f>IF(COUNTIFS(T_SelfStock_Log[Part Name],$A12,T_SelfStock_Log[WeekIndex],80)=0,"",SUMIFS(T_SelfStock_Log[Self_Qty],T_SelfStock_Log[Part Name],$A12,T_SelfStock_Log[WeekIndex],80))</f>
        <v/>
      </c>
      <c r="CD12" s="12">
        <f>IF(COUNTIFS(T_SelfStock_Log[Part Name],$A12,T_SelfStock_Log[WeekIndex],81)=0,"",SUMIFS(T_SelfStock_Log[Self_Qty],T_SelfStock_Log[Part Name],$A12,T_SelfStock_Log[WeekIndex],81))</f>
        <v/>
      </c>
      <c r="CE12" s="12">
        <f>IF(COUNTIFS(T_SelfStock_Log[Part Name],$A12,T_SelfStock_Log[WeekIndex],82)=0,"",SUMIFS(T_SelfStock_Log[Self_Qty],T_SelfStock_Log[Part Name],$A12,T_SelfStock_Log[WeekIndex],82))</f>
        <v/>
      </c>
      <c r="CF12" s="12">
        <f>IF(COUNTIFS(T_SelfStock_Log[Part Name],$A12,T_SelfStock_Log[WeekIndex],83)=0,"",SUMIFS(T_SelfStock_Log[Self_Qty],T_SelfStock_Log[Part Name],$A12,T_SelfStock_Log[WeekIndex],83))</f>
        <v/>
      </c>
      <c r="CG12" s="12">
        <f>IF(COUNTIFS(T_SelfStock_Log[Part Name],$A12,T_SelfStock_Log[WeekIndex],84)=0,"",SUMIFS(T_SelfStock_Log[Self_Qty],T_SelfStock_Log[Part Name],$A12,T_SelfStock_Log[WeekIndex],84))</f>
        <v/>
      </c>
      <c r="CH12" s="12">
        <f>IF(COUNTIFS(T_SelfStock_Log[Part Name],$A12,T_SelfStock_Log[WeekIndex],85)=0,"",SUMIFS(T_SelfStock_Log[Self_Qty],T_SelfStock_Log[Part Name],$A12,T_SelfStock_Log[WeekIndex],85))</f>
        <v/>
      </c>
      <c r="CI12" s="12">
        <f>IF(COUNTIFS(T_SelfStock_Log[Part Name],$A12,T_SelfStock_Log[WeekIndex],86)=0,"",SUMIFS(T_SelfStock_Log[Self_Qty],T_SelfStock_Log[Part Name],$A12,T_SelfStock_Log[WeekIndex],86))</f>
        <v/>
      </c>
      <c r="CJ12" s="12">
        <f>IF(COUNTIFS(T_SelfStock_Log[Part Name],$A12,T_SelfStock_Log[WeekIndex],87)=0,"",SUMIFS(T_SelfStock_Log[Self_Qty],T_SelfStock_Log[Part Name],$A12,T_SelfStock_Log[WeekIndex],87))</f>
        <v/>
      </c>
      <c r="CK12" s="12">
        <f>IF(COUNTIFS(T_SelfStock_Log[Part Name],$A12,T_SelfStock_Log[WeekIndex],88)=0,"",SUMIFS(T_SelfStock_Log[Self_Qty],T_SelfStock_Log[Part Name],$A12,T_SelfStock_Log[WeekIndex],88))</f>
        <v/>
      </c>
      <c r="CL12" s="12">
        <f>IF(COUNTIFS(T_SelfStock_Log[Part Name],$A12,T_SelfStock_Log[WeekIndex],89)=0,"",SUMIFS(T_SelfStock_Log[Self_Qty],T_SelfStock_Log[Part Name],$A12,T_SelfStock_Log[WeekIndex],89))</f>
        <v/>
      </c>
      <c r="CM12" s="12">
        <f>IF(COUNTIFS(T_SelfStock_Log[Part Name],$A12,T_SelfStock_Log[WeekIndex],90)=0,"",SUMIFS(T_SelfStock_Log[Self_Qty],T_SelfStock_Log[Part Name],$A12,T_SelfStock_Log[WeekIndex],90))</f>
        <v/>
      </c>
      <c r="CN12" s="12">
        <f>IF(COUNTIFS(T_SelfStock_Log[Part Name],$A12,T_SelfStock_Log[WeekIndex],91)=0,"",SUMIFS(T_SelfStock_Log[Self_Qty],T_SelfStock_Log[Part Name],$A12,T_SelfStock_Log[WeekIndex],91))</f>
        <v/>
      </c>
      <c r="CO12" s="12">
        <f>IF(COUNTIFS(T_SelfStock_Log[Part Name],$A12,T_SelfStock_Log[WeekIndex],92)=0,"",SUMIFS(T_SelfStock_Log[Self_Qty],T_SelfStock_Log[Part Name],$A12,T_SelfStock_Log[WeekIndex],92))</f>
        <v/>
      </c>
      <c r="CP12" s="12">
        <f>IF(COUNTIFS(T_SelfStock_Log[Part Name],$A12,T_SelfStock_Log[WeekIndex],93)=0,"",SUMIFS(T_SelfStock_Log[Self_Qty],T_SelfStock_Log[Part Name],$A12,T_SelfStock_Log[WeekIndex],93))</f>
        <v/>
      </c>
      <c r="CQ12" s="12">
        <f>IF(COUNTIFS(T_SelfStock_Log[Part Name],$A12,T_SelfStock_Log[WeekIndex],94)=0,"",SUMIFS(T_SelfStock_Log[Self_Qty],T_SelfStock_Log[Part Name],$A12,T_SelfStock_Log[WeekIndex],94))</f>
        <v/>
      </c>
      <c r="CR12" s="12">
        <f>IF(COUNTIFS(T_SelfStock_Log[Part Name],$A12,T_SelfStock_Log[WeekIndex],95)=0,"",SUMIFS(T_SelfStock_Log[Self_Qty],T_SelfStock_Log[Part Name],$A12,T_SelfStock_Log[WeekIndex],95))</f>
        <v/>
      </c>
      <c r="CS12" s="12">
        <f>IF(COUNTIFS(T_SelfStock_Log[Part Name],$A12,T_SelfStock_Log[WeekIndex],96)=0,"",SUMIFS(T_SelfStock_Log[Self_Qty],T_SelfStock_Log[Part Name],$A12,T_SelfStock_Log[WeekIndex],96))</f>
        <v/>
      </c>
      <c r="CT12" s="12">
        <f>IF(COUNTIFS(T_SelfStock_Log[Part Name],$A12,T_SelfStock_Log[WeekIndex],97)=0,"",SUMIFS(T_SelfStock_Log[Self_Qty],T_SelfStock_Log[Part Name],$A12,T_SelfStock_Log[WeekIndex],97))</f>
        <v/>
      </c>
      <c r="CU12" s="12">
        <f>IF(COUNTIFS(T_SelfStock_Log[Part Name],$A12,T_SelfStock_Log[WeekIndex],98)=0,"",SUMIFS(T_SelfStock_Log[Self_Qty],T_SelfStock_Log[Part Name],$A12,T_SelfStock_Log[WeekIndex],98))</f>
        <v/>
      </c>
      <c r="CV12" s="12">
        <f>IF(COUNTIFS(T_SelfStock_Log[Part Name],$A12,T_SelfStock_Log[WeekIndex],99)=0,"",SUMIFS(T_SelfStock_Log[Self_Qty],T_SelfStock_Log[Part Name],$A12,T_SelfStock_Log[WeekIndex],99))</f>
        <v/>
      </c>
      <c r="CW12" s="12">
        <f>IF(COUNTIFS(T_SelfStock_Log[Part Name],$A12,T_SelfStock_Log[WeekIndex],100)=0,"",SUMIFS(T_SelfStock_Log[Self_Qty],T_SelfStock_Log[Part Name],$A12,T_SelfStock_Log[WeekIndex],100))</f>
        <v/>
      </c>
      <c r="CX12" s="12">
        <f>IF(COUNTIFS(T_SelfStock_Log[Part Name],$A12,T_SelfStock_Log[WeekIndex],101)=0,"",SUMIFS(T_SelfStock_Log[Self_Qty],T_SelfStock_Log[Part Name],$A12,T_SelfStock_Log[WeekIndex],101))</f>
        <v/>
      </c>
      <c r="CY12" s="12">
        <f>IF(COUNTIFS(T_SelfStock_Log[Part Name],$A12,T_SelfStock_Log[WeekIndex],102)=0,"",SUMIFS(T_SelfStock_Log[Self_Qty],T_SelfStock_Log[Part Name],$A12,T_SelfStock_Log[WeekIndex],102))</f>
        <v/>
      </c>
      <c r="CZ12" s="12">
        <f>IF(COUNTIFS(T_SelfStock_Log[Part Name],$A12,T_SelfStock_Log[WeekIndex],103)=0,"",SUMIFS(T_SelfStock_Log[Self_Qty],T_SelfStock_Log[Part Name],$A12,T_SelfStock_Log[WeekIndex],103))</f>
        <v/>
      </c>
      <c r="DA12" s="12">
        <f>IF(COUNTIFS(T_SelfStock_Log[Part Name],$A12,T_SelfStock_Log[WeekIndex],104)=0,"",SUMIFS(T_SelfStock_Log[Self_Qty],T_SelfStock_Log[Part Name],$A12,T_SelfStock_Log[WeekIndex],104))</f>
        <v/>
      </c>
    </row>
    <row r="13">
      <c r="A13" s="13" t="inlineStr">
        <is>
          <t>CHEM-1720</t>
        </is>
      </c>
      <c r="B13" s="13">
        <f>IF(COUNTIFS(T_SelfStock_Log[Part Name],$A13,T_SelfStock_Log[WeekIndex],1)=0,"",SUMIFS(T_SelfStock_Log[Self_Qty],T_SelfStock_Log[Part Name],$A13,T_SelfStock_Log[WeekIndex],1))</f>
        <v/>
      </c>
      <c r="C13" s="13">
        <f>IF(COUNTIFS(T_SelfStock_Log[Part Name],$A13,T_SelfStock_Log[WeekIndex],2)=0,"",SUMIFS(T_SelfStock_Log[Self_Qty],T_SelfStock_Log[Part Name],$A13,T_SelfStock_Log[WeekIndex],2))</f>
        <v/>
      </c>
      <c r="D13" s="13">
        <f>IF(COUNTIFS(T_SelfStock_Log[Part Name],$A13,T_SelfStock_Log[WeekIndex],3)=0,"",SUMIFS(T_SelfStock_Log[Self_Qty],T_SelfStock_Log[Part Name],$A13,T_SelfStock_Log[WeekIndex],3))</f>
        <v/>
      </c>
      <c r="E13" s="13">
        <f>IF(COUNTIFS(T_SelfStock_Log[Part Name],$A13,T_SelfStock_Log[WeekIndex],4)=0,"",SUMIFS(T_SelfStock_Log[Self_Qty],T_SelfStock_Log[Part Name],$A13,T_SelfStock_Log[WeekIndex],4))</f>
        <v/>
      </c>
      <c r="F13" s="13">
        <f>IF(COUNTIFS(T_SelfStock_Log[Part Name],$A13,T_SelfStock_Log[WeekIndex],5)=0,"",SUMIFS(T_SelfStock_Log[Self_Qty],T_SelfStock_Log[Part Name],$A13,T_SelfStock_Log[WeekIndex],5))</f>
        <v/>
      </c>
      <c r="G13" s="13">
        <f>IF(COUNTIFS(T_SelfStock_Log[Part Name],$A13,T_SelfStock_Log[WeekIndex],6)=0,"",SUMIFS(T_SelfStock_Log[Self_Qty],T_SelfStock_Log[Part Name],$A13,T_SelfStock_Log[WeekIndex],6))</f>
        <v/>
      </c>
      <c r="H13" s="13">
        <f>IF(COUNTIFS(T_SelfStock_Log[Part Name],$A13,T_SelfStock_Log[WeekIndex],7)=0,"",SUMIFS(T_SelfStock_Log[Self_Qty],T_SelfStock_Log[Part Name],$A13,T_SelfStock_Log[WeekIndex],7))</f>
        <v/>
      </c>
      <c r="I13" s="13">
        <f>IF(COUNTIFS(T_SelfStock_Log[Part Name],$A13,T_SelfStock_Log[WeekIndex],8)=0,"",SUMIFS(T_SelfStock_Log[Self_Qty],T_SelfStock_Log[Part Name],$A13,T_SelfStock_Log[WeekIndex],8))</f>
        <v/>
      </c>
      <c r="J13" s="13">
        <f>IF(COUNTIFS(T_SelfStock_Log[Part Name],$A13,T_SelfStock_Log[WeekIndex],9)=0,"",SUMIFS(T_SelfStock_Log[Self_Qty],T_SelfStock_Log[Part Name],$A13,T_SelfStock_Log[WeekIndex],9))</f>
        <v/>
      </c>
      <c r="K13" s="13">
        <f>IF(COUNTIFS(T_SelfStock_Log[Part Name],$A13,T_SelfStock_Log[WeekIndex],10)=0,"",SUMIFS(T_SelfStock_Log[Self_Qty],T_SelfStock_Log[Part Name],$A13,T_SelfStock_Log[WeekIndex],10))</f>
        <v/>
      </c>
      <c r="L13" s="13">
        <f>IF(COUNTIFS(T_SelfStock_Log[Part Name],$A13,T_SelfStock_Log[WeekIndex],11)=0,"",SUMIFS(T_SelfStock_Log[Self_Qty],T_SelfStock_Log[Part Name],$A13,T_SelfStock_Log[WeekIndex],11))</f>
        <v/>
      </c>
      <c r="M13" s="13">
        <f>IF(COUNTIFS(T_SelfStock_Log[Part Name],$A13,T_SelfStock_Log[WeekIndex],12)=0,"",SUMIFS(T_SelfStock_Log[Self_Qty],T_SelfStock_Log[Part Name],$A13,T_SelfStock_Log[WeekIndex],12))</f>
        <v/>
      </c>
      <c r="N13" s="13">
        <f>IF(COUNTIFS(T_SelfStock_Log[Part Name],$A13,T_SelfStock_Log[WeekIndex],13)=0,"",SUMIFS(T_SelfStock_Log[Self_Qty],T_SelfStock_Log[Part Name],$A13,T_SelfStock_Log[WeekIndex],13))</f>
        <v/>
      </c>
      <c r="O13" s="13">
        <f>IF(COUNTIFS(T_SelfStock_Log[Part Name],$A13,T_SelfStock_Log[WeekIndex],14)=0,"",SUMIFS(T_SelfStock_Log[Self_Qty],T_SelfStock_Log[Part Name],$A13,T_SelfStock_Log[WeekIndex],14))</f>
        <v/>
      </c>
      <c r="P13" s="13">
        <f>IF(COUNTIFS(T_SelfStock_Log[Part Name],$A13,T_SelfStock_Log[WeekIndex],15)=0,"",SUMIFS(T_SelfStock_Log[Self_Qty],T_SelfStock_Log[Part Name],$A13,T_SelfStock_Log[WeekIndex],15))</f>
        <v/>
      </c>
      <c r="Q13" s="13">
        <f>IF(COUNTIFS(T_SelfStock_Log[Part Name],$A13,T_SelfStock_Log[WeekIndex],16)=0,"",SUMIFS(T_SelfStock_Log[Self_Qty],T_SelfStock_Log[Part Name],$A13,T_SelfStock_Log[WeekIndex],16))</f>
        <v/>
      </c>
      <c r="R13" s="13">
        <f>IF(COUNTIFS(T_SelfStock_Log[Part Name],$A13,T_SelfStock_Log[WeekIndex],17)=0,"",SUMIFS(T_SelfStock_Log[Self_Qty],T_SelfStock_Log[Part Name],$A13,T_SelfStock_Log[WeekIndex],17))</f>
        <v/>
      </c>
      <c r="S13" s="13">
        <f>IF(COUNTIFS(T_SelfStock_Log[Part Name],$A13,T_SelfStock_Log[WeekIndex],18)=0,"",SUMIFS(T_SelfStock_Log[Self_Qty],T_SelfStock_Log[Part Name],$A13,T_SelfStock_Log[WeekIndex],18))</f>
        <v/>
      </c>
      <c r="T13" s="13">
        <f>IF(COUNTIFS(T_SelfStock_Log[Part Name],$A13,T_SelfStock_Log[WeekIndex],19)=0,"",SUMIFS(T_SelfStock_Log[Self_Qty],T_SelfStock_Log[Part Name],$A13,T_SelfStock_Log[WeekIndex],19))</f>
        <v/>
      </c>
      <c r="U13" s="13">
        <f>IF(COUNTIFS(T_SelfStock_Log[Part Name],$A13,T_SelfStock_Log[WeekIndex],20)=0,"",SUMIFS(T_SelfStock_Log[Self_Qty],T_SelfStock_Log[Part Name],$A13,T_SelfStock_Log[WeekIndex],20))</f>
        <v/>
      </c>
      <c r="V13" s="13">
        <f>IF(COUNTIFS(T_SelfStock_Log[Part Name],$A13,T_SelfStock_Log[WeekIndex],21)=0,"",SUMIFS(T_SelfStock_Log[Self_Qty],T_SelfStock_Log[Part Name],$A13,T_SelfStock_Log[WeekIndex],21))</f>
        <v/>
      </c>
      <c r="W13" s="13">
        <f>IF(COUNTIFS(T_SelfStock_Log[Part Name],$A13,T_SelfStock_Log[WeekIndex],22)=0,"",SUMIFS(T_SelfStock_Log[Self_Qty],T_SelfStock_Log[Part Name],$A13,T_SelfStock_Log[WeekIndex],22))</f>
        <v/>
      </c>
      <c r="X13" s="13">
        <f>IF(COUNTIFS(T_SelfStock_Log[Part Name],$A13,T_SelfStock_Log[WeekIndex],23)=0,"",SUMIFS(T_SelfStock_Log[Self_Qty],T_SelfStock_Log[Part Name],$A13,T_SelfStock_Log[WeekIndex],23))</f>
        <v/>
      </c>
      <c r="Y13" s="13">
        <f>IF(COUNTIFS(T_SelfStock_Log[Part Name],$A13,T_SelfStock_Log[WeekIndex],24)=0,"",SUMIFS(T_SelfStock_Log[Self_Qty],T_SelfStock_Log[Part Name],$A13,T_SelfStock_Log[WeekIndex],24))</f>
        <v/>
      </c>
      <c r="Z13" s="13">
        <f>IF(COUNTIFS(T_SelfStock_Log[Part Name],$A13,T_SelfStock_Log[WeekIndex],25)=0,"",SUMIFS(T_SelfStock_Log[Self_Qty],T_SelfStock_Log[Part Name],$A13,T_SelfStock_Log[WeekIndex],25))</f>
        <v/>
      </c>
      <c r="AA13" s="13">
        <f>IF(COUNTIFS(T_SelfStock_Log[Part Name],$A13,T_SelfStock_Log[WeekIndex],26)=0,"",SUMIFS(T_SelfStock_Log[Self_Qty],T_SelfStock_Log[Part Name],$A13,T_SelfStock_Log[WeekIndex],26))</f>
        <v/>
      </c>
      <c r="AB13" s="13">
        <f>IF(COUNTIFS(T_SelfStock_Log[Part Name],$A13,T_SelfStock_Log[WeekIndex],27)=0,"",SUMIFS(T_SelfStock_Log[Self_Qty],T_SelfStock_Log[Part Name],$A13,T_SelfStock_Log[WeekIndex],27))</f>
        <v/>
      </c>
      <c r="AC13" s="13">
        <f>IF(COUNTIFS(T_SelfStock_Log[Part Name],$A13,T_SelfStock_Log[WeekIndex],28)=0,"",SUMIFS(T_SelfStock_Log[Self_Qty],T_SelfStock_Log[Part Name],$A13,T_SelfStock_Log[WeekIndex],28))</f>
        <v/>
      </c>
      <c r="AD13" s="13">
        <f>IF(COUNTIFS(T_SelfStock_Log[Part Name],$A13,T_SelfStock_Log[WeekIndex],29)=0,"",SUMIFS(T_SelfStock_Log[Self_Qty],T_SelfStock_Log[Part Name],$A13,T_SelfStock_Log[WeekIndex],29))</f>
        <v/>
      </c>
      <c r="AE13" s="13">
        <f>IF(COUNTIFS(T_SelfStock_Log[Part Name],$A13,T_SelfStock_Log[WeekIndex],30)=0,"",SUMIFS(T_SelfStock_Log[Self_Qty],T_SelfStock_Log[Part Name],$A13,T_SelfStock_Log[WeekIndex],30))</f>
        <v/>
      </c>
      <c r="AF13" s="13">
        <f>IF(COUNTIFS(T_SelfStock_Log[Part Name],$A13,T_SelfStock_Log[WeekIndex],31)=0,"",SUMIFS(T_SelfStock_Log[Self_Qty],T_SelfStock_Log[Part Name],$A13,T_SelfStock_Log[WeekIndex],31))</f>
        <v/>
      </c>
      <c r="AG13" s="13">
        <f>IF(COUNTIFS(T_SelfStock_Log[Part Name],$A13,T_SelfStock_Log[WeekIndex],32)=0,"",SUMIFS(T_SelfStock_Log[Self_Qty],T_SelfStock_Log[Part Name],$A13,T_SelfStock_Log[WeekIndex],32))</f>
        <v/>
      </c>
      <c r="AH13" s="13">
        <f>IF(COUNTIFS(T_SelfStock_Log[Part Name],$A13,T_SelfStock_Log[WeekIndex],33)=0,"",SUMIFS(T_SelfStock_Log[Self_Qty],T_SelfStock_Log[Part Name],$A13,T_SelfStock_Log[WeekIndex],33))</f>
        <v/>
      </c>
      <c r="AI13" s="13">
        <f>IF(COUNTIFS(T_SelfStock_Log[Part Name],$A13,T_SelfStock_Log[WeekIndex],34)=0,"",SUMIFS(T_SelfStock_Log[Self_Qty],T_SelfStock_Log[Part Name],$A13,T_SelfStock_Log[WeekIndex],34))</f>
        <v/>
      </c>
      <c r="AJ13" s="13">
        <f>IF(COUNTIFS(T_SelfStock_Log[Part Name],$A13,T_SelfStock_Log[WeekIndex],35)=0,"",SUMIFS(T_SelfStock_Log[Self_Qty],T_SelfStock_Log[Part Name],$A13,T_SelfStock_Log[WeekIndex],35))</f>
        <v/>
      </c>
      <c r="AK13" s="13">
        <f>IF(COUNTIFS(T_SelfStock_Log[Part Name],$A13,T_SelfStock_Log[WeekIndex],36)=0,"",SUMIFS(T_SelfStock_Log[Self_Qty],T_SelfStock_Log[Part Name],$A13,T_SelfStock_Log[WeekIndex],36))</f>
        <v/>
      </c>
      <c r="AL13" s="13">
        <f>IF(COUNTIFS(T_SelfStock_Log[Part Name],$A13,T_SelfStock_Log[WeekIndex],37)=0,"",SUMIFS(T_SelfStock_Log[Self_Qty],T_SelfStock_Log[Part Name],$A13,T_SelfStock_Log[WeekIndex],37))</f>
        <v/>
      </c>
      <c r="AM13" s="13">
        <f>IF(COUNTIFS(T_SelfStock_Log[Part Name],$A13,T_SelfStock_Log[WeekIndex],38)=0,"",SUMIFS(T_SelfStock_Log[Self_Qty],T_SelfStock_Log[Part Name],$A13,T_SelfStock_Log[WeekIndex],38))</f>
        <v/>
      </c>
      <c r="AN13" s="13">
        <f>IF(COUNTIFS(T_SelfStock_Log[Part Name],$A13,T_SelfStock_Log[WeekIndex],39)=0,"",SUMIFS(T_SelfStock_Log[Self_Qty],T_SelfStock_Log[Part Name],$A13,T_SelfStock_Log[WeekIndex],39))</f>
        <v/>
      </c>
      <c r="AO13" s="13">
        <f>IF(COUNTIFS(T_SelfStock_Log[Part Name],$A13,T_SelfStock_Log[WeekIndex],40)=0,"",SUMIFS(T_SelfStock_Log[Self_Qty],T_SelfStock_Log[Part Name],$A13,T_SelfStock_Log[WeekIndex],40))</f>
        <v/>
      </c>
      <c r="AP13" s="13">
        <f>IF(COUNTIFS(T_SelfStock_Log[Part Name],$A13,T_SelfStock_Log[WeekIndex],41)=0,"",SUMIFS(T_SelfStock_Log[Self_Qty],T_SelfStock_Log[Part Name],$A13,T_SelfStock_Log[WeekIndex],41))</f>
        <v/>
      </c>
      <c r="AQ13" s="13">
        <f>IF(COUNTIFS(T_SelfStock_Log[Part Name],$A13,T_SelfStock_Log[WeekIndex],42)=0,"",SUMIFS(T_SelfStock_Log[Self_Qty],T_SelfStock_Log[Part Name],$A13,T_SelfStock_Log[WeekIndex],42))</f>
        <v/>
      </c>
      <c r="AR13" s="13">
        <f>IF(COUNTIFS(T_SelfStock_Log[Part Name],$A13,T_SelfStock_Log[WeekIndex],43)=0,"",SUMIFS(T_SelfStock_Log[Self_Qty],T_SelfStock_Log[Part Name],$A13,T_SelfStock_Log[WeekIndex],43))</f>
        <v/>
      </c>
      <c r="AS13" s="13">
        <f>IF(COUNTIFS(T_SelfStock_Log[Part Name],$A13,T_SelfStock_Log[WeekIndex],44)=0,"",SUMIFS(T_SelfStock_Log[Self_Qty],T_SelfStock_Log[Part Name],$A13,T_SelfStock_Log[WeekIndex],44))</f>
        <v/>
      </c>
      <c r="AT13" s="13">
        <f>IF(COUNTIFS(T_SelfStock_Log[Part Name],$A13,T_SelfStock_Log[WeekIndex],45)=0,"",SUMIFS(T_SelfStock_Log[Self_Qty],T_SelfStock_Log[Part Name],$A13,T_SelfStock_Log[WeekIndex],45))</f>
        <v/>
      </c>
      <c r="AU13" s="13">
        <f>IF(COUNTIFS(T_SelfStock_Log[Part Name],$A13,T_SelfStock_Log[WeekIndex],46)=0,"",SUMIFS(T_SelfStock_Log[Self_Qty],T_SelfStock_Log[Part Name],$A13,T_SelfStock_Log[WeekIndex],46))</f>
        <v/>
      </c>
      <c r="AV13" s="13">
        <f>IF(COUNTIFS(T_SelfStock_Log[Part Name],$A13,T_SelfStock_Log[WeekIndex],47)=0,"",SUMIFS(T_SelfStock_Log[Self_Qty],T_SelfStock_Log[Part Name],$A13,T_SelfStock_Log[WeekIndex],47))</f>
        <v/>
      </c>
      <c r="AW13" s="13">
        <f>IF(COUNTIFS(T_SelfStock_Log[Part Name],$A13,T_SelfStock_Log[WeekIndex],48)=0,"",SUMIFS(T_SelfStock_Log[Self_Qty],T_SelfStock_Log[Part Name],$A13,T_SelfStock_Log[WeekIndex],48))</f>
        <v/>
      </c>
      <c r="AX13" s="13">
        <f>IF(COUNTIFS(T_SelfStock_Log[Part Name],$A13,T_SelfStock_Log[WeekIndex],49)=0,"",SUMIFS(T_SelfStock_Log[Self_Qty],T_SelfStock_Log[Part Name],$A13,T_SelfStock_Log[WeekIndex],49))</f>
        <v/>
      </c>
      <c r="AY13" s="13">
        <f>IF(COUNTIFS(T_SelfStock_Log[Part Name],$A13,T_SelfStock_Log[WeekIndex],50)=0,"",SUMIFS(T_SelfStock_Log[Self_Qty],T_SelfStock_Log[Part Name],$A13,T_SelfStock_Log[WeekIndex],50))</f>
        <v/>
      </c>
      <c r="AZ13" s="13">
        <f>IF(COUNTIFS(T_SelfStock_Log[Part Name],$A13,T_SelfStock_Log[WeekIndex],51)=0,"",SUMIFS(T_SelfStock_Log[Self_Qty],T_SelfStock_Log[Part Name],$A13,T_SelfStock_Log[WeekIndex],51))</f>
        <v/>
      </c>
      <c r="BA13" s="13">
        <f>IF(COUNTIFS(T_SelfStock_Log[Part Name],$A13,T_SelfStock_Log[WeekIndex],52)=0,"",SUMIFS(T_SelfStock_Log[Self_Qty],T_SelfStock_Log[Part Name],$A13,T_SelfStock_Log[WeekIndex],52))</f>
        <v/>
      </c>
      <c r="BB13" s="13">
        <f>IF(COUNTIFS(T_SelfStock_Log[Part Name],$A13,T_SelfStock_Log[WeekIndex],53)=0,"",SUMIFS(T_SelfStock_Log[Self_Qty],T_SelfStock_Log[Part Name],$A13,T_SelfStock_Log[WeekIndex],53))</f>
        <v/>
      </c>
      <c r="BC13" s="13">
        <f>IF(COUNTIFS(T_SelfStock_Log[Part Name],$A13,T_SelfStock_Log[WeekIndex],54)=0,"",SUMIFS(T_SelfStock_Log[Self_Qty],T_SelfStock_Log[Part Name],$A13,T_SelfStock_Log[WeekIndex],54))</f>
        <v/>
      </c>
      <c r="BD13" s="13">
        <f>IF(COUNTIFS(T_SelfStock_Log[Part Name],$A13,T_SelfStock_Log[WeekIndex],55)=0,"",SUMIFS(T_SelfStock_Log[Self_Qty],T_SelfStock_Log[Part Name],$A13,T_SelfStock_Log[WeekIndex],55))</f>
        <v/>
      </c>
      <c r="BE13" s="13">
        <f>IF(COUNTIFS(T_SelfStock_Log[Part Name],$A13,T_SelfStock_Log[WeekIndex],56)=0,"",SUMIFS(T_SelfStock_Log[Self_Qty],T_SelfStock_Log[Part Name],$A13,T_SelfStock_Log[WeekIndex],56))</f>
        <v/>
      </c>
      <c r="BF13" s="13">
        <f>IF(COUNTIFS(T_SelfStock_Log[Part Name],$A13,T_SelfStock_Log[WeekIndex],57)=0,"",SUMIFS(T_SelfStock_Log[Self_Qty],T_SelfStock_Log[Part Name],$A13,T_SelfStock_Log[WeekIndex],57))</f>
        <v/>
      </c>
      <c r="BG13" s="13">
        <f>IF(COUNTIFS(T_SelfStock_Log[Part Name],$A13,T_SelfStock_Log[WeekIndex],58)=0,"",SUMIFS(T_SelfStock_Log[Self_Qty],T_SelfStock_Log[Part Name],$A13,T_SelfStock_Log[WeekIndex],58))</f>
        <v/>
      </c>
      <c r="BH13" s="13">
        <f>IF(COUNTIFS(T_SelfStock_Log[Part Name],$A13,T_SelfStock_Log[WeekIndex],59)=0,"",SUMIFS(T_SelfStock_Log[Self_Qty],T_SelfStock_Log[Part Name],$A13,T_SelfStock_Log[WeekIndex],59))</f>
        <v/>
      </c>
      <c r="BI13" s="13">
        <f>IF(COUNTIFS(T_SelfStock_Log[Part Name],$A13,T_SelfStock_Log[WeekIndex],60)=0,"",SUMIFS(T_SelfStock_Log[Self_Qty],T_SelfStock_Log[Part Name],$A13,T_SelfStock_Log[WeekIndex],60))</f>
        <v/>
      </c>
      <c r="BJ13" s="13">
        <f>IF(COUNTIFS(T_SelfStock_Log[Part Name],$A13,T_SelfStock_Log[WeekIndex],61)=0,"",SUMIFS(T_SelfStock_Log[Self_Qty],T_SelfStock_Log[Part Name],$A13,T_SelfStock_Log[WeekIndex],61))</f>
        <v/>
      </c>
      <c r="BK13" s="13">
        <f>IF(COUNTIFS(T_SelfStock_Log[Part Name],$A13,T_SelfStock_Log[WeekIndex],62)=0,"",SUMIFS(T_SelfStock_Log[Self_Qty],T_SelfStock_Log[Part Name],$A13,T_SelfStock_Log[WeekIndex],62))</f>
        <v/>
      </c>
      <c r="BL13" s="13">
        <f>IF(COUNTIFS(T_SelfStock_Log[Part Name],$A13,T_SelfStock_Log[WeekIndex],63)=0,"",SUMIFS(T_SelfStock_Log[Self_Qty],T_SelfStock_Log[Part Name],$A13,T_SelfStock_Log[WeekIndex],63))</f>
        <v/>
      </c>
      <c r="BM13" s="13">
        <f>IF(COUNTIFS(T_SelfStock_Log[Part Name],$A13,T_SelfStock_Log[WeekIndex],64)=0,"",SUMIFS(T_SelfStock_Log[Self_Qty],T_SelfStock_Log[Part Name],$A13,T_SelfStock_Log[WeekIndex],64))</f>
        <v/>
      </c>
      <c r="BN13" s="13">
        <f>IF(COUNTIFS(T_SelfStock_Log[Part Name],$A13,T_SelfStock_Log[WeekIndex],65)=0,"",SUMIFS(T_SelfStock_Log[Self_Qty],T_SelfStock_Log[Part Name],$A13,T_SelfStock_Log[WeekIndex],65))</f>
        <v/>
      </c>
      <c r="BO13" s="13">
        <f>IF(COUNTIFS(T_SelfStock_Log[Part Name],$A13,T_SelfStock_Log[WeekIndex],66)=0,"",SUMIFS(T_SelfStock_Log[Self_Qty],T_SelfStock_Log[Part Name],$A13,T_SelfStock_Log[WeekIndex],66))</f>
        <v/>
      </c>
      <c r="BP13" s="13">
        <f>IF(COUNTIFS(T_SelfStock_Log[Part Name],$A13,T_SelfStock_Log[WeekIndex],67)=0,"",SUMIFS(T_SelfStock_Log[Self_Qty],T_SelfStock_Log[Part Name],$A13,T_SelfStock_Log[WeekIndex],67))</f>
        <v/>
      </c>
      <c r="BQ13" s="13">
        <f>IF(COUNTIFS(T_SelfStock_Log[Part Name],$A13,T_SelfStock_Log[WeekIndex],68)=0,"",SUMIFS(T_SelfStock_Log[Self_Qty],T_SelfStock_Log[Part Name],$A13,T_SelfStock_Log[WeekIndex],68))</f>
        <v/>
      </c>
      <c r="BR13" s="13">
        <f>IF(COUNTIFS(T_SelfStock_Log[Part Name],$A13,T_SelfStock_Log[WeekIndex],69)=0,"",SUMIFS(T_SelfStock_Log[Self_Qty],T_SelfStock_Log[Part Name],$A13,T_SelfStock_Log[WeekIndex],69))</f>
        <v/>
      </c>
      <c r="BS13" s="13">
        <f>IF(COUNTIFS(T_SelfStock_Log[Part Name],$A13,T_SelfStock_Log[WeekIndex],70)=0,"",SUMIFS(T_SelfStock_Log[Self_Qty],T_SelfStock_Log[Part Name],$A13,T_SelfStock_Log[WeekIndex],70))</f>
        <v/>
      </c>
      <c r="BT13" s="13">
        <f>IF(COUNTIFS(T_SelfStock_Log[Part Name],$A13,T_SelfStock_Log[WeekIndex],71)=0,"",SUMIFS(T_SelfStock_Log[Self_Qty],T_SelfStock_Log[Part Name],$A13,T_SelfStock_Log[WeekIndex],71))</f>
        <v/>
      </c>
      <c r="BU13" s="13">
        <f>IF(COUNTIFS(T_SelfStock_Log[Part Name],$A13,T_SelfStock_Log[WeekIndex],72)=0,"",SUMIFS(T_SelfStock_Log[Self_Qty],T_SelfStock_Log[Part Name],$A13,T_SelfStock_Log[WeekIndex],72))</f>
        <v/>
      </c>
      <c r="BV13" s="13">
        <f>IF(COUNTIFS(T_SelfStock_Log[Part Name],$A13,T_SelfStock_Log[WeekIndex],73)=0,"",SUMIFS(T_SelfStock_Log[Self_Qty],T_SelfStock_Log[Part Name],$A13,T_SelfStock_Log[WeekIndex],73))</f>
        <v/>
      </c>
      <c r="BW13" s="13">
        <f>IF(COUNTIFS(T_SelfStock_Log[Part Name],$A13,T_SelfStock_Log[WeekIndex],74)=0,"",SUMIFS(T_SelfStock_Log[Self_Qty],T_SelfStock_Log[Part Name],$A13,T_SelfStock_Log[WeekIndex],74))</f>
        <v/>
      </c>
      <c r="BX13" s="13">
        <f>IF(COUNTIFS(T_SelfStock_Log[Part Name],$A13,T_SelfStock_Log[WeekIndex],75)=0,"",SUMIFS(T_SelfStock_Log[Self_Qty],T_SelfStock_Log[Part Name],$A13,T_SelfStock_Log[WeekIndex],75))</f>
        <v/>
      </c>
      <c r="BY13" s="13">
        <f>IF(COUNTIFS(T_SelfStock_Log[Part Name],$A13,T_SelfStock_Log[WeekIndex],76)=0,"",SUMIFS(T_SelfStock_Log[Self_Qty],T_SelfStock_Log[Part Name],$A13,T_SelfStock_Log[WeekIndex],76))</f>
        <v/>
      </c>
      <c r="BZ13" s="13">
        <f>IF(COUNTIFS(T_SelfStock_Log[Part Name],$A13,T_SelfStock_Log[WeekIndex],77)=0,"",SUMIFS(T_SelfStock_Log[Self_Qty],T_SelfStock_Log[Part Name],$A13,T_SelfStock_Log[WeekIndex],77))</f>
        <v/>
      </c>
      <c r="CA13" s="13">
        <f>IF(COUNTIFS(T_SelfStock_Log[Part Name],$A13,T_SelfStock_Log[WeekIndex],78)=0,"",SUMIFS(T_SelfStock_Log[Self_Qty],T_SelfStock_Log[Part Name],$A13,T_SelfStock_Log[WeekIndex],78))</f>
        <v/>
      </c>
      <c r="CB13" s="13">
        <f>IF(COUNTIFS(T_SelfStock_Log[Part Name],$A13,T_SelfStock_Log[WeekIndex],79)=0,"",SUMIFS(T_SelfStock_Log[Self_Qty],T_SelfStock_Log[Part Name],$A13,T_SelfStock_Log[WeekIndex],79))</f>
        <v/>
      </c>
      <c r="CC13" s="13">
        <f>IF(COUNTIFS(T_SelfStock_Log[Part Name],$A13,T_SelfStock_Log[WeekIndex],80)=0,"",SUMIFS(T_SelfStock_Log[Self_Qty],T_SelfStock_Log[Part Name],$A13,T_SelfStock_Log[WeekIndex],80))</f>
        <v/>
      </c>
      <c r="CD13" s="13">
        <f>IF(COUNTIFS(T_SelfStock_Log[Part Name],$A13,T_SelfStock_Log[WeekIndex],81)=0,"",SUMIFS(T_SelfStock_Log[Self_Qty],T_SelfStock_Log[Part Name],$A13,T_SelfStock_Log[WeekIndex],81))</f>
        <v/>
      </c>
      <c r="CE13" s="13">
        <f>IF(COUNTIFS(T_SelfStock_Log[Part Name],$A13,T_SelfStock_Log[WeekIndex],82)=0,"",SUMIFS(T_SelfStock_Log[Self_Qty],T_SelfStock_Log[Part Name],$A13,T_SelfStock_Log[WeekIndex],82))</f>
        <v/>
      </c>
      <c r="CF13" s="13">
        <f>IF(COUNTIFS(T_SelfStock_Log[Part Name],$A13,T_SelfStock_Log[WeekIndex],83)=0,"",SUMIFS(T_SelfStock_Log[Self_Qty],T_SelfStock_Log[Part Name],$A13,T_SelfStock_Log[WeekIndex],83))</f>
        <v/>
      </c>
      <c r="CG13" s="13">
        <f>IF(COUNTIFS(T_SelfStock_Log[Part Name],$A13,T_SelfStock_Log[WeekIndex],84)=0,"",SUMIFS(T_SelfStock_Log[Self_Qty],T_SelfStock_Log[Part Name],$A13,T_SelfStock_Log[WeekIndex],84))</f>
        <v/>
      </c>
      <c r="CH13" s="13">
        <f>IF(COUNTIFS(T_SelfStock_Log[Part Name],$A13,T_SelfStock_Log[WeekIndex],85)=0,"",SUMIFS(T_SelfStock_Log[Self_Qty],T_SelfStock_Log[Part Name],$A13,T_SelfStock_Log[WeekIndex],85))</f>
        <v/>
      </c>
      <c r="CI13" s="13">
        <f>IF(COUNTIFS(T_SelfStock_Log[Part Name],$A13,T_SelfStock_Log[WeekIndex],86)=0,"",SUMIFS(T_SelfStock_Log[Self_Qty],T_SelfStock_Log[Part Name],$A13,T_SelfStock_Log[WeekIndex],86))</f>
        <v/>
      </c>
      <c r="CJ13" s="13">
        <f>IF(COUNTIFS(T_SelfStock_Log[Part Name],$A13,T_SelfStock_Log[WeekIndex],87)=0,"",SUMIFS(T_SelfStock_Log[Self_Qty],T_SelfStock_Log[Part Name],$A13,T_SelfStock_Log[WeekIndex],87))</f>
        <v/>
      </c>
      <c r="CK13" s="13">
        <f>IF(COUNTIFS(T_SelfStock_Log[Part Name],$A13,T_SelfStock_Log[WeekIndex],88)=0,"",SUMIFS(T_SelfStock_Log[Self_Qty],T_SelfStock_Log[Part Name],$A13,T_SelfStock_Log[WeekIndex],88))</f>
        <v/>
      </c>
      <c r="CL13" s="13">
        <f>IF(COUNTIFS(T_SelfStock_Log[Part Name],$A13,T_SelfStock_Log[WeekIndex],89)=0,"",SUMIFS(T_SelfStock_Log[Self_Qty],T_SelfStock_Log[Part Name],$A13,T_SelfStock_Log[WeekIndex],89))</f>
        <v/>
      </c>
      <c r="CM13" s="13">
        <f>IF(COUNTIFS(T_SelfStock_Log[Part Name],$A13,T_SelfStock_Log[WeekIndex],90)=0,"",SUMIFS(T_SelfStock_Log[Self_Qty],T_SelfStock_Log[Part Name],$A13,T_SelfStock_Log[WeekIndex],90))</f>
        <v/>
      </c>
      <c r="CN13" s="13">
        <f>IF(COUNTIFS(T_SelfStock_Log[Part Name],$A13,T_SelfStock_Log[WeekIndex],91)=0,"",SUMIFS(T_SelfStock_Log[Self_Qty],T_SelfStock_Log[Part Name],$A13,T_SelfStock_Log[WeekIndex],91))</f>
        <v/>
      </c>
      <c r="CO13" s="13">
        <f>IF(COUNTIFS(T_SelfStock_Log[Part Name],$A13,T_SelfStock_Log[WeekIndex],92)=0,"",SUMIFS(T_SelfStock_Log[Self_Qty],T_SelfStock_Log[Part Name],$A13,T_SelfStock_Log[WeekIndex],92))</f>
        <v/>
      </c>
      <c r="CP13" s="13">
        <f>IF(COUNTIFS(T_SelfStock_Log[Part Name],$A13,T_SelfStock_Log[WeekIndex],93)=0,"",SUMIFS(T_SelfStock_Log[Self_Qty],T_SelfStock_Log[Part Name],$A13,T_SelfStock_Log[WeekIndex],93))</f>
        <v/>
      </c>
      <c r="CQ13" s="13">
        <f>IF(COUNTIFS(T_SelfStock_Log[Part Name],$A13,T_SelfStock_Log[WeekIndex],94)=0,"",SUMIFS(T_SelfStock_Log[Self_Qty],T_SelfStock_Log[Part Name],$A13,T_SelfStock_Log[WeekIndex],94))</f>
        <v/>
      </c>
      <c r="CR13" s="13">
        <f>IF(COUNTIFS(T_SelfStock_Log[Part Name],$A13,T_SelfStock_Log[WeekIndex],95)=0,"",SUMIFS(T_SelfStock_Log[Self_Qty],T_SelfStock_Log[Part Name],$A13,T_SelfStock_Log[WeekIndex],95))</f>
        <v/>
      </c>
      <c r="CS13" s="13">
        <f>IF(COUNTIFS(T_SelfStock_Log[Part Name],$A13,T_SelfStock_Log[WeekIndex],96)=0,"",SUMIFS(T_SelfStock_Log[Self_Qty],T_SelfStock_Log[Part Name],$A13,T_SelfStock_Log[WeekIndex],96))</f>
        <v/>
      </c>
      <c r="CT13" s="13">
        <f>IF(COUNTIFS(T_SelfStock_Log[Part Name],$A13,T_SelfStock_Log[WeekIndex],97)=0,"",SUMIFS(T_SelfStock_Log[Self_Qty],T_SelfStock_Log[Part Name],$A13,T_SelfStock_Log[WeekIndex],97))</f>
        <v/>
      </c>
      <c r="CU13" s="13">
        <f>IF(COUNTIFS(T_SelfStock_Log[Part Name],$A13,T_SelfStock_Log[WeekIndex],98)=0,"",SUMIFS(T_SelfStock_Log[Self_Qty],T_SelfStock_Log[Part Name],$A13,T_SelfStock_Log[WeekIndex],98))</f>
        <v/>
      </c>
      <c r="CV13" s="13">
        <f>IF(COUNTIFS(T_SelfStock_Log[Part Name],$A13,T_SelfStock_Log[WeekIndex],99)=0,"",SUMIFS(T_SelfStock_Log[Self_Qty],T_SelfStock_Log[Part Name],$A13,T_SelfStock_Log[WeekIndex],99))</f>
        <v/>
      </c>
      <c r="CW13" s="13">
        <f>IF(COUNTIFS(T_SelfStock_Log[Part Name],$A13,T_SelfStock_Log[WeekIndex],100)=0,"",SUMIFS(T_SelfStock_Log[Self_Qty],T_SelfStock_Log[Part Name],$A13,T_SelfStock_Log[WeekIndex],100))</f>
        <v/>
      </c>
      <c r="CX13" s="13">
        <f>IF(COUNTIFS(T_SelfStock_Log[Part Name],$A13,T_SelfStock_Log[WeekIndex],101)=0,"",SUMIFS(T_SelfStock_Log[Self_Qty],T_SelfStock_Log[Part Name],$A13,T_SelfStock_Log[WeekIndex],101))</f>
        <v/>
      </c>
      <c r="CY13" s="13">
        <f>IF(COUNTIFS(T_SelfStock_Log[Part Name],$A13,T_SelfStock_Log[WeekIndex],102)=0,"",SUMIFS(T_SelfStock_Log[Self_Qty],T_SelfStock_Log[Part Name],$A13,T_SelfStock_Log[WeekIndex],102))</f>
        <v/>
      </c>
      <c r="CZ13" s="13">
        <f>IF(COUNTIFS(T_SelfStock_Log[Part Name],$A13,T_SelfStock_Log[WeekIndex],103)=0,"",SUMIFS(T_SelfStock_Log[Self_Qty],T_SelfStock_Log[Part Name],$A13,T_SelfStock_Log[WeekIndex],103))</f>
        <v/>
      </c>
      <c r="DA13" s="13">
        <f>IF(COUNTIFS(T_SelfStock_Log[Part Name],$A13,T_SelfStock_Log[WeekIndex],104)=0,"",SUMIFS(T_SelfStock_Log[Self_Qty],T_SelfStock_Log[Part Name],$A13,T_SelfStock_Log[WeekIndex],104))</f>
        <v/>
      </c>
    </row>
    <row r="14">
      <c r="A14" s="12" t="inlineStr">
        <is>
          <t>CHEM-1440</t>
        </is>
      </c>
      <c r="B14" s="12">
        <f>IF(COUNTIFS(T_SelfStock_Log[Part Name],$A14,T_SelfStock_Log[WeekIndex],1)=0,"",SUMIFS(T_SelfStock_Log[Self_Qty],T_SelfStock_Log[Part Name],$A14,T_SelfStock_Log[WeekIndex],1))</f>
        <v/>
      </c>
      <c r="C14" s="12">
        <f>IF(COUNTIFS(T_SelfStock_Log[Part Name],$A14,T_SelfStock_Log[WeekIndex],2)=0,"",SUMIFS(T_SelfStock_Log[Self_Qty],T_SelfStock_Log[Part Name],$A14,T_SelfStock_Log[WeekIndex],2))</f>
        <v/>
      </c>
      <c r="D14" s="12">
        <f>IF(COUNTIFS(T_SelfStock_Log[Part Name],$A14,T_SelfStock_Log[WeekIndex],3)=0,"",SUMIFS(T_SelfStock_Log[Self_Qty],T_SelfStock_Log[Part Name],$A14,T_SelfStock_Log[WeekIndex],3))</f>
        <v/>
      </c>
      <c r="E14" s="12">
        <f>IF(COUNTIFS(T_SelfStock_Log[Part Name],$A14,T_SelfStock_Log[WeekIndex],4)=0,"",SUMIFS(T_SelfStock_Log[Self_Qty],T_SelfStock_Log[Part Name],$A14,T_SelfStock_Log[WeekIndex],4))</f>
        <v/>
      </c>
      <c r="F14" s="12">
        <f>IF(COUNTIFS(T_SelfStock_Log[Part Name],$A14,T_SelfStock_Log[WeekIndex],5)=0,"",SUMIFS(T_SelfStock_Log[Self_Qty],T_SelfStock_Log[Part Name],$A14,T_SelfStock_Log[WeekIndex],5))</f>
        <v/>
      </c>
      <c r="G14" s="12">
        <f>IF(COUNTIFS(T_SelfStock_Log[Part Name],$A14,T_SelfStock_Log[WeekIndex],6)=0,"",SUMIFS(T_SelfStock_Log[Self_Qty],T_SelfStock_Log[Part Name],$A14,T_SelfStock_Log[WeekIndex],6))</f>
        <v/>
      </c>
      <c r="H14" s="12">
        <f>IF(COUNTIFS(T_SelfStock_Log[Part Name],$A14,T_SelfStock_Log[WeekIndex],7)=0,"",SUMIFS(T_SelfStock_Log[Self_Qty],T_SelfStock_Log[Part Name],$A14,T_SelfStock_Log[WeekIndex],7))</f>
        <v/>
      </c>
      <c r="I14" s="12">
        <f>IF(COUNTIFS(T_SelfStock_Log[Part Name],$A14,T_SelfStock_Log[WeekIndex],8)=0,"",SUMIFS(T_SelfStock_Log[Self_Qty],T_SelfStock_Log[Part Name],$A14,T_SelfStock_Log[WeekIndex],8))</f>
        <v/>
      </c>
      <c r="J14" s="12">
        <f>IF(COUNTIFS(T_SelfStock_Log[Part Name],$A14,T_SelfStock_Log[WeekIndex],9)=0,"",SUMIFS(T_SelfStock_Log[Self_Qty],T_SelfStock_Log[Part Name],$A14,T_SelfStock_Log[WeekIndex],9))</f>
        <v/>
      </c>
      <c r="K14" s="12">
        <f>IF(COUNTIFS(T_SelfStock_Log[Part Name],$A14,T_SelfStock_Log[WeekIndex],10)=0,"",SUMIFS(T_SelfStock_Log[Self_Qty],T_SelfStock_Log[Part Name],$A14,T_SelfStock_Log[WeekIndex],10))</f>
        <v/>
      </c>
      <c r="L14" s="12">
        <f>IF(COUNTIFS(T_SelfStock_Log[Part Name],$A14,T_SelfStock_Log[WeekIndex],11)=0,"",SUMIFS(T_SelfStock_Log[Self_Qty],T_SelfStock_Log[Part Name],$A14,T_SelfStock_Log[WeekIndex],11))</f>
        <v/>
      </c>
      <c r="M14" s="12">
        <f>IF(COUNTIFS(T_SelfStock_Log[Part Name],$A14,T_SelfStock_Log[WeekIndex],12)=0,"",SUMIFS(T_SelfStock_Log[Self_Qty],T_SelfStock_Log[Part Name],$A14,T_SelfStock_Log[WeekIndex],12))</f>
        <v/>
      </c>
      <c r="N14" s="12">
        <f>IF(COUNTIFS(T_SelfStock_Log[Part Name],$A14,T_SelfStock_Log[WeekIndex],13)=0,"",SUMIFS(T_SelfStock_Log[Self_Qty],T_SelfStock_Log[Part Name],$A14,T_SelfStock_Log[WeekIndex],13))</f>
        <v/>
      </c>
      <c r="O14" s="12">
        <f>IF(COUNTIFS(T_SelfStock_Log[Part Name],$A14,T_SelfStock_Log[WeekIndex],14)=0,"",SUMIFS(T_SelfStock_Log[Self_Qty],T_SelfStock_Log[Part Name],$A14,T_SelfStock_Log[WeekIndex],14))</f>
        <v/>
      </c>
      <c r="P14" s="12">
        <f>IF(COUNTIFS(T_SelfStock_Log[Part Name],$A14,T_SelfStock_Log[WeekIndex],15)=0,"",SUMIFS(T_SelfStock_Log[Self_Qty],T_SelfStock_Log[Part Name],$A14,T_SelfStock_Log[WeekIndex],15))</f>
        <v/>
      </c>
      <c r="Q14" s="12">
        <f>IF(COUNTIFS(T_SelfStock_Log[Part Name],$A14,T_SelfStock_Log[WeekIndex],16)=0,"",SUMIFS(T_SelfStock_Log[Self_Qty],T_SelfStock_Log[Part Name],$A14,T_SelfStock_Log[WeekIndex],16))</f>
        <v/>
      </c>
      <c r="R14" s="12">
        <f>IF(COUNTIFS(T_SelfStock_Log[Part Name],$A14,T_SelfStock_Log[WeekIndex],17)=0,"",SUMIFS(T_SelfStock_Log[Self_Qty],T_SelfStock_Log[Part Name],$A14,T_SelfStock_Log[WeekIndex],17))</f>
        <v/>
      </c>
      <c r="S14" s="12">
        <f>IF(COUNTIFS(T_SelfStock_Log[Part Name],$A14,T_SelfStock_Log[WeekIndex],18)=0,"",SUMIFS(T_SelfStock_Log[Self_Qty],T_SelfStock_Log[Part Name],$A14,T_SelfStock_Log[WeekIndex],18))</f>
        <v/>
      </c>
      <c r="T14" s="12">
        <f>IF(COUNTIFS(T_SelfStock_Log[Part Name],$A14,T_SelfStock_Log[WeekIndex],19)=0,"",SUMIFS(T_SelfStock_Log[Self_Qty],T_SelfStock_Log[Part Name],$A14,T_SelfStock_Log[WeekIndex],19))</f>
        <v/>
      </c>
      <c r="U14" s="12">
        <f>IF(COUNTIFS(T_SelfStock_Log[Part Name],$A14,T_SelfStock_Log[WeekIndex],20)=0,"",SUMIFS(T_SelfStock_Log[Self_Qty],T_SelfStock_Log[Part Name],$A14,T_SelfStock_Log[WeekIndex],20))</f>
        <v/>
      </c>
      <c r="V14" s="12">
        <f>IF(COUNTIFS(T_SelfStock_Log[Part Name],$A14,T_SelfStock_Log[WeekIndex],21)=0,"",SUMIFS(T_SelfStock_Log[Self_Qty],T_SelfStock_Log[Part Name],$A14,T_SelfStock_Log[WeekIndex],21))</f>
        <v/>
      </c>
      <c r="W14" s="12">
        <f>IF(COUNTIFS(T_SelfStock_Log[Part Name],$A14,T_SelfStock_Log[WeekIndex],22)=0,"",SUMIFS(T_SelfStock_Log[Self_Qty],T_SelfStock_Log[Part Name],$A14,T_SelfStock_Log[WeekIndex],22))</f>
        <v/>
      </c>
      <c r="X14" s="12">
        <f>IF(COUNTIFS(T_SelfStock_Log[Part Name],$A14,T_SelfStock_Log[WeekIndex],23)=0,"",SUMIFS(T_SelfStock_Log[Self_Qty],T_SelfStock_Log[Part Name],$A14,T_SelfStock_Log[WeekIndex],23))</f>
        <v/>
      </c>
      <c r="Y14" s="12">
        <f>IF(COUNTIFS(T_SelfStock_Log[Part Name],$A14,T_SelfStock_Log[WeekIndex],24)=0,"",SUMIFS(T_SelfStock_Log[Self_Qty],T_SelfStock_Log[Part Name],$A14,T_SelfStock_Log[WeekIndex],24))</f>
        <v/>
      </c>
      <c r="Z14" s="12">
        <f>IF(COUNTIFS(T_SelfStock_Log[Part Name],$A14,T_SelfStock_Log[WeekIndex],25)=0,"",SUMIFS(T_SelfStock_Log[Self_Qty],T_SelfStock_Log[Part Name],$A14,T_SelfStock_Log[WeekIndex],25))</f>
        <v/>
      </c>
      <c r="AA14" s="12">
        <f>IF(COUNTIFS(T_SelfStock_Log[Part Name],$A14,T_SelfStock_Log[WeekIndex],26)=0,"",SUMIFS(T_SelfStock_Log[Self_Qty],T_SelfStock_Log[Part Name],$A14,T_SelfStock_Log[WeekIndex],26))</f>
        <v/>
      </c>
      <c r="AB14" s="12">
        <f>IF(COUNTIFS(T_SelfStock_Log[Part Name],$A14,T_SelfStock_Log[WeekIndex],27)=0,"",SUMIFS(T_SelfStock_Log[Self_Qty],T_SelfStock_Log[Part Name],$A14,T_SelfStock_Log[WeekIndex],27))</f>
        <v/>
      </c>
      <c r="AC14" s="12">
        <f>IF(COUNTIFS(T_SelfStock_Log[Part Name],$A14,T_SelfStock_Log[WeekIndex],28)=0,"",SUMIFS(T_SelfStock_Log[Self_Qty],T_SelfStock_Log[Part Name],$A14,T_SelfStock_Log[WeekIndex],28))</f>
        <v/>
      </c>
      <c r="AD14" s="12">
        <f>IF(COUNTIFS(T_SelfStock_Log[Part Name],$A14,T_SelfStock_Log[WeekIndex],29)=0,"",SUMIFS(T_SelfStock_Log[Self_Qty],T_SelfStock_Log[Part Name],$A14,T_SelfStock_Log[WeekIndex],29))</f>
        <v/>
      </c>
      <c r="AE14" s="12">
        <f>IF(COUNTIFS(T_SelfStock_Log[Part Name],$A14,T_SelfStock_Log[WeekIndex],30)=0,"",SUMIFS(T_SelfStock_Log[Self_Qty],T_SelfStock_Log[Part Name],$A14,T_SelfStock_Log[WeekIndex],30))</f>
        <v/>
      </c>
      <c r="AF14" s="12">
        <f>IF(COUNTIFS(T_SelfStock_Log[Part Name],$A14,T_SelfStock_Log[WeekIndex],31)=0,"",SUMIFS(T_SelfStock_Log[Self_Qty],T_SelfStock_Log[Part Name],$A14,T_SelfStock_Log[WeekIndex],31))</f>
        <v/>
      </c>
      <c r="AG14" s="12">
        <f>IF(COUNTIFS(T_SelfStock_Log[Part Name],$A14,T_SelfStock_Log[WeekIndex],32)=0,"",SUMIFS(T_SelfStock_Log[Self_Qty],T_SelfStock_Log[Part Name],$A14,T_SelfStock_Log[WeekIndex],32))</f>
        <v/>
      </c>
      <c r="AH14" s="12">
        <f>IF(COUNTIFS(T_SelfStock_Log[Part Name],$A14,T_SelfStock_Log[WeekIndex],33)=0,"",SUMIFS(T_SelfStock_Log[Self_Qty],T_SelfStock_Log[Part Name],$A14,T_SelfStock_Log[WeekIndex],33))</f>
        <v/>
      </c>
      <c r="AI14" s="12">
        <f>IF(COUNTIFS(T_SelfStock_Log[Part Name],$A14,T_SelfStock_Log[WeekIndex],34)=0,"",SUMIFS(T_SelfStock_Log[Self_Qty],T_SelfStock_Log[Part Name],$A14,T_SelfStock_Log[WeekIndex],34))</f>
        <v/>
      </c>
      <c r="AJ14" s="12">
        <f>IF(COUNTIFS(T_SelfStock_Log[Part Name],$A14,T_SelfStock_Log[WeekIndex],35)=0,"",SUMIFS(T_SelfStock_Log[Self_Qty],T_SelfStock_Log[Part Name],$A14,T_SelfStock_Log[WeekIndex],35))</f>
        <v/>
      </c>
      <c r="AK14" s="12">
        <f>IF(COUNTIFS(T_SelfStock_Log[Part Name],$A14,T_SelfStock_Log[WeekIndex],36)=0,"",SUMIFS(T_SelfStock_Log[Self_Qty],T_SelfStock_Log[Part Name],$A14,T_SelfStock_Log[WeekIndex],36))</f>
        <v/>
      </c>
      <c r="AL14" s="12">
        <f>IF(COUNTIFS(T_SelfStock_Log[Part Name],$A14,T_SelfStock_Log[WeekIndex],37)=0,"",SUMIFS(T_SelfStock_Log[Self_Qty],T_SelfStock_Log[Part Name],$A14,T_SelfStock_Log[WeekIndex],37))</f>
        <v/>
      </c>
      <c r="AM14" s="12">
        <f>IF(COUNTIFS(T_SelfStock_Log[Part Name],$A14,T_SelfStock_Log[WeekIndex],38)=0,"",SUMIFS(T_SelfStock_Log[Self_Qty],T_SelfStock_Log[Part Name],$A14,T_SelfStock_Log[WeekIndex],38))</f>
        <v/>
      </c>
      <c r="AN14" s="12">
        <f>IF(COUNTIFS(T_SelfStock_Log[Part Name],$A14,T_SelfStock_Log[WeekIndex],39)=0,"",SUMIFS(T_SelfStock_Log[Self_Qty],T_SelfStock_Log[Part Name],$A14,T_SelfStock_Log[WeekIndex],39))</f>
        <v/>
      </c>
      <c r="AO14" s="12">
        <f>IF(COUNTIFS(T_SelfStock_Log[Part Name],$A14,T_SelfStock_Log[WeekIndex],40)=0,"",SUMIFS(T_SelfStock_Log[Self_Qty],T_SelfStock_Log[Part Name],$A14,T_SelfStock_Log[WeekIndex],40))</f>
        <v/>
      </c>
      <c r="AP14" s="12">
        <f>IF(COUNTIFS(T_SelfStock_Log[Part Name],$A14,T_SelfStock_Log[WeekIndex],41)=0,"",SUMIFS(T_SelfStock_Log[Self_Qty],T_SelfStock_Log[Part Name],$A14,T_SelfStock_Log[WeekIndex],41))</f>
        <v/>
      </c>
      <c r="AQ14" s="12">
        <f>IF(COUNTIFS(T_SelfStock_Log[Part Name],$A14,T_SelfStock_Log[WeekIndex],42)=0,"",SUMIFS(T_SelfStock_Log[Self_Qty],T_SelfStock_Log[Part Name],$A14,T_SelfStock_Log[WeekIndex],42))</f>
        <v/>
      </c>
      <c r="AR14" s="12">
        <f>IF(COUNTIFS(T_SelfStock_Log[Part Name],$A14,T_SelfStock_Log[WeekIndex],43)=0,"",SUMIFS(T_SelfStock_Log[Self_Qty],T_SelfStock_Log[Part Name],$A14,T_SelfStock_Log[WeekIndex],43))</f>
        <v/>
      </c>
      <c r="AS14" s="12">
        <f>IF(COUNTIFS(T_SelfStock_Log[Part Name],$A14,T_SelfStock_Log[WeekIndex],44)=0,"",SUMIFS(T_SelfStock_Log[Self_Qty],T_SelfStock_Log[Part Name],$A14,T_SelfStock_Log[WeekIndex],44))</f>
        <v/>
      </c>
      <c r="AT14" s="12">
        <f>IF(COUNTIFS(T_SelfStock_Log[Part Name],$A14,T_SelfStock_Log[WeekIndex],45)=0,"",SUMIFS(T_SelfStock_Log[Self_Qty],T_SelfStock_Log[Part Name],$A14,T_SelfStock_Log[WeekIndex],45))</f>
        <v/>
      </c>
      <c r="AU14" s="12">
        <f>IF(COUNTIFS(T_SelfStock_Log[Part Name],$A14,T_SelfStock_Log[WeekIndex],46)=0,"",SUMIFS(T_SelfStock_Log[Self_Qty],T_SelfStock_Log[Part Name],$A14,T_SelfStock_Log[WeekIndex],46))</f>
        <v/>
      </c>
      <c r="AV14" s="12">
        <f>IF(COUNTIFS(T_SelfStock_Log[Part Name],$A14,T_SelfStock_Log[WeekIndex],47)=0,"",SUMIFS(T_SelfStock_Log[Self_Qty],T_SelfStock_Log[Part Name],$A14,T_SelfStock_Log[WeekIndex],47))</f>
        <v/>
      </c>
      <c r="AW14" s="12">
        <f>IF(COUNTIFS(T_SelfStock_Log[Part Name],$A14,T_SelfStock_Log[WeekIndex],48)=0,"",SUMIFS(T_SelfStock_Log[Self_Qty],T_SelfStock_Log[Part Name],$A14,T_SelfStock_Log[WeekIndex],48))</f>
        <v/>
      </c>
      <c r="AX14" s="12">
        <f>IF(COUNTIFS(T_SelfStock_Log[Part Name],$A14,T_SelfStock_Log[WeekIndex],49)=0,"",SUMIFS(T_SelfStock_Log[Self_Qty],T_SelfStock_Log[Part Name],$A14,T_SelfStock_Log[WeekIndex],49))</f>
        <v/>
      </c>
      <c r="AY14" s="12">
        <f>IF(COUNTIFS(T_SelfStock_Log[Part Name],$A14,T_SelfStock_Log[WeekIndex],50)=0,"",SUMIFS(T_SelfStock_Log[Self_Qty],T_SelfStock_Log[Part Name],$A14,T_SelfStock_Log[WeekIndex],50))</f>
        <v/>
      </c>
      <c r="AZ14" s="12">
        <f>IF(COUNTIFS(T_SelfStock_Log[Part Name],$A14,T_SelfStock_Log[WeekIndex],51)=0,"",SUMIFS(T_SelfStock_Log[Self_Qty],T_SelfStock_Log[Part Name],$A14,T_SelfStock_Log[WeekIndex],51))</f>
        <v/>
      </c>
      <c r="BA14" s="12">
        <f>IF(COUNTIFS(T_SelfStock_Log[Part Name],$A14,T_SelfStock_Log[WeekIndex],52)=0,"",SUMIFS(T_SelfStock_Log[Self_Qty],T_SelfStock_Log[Part Name],$A14,T_SelfStock_Log[WeekIndex],52))</f>
        <v/>
      </c>
      <c r="BB14" s="12">
        <f>IF(COUNTIFS(T_SelfStock_Log[Part Name],$A14,T_SelfStock_Log[WeekIndex],53)=0,"",SUMIFS(T_SelfStock_Log[Self_Qty],T_SelfStock_Log[Part Name],$A14,T_SelfStock_Log[WeekIndex],53))</f>
        <v/>
      </c>
      <c r="BC14" s="12">
        <f>IF(COUNTIFS(T_SelfStock_Log[Part Name],$A14,T_SelfStock_Log[WeekIndex],54)=0,"",SUMIFS(T_SelfStock_Log[Self_Qty],T_SelfStock_Log[Part Name],$A14,T_SelfStock_Log[WeekIndex],54))</f>
        <v/>
      </c>
      <c r="BD14" s="12">
        <f>IF(COUNTIFS(T_SelfStock_Log[Part Name],$A14,T_SelfStock_Log[WeekIndex],55)=0,"",SUMIFS(T_SelfStock_Log[Self_Qty],T_SelfStock_Log[Part Name],$A14,T_SelfStock_Log[WeekIndex],55))</f>
        <v/>
      </c>
      <c r="BE14" s="12">
        <f>IF(COUNTIFS(T_SelfStock_Log[Part Name],$A14,T_SelfStock_Log[WeekIndex],56)=0,"",SUMIFS(T_SelfStock_Log[Self_Qty],T_SelfStock_Log[Part Name],$A14,T_SelfStock_Log[WeekIndex],56))</f>
        <v/>
      </c>
      <c r="BF14" s="12">
        <f>IF(COUNTIFS(T_SelfStock_Log[Part Name],$A14,T_SelfStock_Log[WeekIndex],57)=0,"",SUMIFS(T_SelfStock_Log[Self_Qty],T_SelfStock_Log[Part Name],$A14,T_SelfStock_Log[WeekIndex],57))</f>
        <v/>
      </c>
      <c r="BG14" s="12">
        <f>IF(COUNTIFS(T_SelfStock_Log[Part Name],$A14,T_SelfStock_Log[WeekIndex],58)=0,"",SUMIFS(T_SelfStock_Log[Self_Qty],T_SelfStock_Log[Part Name],$A14,T_SelfStock_Log[WeekIndex],58))</f>
        <v/>
      </c>
      <c r="BH14" s="12">
        <f>IF(COUNTIFS(T_SelfStock_Log[Part Name],$A14,T_SelfStock_Log[WeekIndex],59)=0,"",SUMIFS(T_SelfStock_Log[Self_Qty],T_SelfStock_Log[Part Name],$A14,T_SelfStock_Log[WeekIndex],59))</f>
        <v/>
      </c>
      <c r="BI14" s="12">
        <f>IF(COUNTIFS(T_SelfStock_Log[Part Name],$A14,T_SelfStock_Log[WeekIndex],60)=0,"",SUMIFS(T_SelfStock_Log[Self_Qty],T_SelfStock_Log[Part Name],$A14,T_SelfStock_Log[WeekIndex],60))</f>
        <v/>
      </c>
      <c r="BJ14" s="12">
        <f>IF(COUNTIFS(T_SelfStock_Log[Part Name],$A14,T_SelfStock_Log[WeekIndex],61)=0,"",SUMIFS(T_SelfStock_Log[Self_Qty],T_SelfStock_Log[Part Name],$A14,T_SelfStock_Log[WeekIndex],61))</f>
        <v/>
      </c>
      <c r="BK14" s="12">
        <f>IF(COUNTIFS(T_SelfStock_Log[Part Name],$A14,T_SelfStock_Log[WeekIndex],62)=0,"",SUMIFS(T_SelfStock_Log[Self_Qty],T_SelfStock_Log[Part Name],$A14,T_SelfStock_Log[WeekIndex],62))</f>
        <v/>
      </c>
      <c r="BL14" s="12">
        <f>IF(COUNTIFS(T_SelfStock_Log[Part Name],$A14,T_SelfStock_Log[WeekIndex],63)=0,"",SUMIFS(T_SelfStock_Log[Self_Qty],T_SelfStock_Log[Part Name],$A14,T_SelfStock_Log[WeekIndex],63))</f>
        <v/>
      </c>
      <c r="BM14" s="12">
        <f>IF(COUNTIFS(T_SelfStock_Log[Part Name],$A14,T_SelfStock_Log[WeekIndex],64)=0,"",SUMIFS(T_SelfStock_Log[Self_Qty],T_SelfStock_Log[Part Name],$A14,T_SelfStock_Log[WeekIndex],64))</f>
        <v/>
      </c>
      <c r="BN14" s="12">
        <f>IF(COUNTIFS(T_SelfStock_Log[Part Name],$A14,T_SelfStock_Log[WeekIndex],65)=0,"",SUMIFS(T_SelfStock_Log[Self_Qty],T_SelfStock_Log[Part Name],$A14,T_SelfStock_Log[WeekIndex],65))</f>
        <v/>
      </c>
      <c r="BO14" s="12">
        <f>IF(COUNTIFS(T_SelfStock_Log[Part Name],$A14,T_SelfStock_Log[WeekIndex],66)=0,"",SUMIFS(T_SelfStock_Log[Self_Qty],T_SelfStock_Log[Part Name],$A14,T_SelfStock_Log[WeekIndex],66))</f>
        <v/>
      </c>
      <c r="BP14" s="12">
        <f>IF(COUNTIFS(T_SelfStock_Log[Part Name],$A14,T_SelfStock_Log[WeekIndex],67)=0,"",SUMIFS(T_SelfStock_Log[Self_Qty],T_SelfStock_Log[Part Name],$A14,T_SelfStock_Log[WeekIndex],67))</f>
        <v/>
      </c>
      <c r="BQ14" s="12">
        <f>IF(COUNTIFS(T_SelfStock_Log[Part Name],$A14,T_SelfStock_Log[WeekIndex],68)=0,"",SUMIFS(T_SelfStock_Log[Self_Qty],T_SelfStock_Log[Part Name],$A14,T_SelfStock_Log[WeekIndex],68))</f>
        <v/>
      </c>
      <c r="BR14" s="12">
        <f>IF(COUNTIFS(T_SelfStock_Log[Part Name],$A14,T_SelfStock_Log[WeekIndex],69)=0,"",SUMIFS(T_SelfStock_Log[Self_Qty],T_SelfStock_Log[Part Name],$A14,T_SelfStock_Log[WeekIndex],69))</f>
        <v/>
      </c>
      <c r="BS14" s="12">
        <f>IF(COUNTIFS(T_SelfStock_Log[Part Name],$A14,T_SelfStock_Log[WeekIndex],70)=0,"",SUMIFS(T_SelfStock_Log[Self_Qty],T_SelfStock_Log[Part Name],$A14,T_SelfStock_Log[WeekIndex],70))</f>
        <v/>
      </c>
      <c r="BT14" s="12">
        <f>IF(COUNTIFS(T_SelfStock_Log[Part Name],$A14,T_SelfStock_Log[WeekIndex],71)=0,"",SUMIFS(T_SelfStock_Log[Self_Qty],T_SelfStock_Log[Part Name],$A14,T_SelfStock_Log[WeekIndex],71))</f>
        <v/>
      </c>
      <c r="BU14" s="12">
        <f>IF(COUNTIFS(T_SelfStock_Log[Part Name],$A14,T_SelfStock_Log[WeekIndex],72)=0,"",SUMIFS(T_SelfStock_Log[Self_Qty],T_SelfStock_Log[Part Name],$A14,T_SelfStock_Log[WeekIndex],72))</f>
        <v/>
      </c>
      <c r="BV14" s="12">
        <f>IF(COUNTIFS(T_SelfStock_Log[Part Name],$A14,T_SelfStock_Log[WeekIndex],73)=0,"",SUMIFS(T_SelfStock_Log[Self_Qty],T_SelfStock_Log[Part Name],$A14,T_SelfStock_Log[WeekIndex],73))</f>
        <v/>
      </c>
      <c r="BW14" s="12">
        <f>IF(COUNTIFS(T_SelfStock_Log[Part Name],$A14,T_SelfStock_Log[WeekIndex],74)=0,"",SUMIFS(T_SelfStock_Log[Self_Qty],T_SelfStock_Log[Part Name],$A14,T_SelfStock_Log[WeekIndex],74))</f>
        <v/>
      </c>
      <c r="BX14" s="12">
        <f>IF(COUNTIFS(T_SelfStock_Log[Part Name],$A14,T_SelfStock_Log[WeekIndex],75)=0,"",SUMIFS(T_SelfStock_Log[Self_Qty],T_SelfStock_Log[Part Name],$A14,T_SelfStock_Log[WeekIndex],75))</f>
        <v/>
      </c>
      <c r="BY14" s="12">
        <f>IF(COUNTIFS(T_SelfStock_Log[Part Name],$A14,T_SelfStock_Log[WeekIndex],76)=0,"",SUMIFS(T_SelfStock_Log[Self_Qty],T_SelfStock_Log[Part Name],$A14,T_SelfStock_Log[WeekIndex],76))</f>
        <v/>
      </c>
      <c r="BZ14" s="12">
        <f>IF(COUNTIFS(T_SelfStock_Log[Part Name],$A14,T_SelfStock_Log[WeekIndex],77)=0,"",SUMIFS(T_SelfStock_Log[Self_Qty],T_SelfStock_Log[Part Name],$A14,T_SelfStock_Log[WeekIndex],77))</f>
        <v/>
      </c>
      <c r="CA14" s="12">
        <f>IF(COUNTIFS(T_SelfStock_Log[Part Name],$A14,T_SelfStock_Log[WeekIndex],78)=0,"",SUMIFS(T_SelfStock_Log[Self_Qty],T_SelfStock_Log[Part Name],$A14,T_SelfStock_Log[WeekIndex],78))</f>
        <v/>
      </c>
      <c r="CB14" s="12">
        <f>IF(COUNTIFS(T_SelfStock_Log[Part Name],$A14,T_SelfStock_Log[WeekIndex],79)=0,"",SUMIFS(T_SelfStock_Log[Self_Qty],T_SelfStock_Log[Part Name],$A14,T_SelfStock_Log[WeekIndex],79))</f>
        <v/>
      </c>
      <c r="CC14" s="12">
        <f>IF(COUNTIFS(T_SelfStock_Log[Part Name],$A14,T_SelfStock_Log[WeekIndex],80)=0,"",SUMIFS(T_SelfStock_Log[Self_Qty],T_SelfStock_Log[Part Name],$A14,T_SelfStock_Log[WeekIndex],80))</f>
        <v/>
      </c>
      <c r="CD14" s="12">
        <f>IF(COUNTIFS(T_SelfStock_Log[Part Name],$A14,T_SelfStock_Log[WeekIndex],81)=0,"",SUMIFS(T_SelfStock_Log[Self_Qty],T_SelfStock_Log[Part Name],$A14,T_SelfStock_Log[WeekIndex],81))</f>
        <v/>
      </c>
      <c r="CE14" s="12">
        <f>IF(COUNTIFS(T_SelfStock_Log[Part Name],$A14,T_SelfStock_Log[WeekIndex],82)=0,"",SUMIFS(T_SelfStock_Log[Self_Qty],T_SelfStock_Log[Part Name],$A14,T_SelfStock_Log[WeekIndex],82))</f>
        <v/>
      </c>
      <c r="CF14" s="12">
        <f>IF(COUNTIFS(T_SelfStock_Log[Part Name],$A14,T_SelfStock_Log[WeekIndex],83)=0,"",SUMIFS(T_SelfStock_Log[Self_Qty],T_SelfStock_Log[Part Name],$A14,T_SelfStock_Log[WeekIndex],83))</f>
        <v/>
      </c>
      <c r="CG14" s="12">
        <f>IF(COUNTIFS(T_SelfStock_Log[Part Name],$A14,T_SelfStock_Log[WeekIndex],84)=0,"",SUMIFS(T_SelfStock_Log[Self_Qty],T_SelfStock_Log[Part Name],$A14,T_SelfStock_Log[WeekIndex],84))</f>
        <v/>
      </c>
      <c r="CH14" s="12">
        <f>IF(COUNTIFS(T_SelfStock_Log[Part Name],$A14,T_SelfStock_Log[WeekIndex],85)=0,"",SUMIFS(T_SelfStock_Log[Self_Qty],T_SelfStock_Log[Part Name],$A14,T_SelfStock_Log[WeekIndex],85))</f>
        <v/>
      </c>
      <c r="CI14" s="12">
        <f>IF(COUNTIFS(T_SelfStock_Log[Part Name],$A14,T_SelfStock_Log[WeekIndex],86)=0,"",SUMIFS(T_SelfStock_Log[Self_Qty],T_SelfStock_Log[Part Name],$A14,T_SelfStock_Log[WeekIndex],86))</f>
        <v/>
      </c>
      <c r="CJ14" s="12">
        <f>IF(COUNTIFS(T_SelfStock_Log[Part Name],$A14,T_SelfStock_Log[WeekIndex],87)=0,"",SUMIFS(T_SelfStock_Log[Self_Qty],T_SelfStock_Log[Part Name],$A14,T_SelfStock_Log[WeekIndex],87))</f>
        <v/>
      </c>
      <c r="CK14" s="12">
        <f>IF(COUNTIFS(T_SelfStock_Log[Part Name],$A14,T_SelfStock_Log[WeekIndex],88)=0,"",SUMIFS(T_SelfStock_Log[Self_Qty],T_SelfStock_Log[Part Name],$A14,T_SelfStock_Log[WeekIndex],88))</f>
        <v/>
      </c>
      <c r="CL14" s="12">
        <f>IF(COUNTIFS(T_SelfStock_Log[Part Name],$A14,T_SelfStock_Log[WeekIndex],89)=0,"",SUMIFS(T_SelfStock_Log[Self_Qty],T_SelfStock_Log[Part Name],$A14,T_SelfStock_Log[WeekIndex],89))</f>
        <v/>
      </c>
      <c r="CM14" s="12">
        <f>IF(COUNTIFS(T_SelfStock_Log[Part Name],$A14,T_SelfStock_Log[WeekIndex],90)=0,"",SUMIFS(T_SelfStock_Log[Self_Qty],T_SelfStock_Log[Part Name],$A14,T_SelfStock_Log[WeekIndex],90))</f>
        <v/>
      </c>
      <c r="CN14" s="12">
        <f>IF(COUNTIFS(T_SelfStock_Log[Part Name],$A14,T_SelfStock_Log[WeekIndex],91)=0,"",SUMIFS(T_SelfStock_Log[Self_Qty],T_SelfStock_Log[Part Name],$A14,T_SelfStock_Log[WeekIndex],91))</f>
        <v/>
      </c>
      <c r="CO14" s="12">
        <f>IF(COUNTIFS(T_SelfStock_Log[Part Name],$A14,T_SelfStock_Log[WeekIndex],92)=0,"",SUMIFS(T_SelfStock_Log[Self_Qty],T_SelfStock_Log[Part Name],$A14,T_SelfStock_Log[WeekIndex],92))</f>
        <v/>
      </c>
      <c r="CP14" s="12">
        <f>IF(COUNTIFS(T_SelfStock_Log[Part Name],$A14,T_SelfStock_Log[WeekIndex],93)=0,"",SUMIFS(T_SelfStock_Log[Self_Qty],T_SelfStock_Log[Part Name],$A14,T_SelfStock_Log[WeekIndex],93))</f>
        <v/>
      </c>
      <c r="CQ14" s="12">
        <f>IF(COUNTIFS(T_SelfStock_Log[Part Name],$A14,T_SelfStock_Log[WeekIndex],94)=0,"",SUMIFS(T_SelfStock_Log[Self_Qty],T_SelfStock_Log[Part Name],$A14,T_SelfStock_Log[WeekIndex],94))</f>
        <v/>
      </c>
      <c r="CR14" s="12">
        <f>IF(COUNTIFS(T_SelfStock_Log[Part Name],$A14,T_SelfStock_Log[WeekIndex],95)=0,"",SUMIFS(T_SelfStock_Log[Self_Qty],T_SelfStock_Log[Part Name],$A14,T_SelfStock_Log[WeekIndex],95))</f>
        <v/>
      </c>
      <c r="CS14" s="12">
        <f>IF(COUNTIFS(T_SelfStock_Log[Part Name],$A14,T_SelfStock_Log[WeekIndex],96)=0,"",SUMIFS(T_SelfStock_Log[Self_Qty],T_SelfStock_Log[Part Name],$A14,T_SelfStock_Log[WeekIndex],96))</f>
        <v/>
      </c>
      <c r="CT14" s="12">
        <f>IF(COUNTIFS(T_SelfStock_Log[Part Name],$A14,T_SelfStock_Log[WeekIndex],97)=0,"",SUMIFS(T_SelfStock_Log[Self_Qty],T_SelfStock_Log[Part Name],$A14,T_SelfStock_Log[WeekIndex],97))</f>
        <v/>
      </c>
      <c r="CU14" s="12">
        <f>IF(COUNTIFS(T_SelfStock_Log[Part Name],$A14,T_SelfStock_Log[WeekIndex],98)=0,"",SUMIFS(T_SelfStock_Log[Self_Qty],T_SelfStock_Log[Part Name],$A14,T_SelfStock_Log[WeekIndex],98))</f>
        <v/>
      </c>
      <c r="CV14" s="12">
        <f>IF(COUNTIFS(T_SelfStock_Log[Part Name],$A14,T_SelfStock_Log[WeekIndex],99)=0,"",SUMIFS(T_SelfStock_Log[Self_Qty],T_SelfStock_Log[Part Name],$A14,T_SelfStock_Log[WeekIndex],99))</f>
        <v/>
      </c>
      <c r="CW14" s="12">
        <f>IF(COUNTIFS(T_SelfStock_Log[Part Name],$A14,T_SelfStock_Log[WeekIndex],100)=0,"",SUMIFS(T_SelfStock_Log[Self_Qty],T_SelfStock_Log[Part Name],$A14,T_SelfStock_Log[WeekIndex],100))</f>
        <v/>
      </c>
      <c r="CX14" s="12">
        <f>IF(COUNTIFS(T_SelfStock_Log[Part Name],$A14,T_SelfStock_Log[WeekIndex],101)=0,"",SUMIFS(T_SelfStock_Log[Self_Qty],T_SelfStock_Log[Part Name],$A14,T_SelfStock_Log[WeekIndex],101))</f>
        <v/>
      </c>
      <c r="CY14" s="12">
        <f>IF(COUNTIFS(T_SelfStock_Log[Part Name],$A14,T_SelfStock_Log[WeekIndex],102)=0,"",SUMIFS(T_SelfStock_Log[Self_Qty],T_SelfStock_Log[Part Name],$A14,T_SelfStock_Log[WeekIndex],102))</f>
        <v/>
      </c>
      <c r="CZ14" s="12">
        <f>IF(COUNTIFS(T_SelfStock_Log[Part Name],$A14,T_SelfStock_Log[WeekIndex],103)=0,"",SUMIFS(T_SelfStock_Log[Self_Qty],T_SelfStock_Log[Part Name],$A14,T_SelfStock_Log[WeekIndex],103))</f>
        <v/>
      </c>
      <c r="DA14" s="12">
        <f>IF(COUNTIFS(T_SelfStock_Log[Part Name],$A14,T_SelfStock_Log[WeekIndex],104)=0,"",SUMIFS(T_SelfStock_Log[Self_Qty],T_SelfStock_Log[Part Name],$A14,T_SelfStock_Log[WeekIndex],104))</f>
        <v/>
      </c>
    </row>
    <row r="15">
      <c r="A15" s="13" t="inlineStr">
        <is>
          <t>4HL</t>
        </is>
      </c>
      <c r="B15" s="13">
        <f>IF(COUNTIFS(T_SelfStock_Log[Part Name],$A15,T_SelfStock_Log[WeekIndex],1)=0,"",SUMIFS(T_SelfStock_Log[Self_Qty],T_SelfStock_Log[Part Name],$A15,T_SelfStock_Log[WeekIndex],1))</f>
        <v/>
      </c>
      <c r="C15" s="13">
        <f>IF(COUNTIFS(T_SelfStock_Log[Part Name],$A15,T_SelfStock_Log[WeekIndex],2)=0,"",SUMIFS(T_SelfStock_Log[Self_Qty],T_SelfStock_Log[Part Name],$A15,T_SelfStock_Log[WeekIndex],2))</f>
        <v/>
      </c>
      <c r="D15" s="13">
        <f>IF(COUNTIFS(T_SelfStock_Log[Part Name],$A15,T_SelfStock_Log[WeekIndex],3)=0,"",SUMIFS(T_SelfStock_Log[Self_Qty],T_SelfStock_Log[Part Name],$A15,T_SelfStock_Log[WeekIndex],3))</f>
        <v/>
      </c>
      <c r="E15" s="13">
        <f>IF(COUNTIFS(T_SelfStock_Log[Part Name],$A15,T_SelfStock_Log[WeekIndex],4)=0,"",SUMIFS(T_SelfStock_Log[Self_Qty],T_SelfStock_Log[Part Name],$A15,T_SelfStock_Log[WeekIndex],4))</f>
        <v/>
      </c>
      <c r="F15" s="13">
        <f>IF(COUNTIFS(T_SelfStock_Log[Part Name],$A15,T_SelfStock_Log[WeekIndex],5)=0,"",SUMIFS(T_SelfStock_Log[Self_Qty],T_SelfStock_Log[Part Name],$A15,T_SelfStock_Log[WeekIndex],5))</f>
        <v/>
      </c>
      <c r="G15" s="13">
        <f>IF(COUNTIFS(T_SelfStock_Log[Part Name],$A15,T_SelfStock_Log[WeekIndex],6)=0,"",SUMIFS(T_SelfStock_Log[Self_Qty],T_SelfStock_Log[Part Name],$A15,T_SelfStock_Log[WeekIndex],6))</f>
        <v/>
      </c>
      <c r="H15" s="13">
        <f>IF(COUNTIFS(T_SelfStock_Log[Part Name],$A15,T_SelfStock_Log[WeekIndex],7)=0,"",SUMIFS(T_SelfStock_Log[Self_Qty],T_SelfStock_Log[Part Name],$A15,T_SelfStock_Log[WeekIndex],7))</f>
        <v/>
      </c>
      <c r="I15" s="13">
        <f>IF(COUNTIFS(T_SelfStock_Log[Part Name],$A15,T_SelfStock_Log[WeekIndex],8)=0,"",SUMIFS(T_SelfStock_Log[Self_Qty],T_SelfStock_Log[Part Name],$A15,T_SelfStock_Log[WeekIndex],8))</f>
        <v/>
      </c>
      <c r="J15" s="13">
        <f>IF(COUNTIFS(T_SelfStock_Log[Part Name],$A15,T_SelfStock_Log[WeekIndex],9)=0,"",SUMIFS(T_SelfStock_Log[Self_Qty],T_SelfStock_Log[Part Name],$A15,T_SelfStock_Log[WeekIndex],9))</f>
        <v/>
      </c>
      <c r="K15" s="13">
        <f>IF(COUNTIFS(T_SelfStock_Log[Part Name],$A15,T_SelfStock_Log[WeekIndex],10)=0,"",SUMIFS(T_SelfStock_Log[Self_Qty],T_SelfStock_Log[Part Name],$A15,T_SelfStock_Log[WeekIndex],10))</f>
        <v/>
      </c>
      <c r="L15" s="13">
        <f>IF(COUNTIFS(T_SelfStock_Log[Part Name],$A15,T_SelfStock_Log[WeekIndex],11)=0,"",SUMIFS(T_SelfStock_Log[Self_Qty],T_SelfStock_Log[Part Name],$A15,T_SelfStock_Log[WeekIndex],11))</f>
        <v/>
      </c>
      <c r="M15" s="13">
        <f>IF(COUNTIFS(T_SelfStock_Log[Part Name],$A15,T_SelfStock_Log[WeekIndex],12)=0,"",SUMIFS(T_SelfStock_Log[Self_Qty],T_SelfStock_Log[Part Name],$A15,T_SelfStock_Log[WeekIndex],12))</f>
        <v/>
      </c>
      <c r="N15" s="13">
        <f>IF(COUNTIFS(T_SelfStock_Log[Part Name],$A15,T_SelfStock_Log[WeekIndex],13)=0,"",SUMIFS(T_SelfStock_Log[Self_Qty],T_SelfStock_Log[Part Name],$A15,T_SelfStock_Log[WeekIndex],13))</f>
        <v/>
      </c>
      <c r="O15" s="13">
        <f>IF(COUNTIFS(T_SelfStock_Log[Part Name],$A15,T_SelfStock_Log[WeekIndex],14)=0,"",SUMIFS(T_SelfStock_Log[Self_Qty],T_SelfStock_Log[Part Name],$A15,T_SelfStock_Log[WeekIndex],14))</f>
        <v/>
      </c>
      <c r="P15" s="13">
        <f>IF(COUNTIFS(T_SelfStock_Log[Part Name],$A15,T_SelfStock_Log[WeekIndex],15)=0,"",SUMIFS(T_SelfStock_Log[Self_Qty],T_SelfStock_Log[Part Name],$A15,T_SelfStock_Log[WeekIndex],15))</f>
        <v/>
      </c>
      <c r="Q15" s="13">
        <f>IF(COUNTIFS(T_SelfStock_Log[Part Name],$A15,T_SelfStock_Log[WeekIndex],16)=0,"",SUMIFS(T_SelfStock_Log[Self_Qty],T_SelfStock_Log[Part Name],$A15,T_SelfStock_Log[WeekIndex],16))</f>
        <v/>
      </c>
      <c r="R15" s="13">
        <f>IF(COUNTIFS(T_SelfStock_Log[Part Name],$A15,T_SelfStock_Log[WeekIndex],17)=0,"",SUMIFS(T_SelfStock_Log[Self_Qty],T_SelfStock_Log[Part Name],$A15,T_SelfStock_Log[WeekIndex],17))</f>
        <v/>
      </c>
      <c r="S15" s="13">
        <f>IF(COUNTIFS(T_SelfStock_Log[Part Name],$A15,T_SelfStock_Log[WeekIndex],18)=0,"",SUMIFS(T_SelfStock_Log[Self_Qty],T_SelfStock_Log[Part Name],$A15,T_SelfStock_Log[WeekIndex],18))</f>
        <v/>
      </c>
      <c r="T15" s="13">
        <f>IF(COUNTIFS(T_SelfStock_Log[Part Name],$A15,T_SelfStock_Log[WeekIndex],19)=0,"",SUMIFS(T_SelfStock_Log[Self_Qty],T_SelfStock_Log[Part Name],$A15,T_SelfStock_Log[WeekIndex],19))</f>
        <v/>
      </c>
      <c r="U15" s="13">
        <f>IF(COUNTIFS(T_SelfStock_Log[Part Name],$A15,T_SelfStock_Log[WeekIndex],20)=0,"",SUMIFS(T_SelfStock_Log[Self_Qty],T_SelfStock_Log[Part Name],$A15,T_SelfStock_Log[WeekIndex],20))</f>
        <v/>
      </c>
      <c r="V15" s="13">
        <f>IF(COUNTIFS(T_SelfStock_Log[Part Name],$A15,T_SelfStock_Log[WeekIndex],21)=0,"",SUMIFS(T_SelfStock_Log[Self_Qty],T_SelfStock_Log[Part Name],$A15,T_SelfStock_Log[WeekIndex],21))</f>
        <v/>
      </c>
      <c r="W15" s="13">
        <f>IF(COUNTIFS(T_SelfStock_Log[Part Name],$A15,T_SelfStock_Log[WeekIndex],22)=0,"",SUMIFS(T_SelfStock_Log[Self_Qty],T_SelfStock_Log[Part Name],$A15,T_SelfStock_Log[WeekIndex],22))</f>
        <v/>
      </c>
      <c r="X15" s="13">
        <f>IF(COUNTIFS(T_SelfStock_Log[Part Name],$A15,T_SelfStock_Log[WeekIndex],23)=0,"",SUMIFS(T_SelfStock_Log[Self_Qty],T_SelfStock_Log[Part Name],$A15,T_SelfStock_Log[WeekIndex],23))</f>
        <v/>
      </c>
      <c r="Y15" s="13">
        <f>IF(COUNTIFS(T_SelfStock_Log[Part Name],$A15,T_SelfStock_Log[WeekIndex],24)=0,"",SUMIFS(T_SelfStock_Log[Self_Qty],T_SelfStock_Log[Part Name],$A15,T_SelfStock_Log[WeekIndex],24))</f>
        <v/>
      </c>
      <c r="Z15" s="13">
        <f>IF(COUNTIFS(T_SelfStock_Log[Part Name],$A15,T_SelfStock_Log[WeekIndex],25)=0,"",SUMIFS(T_SelfStock_Log[Self_Qty],T_SelfStock_Log[Part Name],$A15,T_SelfStock_Log[WeekIndex],25))</f>
        <v/>
      </c>
      <c r="AA15" s="13">
        <f>IF(COUNTIFS(T_SelfStock_Log[Part Name],$A15,T_SelfStock_Log[WeekIndex],26)=0,"",SUMIFS(T_SelfStock_Log[Self_Qty],T_SelfStock_Log[Part Name],$A15,T_SelfStock_Log[WeekIndex],26))</f>
        <v/>
      </c>
      <c r="AB15" s="13">
        <f>IF(COUNTIFS(T_SelfStock_Log[Part Name],$A15,T_SelfStock_Log[WeekIndex],27)=0,"",SUMIFS(T_SelfStock_Log[Self_Qty],T_SelfStock_Log[Part Name],$A15,T_SelfStock_Log[WeekIndex],27))</f>
        <v/>
      </c>
      <c r="AC15" s="13">
        <f>IF(COUNTIFS(T_SelfStock_Log[Part Name],$A15,T_SelfStock_Log[WeekIndex],28)=0,"",SUMIFS(T_SelfStock_Log[Self_Qty],T_SelfStock_Log[Part Name],$A15,T_SelfStock_Log[WeekIndex],28))</f>
        <v/>
      </c>
      <c r="AD15" s="13">
        <f>IF(COUNTIFS(T_SelfStock_Log[Part Name],$A15,T_SelfStock_Log[WeekIndex],29)=0,"",SUMIFS(T_SelfStock_Log[Self_Qty],T_SelfStock_Log[Part Name],$A15,T_SelfStock_Log[WeekIndex],29))</f>
        <v/>
      </c>
      <c r="AE15" s="13">
        <f>IF(COUNTIFS(T_SelfStock_Log[Part Name],$A15,T_SelfStock_Log[WeekIndex],30)=0,"",SUMIFS(T_SelfStock_Log[Self_Qty],T_SelfStock_Log[Part Name],$A15,T_SelfStock_Log[WeekIndex],30))</f>
        <v/>
      </c>
      <c r="AF15" s="13">
        <f>IF(COUNTIFS(T_SelfStock_Log[Part Name],$A15,T_SelfStock_Log[WeekIndex],31)=0,"",SUMIFS(T_SelfStock_Log[Self_Qty],T_SelfStock_Log[Part Name],$A15,T_SelfStock_Log[WeekIndex],31))</f>
        <v/>
      </c>
      <c r="AG15" s="13">
        <f>IF(COUNTIFS(T_SelfStock_Log[Part Name],$A15,T_SelfStock_Log[WeekIndex],32)=0,"",SUMIFS(T_SelfStock_Log[Self_Qty],T_SelfStock_Log[Part Name],$A15,T_SelfStock_Log[WeekIndex],32))</f>
        <v/>
      </c>
      <c r="AH15" s="13">
        <f>IF(COUNTIFS(T_SelfStock_Log[Part Name],$A15,T_SelfStock_Log[WeekIndex],33)=0,"",SUMIFS(T_SelfStock_Log[Self_Qty],T_SelfStock_Log[Part Name],$A15,T_SelfStock_Log[WeekIndex],33))</f>
        <v/>
      </c>
      <c r="AI15" s="13">
        <f>IF(COUNTIFS(T_SelfStock_Log[Part Name],$A15,T_SelfStock_Log[WeekIndex],34)=0,"",SUMIFS(T_SelfStock_Log[Self_Qty],T_SelfStock_Log[Part Name],$A15,T_SelfStock_Log[WeekIndex],34))</f>
        <v/>
      </c>
      <c r="AJ15" s="13">
        <f>IF(COUNTIFS(T_SelfStock_Log[Part Name],$A15,T_SelfStock_Log[WeekIndex],35)=0,"",SUMIFS(T_SelfStock_Log[Self_Qty],T_SelfStock_Log[Part Name],$A15,T_SelfStock_Log[WeekIndex],35))</f>
        <v/>
      </c>
      <c r="AK15" s="13">
        <f>IF(COUNTIFS(T_SelfStock_Log[Part Name],$A15,T_SelfStock_Log[WeekIndex],36)=0,"",SUMIFS(T_SelfStock_Log[Self_Qty],T_SelfStock_Log[Part Name],$A15,T_SelfStock_Log[WeekIndex],36))</f>
        <v/>
      </c>
      <c r="AL15" s="13">
        <f>IF(COUNTIFS(T_SelfStock_Log[Part Name],$A15,T_SelfStock_Log[WeekIndex],37)=0,"",SUMIFS(T_SelfStock_Log[Self_Qty],T_SelfStock_Log[Part Name],$A15,T_SelfStock_Log[WeekIndex],37))</f>
        <v/>
      </c>
      <c r="AM15" s="13">
        <f>IF(COUNTIFS(T_SelfStock_Log[Part Name],$A15,T_SelfStock_Log[WeekIndex],38)=0,"",SUMIFS(T_SelfStock_Log[Self_Qty],T_SelfStock_Log[Part Name],$A15,T_SelfStock_Log[WeekIndex],38))</f>
        <v/>
      </c>
      <c r="AN15" s="13">
        <f>IF(COUNTIFS(T_SelfStock_Log[Part Name],$A15,T_SelfStock_Log[WeekIndex],39)=0,"",SUMIFS(T_SelfStock_Log[Self_Qty],T_SelfStock_Log[Part Name],$A15,T_SelfStock_Log[WeekIndex],39))</f>
        <v/>
      </c>
      <c r="AO15" s="13">
        <f>IF(COUNTIFS(T_SelfStock_Log[Part Name],$A15,T_SelfStock_Log[WeekIndex],40)=0,"",SUMIFS(T_SelfStock_Log[Self_Qty],T_SelfStock_Log[Part Name],$A15,T_SelfStock_Log[WeekIndex],40))</f>
        <v/>
      </c>
      <c r="AP15" s="13">
        <f>IF(COUNTIFS(T_SelfStock_Log[Part Name],$A15,T_SelfStock_Log[WeekIndex],41)=0,"",SUMIFS(T_SelfStock_Log[Self_Qty],T_SelfStock_Log[Part Name],$A15,T_SelfStock_Log[WeekIndex],41))</f>
        <v/>
      </c>
      <c r="AQ15" s="13">
        <f>IF(COUNTIFS(T_SelfStock_Log[Part Name],$A15,T_SelfStock_Log[WeekIndex],42)=0,"",SUMIFS(T_SelfStock_Log[Self_Qty],T_SelfStock_Log[Part Name],$A15,T_SelfStock_Log[WeekIndex],42))</f>
        <v/>
      </c>
      <c r="AR15" s="13">
        <f>IF(COUNTIFS(T_SelfStock_Log[Part Name],$A15,T_SelfStock_Log[WeekIndex],43)=0,"",SUMIFS(T_SelfStock_Log[Self_Qty],T_SelfStock_Log[Part Name],$A15,T_SelfStock_Log[WeekIndex],43))</f>
        <v/>
      </c>
      <c r="AS15" s="13">
        <f>IF(COUNTIFS(T_SelfStock_Log[Part Name],$A15,T_SelfStock_Log[WeekIndex],44)=0,"",SUMIFS(T_SelfStock_Log[Self_Qty],T_SelfStock_Log[Part Name],$A15,T_SelfStock_Log[WeekIndex],44))</f>
        <v/>
      </c>
      <c r="AT15" s="13">
        <f>IF(COUNTIFS(T_SelfStock_Log[Part Name],$A15,T_SelfStock_Log[WeekIndex],45)=0,"",SUMIFS(T_SelfStock_Log[Self_Qty],T_SelfStock_Log[Part Name],$A15,T_SelfStock_Log[WeekIndex],45))</f>
        <v/>
      </c>
      <c r="AU15" s="13">
        <f>IF(COUNTIFS(T_SelfStock_Log[Part Name],$A15,T_SelfStock_Log[WeekIndex],46)=0,"",SUMIFS(T_SelfStock_Log[Self_Qty],T_SelfStock_Log[Part Name],$A15,T_SelfStock_Log[WeekIndex],46))</f>
        <v/>
      </c>
      <c r="AV15" s="13">
        <f>IF(COUNTIFS(T_SelfStock_Log[Part Name],$A15,T_SelfStock_Log[WeekIndex],47)=0,"",SUMIFS(T_SelfStock_Log[Self_Qty],T_SelfStock_Log[Part Name],$A15,T_SelfStock_Log[WeekIndex],47))</f>
        <v/>
      </c>
      <c r="AW15" s="13">
        <f>IF(COUNTIFS(T_SelfStock_Log[Part Name],$A15,T_SelfStock_Log[WeekIndex],48)=0,"",SUMIFS(T_SelfStock_Log[Self_Qty],T_SelfStock_Log[Part Name],$A15,T_SelfStock_Log[WeekIndex],48))</f>
        <v/>
      </c>
      <c r="AX15" s="13">
        <f>IF(COUNTIFS(T_SelfStock_Log[Part Name],$A15,T_SelfStock_Log[WeekIndex],49)=0,"",SUMIFS(T_SelfStock_Log[Self_Qty],T_SelfStock_Log[Part Name],$A15,T_SelfStock_Log[WeekIndex],49))</f>
        <v/>
      </c>
      <c r="AY15" s="13">
        <f>IF(COUNTIFS(T_SelfStock_Log[Part Name],$A15,T_SelfStock_Log[WeekIndex],50)=0,"",SUMIFS(T_SelfStock_Log[Self_Qty],T_SelfStock_Log[Part Name],$A15,T_SelfStock_Log[WeekIndex],50))</f>
        <v/>
      </c>
      <c r="AZ15" s="13">
        <f>IF(COUNTIFS(T_SelfStock_Log[Part Name],$A15,T_SelfStock_Log[WeekIndex],51)=0,"",SUMIFS(T_SelfStock_Log[Self_Qty],T_SelfStock_Log[Part Name],$A15,T_SelfStock_Log[WeekIndex],51))</f>
        <v/>
      </c>
      <c r="BA15" s="13">
        <f>IF(COUNTIFS(T_SelfStock_Log[Part Name],$A15,T_SelfStock_Log[WeekIndex],52)=0,"",SUMIFS(T_SelfStock_Log[Self_Qty],T_SelfStock_Log[Part Name],$A15,T_SelfStock_Log[WeekIndex],52))</f>
        <v/>
      </c>
      <c r="BB15" s="13">
        <f>IF(COUNTIFS(T_SelfStock_Log[Part Name],$A15,T_SelfStock_Log[WeekIndex],53)=0,"",SUMIFS(T_SelfStock_Log[Self_Qty],T_SelfStock_Log[Part Name],$A15,T_SelfStock_Log[WeekIndex],53))</f>
        <v/>
      </c>
      <c r="BC15" s="13">
        <f>IF(COUNTIFS(T_SelfStock_Log[Part Name],$A15,T_SelfStock_Log[WeekIndex],54)=0,"",SUMIFS(T_SelfStock_Log[Self_Qty],T_SelfStock_Log[Part Name],$A15,T_SelfStock_Log[WeekIndex],54))</f>
        <v/>
      </c>
      <c r="BD15" s="13">
        <f>IF(COUNTIFS(T_SelfStock_Log[Part Name],$A15,T_SelfStock_Log[WeekIndex],55)=0,"",SUMIFS(T_SelfStock_Log[Self_Qty],T_SelfStock_Log[Part Name],$A15,T_SelfStock_Log[WeekIndex],55))</f>
        <v/>
      </c>
      <c r="BE15" s="13">
        <f>IF(COUNTIFS(T_SelfStock_Log[Part Name],$A15,T_SelfStock_Log[WeekIndex],56)=0,"",SUMIFS(T_SelfStock_Log[Self_Qty],T_SelfStock_Log[Part Name],$A15,T_SelfStock_Log[WeekIndex],56))</f>
        <v/>
      </c>
      <c r="BF15" s="13">
        <f>IF(COUNTIFS(T_SelfStock_Log[Part Name],$A15,T_SelfStock_Log[WeekIndex],57)=0,"",SUMIFS(T_SelfStock_Log[Self_Qty],T_SelfStock_Log[Part Name],$A15,T_SelfStock_Log[WeekIndex],57))</f>
        <v/>
      </c>
      <c r="BG15" s="13">
        <f>IF(COUNTIFS(T_SelfStock_Log[Part Name],$A15,T_SelfStock_Log[WeekIndex],58)=0,"",SUMIFS(T_SelfStock_Log[Self_Qty],T_SelfStock_Log[Part Name],$A15,T_SelfStock_Log[WeekIndex],58))</f>
        <v/>
      </c>
      <c r="BH15" s="13">
        <f>IF(COUNTIFS(T_SelfStock_Log[Part Name],$A15,T_SelfStock_Log[WeekIndex],59)=0,"",SUMIFS(T_SelfStock_Log[Self_Qty],T_SelfStock_Log[Part Name],$A15,T_SelfStock_Log[WeekIndex],59))</f>
        <v/>
      </c>
      <c r="BI15" s="13">
        <f>IF(COUNTIFS(T_SelfStock_Log[Part Name],$A15,T_SelfStock_Log[WeekIndex],60)=0,"",SUMIFS(T_SelfStock_Log[Self_Qty],T_SelfStock_Log[Part Name],$A15,T_SelfStock_Log[WeekIndex],60))</f>
        <v/>
      </c>
      <c r="BJ15" s="13">
        <f>IF(COUNTIFS(T_SelfStock_Log[Part Name],$A15,T_SelfStock_Log[WeekIndex],61)=0,"",SUMIFS(T_SelfStock_Log[Self_Qty],T_SelfStock_Log[Part Name],$A15,T_SelfStock_Log[WeekIndex],61))</f>
        <v/>
      </c>
      <c r="BK15" s="13">
        <f>IF(COUNTIFS(T_SelfStock_Log[Part Name],$A15,T_SelfStock_Log[WeekIndex],62)=0,"",SUMIFS(T_SelfStock_Log[Self_Qty],T_SelfStock_Log[Part Name],$A15,T_SelfStock_Log[WeekIndex],62))</f>
        <v/>
      </c>
      <c r="BL15" s="13">
        <f>IF(COUNTIFS(T_SelfStock_Log[Part Name],$A15,T_SelfStock_Log[WeekIndex],63)=0,"",SUMIFS(T_SelfStock_Log[Self_Qty],T_SelfStock_Log[Part Name],$A15,T_SelfStock_Log[WeekIndex],63))</f>
        <v/>
      </c>
      <c r="BM15" s="13">
        <f>IF(COUNTIFS(T_SelfStock_Log[Part Name],$A15,T_SelfStock_Log[WeekIndex],64)=0,"",SUMIFS(T_SelfStock_Log[Self_Qty],T_SelfStock_Log[Part Name],$A15,T_SelfStock_Log[WeekIndex],64))</f>
        <v/>
      </c>
      <c r="BN15" s="13">
        <f>IF(COUNTIFS(T_SelfStock_Log[Part Name],$A15,T_SelfStock_Log[WeekIndex],65)=0,"",SUMIFS(T_SelfStock_Log[Self_Qty],T_SelfStock_Log[Part Name],$A15,T_SelfStock_Log[WeekIndex],65))</f>
        <v/>
      </c>
      <c r="BO15" s="13">
        <f>IF(COUNTIFS(T_SelfStock_Log[Part Name],$A15,T_SelfStock_Log[WeekIndex],66)=0,"",SUMIFS(T_SelfStock_Log[Self_Qty],T_SelfStock_Log[Part Name],$A15,T_SelfStock_Log[WeekIndex],66))</f>
        <v/>
      </c>
      <c r="BP15" s="13">
        <f>IF(COUNTIFS(T_SelfStock_Log[Part Name],$A15,T_SelfStock_Log[WeekIndex],67)=0,"",SUMIFS(T_SelfStock_Log[Self_Qty],T_SelfStock_Log[Part Name],$A15,T_SelfStock_Log[WeekIndex],67))</f>
        <v/>
      </c>
      <c r="BQ15" s="13">
        <f>IF(COUNTIFS(T_SelfStock_Log[Part Name],$A15,T_SelfStock_Log[WeekIndex],68)=0,"",SUMIFS(T_SelfStock_Log[Self_Qty],T_SelfStock_Log[Part Name],$A15,T_SelfStock_Log[WeekIndex],68))</f>
        <v/>
      </c>
      <c r="BR15" s="13">
        <f>IF(COUNTIFS(T_SelfStock_Log[Part Name],$A15,T_SelfStock_Log[WeekIndex],69)=0,"",SUMIFS(T_SelfStock_Log[Self_Qty],T_SelfStock_Log[Part Name],$A15,T_SelfStock_Log[WeekIndex],69))</f>
        <v/>
      </c>
      <c r="BS15" s="13">
        <f>IF(COUNTIFS(T_SelfStock_Log[Part Name],$A15,T_SelfStock_Log[WeekIndex],70)=0,"",SUMIFS(T_SelfStock_Log[Self_Qty],T_SelfStock_Log[Part Name],$A15,T_SelfStock_Log[WeekIndex],70))</f>
        <v/>
      </c>
      <c r="BT15" s="13">
        <f>IF(COUNTIFS(T_SelfStock_Log[Part Name],$A15,T_SelfStock_Log[WeekIndex],71)=0,"",SUMIFS(T_SelfStock_Log[Self_Qty],T_SelfStock_Log[Part Name],$A15,T_SelfStock_Log[WeekIndex],71))</f>
        <v/>
      </c>
      <c r="BU15" s="13">
        <f>IF(COUNTIFS(T_SelfStock_Log[Part Name],$A15,T_SelfStock_Log[WeekIndex],72)=0,"",SUMIFS(T_SelfStock_Log[Self_Qty],T_SelfStock_Log[Part Name],$A15,T_SelfStock_Log[WeekIndex],72))</f>
        <v/>
      </c>
      <c r="BV15" s="13">
        <f>IF(COUNTIFS(T_SelfStock_Log[Part Name],$A15,T_SelfStock_Log[WeekIndex],73)=0,"",SUMIFS(T_SelfStock_Log[Self_Qty],T_SelfStock_Log[Part Name],$A15,T_SelfStock_Log[WeekIndex],73))</f>
        <v/>
      </c>
      <c r="BW15" s="13">
        <f>IF(COUNTIFS(T_SelfStock_Log[Part Name],$A15,T_SelfStock_Log[WeekIndex],74)=0,"",SUMIFS(T_SelfStock_Log[Self_Qty],T_SelfStock_Log[Part Name],$A15,T_SelfStock_Log[WeekIndex],74))</f>
        <v/>
      </c>
      <c r="BX15" s="13">
        <f>IF(COUNTIFS(T_SelfStock_Log[Part Name],$A15,T_SelfStock_Log[WeekIndex],75)=0,"",SUMIFS(T_SelfStock_Log[Self_Qty],T_SelfStock_Log[Part Name],$A15,T_SelfStock_Log[WeekIndex],75))</f>
        <v/>
      </c>
      <c r="BY15" s="13">
        <f>IF(COUNTIFS(T_SelfStock_Log[Part Name],$A15,T_SelfStock_Log[WeekIndex],76)=0,"",SUMIFS(T_SelfStock_Log[Self_Qty],T_SelfStock_Log[Part Name],$A15,T_SelfStock_Log[WeekIndex],76))</f>
        <v/>
      </c>
      <c r="BZ15" s="13">
        <f>IF(COUNTIFS(T_SelfStock_Log[Part Name],$A15,T_SelfStock_Log[WeekIndex],77)=0,"",SUMIFS(T_SelfStock_Log[Self_Qty],T_SelfStock_Log[Part Name],$A15,T_SelfStock_Log[WeekIndex],77))</f>
        <v/>
      </c>
      <c r="CA15" s="13">
        <f>IF(COUNTIFS(T_SelfStock_Log[Part Name],$A15,T_SelfStock_Log[WeekIndex],78)=0,"",SUMIFS(T_SelfStock_Log[Self_Qty],T_SelfStock_Log[Part Name],$A15,T_SelfStock_Log[WeekIndex],78))</f>
        <v/>
      </c>
      <c r="CB15" s="13">
        <f>IF(COUNTIFS(T_SelfStock_Log[Part Name],$A15,T_SelfStock_Log[WeekIndex],79)=0,"",SUMIFS(T_SelfStock_Log[Self_Qty],T_SelfStock_Log[Part Name],$A15,T_SelfStock_Log[WeekIndex],79))</f>
        <v/>
      </c>
      <c r="CC15" s="13">
        <f>IF(COUNTIFS(T_SelfStock_Log[Part Name],$A15,T_SelfStock_Log[WeekIndex],80)=0,"",SUMIFS(T_SelfStock_Log[Self_Qty],T_SelfStock_Log[Part Name],$A15,T_SelfStock_Log[WeekIndex],80))</f>
        <v/>
      </c>
      <c r="CD15" s="13">
        <f>IF(COUNTIFS(T_SelfStock_Log[Part Name],$A15,T_SelfStock_Log[WeekIndex],81)=0,"",SUMIFS(T_SelfStock_Log[Self_Qty],T_SelfStock_Log[Part Name],$A15,T_SelfStock_Log[WeekIndex],81))</f>
        <v/>
      </c>
      <c r="CE15" s="13">
        <f>IF(COUNTIFS(T_SelfStock_Log[Part Name],$A15,T_SelfStock_Log[WeekIndex],82)=0,"",SUMIFS(T_SelfStock_Log[Self_Qty],T_SelfStock_Log[Part Name],$A15,T_SelfStock_Log[WeekIndex],82))</f>
        <v/>
      </c>
      <c r="CF15" s="13">
        <f>IF(COUNTIFS(T_SelfStock_Log[Part Name],$A15,T_SelfStock_Log[WeekIndex],83)=0,"",SUMIFS(T_SelfStock_Log[Self_Qty],T_SelfStock_Log[Part Name],$A15,T_SelfStock_Log[WeekIndex],83))</f>
        <v/>
      </c>
      <c r="CG15" s="13">
        <f>IF(COUNTIFS(T_SelfStock_Log[Part Name],$A15,T_SelfStock_Log[WeekIndex],84)=0,"",SUMIFS(T_SelfStock_Log[Self_Qty],T_SelfStock_Log[Part Name],$A15,T_SelfStock_Log[WeekIndex],84))</f>
        <v/>
      </c>
      <c r="CH15" s="13">
        <f>IF(COUNTIFS(T_SelfStock_Log[Part Name],$A15,T_SelfStock_Log[WeekIndex],85)=0,"",SUMIFS(T_SelfStock_Log[Self_Qty],T_SelfStock_Log[Part Name],$A15,T_SelfStock_Log[WeekIndex],85))</f>
        <v/>
      </c>
      <c r="CI15" s="13">
        <f>IF(COUNTIFS(T_SelfStock_Log[Part Name],$A15,T_SelfStock_Log[WeekIndex],86)=0,"",SUMIFS(T_SelfStock_Log[Self_Qty],T_SelfStock_Log[Part Name],$A15,T_SelfStock_Log[WeekIndex],86))</f>
        <v/>
      </c>
      <c r="CJ15" s="13">
        <f>IF(COUNTIFS(T_SelfStock_Log[Part Name],$A15,T_SelfStock_Log[WeekIndex],87)=0,"",SUMIFS(T_SelfStock_Log[Self_Qty],T_SelfStock_Log[Part Name],$A15,T_SelfStock_Log[WeekIndex],87))</f>
        <v/>
      </c>
      <c r="CK15" s="13">
        <f>IF(COUNTIFS(T_SelfStock_Log[Part Name],$A15,T_SelfStock_Log[WeekIndex],88)=0,"",SUMIFS(T_SelfStock_Log[Self_Qty],T_SelfStock_Log[Part Name],$A15,T_SelfStock_Log[WeekIndex],88))</f>
        <v/>
      </c>
      <c r="CL15" s="13">
        <f>IF(COUNTIFS(T_SelfStock_Log[Part Name],$A15,T_SelfStock_Log[WeekIndex],89)=0,"",SUMIFS(T_SelfStock_Log[Self_Qty],T_SelfStock_Log[Part Name],$A15,T_SelfStock_Log[WeekIndex],89))</f>
        <v/>
      </c>
      <c r="CM15" s="13">
        <f>IF(COUNTIFS(T_SelfStock_Log[Part Name],$A15,T_SelfStock_Log[WeekIndex],90)=0,"",SUMIFS(T_SelfStock_Log[Self_Qty],T_SelfStock_Log[Part Name],$A15,T_SelfStock_Log[WeekIndex],90))</f>
        <v/>
      </c>
      <c r="CN15" s="13">
        <f>IF(COUNTIFS(T_SelfStock_Log[Part Name],$A15,T_SelfStock_Log[WeekIndex],91)=0,"",SUMIFS(T_SelfStock_Log[Self_Qty],T_SelfStock_Log[Part Name],$A15,T_SelfStock_Log[WeekIndex],91))</f>
        <v/>
      </c>
      <c r="CO15" s="13">
        <f>IF(COUNTIFS(T_SelfStock_Log[Part Name],$A15,T_SelfStock_Log[WeekIndex],92)=0,"",SUMIFS(T_SelfStock_Log[Self_Qty],T_SelfStock_Log[Part Name],$A15,T_SelfStock_Log[WeekIndex],92))</f>
        <v/>
      </c>
      <c r="CP15" s="13">
        <f>IF(COUNTIFS(T_SelfStock_Log[Part Name],$A15,T_SelfStock_Log[WeekIndex],93)=0,"",SUMIFS(T_SelfStock_Log[Self_Qty],T_SelfStock_Log[Part Name],$A15,T_SelfStock_Log[WeekIndex],93))</f>
        <v/>
      </c>
      <c r="CQ15" s="13">
        <f>IF(COUNTIFS(T_SelfStock_Log[Part Name],$A15,T_SelfStock_Log[WeekIndex],94)=0,"",SUMIFS(T_SelfStock_Log[Self_Qty],T_SelfStock_Log[Part Name],$A15,T_SelfStock_Log[WeekIndex],94))</f>
        <v/>
      </c>
      <c r="CR15" s="13">
        <f>IF(COUNTIFS(T_SelfStock_Log[Part Name],$A15,T_SelfStock_Log[WeekIndex],95)=0,"",SUMIFS(T_SelfStock_Log[Self_Qty],T_SelfStock_Log[Part Name],$A15,T_SelfStock_Log[WeekIndex],95))</f>
        <v/>
      </c>
      <c r="CS15" s="13">
        <f>IF(COUNTIFS(T_SelfStock_Log[Part Name],$A15,T_SelfStock_Log[WeekIndex],96)=0,"",SUMIFS(T_SelfStock_Log[Self_Qty],T_SelfStock_Log[Part Name],$A15,T_SelfStock_Log[WeekIndex],96))</f>
        <v/>
      </c>
      <c r="CT15" s="13">
        <f>IF(COUNTIFS(T_SelfStock_Log[Part Name],$A15,T_SelfStock_Log[WeekIndex],97)=0,"",SUMIFS(T_SelfStock_Log[Self_Qty],T_SelfStock_Log[Part Name],$A15,T_SelfStock_Log[WeekIndex],97))</f>
        <v/>
      </c>
      <c r="CU15" s="13">
        <f>IF(COUNTIFS(T_SelfStock_Log[Part Name],$A15,T_SelfStock_Log[WeekIndex],98)=0,"",SUMIFS(T_SelfStock_Log[Self_Qty],T_SelfStock_Log[Part Name],$A15,T_SelfStock_Log[WeekIndex],98))</f>
        <v/>
      </c>
      <c r="CV15" s="13">
        <f>IF(COUNTIFS(T_SelfStock_Log[Part Name],$A15,T_SelfStock_Log[WeekIndex],99)=0,"",SUMIFS(T_SelfStock_Log[Self_Qty],T_SelfStock_Log[Part Name],$A15,T_SelfStock_Log[WeekIndex],99))</f>
        <v/>
      </c>
      <c r="CW15" s="13">
        <f>IF(COUNTIFS(T_SelfStock_Log[Part Name],$A15,T_SelfStock_Log[WeekIndex],100)=0,"",SUMIFS(T_SelfStock_Log[Self_Qty],T_SelfStock_Log[Part Name],$A15,T_SelfStock_Log[WeekIndex],100))</f>
        <v/>
      </c>
      <c r="CX15" s="13">
        <f>IF(COUNTIFS(T_SelfStock_Log[Part Name],$A15,T_SelfStock_Log[WeekIndex],101)=0,"",SUMIFS(T_SelfStock_Log[Self_Qty],T_SelfStock_Log[Part Name],$A15,T_SelfStock_Log[WeekIndex],101))</f>
        <v/>
      </c>
      <c r="CY15" s="13">
        <f>IF(COUNTIFS(T_SelfStock_Log[Part Name],$A15,T_SelfStock_Log[WeekIndex],102)=0,"",SUMIFS(T_SelfStock_Log[Self_Qty],T_SelfStock_Log[Part Name],$A15,T_SelfStock_Log[WeekIndex],102))</f>
        <v/>
      </c>
      <c r="CZ15" s="13">
        <f>IF(COUNTIFS(T_SelfStock_Log[Part Name],$A15,T_SelfStock_Log[WeekIndex],103)=0,"",SUMIFS(T_SelfStock_Log[Self_Qty],T_SelfStock_Log[Part Name],$A15,T_SelfStock_Log[WeekIndex],103))</f>
        <v/>
      </c>
      <c r="DA15" s="13">
        <f>IF(COUNTIFS(T_SelfStock_Log[Part Name],$A15,T_SelfStock_Log[WeekIndex],104)=0,"",SUMIFS(T_SelfStock_Log[Self_Qty],T_SelfStock_Log[Part Name],$A15,T_SelfStock_Log[WeekIndex],104))</f>
        <v/>
      </c>
    </row>
    <row r="16">
      <c r="A16" s="12" t="inlineStr">
        <is>
          <t>1EK</t>
        </is>
      </c>
      <c r="B16" s="12">
        <f>IF(COUNTIFS(T_SelfStock_Log[Part Name],$A16,T_SelfStock_Log[WeekIndex],1)=0,"",SUMIFS(T_SelfStock_Log[Self_Qty],T_SelfStock_Log[Part Name],$A16,T_SelfStock_Log[WeekIndex],1))</f>
        <v/>
      </c>
      <c r="C16" s="12">
        <f>IF(COUNTIFS(T_SelfStock_Log[Part Name],$A16,T_SelfStock_Log[WeekIndex],2)=0,"",SUMIFS(T_SelfStock_Log[Self_Qty],T_SelfStock_Log[Part Name],$A16,T_SelfStock_Log[WeekIndex],2))</f>
        <v/>
      </c>
      <c r="D16" s="12">
        <f>IF(COUNTIFS(T_SelfStock_Log[Part Name],$A16,T_SelfStock_Log[WeekIndex],3)=0,"",SUMIFS(T_SelfStock_Log[Self_Qty],T_SelfStock_Log[Part Name],$A16,T_SelfStock_Log[WeekIndex],3))</f>
        <v/>
      </c>
      <c r="E16" s="12">
        <f>IF(COUNTIFS(T_SelfStock_Log[Part Name],$A16,T_SelfStock_Log[WeekIndex],4)=0,"",SUMIFS(T_SelfStock_Log[Self_Qty],T_SelfStock_Log[Part Name],$A16,T_SelfStock_Log[WeekIndex],4))</f>
        <v/>
      </c>
      <c r="F16" s="12">
        <f>IF(COUNTIFS(T_SelfStock_Log[Part Name],$A16,T_SelfStock_Log[WeekIndex],5)=0,"",SUMIFS(T_SelfStock_Log[Self_Qty],T_SelfStock_Log[Part Name],$A16,T_SelfStock_Log[WeekIndex],5))</f>
        <v/>
      </c>
      <c r="G16" s="12">
        <f>IF(COUNTIFS(T_SelfStock_Log[Part Name],$A16,T_SelfStock_Log[WeekIndex],6)=0,"",SUMIFS(T_SelfStock_Log[Self_Qty],T_SelfStock_Log[Part Name],$A16,T_SelfStock_Log[WeekIndex],6))</f>
        <v/>
      </c>
      <c r="H16" s="12">
        <f>IF(COUNTIFS(T_SelfStock_Log[Part Name],$A16,T_SelfStock_Log[WeekIndex],7)=0,"",SUMIFS(T_SelfStock_Log[Self_Qty],T_SelfStock_Log[Part Name],$A16,T_SelfStock_Log[WeekIndex],7))</f>
        <v/>
      </c>
      <c r="I16" s="12">
        <f>IF(COUNTIFS(T_SelfStock_Log[Part Name],$A16,T_SelfStock_Log[WeekIndex],8)=0,"",SUMIFS(T_SelfStock_Log[Self_Qty],T_SelfStock_Log[Part Name],$A16,T_SelfStock_Log[WeekIndex],8))</f>
        <v/>
      </c>
      <c r="J16" s="12">
        <f>IF(COUNTIFS(T_SelfStock_Log[Part Name],$A16,T_SelfStock_Log[WeekIndex],9)=0,"",SUMIFS(T_SelfStock_Log[Self_Qty],T_SelfStock_Log[Part Name],$A16,T_SelfStock_Log[WeekIndex],9))</f>
        <v/>
      </c>
      <c r="K16" s="12">
        <f>IF(COUNTIFS(T_SelfStock_Log[Part Name],$A16,T_SelfStock_Log[WeekIndex],10)=0,"",SUMIFS(T_SelfStock_Log[Self_Qty],T_SelfStock_Log[Part Name],$A16,T_SelfStock_Log[WeekIndex],10))</f>
        <v/>
      </c>
      <c r="L16" s="12">
        <f>IF(COUNTIFS(T_SelfStock_Log[Part Name],$A16,T_SelfStock_Log[WeekIndex],11)=0,"",SUMIFS(T_SelfStock_Log[Self_Qty],T_SelfStock_Log[Part Name],$A16,T_SelfStock_Log[WeekIndex],11))</f>
        <v/>
      </c>
      <c r="M16" s="12">
        <f>IF(COUNTIFS(T_SelfStock_Log[Part Name],$A16,T_SelfStock_Log[WeekIndex],12)=0,"",SUMIFS(T_SelfStock_Log[Self_Qty],T_SelfStock_Log[Part Name],$A16,T_SelfStock_Log[WeekIndex],12))</f>
        <v/>
      </c>
      <c r="N16" s="12">
        <f>IF(COUNTIFS(T_SelfStock_Log[Part Name],$A16,T_SelfStock_Log[WeekIndex],13)=0,"",SUMIFS(T_SelfStock_Log[Self_Qty],T_SelfStock_Log[Part Name],$A16,T_SelfStock_Log[WeekIndex],13))</f>
        <v/>
      </c>
      <c r="O16" s="12">
        <f>IF(COUNTIFS(T_SelfStock_Log[Part Name],$A16,T_SelfStock_Log[WeekIndex],14)=0,"",SUMIFS(T_SelfStock_Log[Self_Qty],T_SelfStock_Log[Part Name],$A16,T_SelfStock_Log[WeekIndex],14))</f>
        <v/>
      </c>
      <c r="P16" s="12">
        <f>IF(COUNTIFS(T_SelfStock_Log[Part Name],$A16,T_SelfStock_Log[WeekIndex],15)=0,"",SUMIFS(T_SelfStock_Log[Self_Qty],T_SelfStock_Log[Part Name],$A16,T_SelfStock_Log[WeekIndex],15))</f>
        <v/>
      </c>
      <c r="Q16" s="12">
        <f>IF(COUNTIFS(T_SelfStock_Log[Part Name],$A16,T_SelfStock_Log[WeekIndex],16)=0,"",SUMIFS(T_SelfStock_Log[Self_Qty],T_SelfStock_Log[Part Name],$A16,T_SelfStock_Log[WeekIndex],16))</f>
        <v/>
      </c>
      <c r="R16" s="12">
        <f>IF(COUNTIFS(T_SelfStock_Log[Part Name],$A16,T_SelfStock_Log[WeekIndex],17)=0,"",SUMIFS(T_SelfStock_Log[Self_Qty],T_SelfStock_Log[Part Name],$A16,T_SelfStock_Log[WeekIndex],17))</f>
        <v/>
      </c>
      <c r="S16" s="12">
        <f>IF(COUNTIFS(T_SelfStock_Log[Part Name],$A16,T_SelfStock_Log[WeekIndex],18)=0,"",SUMIFS(T_SelfStock_Log[Self_Qty],T_SelfStock_Log[Part Name],$A16,T_SelfStock_Log[WeekIndex],18))</f>
        <v/>
      </c>
      <c r="T16" s="12">
        <f>IF(COUNTIFS(T_SelfStock_Log[Part Name],$A16,T_SelfStock_Log[WeekIndex],19)=0,"",SUMIFS(T_SelfStock_Log[Self_Qty],T_SelfStock_Log[Part Name],$A16,T_SelfStock_Log[WeekIndex],19))</f>
        <v/>
      </c>
      <c r="U16" s="12">
        <f>IF(COUNTIFS(T_SelfStock_Log[Part Name],$A16,T_SelfStock_Log[WeekIndex],20)=0,"",SUMIFS(T_SelfStock_Log[Self_Qty],T_SelfStock_Log[Part Name],$A16,T_SelfStock_Log[WeekIndex],20))</f>
        <v/>
      </c>
      <c r="V16" s="12">
        <f>IF(COUNTIFS(T_SelfStock_Log[Part Name],$A16,T_SelfStock_Log[WeekIndex],21)=0,"",SUMIFS(T_SelfStock_Log[Self_Qty],T_SelfStock_Log[Part Name],$A16,T_SelfStock_Log[WeekIndex],21))</f>
        <v/>
      </c>
      <c r="W16" s="12">
        <f>IF(COUNTIFS(T_SelfStock_Log[Part Name],$A16,T_SelfStock_Log[WeekIndex],22)=0,"",SUMIFS(T_SelfStock_Log[Self_Qty],T_SelfStock_Log[Part Name],$A16,T_SelfStock_Log[WeekIndex],22))</f>
        <v/>
      </c>
      <c r="X16" s="12">
        <f>IF(COUNTIFS(T_SelfStock_Log[Part Name],$A16,T_SelfStock_Log[WeekIndex],23)=0,"",SUMIFS(T_SelfStock_Log[Self_Qty],T_SelfStock_Log[Part Name],$A16,T_SelfStock_Log[WeekIndex],23))</f>
        <v/>
      </c>
      <c r="Y16" s="12">
        <f>IF(COUNTIFS(T_SelfStock_Log[Part Name],$A16,T_SelfStock_Log[WeekIndex],24)=0,"",SUMIFS(T_SelfStock_Log[Self_Qty],T_SelfStock_Log[Part Name],$A16,T_SelfStock_Log[WeekIndex],24))</f>
        <v/>
      </c>
      <c r="Z16" s="12">
        <f>IF(COUNTIFS(T_SelfStock_Log[Part Name],$A16,T_SelfStock_Log[WeekIndex],25)=0,"",SUMIFS(T_SelfStock_Log[Self_Qty],T_SelfStock_Log[Part Name],$A16,T_SelfStock_Log[WeekIndex],25))</f>
        <v/>
      </c>
      <c r="AA16" s="12">
        <f>IF(COUNTIFS(T_SelfStock_Log[Part Name],$A16,T_SelfStock_Log[WeekIndex],26)=0,"",SUMIFS(T_SelfStock_Log[Self_Qty],T_SelfStock_Log[Part Name],$A16,T_SelfStock_Log[WeekIndex],26))</f>
        <v/>
      </c>
      <c r="AB16" s="12">
        <f>IF(COUNTIFS(T_SelfStock_Log[Part Name],$A16,T_SelfStock_Log[WeekIndex],27)=0,"",SUMIFS(T_SelfStock_Log[Self_Qty],T_SelfStock_Log[Part Name],$A16,T_SelfStock_Log[WeekIndex],27))</f>
        <v/>
      </c>
      <c r="AC16" s="12">
        <f>IF(COUNTIFS(T_SelfStock_Log[Part Name],$A16,T_SelfStock_Log[WeekIndex],28)=0,"",SUMIFS(T_SelfStock_Log[Self_Qty],T_SelfStock_Log[Part Name],$A16,T_SelfStock_Log[WeekIndex],28))</f>
        <v/>
      </c>
      <c r="AD16" s="12">
        <f>IF(COUNTIFS(T_SelfStock_Log[Part Name],$A16,T_SelfStock_Log[WeekIndex],29)=0,"",SUMIFS(T_SelfStock_Log[Self_Qty],T_SelfStock_Log[Part Name],$A16,T_SelfStock_Log[WeekIndex],29))</f>
        <v/>
      </c>
      <c r="AE16" s="12">
        <f>IF(COUNTIFS(T_SelfStock_Log[Part Name],$A16,T_SelfStock_Log[WeekIndex],30)=0,"",SUMIFS(T_SelfStock_Log[Self_Qty],T_SelfStock_Log[Part Name],$A16,T_SelfStock_Log[WeekIndex],30))</f>
        <v/>
      </c>
      <c r="AF16" s="12">
        <f>IF(COUNTIFS(T_SelfStock_Log[Part Name],$A16,T_SelfStock_Log[WeekIndex],31)=0,"",SUMIFS(T_SelfStock_Log[Self_Qty],T_SelfStock_Log[Part Name],$A16,T_SelfStock_Log[WeekIndex],31))</f>
        <v/>
      </c>
      <c r="AG16" s="12">
        <f>IF(COUNTIFS(T_SelfStock_Log[Part Name],$A16,T_SelfStock_Log[WeekIndex],32)=0,"",SUMIFS(T_SelfStock_Log[Self_Qty],T_SelfStock_Log[Part Name],$A16,T_SelfStock_Log[WeekIndex],32))</f>
        <v/>
      </c>
      <c r="AH16" s="12">
        <f>IF(COUNTIFS(T_SelfStock_Log[Part Name],$A16,T_SelfStock_Log[WeekIndex],33)=0,"",SUMIFS(T_SelfStock_Log[Self_Qty],T_SelfStock_Log[Part Name],$A16,T_SelfStock_Log[WeekIndex],33))</f>
        <v/>
      </c>
      <c r="AI16" s="12">
        <f>IF(COUNTIFS(T_SelfStock_Log[Part Name],$A16,T_SelfStock_Log[WeekIndex],34)=0,"",SUMIFS(T_SelfStock_Log[Self_Qty],T_SelfStock_Log[Part Name],$A16,T_SelfStock_Log[WeekIndex],34))</f>
        <v/>
      </c>
      <c r="AJ16" s="12">
        <f>IF(COUNTIFS(T_SelfStock_Log[Part Name],$A16,T_SelfStock_Log[WeekIndex],35)=0,"",SUMIFS(T_SelfStock_Log[Self_Qty],T_SelfStock_Log[Part Name],$A16,T_SelfStock_Log[WeekIndex],35))</f>
        <v/>
      </c>
      <c r="AK16" s="12">
        <f>IF(COUNTIFS(T_SelfStock_Log[Part Name],$A16,T_SelfStock_Log[WeekIndex],36)=0,"",SUMIFS(T_SelfStock_Log[Self_Qty],T_SelfStock_Log[Part Name],$A16,T_SelfStock_Log[WeekIndex],36))</f>
        <v/>
      </c>
      <c r="AL16" s="12">
        <f>IF(COUNTIFS(T_SelfStock_Log[Part Name],$A16,T_SelfStock_Log[WeekIndex],37)=0,"",SUMIFS(T_SelfStock_Log[Self_Qty],T_SelfStock_Log[Part Name],$A16,T_SelfStock_Log[WeekIndex],37))</f>
        <v/>
      </c>
      <c r="AM16" s="12">
        <f>IF(COUNTIFS(T_SelfStock_Log[Part Name],$A16,T_SelfStock_Log[WeekIndex],38)=0,"",SUMIFS(T_SelfStock_Log[Self_Qty],T_SelfStock_Log[Part Name],$A16,T_SelfStock_Log[WeekIndex],38))</f>
        <v/>
      </c>
      <c r="AN16" s="12">
        <f>IF(COUNTIFS(T_SelfStock_Log[Part Name],$A16,T_SelfStock_Log[WeekIndex],39)=0,"",SUMIFS(T_SelfStock_Log[Self_Qty],T_SelfStock_Log[Part Name],$A16,T_SelfStock_Log[WeekIndex],39))</f>
        <v/>
      </c>
      <c r="AO16" s="12">
        <f>IF(COUNTIFS(T_SelfStock_Log[Part Name],$A16,T_SelfStock_Log[WeekIndex],40)=0,"",SUMIFS(T_SelfStock_Log[Self_Qty],T_SelfStock_Log[Part Name],$A16,T_SelfStock_Log[WeekIndex],40))</f>
        <v/>
      </c>
      <c r="AP16" s="12">
        <f>IF(COUNTIFS(T_SelfStock_Log[Part Name],$A16,T_SelfStock_Log[WeekIndex],41)=0,"",SUMIFS(T_SelfStock_Log[Self_Qty],T_SelfStock_Log[Part Name],$A16,T_SelfStock_Log[WeekIndex],41))</f>
        <v/>
      </c>
      <c r="AQ16" s="12">
        <f>IF(COUNTIFS(T_SelfStock_Log[Part Name],$A16,T_SelfStock_Log[WeekIndex],42)=0,"",SUMIFS(T_SelfStock_Log[Self_Qty],T_SelfStock_Log[Part Name],$A16,T_SelfStock_Log[WeekIndex],42))</f>
        <v/>
      </c>
      <c r="AR16" s="12">
        <f>IF(COUNTIFS(T_SelfStock_Log[Part Name],$A16,T_SelfStock_Log[WeekIndex],43)=0,"",SUMIFS(T_SelfStock_Log[Self_Qty],T_SelfStock_Log[Part Name],$A16,T_SelfStock_Log[WeekIndex],43))</f>
        <v/>
      </c>
      <c r="AS16" s="12">
        <f>IF(COUNTIFS(T_SelfStock_Log[Part Name],$A16,T_SelfStock_Log[WeekIndex],44)=0,"",SUMIFS(T_SelfStock_Log[Self_Qty],T_SelfStock_Log[Part Name],$A16,T_SelfStock_Log[WeekIndex],44))</f>
        <v/>
      </c>
      <c r="AT16" s="12">
        <f>IF(COUNTIFS(T_SelfStock_Log[Part Name],$A16,T_SelfStock_Log[WeekIndex],45)=0,"",SUMIFS(T_SelfStock_Log[Self_Qty],T_SelfStock_Log[Part Name],$A16,T_SelfStock_Log[WeekIndex],45))</f>
        <v/>
      </c>
      <c r="AU16" s="12">
        <f>IF(COUNTIFS(T_SelfStock_Log[Part Name],$A16,T_SelfStock_Log[WeekIndex],46)=0,"",SUMIFS(T_SelfStock_Log[Self_Qty],T_SelfStock_Log[Part Name],$A16,T_SelfStock_Log[WeekIndex],46))</f>
        <v/>
      </c>
      <c r="AV16" s="12">
        <f>IF(COUNTIFS(T_SelfStock_Log[Part Name],$A16,T_SelfStock_Log[WeekIndex],47)=0,"",SUMIFS(T_SelfStock_Log[Self_Qty],T_SelfStock_Log[Part Name],$A16,T_SelfStock_Log[WeekIndex],47))</f>
        <v/>
      </c>
      <c r="AW16" s="12">
        <f>IF(COUNTIFS(T_SelfStock_Log[Part Name],$A16,T_SelfStock_Log[WeekIndex],48)=0,"",SUMIFS(T_SelfStock_Log[Self_Qty],T_SelfStock_Log[Part Name],$A16,T_SelfStock_Log[WeekIndex],48))</f>
        <v/>
      </c>
      <c r="AX16" s="12">
        <f>IF(COUNTIFS(T_SelfStock_Log[Part Name],$A16,T_SelfStock_Log[WeekIndex],49)=0,"",SUMIFS(T_SelfStock_Log[Self_Qty],T_SelfStock_Log[Part Name],$A16,T_SelfStock_Log[WeekIndex],49))</f>
        <v/>
      </c>
      <c r="AY16" s="12">
        <f>IF(COUNTIFS(T_SelfStock_Log[Part Name],$A16,T_SelfStock_Log[WeekIndex],50)=0,"",SUMIFS(T_SelfStock_Log[Self_Qty],T_SelfStock_Log[Part Name],$A16,T_SelfStock_Log[WeekIndex],50))</f>
        <v/>
      </c>
      <c r="AZ16" s="12">
        <f>IF(COUNTIFS(T_SelfStock_Log[Part Name],$A16,T_SelfStock_Log[WeekIndex],51)=0,"",SUMIFS(T_SelfStock_Log[Self_Qty],T_SelfStock_Log[Part Name],$A16,T_SelfStock_Log[WeekIndex],51))</f>
        <v/>
      </c>
      <c r="BA16" s="12">
        <f>IF(COUNTIFS(T_SelfStock_Log[Part Name],$A16,T_SelfStock_Log[WeekIndex],52)=0,"",SUMIFS(T_SelfStock_Log[Self_Qty],T_SelfStock_Log[Part Name],$A16,T_SelfStock_Log[WeekIndex],52))</f>
        <v/>
      </c>
      <c r="BB16" s="12">
        <f>IF(COUNTIFS(T_SelfStock_Log[Part Name],$A16,T_SelfStock_Log[WeekIndex],53)=0,"",SUMIFS(T_SelfStock_Log[Self_Qty],T_SelfStock_Log[Part Name],$A16,T_SelfStock_Log[WeekIndex],53))</f>
        <v/>
      </c>
      <c r="BC16" s="12">
        <f>IF(COUNTIFS(T_SelfStock_Log[Part Name],$A16,T_SelfStock_Log[WeekIndex],54)=0,"",SUMIFS(T_SelfStock_Log[Self_Qty],T_SelfStock_Log[Part Name],$A16,T_SelfStock_Log[WeekIndex],54))</f>
        <v/>
      </c>
      <c r="BD16" s="12">
        <f>IF(COUNTIFS(T_SelfStock_Log[Part Name],$A16,T_SelfStock_Log[WeekIndex],55)=0,"",SUMIFS(T_SelfStock_Log[Self_Qty],T_SelfStock_Log[Part Name],$A16,T_SelfStock_Log[WeekIndex],55))</f>
        <v/>
      </c>
      <c r="BE16" s="12">
        <f>IF(COUNTIFS(T_SelfStock_Log[Part Name],$A16,T_SelfStock_Log[WeekIndex],56)=0,"",SUMIFS(T_SelfStock_Log[Self_Qty],T_SelfStock_Log[Part Name],$A16,T_SelfStock_Log[WeekIndex],56))</f>
        <v/>
      </c>
      <c r="BF16" s="12">
        <f>IF(COUNTIFS(T_SelfStock_Log[Part Name],$A16,T_SelfStock_Log[WeekIndex],57)=0,"",SUMIFS(T_SelfStock_Log[Self_Qty],T_SelfStock_Log[Part Name],$A16,T_SelfStock_Log[WeekIndex],57))</f>
        <v/>
      </c>
      <c r="BG16" s="12">
        <f>IF(COUNTIFS(T_SelfStock_Log[Part Name],$A16,T_SelfStock_Log[WeekIndex],58)=0,"",SUMIFS(T_SelfStock_Log[Self_Qty],T_SelfStock_Log[Part Name],$A16,T_SelfStock_Log[WeekIndex],58))</f>
        <v/>
      </c>
      <c r="BH16" s="12">
        <f>IF(COUNTIFS(T_SelfStock_Log[Part Name],$A16,T_SelfStock_Log[WeekIndex],59)=0,"",SUMIFS(T_SelfStock_Log[Self_Qty],T_SelfStock_Log[Part Name],$A16,T_SelfStock_Log[WeekIndex],59))</f>
        <v/>
      </c>
      <c r="BI16" s="12">
        <f>IF(COUNTIFS(T_SelfStock_Log[Part Name],$A16,T_SelfStock_Log[WeekIndex],60)=0,"",SUMIFS(T_SelfStock_Log[Self_Qty],T_SelfStock_Log[Part Name],$A16,T_SelfStock_Log[WeekIndex],60))</f>
        <v/>
      </c>
      <c r="BJ16" s="12">
        <f>IF(COUNTIFS(T_SelfStock_Log[Part Name],$A16,T_SelfStock_Log[WeekIndex],61)=0,"",SUMIFS(T_SelfStock_Log[Self_Qty],T_SelfStock_Log[Part Name],$A16,T_SelfStock_Log[WeekIndex],61))</f>
        <v/>
      </c>
      <c r="BK16" s="12">
        <f>IF(COUNTIFS(T_SelfStock_Log[Part Name],$A16,T_SelfStock_Log[WeekIndex],62)=0,"",SUMIFS(T_SelfStock_Log[Self_Qty],T_SelfStock_Log[Part Name],$A16,T_SelfStock_Log[WeekIndex],62))</f>
        <v/>
      </c>
      <c r="BL16" s="12">
        <f>IF(COUNTIFS(T_SelfStock_Log[Part Name],$A16,T_SelfStock_Log[WeekIndex],63)=0,"",SUMIFS(T_SelfStock_Log[Self_Qty],T_SelfStock_Log[Part Name],$A16,T_SelfStock_Log[WeekIndex],63))</f>
        <v/>
      </c>
      <c r="BM16" s="12">
        <f>IF(COUNTIFS(T_SelfStock_Log[Part Name],$A16,T_SelfStock_Log[WeekIndex],64)=0,"",SUMIFS(T_SelfStock_Log[Self_Qty],T_SelfStock_Log[Part Name],$A16,T_SelfStock_Log[WeekIndex],64))</f>
        <v/>
      </c>
      <c r="BN16" s="12">
        <f>IF(COUNTIFS(T_SelfStock_Log[Part Name],$A16,T_SelfStock_Log[WeekIndex],65)=0,"",SUMIFS(T_SelfStock_Log[Self_Qty],T_SelfStock_Log[Part Name],$A16,T_SelfStock_Log[WeekIndex],65))</f>
        <v/>
      </c>
      <c r="BO16" s="12">
        <f>IF(COUNTIFS(T_SelfStock_Log[Part Name],$A16,T_SelfStock_Log[WeekIndex],66)=0,"",SUMIFS(T_SelfStock_Log[Self_Qty],T_SelfStock_Log[Part Name],$A16,T_SelfStock_Log[WeekIndex],66))</f>
        <v/>
      </c>
      <c r="BP16" s="12">
        <f>IF(COUNTIFS(T_SelfStock_Log[Part Name],$A16,T_SelfStock_Log[WeekIndex],67)=0,"",SUMIFS(T_SelfStock_Log[Self_Qty],T_SelfStock_Log[Part Name],$A16,T_SelfStock_Log[WeekIndex],67))</f>
        <v/>
      </c>
      <c r="BQ16" s="12">
        <f>IF(COUNTIFS(T_SelfStock_Log[Part Name],$A16,T_SelfStock_Log[WeekIndex],68)=0,"",SUMIFS(T_SelfStock_Log[Self_Qty],T_SelfStock_Log[Part Name],$A16,T_SelfStock_Log[WeekIndex],68))</f>
        <v/>
      </c>
      <c r="BR16" s="12">
        <f>IF(COUNTIFS(T_SelfStock_Log[Part Name],$A16,T_SelfStock_Log[WeekIndex],69)=0,"",SUMIFS(T_SelfStock_Log[Self_Qty],T_SelfStock_Log[Part Name],$A16,T_SelfStock_Log[WeekIndex],69))</f>
        <v/>
      </c>
      <c r="BS16" s="12">
        <f>IF(COUNTIFS(T_SelfStock_Log[Part Name],$A16,T_SelfStock_Log[WeekIndex],70)=0,"",SUMIFS(T_SelfStock_Log[Self_Qty],T_SelfStock_Log[Part Name],$A16,T_SelfStock_Log[WeekIndex],70))</f>
        <v/>
      </c>
      <c r="BT16" s="12">
        <f>IF(COUNTIFS(T_SelfStock_Log[Part Name],$A16,T_SelfStock_Log[WeekIndex],71)=0,"",SUMIFS(T_SelfStock_Log[Self_Qty],T_SelfStock_Log[Part Name],$A16,T_SelfStock_Log[WeekIndex],71))</f>
        <v/>
      </c>
      <c r="BU16" s="12">
        <f>IF(COUNTIFS(T_SelfStock_Log[Part Name],$A16,T_SelfStock_Log[WeekIndex],72)=0,"",SUMIFS(T_SelfStock_Log[Self_Qty],T_SelfStock_Log[Part Name],$A16,T_SelfStock_Log[WeekIndex],72))</f>
        <v/>
      </c>
      <c r="BV16" s="12">
        <f>IF(COUNTIFS(T_SelfStock_Log[Part Name],$A16,T_SelfStock_Log[WeekIndex],73)=0,"",SUMIFS(T_SelfStock_Log[Self_Qty],T_SelfStock_Log[Part Name],$A16,T_SelfStock_Log[WeekIndex],73))</f>
        <v/>
      </c>
      <c r="BW16" s="12">
        <f>IF(COUNTIFS(T_SelfStock_Log[Part Name],$A16,T_SelfStock_Log[WeekIndex],74)=0,"",SUMIFS(T_SelfStock_Log[Self_Qty],T_SelfStock_Log[Part Name],$A16,T_SelfStock_Log[WeekIndex],74))</f>
        <v/>
      </c>
      <c r="BX16" s="12">
        <f>IF(COUNTIFS(T_SelfStock_Log[Part Name],$A16,T_SelfStock_Log[WeekIndex],75)=0,"",SUMIFS(T_SelfStock_Log[Self_Qty],T_SelfStock_Log[Part Name],$A16,T_SelfStock_Log[WeekIndex],75))</f>
        <v/>
      </c>
      <c r="BY16" s="12">
        <f>IF(COUNTIFS(T_SelfStock_Log[Part Name],$A16,T_SelfStock_Log[WeekIndex],76)=0,"",SUMIFS(T_SelfStock_Log[Self_Qty],T_SelfStock_Log[Part Name],$A16,T_SelfStock_Log[WeekIndex],76))</f>
        <v/>
      </c>
      <c r="BZ16" s="12">
        <f>IF(COUNTIFS(T_SelfStock_Log[Part Name],$A16,T_SelfStock_Log[WeekIndex],77)=0,"",SUMIFS(T_SelfStock_Log[Self_Qty],T_SelfStock_Log[Part Name],$A16,T_SelfStock_Log[WeekIndex],77))</f>
        <v/>
      </c>
      <c r="CA16" s="12">
        <f>IF(COUNTIFS(T_SelfStock_Log[Part Name],$A16,T_SelfStock_Log[WeekIndex],78)=0,"",SUMIFS(T_SelfStock_Log[Self_Qty],T_SelfStock_Log[Part Name],$A16,T_SelfStock_Log[WeekIndex],78))</f>
        <v/>
      </c>
      <c r="CB16" s="12">
        <f>IF(COUNTIFS(T_SelfStock_Log[Part Name],$A16,T_SelfStock_Log[WeekIndex],79)=0,"",SUMIFS(T_SelfStock_Log[Self_Qty],T_SelfStock_Log[Part Name],$A16,T_SelfStock_Log[WeekIndex],79))</f>
        <v/>
      </c>
      <c r="CC16" s="12">
        <f>IF(COUNTIFS(T_SelfStock_Log[Part Name],$A16,T_SelfStock_Log[WeekIndex],80)=0,"",SUMIFS(T_SelfStock_Log[Self_Qty],T_SelfStock_Log[Part Name],$A16,T_SelfStock_Log[WeekIndex],80))</f>
        <v/>
      </c>
      <c r="CD16" s="12">
        <f>IF(COUNTIFS(T_SelfStock_Log[Part Name],$A16,T_SelfStock_Log[WeekIndex],81)=0,"",SUMIFS(T_SelfStock_Log[Self_Qty],T_SelfStock_Log[Part Name],$A16,T_SelfStock_Log[WeekIndex],81))</f>
        <v/>
      </c>
      <c r="CE16" s="12">
        <f>IF(COUNTIFS(T_SelfStock_Log[Part Name],$A16,T_SelfStock_Log[WeekIndex],82)=0,"",SUMIFS(T_SelfStock_Log[Self_Qty],T_SelfStock_Log[Part Name],$A16,T_SelfStock_Log[WeekIndex],82))</f>
        <v/>
      </c>
      <c r="CF16" s="12">
        <f>IF(COUNTIFS(T_SelfStock_Log[Part Name],$A16,T_SelfStock_Log[WeekIndex],83)=0,"",SUMIFS(T_SelfStock_Log[Self_Qty],T_SelfStock_Log[Part Name],$A16,T_SelfStock_Log[WeekIndex],83))</f>
        <v/>
      </c>
      <c r="CG16" s="12">
        <f>IF(COUNTIFS(T_SelfStock_Log[Part Name],$A16,T_SelfStock_Log[WeekIndex],84)=0,"",SUMIFS(T_SelfStock_Log[Self_Qty],T_SelfStock_Log[Part Name],$A16,T_SelfStock_Log[WeekIndex],84))</f>
        <v/>
      </c>
      <c r="CH16" s="12">
        <f>IF(COUNTIFS(T_SelfStock_Log[Part Name],$A16,T_SelfStock_Log[WeekIndex],85)=0,"",SUMIFS(T_SelfStock_Log[Self_Qty],T_SelfStock_Log[Part Name],$A16,T_SelfStock_Log[WeekIndex],85))</f>
        <v/>
      </c>
      <c r="CI16" s="12">
        <f>IF(COUNTIFS(T_SelfStock_Log[Part Name],$A16,T_SelfStock_Log[WeekIndex],86)=0,"",SUMIFS(T_SelfStock_Log[Self_Qty],T_SelfStock_Log[Part Name],$A16,T_SelfStock_Log[WeekIndex],86))</f>
        <v/>
      </c>
      <c r="CJ16" s="12">
        <f>IF(COUNTIFS(T_SelfStock_Log[Part Name],$A16,T_SelfStock_Log[WeekIndex],87)=0,"",SUMIFS(T_SelfStock_Log[Self_Qty],T_SelfStock_Log[Part Name],$A16,T_SelfStock_Log[WeekIndex],87))</f>
        <v/>
      </c>
      <c r="CK16" s="12">
        <f>IF(COUNTIFS(T_SelfStock_Log[Part Name],$A16,T_SelfStock_Log[WeekIndex],88)=0,"",SUMIFS(T_SelfStock_Log[Self_Qty],T_SelfStock_Log[Part Name],$A16,T_SelfStock_Log[WeekIndex],88))</f>
        <v/>
      </c>
      <c r="CL16" s="12">
        <f>IF(COUNTIFS(T_SelfStock_Log[Part Name],$A16,T_SelfStock_Log[WeekIndex],89)=0,"",SUMIFS(T_SelfStock_Log[Self_Qty],T_SelfStock_Log[Part Name],$A16,T_SelfStock_Log[WeekIndex],89))</f>
        <v/>
      </c>
      <c r="CM16" s="12">
        <f>IF(COUNTIFS(T_SelfStock_Log[Part Name],$A16,T_SelfStock_Log[WeekIndex],90)=0,"",SUMIFS(T_SelfStock_Log[Self_Qty],T_SelfStock_Log[Part Name],$A16,T_SelfStock_Log[WeekIndex],90))</f>
        <v/>
      </c>
      <c r="CN16" s="12">
        <f>IF(COUNTIFS(T_SelfStock_Log[Part Name],$A16,T_SelfStock_Log[WeekIndex],91)=0,"",SUMIFS(T_SelfStock_Log[Self_Qty],T_SelfStock_Log[Part Name],$A16,T_SelfStock_Log[WeekIndex],91))</f>
        <v/>
      </c>
      <c r="CO16" s="12">
        <f>IF(COUNTIFS(T_SelfStock_Log[Part Name],$A16,T_SelfStock_Log[WeekIndex],92)=0,"",SUMIFS(T_SelfStock_Log[Self_Qty],T_SelfStock_Log[Part Name],$A16,T_SelfStock_Log[WeekIndex],92))</f>
        <v/>
      </c>
      <c r="CP16" s="12">
        <f>IF(COUNTIFS(T_SelfStock_Log[Part Name],$A16,T_SelfStock_Log[WeekIndex],93)=0,"",SUMIFS(T_SelfStock_Log[Self_Qty],T_SelfStock_Log[Part Name],$A16,T_SelfStock_Log[WeekIndex],93))</f>
        <v/>
      </c>
      <c r="CQ16" s="12">
        <f>IF(COUNTIFS(T_SelfStock_Log[Part Name],$A16,T_SelfStock_Log[WeekIndex],94)=0,"",SUMIFS(T_SelfStock_Log[Self_Qty],T_SelfStock_Log[Part Name],$A16,T_SelfStock_Log[WeekIndex],94))</f>
        <v/>
      </c>
      <c r="CR16" s="12">
        <f>IF(COUNTIFS(T_SelfStock_Log[Part Name],$A16,T_SelfStock_Log[WeekIndex],95)=0,"",SUMIFS(T_SelfStock_Log[Self_Qty],T_SelfStock_Log[Part Name],$A16,T_SelfStock_Log[WeekIndex],95))</f>
        <v/>
      </c>
      <c r="CS16" s="12">
        <f>IF(COUNTIFS(T_SelfStock_Log[Part Name],$A16,T_SelfStock_Log[WeekIndex],96)=0,"",SUMIFS(T_SelfStock_Log[Self_Qty],T_SelfStock_Log[Part Name],$A16,T_SelfStock_Log[WeekIndex],96))</f>
        <v/>
      </c>
      <c r="CT16" s="12">
        <f>IF(COUNTIFS(T_SelfStock_Log[Part Name],$A16,T_SelfStock_Log[WeekIndex],97)=0,"",SUMIFS(T_SelfStock_Log[Self_Qty],T_SelfStock_Log[Part Name],$A16,T_SelfStock_Log[WeekIndex],97))</f>
        <v/>
      </c>
      <c r="CU16" s="12">
        <f>IF(COUNTIFS(T_SelfStock_Log[Part Name],$A16,T_SelfStock_Log[WeekIndex],98)=0,"",SUMIFS(T_SelfStock_Log[Self_Qty],T_SelfStock_Log[Part Name],$A16,T_SelfStock_Log[WeekIndex],98))</f>
        <v/>
      </c>
      <c r="CV16" s="12">
        <f>IF(COUNTIFS(T_SelfStock_Log[Part Name],$A16,T_SelfStock_Log[WeekIndex],99)=0,"",SUMIFS(T_SelfStock_Log[Self_Qty],T_SelfStock_Log[Part Name],$A16,T_SelfStock_Log[WeekIndex],99))</f>
        <v/>
      </c>
      <c r="CW16" s="12">
        <f>IF(COUNTIFS(T_SelfStock_Log[Part Name],$A16,T_SelfStock_Log[WeekIndex],100)=0,"",SUMIFS(T_SelfStock_Log[Self_Qty],T_SelfStock_Log[Part Name],$A16,T_SelfStock_Log[WeekIndex],100))</f>
        <v/>
      </c>
      <c r="CX16" s="12">
        <f>IF(COUNTIFS(T_SelfStock_Log[Part Name],$A16,T_SelfStock_Log[WeekIndex],101)=0,"",SUMIFS(T_SelfStock_Log[Self_Qty],T_SelfStock_Log[Part Name],$A16,T_SelfStock_Log[WeekIndex],101))</f>
        <v/>
      </c>
      <c r="CY16" s="12">
        <f>IF(COUNTIFS(T_SelfStock_Log[Part Name],$A16,T_SelfStock_Log[WeekIndex],102)=0,"",SUMIFS(T_SelfStock_Log[Self_Qty],T_SelfStock_Log[Part Name],$A16,T_SelfStock_Log[WeekIndex],102))</f>
        <v/>
      </c>
      <c r="CZ16" s="12">
        <f>IF(COUNTIFS(T_SelfStock_Log[Part Name],$A16,T_SelfStock_Log[WeekIndex],103)=0,"",SUMIFS(T_SelfStock_Log[Self_Qty],T_SelfStock_Log[Part Name],$A16,T_SelfStock_Log[WeekIndex],103))</f>
        <v/>
      </c>
      <c r="DA16" s="12">
        <f>IF(COUNTIFS(T_SelfStock_Log[Part Name],$A16,T_SelfStock_Log[WeekIndex],104)=0,"",SUMIFS(T_SelfStock_Log[Self_Qty],T_SelfStock_Log[Part Name],$A16,T_SelfStock_Log[WeekIndex],104))</f>
        <v/>
      </c>
    </row>
    <row r="17">
      <c r="A17" s="13" t="inlineStr">
        <is>
          <t>7CL</t>
        </is>
      </c>
      <c r="B17" s="13">
        <f>IF(COUNTIFS(T_SelfStock_Log[Part Name],$A17,T_SelfStock_Log[WeekIndex],1)=0,"",SUMIFS(T_SelfStock_Log[Self_Qty],T_SelfStock_Log[Part Name],$A17,T_SelfStock_Log[WeekIndex],1))</f>
        <v/>
      </c>
      <c r="C17" s="13">
        <f>IF(COUNTIFS(T_SelfStock_Log[Part Name],$A17,T_SelfStock_Log[WeekIndex],2)=0,"",SUMIFS(T_SelfStock_Log[Self_Qty],T_SelfStock_Log[Part Name],$A17,T_SelfStock_Log[WeekIndex],2))</f>
        <v/>
      </c>
      <c r="D17" s="13">
        <f>IF(COUNTIFS(T_SelfStock_Log[Part Name],$A17,T_SelfStock_Log[WeekIndex],3)=0,"",SUMIFS(T_SelfStock_Log[Self_Qty],T_SelfStock_Log[Part Name],$A17,T_SelfStock_Log[WeekIndex],3))</f>
        <v/>
      </c>
      <c r="E17" s="13">
        <f>IF(COUNTIFS(T_SelfStock_Log[Part Name],$A17,T_SelfStock_Log[WeekIndex],4)=0,"",SUMIFS(T_SelfStock_Log[Self_Qty],T_SelfStock_Log[Part Name],$A17,T_SelfStock_Log[WeekIndex],4))</f>
        <v/>
      </c>
      <c r="F17" s="13">
        <f>IF(COUNTIFS(T_SelfStock_Log[Part Name],$A17,T_SelfStock_Log[WeekIndex],5)=0,"",SUMIFS(T_SelfStock_Log[Self_Qty],T_SelfStock_Log[Part Name],$A17,T_SelfStock_Log[WeekIndex],5))</f>
        <v/>
      </c>
      <c r="G17" s="13">
        <f>IF(COUNTIFS(T_SelfStock_Log[Part Name],$A17,T_SelfStock_Log[WeekIndex],6)=0,"",SUMIFS(T_SelfStock_Log[Self_Qty],T_SelfStock_Log[Part Name],$A17,T_SelfStock_Log[WeekIndex],6))</f>
        <v/>
      </c>
      <c r="H17" s="13">
        <f>IF(COUNTIFS(T_SelfStock_Log[Part Name],$A17,T_SelfStock_Log[WeekIndex],7)=0,"",SUMIFS(T_SelfStock_Log[Self_Qty],T_SelfStock_Log[Part Name],$A17,T_SelfStock_Log[WeekIndex],7))</f>
        <v/>
      </c>
      <c r="I17" s="13">
        <f>IF(COUNTIFS(T_SelfStock_Log[Part Name],$A17,T_SelfStock_Log[WeekIndex],8)=0,"",SUMIFS(T_SelfStock_Log[Self_Qty],T_SelfStock_Log[Part Name],$A17,T_SelfStock_Log[WeekIndex],8))</f>
        <v/>
      </c>
      <c r="J17" s="13">
        <f>IF(COUNTIFS(T_SelfStock_Log[Part Name],$A17,T_SelfStock_Log[WeekIndex],9)=0,"",SUMIFS(T_SelfStock_Log[Self_Qty],T_SelfStock_Log[Part Name],$A17,T_SelfStock_Log[WeekIndex],9))</f>
        <v/>
      </c>
      <c r="K17" s="13">
        <f>IF(COUNTIFS(T_SelfStock_Log[Part Name],$A17,T_SelfStock_Log[WeekIndex],10)=0,"",SUMIFS(T_SelfStock_Log[Self_Qty],T_SelfStock_Log[Part Name],$A17,T_SelfStock_Log[WeekIndex],10))</f>
        <v/>
      </c>
      <c r="L17" s="13">
        <f>IF(COUNTIFS(T_SelfStock_Log[Part Name],$A17,T_SelfStock_Log[WeekIndex],11)=0,"",SUMIFS(T_SelfStock_Log[Self_Qty],T_SelfStock_Log[Part Name],$A17,T_SelfStock_Log[WeekIndex],11))</f>
        <v/>
      </c>
      <c r="M17" s="13">
        <f>IF(COUNTIFS(T_SelfStock_Log[Part Name],$A17,T_SelfStock_Log[WeekIndex],12)=0,"",SUMIFS(T_SelfStock_Log[Self_Qty],T_SelfStock_Log[Part Name],$A17,T_SelfStock_Log[WeekIndex],12))</f>
        <v/>
      </c>
      <c r="N17" s="13">
        <f>IF(COUNTIFS(T_SelfStock_Log[Part Name],$A17,T_SelfStock_Log[WeekIndex],13)=0,"",SUMIFS(T_SelfStock_Log[Self_Qty],T_SelfStock_Log[Part Name],$A17,T_SelfStock_Log[WeekIndex],13))</f>
        <v/>
      </c>
      <c r="O17" s="13">
        <f>IF(COUNTIFS(T_SelfStock_Log[Part Name],$A17,T_SelfStock_Log[WeekIndex],14)=0,"",SUMIFS(T_SelfStock_Log[Self_Qty],T_SelfStock_Log[Part Name],$A17,T_SelfStock_Log[WeekIndex],14))</f>
        <v/>
      </c>
      <c r="P17" s="13">
        <f>IF(COUNTIFS(T_SelfStock_Log[Part Name],$A17,T_SelfStock_Log[WeekIndex],15)=0,"",SUMIFS(T_SelfStock_Log[Self_Qty],T_SelfStock_Log[Part Name],$A17,T_SelfStock_Log[WeekIndex],15))</f>
        <v/>
      </c>
      <c r="Q17" s="13">
        <f>IF(COUNTIFS(T_SelfStock_Log[Part Name],$A17,T_SelfStock_Log[WeekIndex],16)=0,"",SUMIFS(T_SelfStock_Log[Self_Qty],T_SelfStock_Log[Part Name],$A17,T_SelfStock_Log[WeekIndex],16))</f>
        <v/>
      </c>
      <c r="R17" s="13">
        <f>IF(COUNTIFS(T_SelfStock_Log[Part Name],$A17,T_SelfStock_Log[WeekIndex],17)=0,"",SUMIFS(T_SelfStock_Log[Self_Qty],T_SelfStock_Log[Part Name],$A17,T_SelfStock_Log[WeekIndex],17))</f>
        <v/>
      </c>
      <c r="S17" s="13">
        <f>IF(COUNTIFS(T_SelfStock_Log[Part Name],$A17,T_SelfStock_Log[WeekIndex],18)=0,"",SUMIFS(T_SelfStock_Log[Self_Qty],T_SelfStock_Log[Part Name],$A17,T_SelfStock_Log[WeekIndex],18))</f>
        <v/>
      </c>
      <c r="T17" s="13">
        <f>IF(COUNTIFS(T_SelfStock_Log[Part Name],$A17,T_SelfStock_Log[WeekIndex],19)=0,"",SUMIFS(T_SelfStock_Log[Self_Qty],T_SelfStock_Log[Part Name],$A17,T_SelfStock_Log[WeekIndex],19))</f>
        <v/>
      </c>
      <c r="U17" s="13">
        <f>IF(COUNTIFS(T_SelfStock_Log[Part Name],$A17,T_SelfStock_Log[WeekIndex],20)=0,"",SUMIFS(T_SelfStock_Log[Self_Qty],T_SelfStock_Log[Part Name],$A17,T_SelfStock_Log[WeekIndex],20))</f>
        <v/>
      </c>
      <c r="V17" s="13">
        <f>IF(COUNTIFS(T_SelfStock_Log[Part Name],$A17,T_SelfStock_Log[WeekIndex],21)=0,"",SUMIFS(T_SelfStock_Log[Self_Qty],T_SelfStock_Log[Part Name],$A17,T_SelfStock_Log[WeekIndex],21))</f>
        <v/>
      </c>
      <c r="W17" s="13">
        <f>IF(COUNTIFS(T_SelfStock_Log[Part Name],$A17,T_SelfStock_Log[WeekIndex],22)=0,"",SUMIFS(T_SelfStock_Log[Self_Qty],T_SelfStock_Log[Part Name],$A17,T_SelfStock_Log[WeekIndex],22))</f>
        <v/>
      </c>
      <c r="X17" s="13">
        <f>IF(COUNTIFS(T_SelfStock_Log[Part Name],$A17,T_SelfStock_Log[WeekIndex],23)=0,"",SUMIFS(T_SelfStock_Log[Self_Qty],T_SelfStock_Log[Part Name],$A17,T_SelfStock_Log[WeekIndex],23))</f>
        <v/>
      </c>
      <c r="Y17" s="13">
        <f>IF(COUNTIFS(T_SelfStock_Log[Part Name],$A17,T_SelfStock_Log[WeekIndex],24)=0,"",SUMIFS(T_SelfStock_Log[Self_Qty],T_SelfStock_Log[Part Name],$A17,T_SelfStock_Log[WeekIndex],24))</f>
        <v/>
      </c>
      <c r="Z17" s="13">
        <f>IF(COUNTIFS(T_SelfStock_Log[Part Name],$A17,T_SelfStock_Log[WeekIndex],25)=0,"",SUMIFS(T_SelfStock_Log[Self_Qty],T_SelfStock_Log[Part Name],$A17,T_SelfStock_Log[WeekIndex],25))</f>
        <v/>
      </c>
      <c r="AA17" s="13">
        <f>IF(COUNTIFS(T_SelfStock_Log[Part Name],$A17,T_SelfStock_Log[WeekIndex],26)=0,"",SUMIFS(T_SelfStock_Log[Self_Qty],T_SelfStock_Log[Part Name],$A17,T_SelfStock_Log[WeekIndex],26))</f>
        <v/>
      </c>
      <c r="AB17" s="13">
        <f>IF(COUNTIFS(T_SelfStock_Log[Part Name],$A17,T_SelfStock_Log[WeekIndex],27)=0,"",SUMIFS(T_SelfStock_Log[Self_Qty],T_SelfStock_Log[Part Name],$A17,T_SelfStock_Log[WeekIndex],27))</f>
        <v/>
      </c>
      <c r="AC17" s="13">
        <f>IF(COUNTIFS(T_SelfStock_Log[Part Name],$A17,T_SelfStock_Log[WeekIndex],28)=0,"",SUMIFS(T_SelfStock_Log[Self_Qty],T_SelfStock_Log[Part Name],$A17,T_SelfStock_Log[WeekIndex],28))</f>
        <v/>
      </c>
      <c r="AD17" s="13">
        <f>IF(COUNTIFS(T_SelfStock_Log[Part Name],$A17,T_SelfStock_Log[WeekIndex],29)=0,"",SUMIFS(T_SelfStock_Log[Self_Qty],T_SelfStock_Log[Part Name],$A17,T_SelfStock_Log[WeekIndex],29))</f>
        <v/>
      </c>
      <c r="AE17" s="13">
        <f>IF(COUNTIFS(T_SelfStock_Log[Part Name],$A17,T_SelfStock_Log[WeekIndex],30)=0,"",SUMIFS(T_SelfStock_Log[Self_Qty],T_SelfStock_Log[Part Name],$A17,T_SelfStock_Log[WeekIndex],30))</f>
        <v/>
      </c>
      <c r="AF17" s="13">
        <f>IF(COUNTIFS(T_SelfStock_Log[Part Name],$A17,T_SelfStock_Log[WeekIndex],31)=0,"",SUMIFS(T_SelfStock_Log[Self_Qty],T_SelfStock_Log[Part Name],$A17,T_SelfStock_Log[WeekIndex],31))</f>
        <v/>
      </c>
      <c r="AG17" s="13">
        <f>IF(COUNTIFS(T_SelfStock_Log[Part Name],$A17,T_SelfStock_Log[WeekIndex],32)=0,"",SUMIFS(T_SelfStock_Log[Self_Qty],T_SelfStock_Log[Part Name],$A17,T_SelfStock_Log[WeekIndex],32))</f>
        <v/>
      </c>
      <c r="AH17" s="13">
        <f>IF(COUNTIFS(T_SelfStock_Log[Part Name],$A17,T_SelfStock_Log[WeekIndex],33)=0,"",SUMIFS(T_SelfStock_Log[Self_Qty],T_SelfStock_Log[Part Name],$A17,T_SelfStock_Log[WeekIndex],33))</f>
        <v/>
      </c>
      <c r="AI17" s="13">
        <f>IF(COUNTIFS(T_SelfStock_Log[Part Name],$A17,T_SelfStock_Log[WeekIndex],34)=0,"",SUMIFS(T_SelfStock_Log[Self_Qty],T_SelfStock_Log[Part Name],$A17,T_SelfStock_Log[WeekIndex],34))</f>
        <v/>
      </c>
      <c r="AJ17" s="13">
        <f>IF(COUNTIFS(T_SelfStock_Log[Part Name],$A17,T_SelfStock_Log[WeekIndex],35)=0,"",SUMIFS(T_SelfStock_Log[Self_Qty],T_SelfStock_Log[Part Name],$A17,T_SelfStock_Log[WeekIndex],35))</f>
        <v/>
      </c>
      <c r="AK17" s="13">
        <f>IF(COUNTIFS(T_SelfStock_Log[Part Name],$A17,T_SelfStock_Log[WeekIndex],36)=0,"",SUMIFS(T_SelfStock_Log[Self_Qty],T_SelfStock_Log[Part Name],$A17,T_SelfStock_Log[WeekIndex],36))</f>
        <v/>
      </c>
      <c r="AL17" s="13">
        <f>IF(COUNTIFS(T_SelfStock_Log[Part Name],$A17,T_SelfStock_Log[WeekIndex],37)=0,"",SUMIFS(T_SelfStock_Log[Self_Qty],T_SelfStock_Log[Part Name],$A17,T_SelfStock_Log[WeekIndex],37))</f>
        <v/>
      </c>
      <c r="AM17" s="13">
        <f>IF(COUNTIFS(T_SelfStock_Log[Part Name],$A17,T_SelfStock_Log[WeekIndex],38)=0,"",SUMIFS(T_SelfStock_Log[Self_Qty],T_SelfStock_Log[Part Name],$A17,T_SelfStock_Log[WeekIndex],38))</f>
        <v/>
      </c>
      <c r="AN17" s="13">
        <f>IF(COUNTIFS(T_SelfStock_Log[Part Name],$A17,T_SelfStock_Log[WeekIndex],39)=0,"",SUMIFS(T_SelfStock_Log[Self_Qty],T_SelfStock_Log[Part Name],$A17,T_SelfStock_Log[WeekIndex],39))</f>
        <v/>
      </c>
      <c r="AO17" s="13">
        <f>IF(COUNTIFS(T_SelfStock_Log[Part Name],$A17,T_SelfStock_Log[WeekIndex],40)=0,"",SUMIFS(T_SelfStock_Log[Self_Qty],T_SelfStock_Log[Part Name],$A17,T_SelfStock_Log[WeekIndex],40))</f>
        <v/>
      </c>
      <c r="AP17" s="13">
        <f>IF(COUNTIFS(T_SelfStock_Log[Part Name],$A17,T_SelfStock_Log[WeekIndex],41)=0,"",SUMIFS(T_SelfStock_Log[Self_Qty],T_SelfStock_Log[Part Name],$A17,T_SelfStock_Log[WeekIndex],41))</f>
        <v/>
      </c>
      <c r="AQ17" s="13">
        <f>IF(COUNTIFS(T_SelfStock_Log[Part Name],$A17,T_SelfStock_Log[WeekIndex],42)=0,"",SUMIFS(T_SelfStock_Log[Self_Qty],T_SelfStock_Log[Part Name],$A17,T_SelfStock_Log[WeekIndex],42))</f>
        <v/>
      </c>
      <c r="AR17" s="13">
        <f>IF(COUNTIFS(T_SelfStock_Log[Part Name],$A17,T_SelfStock_Log[WeekIndex],43)=0,"",SUMIFS(T_SelfStock_Log[Self_Qty],T_SelfStock_Log[Part Name],$A17,T_SelfStock_Log[WeekIndex],43))</f>
        <v/>
      </c>
      <c r="AS17" s="13">
        <f>IF(COUNTIFS(T_SelfStock_Log[Part Name],$A17,T_SelfStock_Log[WeekIndex],44)=0,"",SUMIFS(T_SelfStock_Log[Self_Qty],T_SelfStock_Log[Part Name],$A17,T_SelfStock_Log[WeekIndex],44))</f>
        <v/>
      </c>
      <c r="AT17" s="13">
        <f>IF(COUNTIFS(T_SelfStock_Log[Part Name],$A17,T_SelfStock_Log[WeekIndex],45)=0,"",SUMIFS(T_SelfStock_Log[Self_Qty],T_SelfStock_Log[Part Name],$A17,T_SelfStock_Log[WeekIndex],45))</f>
        <v/>
      </c>
      <c r="AU17" s="13">
        <f>IF(COUNTIFS(T_SelfStock_Log[Part Name],$A17,T_SelfStock_Log[WeekIndex],46)=0,"",SUMIFS(T_SelfStock_Log[Self_Qty],T_SelfStock_Log[Part Name],$A17,T_SelfStock_Log[WeekIndex],46))</f>
        <v/>
      </c>
      <c r="AV17" s="13">
        <f>IF(COUNTIFS(T_SelfStock_Log[Part Name],$A17,T_SelfStock_Log[WeekIndex],47)=0,"",SUMIFS(T_SelfStock_Log[Self_Qty],T_SelfStock_Log[Part Name],$A17,T_SelfStock_Log[WeekIndex],47))</f>
        <v/>
      </c>
      <c r="AW17" s="13">
        <f>IF(COUNTIFS(T_SelfStock_Log[Part Name],$A17,T_SelfStock_Log[WeekIndex],48)=0,"",SUMIFS(T_SelfStock_Log[Self_Qty],T_SelfStock_Log[Part Name],$A17,T_SelfStock_Log[WeekIndex],48))</f>
        <v/>
      </c>
      <c r="AX17" s="13">
        <f>IF(COUNTIFS(T_SelfStock_Log[Part Name],$A17,T_SelfStock_Log[WeekIndex],49)=0,"",SUMIFS(T_SelfStock_Log[Self_Qty],T_SelfStock_Log[Part Name],$A17,T_SelfStock_Log[WeekIndex],49))</f>
        <v/>
      </c>
      <c r="AY17" s="13">
        <f>IF(COUNTIFS(T_SelfStock_Log[Part Name],$A17,T_SelfStock_Log[WeekIndex],50)=0,"",SUMIFS(T_SelfStock_Log[Self_Qty],T_SelfStock_Log[Part Name],$A17,T_SelfStock_Log[WeekIndex],50))</f>
        <v/>
      </c>
      <c r="AZ17" s="13">
        <f>IF(COUNTIFS(T_SelfStock_Log[Part Name],$A17,T_SelfStock_Log[WeekIndex],51)=0,"",SUMIFS(T_SelfStock_Log[Self_Qty],T_SelfStock_Log[Part Name],$A17,T_SelfStock_Log[WeekIndex],51))</f>
        <v/>
      </c>
      <c r="BA17" s="13">
        <f>IF(COUNTIFS(T_SelfStock_Log[Part Name],$A17,T_SelfStock_Log[WeekIndex],52)=0,"",SUMIFS(T_SelfStock_Log[Self_Qty],T_SelfStock_Log[Part Name],$A17,T_SelfStock_Log[WeekIndex],52))</f>
        <v/>
      </c>
      <c r="BB17" s="13">
        <f>IF(COUNTIFS(T_SelfStock_Log[Part Name],$A17,T_SelfStock_Log[WeekIndex],53)=0,"",SUMIFS(T_SelfStock_Log[Self_Qty],T_SelfStock_Log[Part Name],$A17,T_SelfStock_Log[WeekIndex],53))</f>
        <v/>
      </c>
      <c r="BC17" s="13">
        <f>IF(COUNTIFS(T_SelfStock_Log[Part Name],$A17,T_SelfStock_Log[WeekIndex],54)=0,"",SUMIFS(T_SelfStock_Log[Self_Qty],T_SelfStock_Log[Part Name],$A17,T_SelfStock_Log[WeekIndex],54))</f>
        <v/>
      </c>
      <c r="BD17" s="13">
        <f>IF(COUNTIFS(T_SelfStock_Log[Part Name],$A17,T_SelfStock_Log[WeekIndex],55)=0,"",SUMIFS(T_SelfStock_Log[Self_Qty],T_SelfStock_Log[Part Name],$A17,T_SelfStock_Log[WeekIndex],55))</f>
        <v/>
      </c>
      <c r="BE17" s="13">
        <f>IF(COUNTIFS(T_SelfStock_Log[Part Name],$A17,T_SelfStock_Log[WeekIndex],56)=0,"",SUMIFS(T_SelfStock_Log[Self_Qty],T_SelfStock_Log[Part Name],$A17,T_SelfStock_Log[WeekIndex],56))</f>
        <v/>
      </c>
      <c r="BF17" s="13">
        <f>IF(COUNTIFS(T_SelfStock_Log[Part Name],$A17,T_SelfStock_Log[WeekIndex],57)=0,"",SUMIFS(T_SelfStock_Log[Self_Qty],T_SelfStock_Log[Part Name],$A17,T_SelfStock_Log[WeekIndex],57))</f>
        <v/>
      </c>
      <c r="BG17" s="13">
        <f>IF(COUNTIFS(T_SelfStock_Log[Part Name],$A17,T_SelfStock_Log[WeekIndex],58)=0,"",SUMIFS(T_SelfStock_Log[Self_Qty],T_SelfStock_Log[Part Name],$A17,T_SelfStock_Log[WeekIndex],58))</f>
        <v/>
      </c>
      <c r="BH17" s="13">
        <f>IF(COUNTIFS(T_SelfStock_Log[Part Name],$A17,T_SelfStock_Log[WeekIndex],59)=0,"",SUMIFS(T_SelfStock_Log[Self_Qty],T_SelfStock_Log[Part Name],$A17,T_SelfStock_Log[WeekIndex],59))</f>
        <v/>
      </c>
      <c r="BI17" s="13">
        <f>IF(COUNTIFS(T_SelfStock_Log[Part Name],$A17,T_SelfStock_Log[WeekIndex],60)=0,"",SUMIFS(T_SelfStock_Log[Self_Qty],T_SelfStock_Log[Part Name],$A17,T_SelfStock_Log[WeekIndex],60))</f>
        <v/>
      </c>
      <c r="BJ17" s="13">
        <f>IF(COUNTIFS(T_SelfStock_Log[Part Name],$A17,T_SelfStock_Log[WeekIndex],61)=0,"",SUMIFS(T_SelfStock_Log[Self_Qty],T_SelfStock_Log[Part Name],$A17,T_SelfStock_Log[WeekIndex],61))</f>
        <v/>
      </c>
      <c r="BK17" s="13">
        <f>IF(COUNTIFS(T_SelfStock_Log[Part Name],$A17,T_SelfStock_Log[WeekIndex],62)=0,"",SUMIFS(T_SelfStock_Log[Self_Qty],T_SelfStock_Log[Part Name],$A17,T_SelfStock_Log[WeekIndex],62))</f>
        <v/>
      </c>
      <c r="BL17" s="13">
        <f>IF(COUNTIFS(T_SelfStock_Log[Part Name],$A17,T_SelfStock_Log[WeekIndex],63)=0,"",SUMIFS(T_SelfStock_Log[Self_Qty],T_SelfStock_Log[Part Name],$A17,T_SelfStock_Log[WeekIndex],63))</f>
        <v/>
      </c>
      <c r="BM17" s="13">
        <f>IF(COUNTIFS(T_SelfStock_Log[Part Name],$A17,T_SelfStock_Log[WeekIndex],64)=0,"",SUMIFS(T_SelfStock_Log[Self_Qty],T_SelfStock_Log[Part Name],$A17,T_SelfStock_Log[WeekIndex],64))</f>
        <v/>
      </c>
      <c r="BN17" s="13">
        <f>IF(COUNTIFS(T_SelfStock_Log[Part Name],$A17,T_SelfStock_Log[WeekIndex],65)=0,"",SUMIFS(T_SelfStock_Log[Self_Qty],T_SelfStock_Log[Part Name],$A17,T_SelfStock_Log[WeekIndex],65))</f>
        <v/>
      </c>
      <c r="BO17" s="13">
        <f>IF(COUNTIFS(T_SelfStock_Log[Part Name],$A17,T_SelfStock_Log[WeekIndex],66)=0,"",SUMIFS(T_SelfStock_Log[Self_Qty],T_SelfStock_Log[Part Name],$A17,T_SelfStock_Log[WeekIndex],66))</f>
        <v/>
      </c>
      <c r="BP17" s="13">
        <f>IF(COUNTIFS(T_SelfStock_Log[Part Name],$A17,T_SelfStock_Log[WeekIndex],67)=0,"",SUMIFS(T_SelfStock_Log[Self_Qty],T_SelfStock_Log[Part Name],$A17,T_SelfStock_Log[WeekIndex],67))</f>
        <v/>
      </c>
      <c r="BQ17" s="13">
        <f>IF(COUNTIFS(T_SelfStock_Log[Part Name],$A17,T_SelfStock_Log[WeekIndex],68)=0,"",SUMIFS(T_SelfStock_Log[Self_Qty],T_SelfStock_Log[Part Name],$A17,T_SelfStock_Log[WeekIndex],68))</f>
        <v/>
      </c>
      <c r="BR17" s="13">
        <f>IF(COUNTIFS(T_SelfStock_Log[Part Name],$A17,T_SelfStock_Log[WeekIndex],69)=0,"",SUMIFS(T_SelfStock_Log[Self_Qty],T_SelfStock_Log[Part Name],$A17,T_SelfStock_Log[WeekIndex],69))</f>
        <v/>
      </c>
      <c r="BS17" s="13">
        <f>IF(COUNTIFS(T_SelfStock_Log[Part Name],$A17,T_SelfStock_Log[WeekIndex],70)=0,"",SUMIFS(T_SelfStock_Log[Self_Qty],T_SelfStock_Log[Part Name],$A17,T_SelfStock_Log[WeekIndex],70))</f>
        <v/>
      </c>
      <c r="BT17" s="13">
        <f>IF(COUNTIFS(T_SelfStock_Log[Part Name],$A17,T_SelfStock_Log[WeekIndex],71)=0,"",SUMIFS(T_SelfStock_Log[Self_Qty],T_SelfStock_Log[Part Name],$A17,T_SelfStock_Log[WeekIndex],71))</f>
        <v/>
      </c>
      <c r="BU17" s="13">
        <f>IF(COUNTIFS(T_SelfStock_Log[Part Name],$A17,T_SelfStock_Log[WeekIndex],72)=0,"",SUMIFS(T_SelfStock_Log[Self_Qty],T_SelfStock_Log[Part Name],$A17,T_SelfStock_Log[WeekIndex],72))</f>
        <v/>
      </c>
      <c r="BV17" s="13">
        <f>IF(COUNTIFS(T_SelfStock_Log[Part Name],$A17,T_SelfStock_Log[WeekIndex],73)=0,"",SUMIFS(T_SelfStock_Log[Self_Qty],T_SelfStock_Log[Part Name],$A17,T_SelfStock_Log[WeekIndex],73))</f>
        <v/>
      </c>
      <c r="BW17" s="13">
        <f>IF(COUNTIFS(T_SelfStock_Log[Part Name],$A17,T_SelfStock_Log[WeekIndex],74)=0,"",SUMIFS(T_SelfStock_Log[Self_Qty],T_SelfStock_Log[Part Name],$A17,T_SelfStock_Log[WeekIndex],74))</f>
        <v/>
      </c>
      <c r="BX17" s="13">
        <f>IF(COUNTIFS(T_SelfStock_Log[Part Name],$A17,T_SelfStock_Log[WeekIndex],75)=0,"",SUMIFS(T_SelfStock_Log[Self_Qty],T_SelfStock_Log[Part Name],$A17,T_SelfStock_Log[WeekIndex],75))</f>
        <v/>
      </c>
      <c r="BY17" s="13">
        <f>IF(COUNTIFS(T_SelfStock_Log[Part Name],$A17,T_SelfStock_Log[WeekIndex],76)=0,"",SUMIFS(T_SelfStock_Log[Self_Qty],T_SelfStock_Log[Part Name],$A17,T_SelfStock_Log[WeekIndex],76))</f>
        <v/>
      </c>
      <c r="BZ17" s="13">
        <f>IF(COUNTIFS(T_SelfStock_Log[Part Name],$A17,T_SelfStock_Log[WeekIndex],77)=0,"",SUMIFS(T_SelfStock_Log[Self_Qty],T_SelfStock_Log[Part Name],$A17,T_SelfStock_Log[WeekIndex],77))</f>
        <v/>
      </c>
      <c r="CA17" s="13">
        <f>IF(COUNTIFS(T_SelfStock_Log[Part Name],$A17,T_SelfStock_Log[WeekIndex],78)=0,"",SUMIFS(T_SelfStock_Log[Self_Qty],T_SelfStock_Log[Part Name],$A17,T_SelfStock_Log[WeekIndex],78))</f>
        <v/>
      </c>
      <c r="CB17" s="13">
        <f>IF(COUNTIFS(T_SelfStock_Log[Part Name],$A17,T_SelfStock_Log[WeekIndex],79)=0,"",SUMIFS(T_SelfStock_Log[Self_Qty],T_SelfStock_Log[Part Name],$A17,T_SelfStock_Log[WeekIndex],79))</f>
        <v/>
      </c>
      <c r="CC17" s="13">
        <f>IF(COUNTIFS(T_SelfStock_Log[Part Name],$A17,T_SelfStock_Log[WeekIndex],80)=0,"",SUMIFS(T_SelfStock_Log[Self_Qty],T_SelfStock_Log[Part Name],$A17,T_SelfStock_Log[WeekIndex],80))</f>
        <v/>
      </c>
      <c r="CD17" s="13">
        <f>IF(COUNTIFS(T_SelfStock_Log[Part Name],$A17,T_SelfStock_Log[WeekIndex],81)=0,"",SUMIFS(T_SelfStock_Log[Self_Qty],T_SelfStock_Log[Part Name],$A17,T_SelfStock_Log[WeekIndex],81))</f>
        <v/>
      </c>
      <c r="CE17" s="13">
        <f>IF(COUNTIFS(T_SelfStock_Log[Part Name],$A17,T_SelfStock_Log[WeekIndex],82)=0,"",SUMIFS(T_SelfStock_Log[Self_Qty],T_SelfStock_Log[Part Name],$A17,T_SelfStock_Log[WeekIndex],82))</f>
        <v/>
      </c>
      <c r="CF17" s="13">
        <f>IF(COUNTIFS(T_SelfStock_Log[Part Name],$A17,T_SelfStock_Log[WeekIndex],83)=0,"",SUMIFS(T_SelfStock_Log[Self_Qty],T_SelfStock_Log[Part Name],$A17,T_SelfStock_Log[WeekIndex],83))</f>
        <v/>
      </c>
      <c r="CG17" s="13">
        <f>IF(COUNTIFS(T_SelfStock_Log[Part Name],$A17,T_SelfStock_Log[WeekIndex],84)=0,"",SUMIFS(T_SelfStock_Log[Self_Qty],T_SelfStock_Log[Part Name],$A17,T_SelfStock_Log[WeekIndex],84))</f>
        <v/>
      </c>
      <c r="CH17" s="13">
        <f>IF(COUNTIFS(T_SelfStock_Log[Part Name],$A17,T_SelfStock_Log[WeekIndex],85)=0,"",SUMIFS(T_SelfStock_Log[Self_Qty],T_SelfStock_Log[Part Name],$A17,T_SelfStock_Log[WeekIndex],85))</f>
        <v/>
      </c>
      <c r="CI17" s="13">
        <f>IF(COUNTIFS(T_SelfStock_Log[Part Name],$A17,T_SelfStock_Log[WeekIndex],86)=0,"",SUMIFS(T_SelfStock_Log[Self_Qty],T_SelfStock_Log[Part Name],$A17,T_SelfStock_Log[WeekIndex],86))</f>
        <v/>
      </c>
      <c r="CJ17" s="13">
        <f>IF(COUNTIFS(T_SelfStock_Log[Part Name],$A17,T_SelfStock_Log[WeekIndex],87)=0,"",SUMIFS(T_SelfStock_Log[Self_Qty],T_SelfStock_Log[Part Name],$A17,T_SelfStock_Log[WeekIndex],87))</f>
        <v/>
      </c>
      <c r="CK17" s="13">
        <f>IF(COUNTIFS(T_SelfStock_Log[Part Name],$A17,T_SelfStock_Log[WeekIndex],88)=0,"",SUMIFS(T_SelfStock_Log[Self_Qty],T_SelfStock_Log[Part Name],$A17,T_SelfStock_Log[WeekIndex],88))</f>
        <v/>
      </c>
      <c r="CL17" s="13">
        <f>IF(COUNTIFS(T_SelfStock_Log[Part Name],$A17,T_SelfStock_Log[WeekIndex],89)=0,"",SUMIFS(T_SelfStock_Log[Self_Qty],T_SelfStock_Log[Part Name],$A17,T_SelfStock_Log[WeekIndex],89))</f>
        <v/>
      </c>
      <c r="CM17" s="13">
        <f>IF(COUNTIFS(T_SelfStock_Log[Part Name],$A17,T_SelfStock_Log[WeekIndex],90)=0,"",SUMIFS(T_SelfStock_Log[Self_Qty],T_SelfStock_Log[Part Name],$A17,T_SelfStock_Log[WeekIndex],90))</f>
        <v/>
      </c>
      <c r="CN17" s="13">
        <f>IF(COUNTIFS(T_SelfStock_Log[Part Name],$A17,T_SelfStock_Log[WeekIndex],91)=0,"",SUMIFS(T_SelfStock_Log[Self_Qty],T_SelfStock_Log[Part Name],$A17,T_SelfStock_Log[WeekIndex],91))</f>
        <v/>
      </c>
      <c r="CO17" s="13">
        <f>IF(COUNTIFS(T_SelfStock_Log[Part Name],$A17,T_SelfStock_Log[WeekIndex],92)=0,"",SUMIFS(T_SelfStock_Log[Self_Qty],T_SelfStock_Log[Part Name],$A17,T_SelfStock_Log[WeekIndex],92))</f>
        <v/>
      </c>
      <c r="CP17" s="13">
        <f>IF(COUNTIFS(T_SelfStock_Log[Part Name],$A17,T_SelfStock_Log[WeekIndex],93)=0,"",SUMIFS(T_SelfStock_Log[Self_Qty],T_SelfStock_Log[Part Name],$A17,T_SelfStock_Log[WeekIndex],93))</f>
        <v/>
      </c>
      <c r="CQ17" s="13">
        <f>IF(COUNTIFS(T_SelfStock_Log[Part Name],$A17,T_SelfStock_Log[WeekIndex],94)=0,"",SUMIFS(T_SelfStock_Log[Self_Qty],T_SelfStock_Log[Part Name],$A17,T_SelfStock_Log[WeekIndex],94))</f>
        <v/>
      </c>
      <c r="CR17" s="13">
        <f>IF(COUNTIFS(T_SelfStock_Log[Part Name],$A17,T_SelfStock_Log[WeekIndex],95)=0,"",SUMIFS(T_SelfStock_Log[Self_Qty],T_SelfStock_Log[Part Name],$A17,T_SelfStock_Log[WeekIndex],95))</f>
        <v/>
      </c>
      <c r="CS17" s="13">
        <f>IF(COUNTIFS(T_SelfStock_Log[Part Name],$A17,T_SelfStock_Log[WeekIndex],96)=0,"",SUMIFS(T_SelfStock_Log[Self_Qty],T_SelfStock_Log[Part Name],$A17,T_SelfStock_Log[WeekIndex],96))</f>
        <v/>
      </c>
      <c r="CT17" s="13">
        <f>IF(COUNTIFS(T_SelfStock_Log[Part Name],$A17,T_SelfStock_Log[WeekIndex],97)=0,"",SUMIFS(T_SelfStock_Log[Self_Qty],T_SelfStock_Log[Part Name],$A17,T_SelfStock_Log[WeekIndex],97))</f>
        <v/>
      </c>
      <c r="CU17" s="13">
        <f>IF(COUNTIFS(T_SelfStock_Log[Part Name],$A17,T_SelfStock_Log[WeekIndex],98)=0,"",SUMIFS(T_SelfStock_Log[Self_Qty],T_SelfStock_Log[Part Name],$A17,T_SelfStock_Log[WeekIndex],98))</f>
        <v/>
      </c>
      <c r="CV17" s="13">
        <f>IF(COUNTIFS(T_SelfStock_Log[Part Name],$A17,T_SelfStock_Log[WeekIndex],99)=0,"",SUMIFS(T_SelfStock_Log[Self_Qty],T_SelfStock_Log[Part Name],$A17,T_SelfStock_Log[WeekIndex],99))</f>
        <v/>
      </c>
      <c r="CW17" s="13">
        <f>IF(COUNTIFS(T_SelfStock_Log[Part Name],$A17,T_SelfStock_Log[WeekIndex],100)=0,"",SUMIFS(T_SelfStock_Log[Self_Qty],T_SelfStock_Log[Part Name],$A17,T_SelfStock_Log[WeekIndex],100))</f>
        <v/>
      </c>
      <c r="CX17" s="13">
        <f>IF(COUNTIFS(T_SelfStock_Log[Part Name],$A17,T_SelfStock_Log[WeekIndex],101)=0,"",SUMIFS(T_SelfStock_Log[Self_Qty],T_SelfStock_Log[Part Name],$A17,T_SelfStock_Log[WeekIndex],101))</f>
        <v/>
      </c>
      <c r="CY17" s="13">
        <f>IF(COUNTIFS(T_SelfStock_Log[Part Name],$A17,T_SelfStock_Log[WeekIndex],102)=0,"",SUMIFS(T_SelfStock_Log[Self_Qty],T_SelfStock_Log[Part Name],$A17,T_SelfStock_Log[WeekIndex],102))</f>
        <v/>
      </c>
      <c r="CZ17" s="13">
        <f>IF(COUNTIFS(T_SelfStock_Log[Part Name],$A17,T_SelfStock_Log[WeekIndex],103)=0,"",SUMIFS(T_SelfStock_Log[Self_Qty],T_SelfStock_Log[Part Name],$A17,T_SelfStock_Log[WeekIndex],103))</f>
        <v/>
      </c>
      <c r="DA17" s="13">
        <f>IF(COUNTIFS(T_SelfStock_Log[Part Name],$A17,T_SelfStock_Log[WeekIndex],104)=0,"",SUMIFS(T_SelfStock_Log[Self_Qty],T_SelfStock_Log[Part Name],$A17,T_SelfStock_Log[WeekIndex],104))</f>
        <v/>
      </c>
    </row>
    <row r="18">
      <c r="A18" s="12" t="inlineStr">
        <is>
          <t>9RN</t>
        </is>
      </c>
      <c r="B18" s="12">
        <f>IF(COUNTIFS(T_SelfStock_Log[Part Name],$A18,T_SelfStock_Log[WeekIndex],1)=0,"",SUMIFS(T_SelfStock_Log[Self_Qty],T_SelfStock_Log[Part Name],$A18,T_SelfStock_Log[WeekIndex],1))</f>
        <v/>
      </c>
      <c r="C18" s="12">
        <f>IF(COUNTIFS(T_SelfStock_Log[Part Name],$A18,T_SelfStock_Log[WeekIndex],2)=0,"",SUMIFS(T_SelfStock_Log[Self_Qty],T_SelfStock_Log[Part Name],$A18,T_SelfStock_Log[WeekIndex],2))</f>
        <v/>
      </c>
      <c r="D18" s="12">
        <f>IF(COUNTIFS(T_SelfStock_Log[Part Name],$A18,T_SelfStock_Log[WeekIndex],3)=0,"",SUMIFS(T_SelfStock_Log[Self_Qty],T_SelfStock_Log[Part Name],$A18,T_SelfStock_Log[WeekIndex],3))</f>
        <v/>
      </c>
      <c r="E18" s="12">
        <f>IF(COUNTIFS(T_SelfStock_Log[Part Name],$A18,T_SelfStock_Log[WeekIndex],4)=0,"",SUMIFS(T_SelfStock_Log[Self_Qty],T_SelfStock_Log[Part Name],$A18,T_SelfStock_Log[WeekIndex],4))</f>
        <v/>
      </c>
      <c r="F18" s="12">
        <f>IF(COUNTIFS(T_SelfStock_Log[Part Name],$A18,T_SelfStock_Log[WeekIndex],5)=0,"",SUMIFS(T_SelfStock_Log[Self_Qty],T_SelfStock_Log[Part Name],$A18,T_SelfStock_Log[WeekIndex],5))</f>
        <v/>
      </c>
      <c r="G18" s="12">
        <f>IF(COUNTIFS(T_SelfStock_Log[Part Name],$A18,T_SelfStock_Log[WeekIndex],6)=0,"",SUMIFS(T_SelfStock_Log[Self_Qty],T_SelfStock_Log[Part Name],$A18,T_SelfStock_Log[WeekIndex],6))</f>
        <v/>
      </c>
      <c r="H18" s="12">
        <f>IF(COUNTIFS(T_SelfStock_Log[Part Name],$A18,T_SelfStock_Log[WeekIndex],7)=0,"",SUMIFS(T_SelfStock_Log[Self_Qty],T_SelfStock_Log[Part Name],$A18,T_SelfStock_Log[WeekIndex],7))</f>
        <v/>
      </c>
      <c r="I18" s="12">
        <f>IF(COUNTIFS(T_SelfStock_Log[Part Name],$A18,T_SelfStock_Log[WeekIndex],8)=0,"",SUMIFS(T_SelfStock_Log[Self_Qty],T_SelfStock_Log[Part Name],$A18,T_SelfStock_Log[WeekIndex],8))</f>
        <v/>
      </c>
      <c r="J18" s="12">
        <f>IF(COUNTIFS(T_SelfStock_Log[Part Name],$A18,T_SelfStock_Log[WeekIndex],9)=0,"",SUMIFS(T_SelfStock_Log[Self_Qty],T_SelfStock_Log[Part Name],$A18,T_SelfStock_Log[WeekIndex],9))</f>
        <v/>
      </c>
      <c r="K18" s="12">
        <f>IF(COUNTIFS(T_SelfStock_Log[Part Name],$A18,T_SelfStock_Log[WeekIndex],10)=0,"",SUMIFS(T_SelfStock_Log[Self_Qty],T_SelfStock_Log[Part Name],$A18,T_SelfStock_Log[WeekIndex],10))</f>
        <v/>
      </c>
      <c r="L18" s="12">
        <f>IF(COUNTIFS(T_SelfStock_Log[Part Name],$A18,T_SelfStock_Log[WeekIndex],11)=0,"",SUMIFS(T_SelfStock_Log[Self_Qty],T_SelfStock_Log[Part Name],$A18,T_SelfStock_Log[WeekIndex],11))</f>
        <v/>
      </c>
      <c r="M18" s="12">
        <f>IF(COUNTIFS(T_SelfStock_Log[Part Name],$A18,T_SelfStock_Log[WeekIndex],12)=0,"",SUMIFS(T_SelfStock_Log[Self_Qty],T_SelfStock_Log[Part Name],$A18,T_SelfStock_Log[WeekIndex],12))</f>
        <v/>
      </c>
      <c r="N18" s="12">
        <f>IF(COUNTIFS(T_SelfStock_Log[Part Name],$A18,T_SelfStock_Log[WeekIndex],13)=0,"",SUMIFS(T_SelfStock_Log[Self_Qty],T_SelfStock_Log[Part Name],$A18,T_SelfStock_Log[WeekIndex],13))</f>
        <v/>
      </c>
      <c r="O18" s="12">
        <f>IF(COUNTIFS(T_SelfStock_Log[Part Name],$A18,T_SelfStock_Log[WeekIndex],14)=0,"",SUMIFS(T_SelfStock_Log[Self_Qty],T_SelfStock_Log[Part Name],$A18,T_SelfStock_Log[WeekIndex],14))</f>
        <v/>
      </c>
      <c r="P18" s="12">
        <f>IF(COUNTIFS(T_SelfStock_Log[Part Name],$A18,T_SelfStock_Log[WeekIndex],15)=0,"",SUMIFS(T_SelfStock_Log[Self_Qty],T_SelfStock_Log[Part Name],$A18,T_SelfStock_Log[WeekIndex],15))</f>
        <v/>
      </c>
      <c r="Q18" s="12">
        <f>IF(COUNTIFS(T_SelfStock_Log[Part Name],$A18,T_SelfStock_Log[WeekIndex],16)=0,"",SUMIFS(T_SelfStock_Log[Self_Qty],T_SelfStock_Log[Part Name],$A18,T_SelfStock_Log[WeekIndex],16))</f>
        <v/>
      </c>
      <c r="R18" s="12">
        <f>IF(COUNTIFS(T_SelfStock_Log[Part Name],$A18,T_SelfStock_Log[WeekIndex],17)=0,"",SUMIFS(T_SelfStock_Log[Self_Qty],T_SelfStock_Log[Part Name],$A18,T_SelfStock_Log[WeekIndex],17))</f>
        <v/>
      </c>
      <c r="S18" s="12">
        <f>IF(COUNTIFS(T_SelfStock_Log[Part Name],$A18,T_SelfStock_Log[WeekIndex],18)=0,"",SUMIFS(T_SelfStock_Log[Self_Qty],T_SelfStock_Log[Part Name],$A18,T_SelfStock_Log[WeekIndex],18))</f>
        <v/>
      </c>
      <c r="T18" s="12">
        <f>IF(COUNTIFS(T_SelfStock_Log[Part Name],$A18,T_SelfStock_Log[WeekIndex],19)=0,"",SUMIFS(T_SelfStock_Log[Self_Qty],T_SelfStock_Log[Part Name],$A18,T_SelfStock_Log[WeekIndex],19))</f>
        <v/>
      </c>
      <c r="U18" s="12">
        <f>IF(COUNTIFS(T_SelfStock_Log[Part Name],$A18,T_SelfStock_Log[WeekIndex],20)=0,"",SUMIFS(T_SelfStock_Log[Self_Qty],T_SelfStock_Log[Part Name],$A18,T_SelfStock_Log[WeekIndex],20))</f>
        <v/>
      </c>
      <c r="V18" s="12">
        <f>IF(COUNTIFS(T_SelfStock_Log[Part Name],$A18,T_SelfStock_Log[WeekIndex],21)=0,"",SUMIFS(T_SelfStock_Log[Self_Qty],T_SelfStock_Log[Part Name],$A18,T_SelfStock_Log[WeekIndex],21))</f>
        <v/>
      </c>
      <c r="W18" s="12">
        <f>IF(COUNTIFS(T_SelfStock_Log[Part Name],$A18,T_SelfStock_Log[WeekIndex],22)=0,"",SUMIFS(T_SelfStock_Log[Self_Qty],T_SelfStock_Log[Part Name],$A18,T_SelfStock_Log[WeekIndex],22))</f>
        <v/>
      </c>
      <c r="X18" s="12">
        <f>IF(COUNTIFS(T_SelfStock_Log[Part Name],$A18,T_SelfStock_Log[WeekIndex],23)=0,"",SUMIFS(T_SelfStock_Log[Self_Qty],T_SelfStock_Log[Part Name],$A18,T_SelfStock_Log[WeekIndex],23))</f>
        <v/>
      </c>
      <c r="Y18" s="12">
        <f>IF(COUNTIFS(T_SelfStock_Log[Part Name],$A18,T_SelfStock_Log[WeekIndex],24)=0,"",SUMIFS(T_SelfStock_Log[Self_Qty],T_SelfStock_Log[Part Name],$A18,T_SelfStock_Log[WeekIndex],24))</f>
        <v/>
      </c>
      <c r="Z18" s="12">
        <f>IF(COUNTIFS(T_SelfStock_Log[Part Name],$A18,T_SelfStock_Log[WeekIndex],25)=0,"",SUMIFS(T_SelfStock_Log[Self_Qty],T_SelfStock_Log[Part Name],$A18,T_SelfStock_Log[WeekIndex],25))</f>
        <v/>
      </c>
      <c r="AA18" s="12">
        <f>IF(COUNTIFS(T_SelfStock_Log[Part Name],$A18,T_SelfStock_Log[WeekIndex],26)=0,"",SUMIFS(T_SelfStock_Log[Self_Qty],T_SelfStock_Log[Part Name],$A18,T_SelfStock_Log[WeekIndex],26))</f>
        <v/>
      </c>
      <c r="AB18" s="12">
        <f>IF(COUNTIFS(T_SelfStock_Log[Part Name],$A18,T_SelfStock_Log[WeekIndex],27)=0,"",SUMIFS(T_SelfStock_Log[Self_Qty],T_SelfStock_Log[Part Name],$A18,T_SelfStock_Log[WeekIndex],27))</f>
        <v/>
      </c>
      <c r="AC18" s="12">
        <f>IF(COUNTIFS(T_SelfStock_Log[Part Name],$A18,T_SelfStock_Log[WeekIndex],28)=0,"",SUMIFS(T_SelfStock_Log[Self_Qty],T_SelfStock_Log[Part Name],$A18,T_SelfStock_Log[WeekIndex],28))</f>
        <v/>
      </c>
      <c r="AD18" s="12">
        <f>IF(COUNTIFS(T_SelfStock_Log[Part Name],$A18,T_SelfStock_Log[WeekIndex],29)=0,"",SUMIFS(T_SelfStock_Log[Self_Qty],T_SelfStock_Log[Part Name],$A18,T_SelfStock_Log[WeekIndex],29))</f>
        <v/>
      </c>
      <c r="AE18" s="12">
        <f>IF(COUNTIFS(T_SelfStock_Log[Part Name],$A18,T_SelfStock_Log[WeekIndex],30)=0,"",SUMIFS(T_SelfStock_Log[Self_Qty],T_SelfStock_Log[Part Name],$A18,T_SelfStock_Log[WeekIndex],30))</f>
        <v/>
      </c>
      <c r="AF18" s="12">
        <f>IF(COUNTIFS(T_SelfStock_Log[Part Name],$A18,T_SelfStock_Log[WeekIndex],31)=0,"",SUMIFS(T_SelfStock_Log[Self_Qty],T_SelfStock_Log[Part Name],$A18,T_SelfStock_Log[WeekIndex],31))</f>
        <v/>
      </c>
      <c r="AG18" s="12">
        <f>IF(COUNTIFS(T_SelfStock_Log[Part Name],$A18,T_SelfStock_Log[WeekIndex],32)=0,"",SUMIFS(T_SelfStock_Log[Self_Qty],T_SelfStock_Log[Part Name],$A18,T_SelfStock_Log[WeekIndex],32))</f>
        <v/>
      </c>
      <c r="AH18" s="12">
        <f>IF(COUNTIFS(T_SelfStock_Log[Part Name],$A18,T_SelfStock_Log[WeekIndex],33)=0,"",SUMIFS(T_SelfStock_Log[Self_Qty],T_SelfStock_Log[Part Name],$A18,T_SelfStock_Log[WeekIndex],33))</f>
        <v/>
      </c>
      <c r="AI18" s="12">
        <f>IF(COUNTIFS(T_SelfStock_Log[Part Name],$A18,T_SelfStock_Log[WeekIndex],34)=0,"",SUMIFS(T_SelfStock_Log[Self_Qty],T_SelfStock_Log[Part Name],$A18,T_SelfStock_Log[WeekIndex],34))</f>
        <v/>
      </c>
      <c r="AJ18" s="12">
        <f>IF(COUNTIFS(T_SelfStock_Log[Part Name],$A18,T_SelfStock_Log[WeekIndex],35)=0,"",SUMIFS(T_SelfStock_Log[Self_Qty],T_SelfStock_Log[Part Name],$A18,T_SelfStock_Log[WeekIndex],35))</f>
        <v/>
      </c>
      <c r="AK18" s="12">
        <f>IF(COUNTIFS(T_SelfStock_Log[Part Name],$A18,T_SelfStock_Log[WeekIndex],36)=0,"",SUMIFS(T_SelfStock_Log[Self_Qty],T_SelfStock_Log[Part Name],$A18,T_SelfStock_Log[WeekIndex],36))</f>
        <v/>
      </c>
      <c r="AL18" s="12">
        <f>IF(COUNTIFS(T_SelfStock_Log[Part Name],$A18,T_SelfStock_Log[WeekIndex],37)=0,"",SUMIFS(T_SelfStock_Log[Self_Qty],T_SelfStock_Log[Part Name],$A18,T_SelfStock_Log[WeekIndex],37))</f>
        <v/>
      </c>
      <c r="AM18" s="12">
        <f>IF(COUNTIFS(T_SelfStock_Log[Part Name],$A18,T_SelfStock_Log[WeekIndex],38)=0,"",SUMIFS(T_SelfStock_Log[Self_Qty],T_SelfStock_Log[Part Name],$A18,T_SelfStock_Log[WeekIndex],38))</f>
        <v/>
      </c>
      <c r="AN18" s="12">
        <f>IF(COUNTIFS(T_SelfStock_Log[Part Name],$A18,T_SelfStock_Log[WeekIndex],39)=0,"",SUMIFS(T_SelfStock_Log[Self_Qty],T_SelfStock_Log[Part Name],$A18,T_SelfStock_Log[WeekIndex],39))</f>
        <v/>
      </c>
      <c r="AO18" s="12">
        <f>IF(COUNTIFS(T_SelfStock_Log[Part Name],$A18,T_SelfStock_Log[WeekIndex],40)=0,"",SUMIFS(T_SelfStock_Log[Self_Qty],T_SelfStock_Log[Part Name],$A18,T_SelfStock_Log[WeekIndex],40))</f>
        <v/>
      </c>
      <c r="AP18" s="12">
        <f>IF(COUNTIFS(T_SelfStock_Log[Part Name],$A18,T_SelfStock_Log[WeekIndex],41)=0,"",SUMIFS(T_SelfStock_Log[Self_Qty],T_SelfStock_Log[Part Name],$A18,T_SelfStock_Log[WeekIndex],41))</f>
        <v/>
      </c>
      <c r="AQ18" s="12">
        <f>IF(COUNTIFS(T_SelfStock_Log[Part Name],$A18,T_SelfStock_Log[WeekIndex],42)=0,"",SUMIFS(T_SelfStock_Log[Self_Qty],T_SelfStock_Log[Part Name],$A18,T_SelfStock_Log[WeekIndex],42))</f>
        <v/>
      </c>
      <c r="AR18" s="12">
        <f>IF(COUNTIFS(T_SelfStock_Log[Part Name],$A18,T_SelfStock_Log[WeekIndex],43)=0,"",SUMIFS(T_SelfStock_Log[Self_Qty],T_SelfStock_Log[Part Name],$A18,T_SelfStock_Log[WeekIndex],43))</f>
        <v/>
      </c>
      <c r="AS18" s="12">
        <f>IF(COUNTIFS(T_SelfStock_Log[Part Name],$A18,T_SelfStock_Log[WeekIndex],44)=0,"",SUMIFS(T_SelfStock_Log[Self_Qty],T_SelfStock_Log[Part Name],$A18,T_SelfStock_Log[WeekIndex],44))</f>
        <v/>
      </c>
      <c r="AT18" s="12">
        <f>IF(COUNTIFS(T_SelfStock_Log[Part Name],$A18,T_SelfStock_Log[WeekIndex],45)=0,"",SUMIFS(T_SelfStock_Log[Self_Qty],T_SelfStock_Log[Part Name],$A18,T_SelfStock_Log[WeekIndex],45))</f>
        <v/>
      </c>
      <c r="AU18" s="12">
        <f>IF(COUNTIFS(T_SelfStock_Log[Part Name],$A18,T_SelfStock_Log[WeekIndex],46)=0,"",SUMIFS(T_SelfStock_Log[Self_Qty],T_SelfStock_Log[Part Name],$A18,T_SelfStock_Log[WeekIndex],46))</f>
        <v/>
      </c>
      <c r="AV18" s="12">
        <f>IF(COUNTIFS(T_SelfStock_Log[Part Name],$A18,T_SelfStock_Log[WeekIndex],47)=0,"",SUMIFS(T_SelfStock_Log[Self_Qty],T_SelfStock_Log[Part Name],$A18,T_SelfStock_Log[WeekIndex],47))</f>
        <v/>
      </c>
      <c r="AW18" s="12">
        <f>IF(COUNTIFS(T_SelfStock_Log[Part Name],$A18,T_SelfStock_Log[WeekIndex],48)=0,"",SUMIFS(T_SelfStock_Log[Self_Qty],T_SelfStock_Log[Part Name],$A18,T_SelfStock_Log[WeekIndex],48))</f>
        <v/>
      </c>
      <c r="AX18" s="12">
        <f>IF(COUNTIFS(T_SelfStock_Log[Part Name],$A18,T_SelfStock_Log[WeekIndex],49)=0,"",SUMIFS(T_SelfStock_Log[Self_Qty],T_SelfStock_Log[Part Name],$A18,T_SelfStock_Log[WeekIndex],49))</f>
        <v/>
      </c>
      <c r="AY18" s="12">
        <f>IF(COUNTIFS(T_SelfStock_Log[Part Name],$A18,T_SelfStock_Log[WeekIndex],50)=0,"",SUMIFS(T_SelfStock_Log[Self_Qty],T_SelfStock_Log[Part Name],$A18,T_SelfStock_Log[WeekIndex],50))</f>
        <v/>
      </c>
      <c r="AZ18" s="12">
        <f>IF(COUNTIFS(T_SelfStock_Log[Part Name],$A18,T_SelfStock_Log[WeekIndex],51)=0,"",SUMIFS(T_SelfStock_Log[Self_Qty],T_SelfStock_Log[Part Name],$A18,T_SelfStock_Log[WeekIndex],51))</f>
        <v/>
      </c>
      <c r="BA18" s="12">
        <f>IF(COUNTIFS(T_SelfStock_Log[Part Name],$A18,T_SelfStock_Log[WeekIndex],52)=0,"",SUMIFS(T_SelfStock_Log[Self_Qty],T_SelfStock_Log[Part Name],$A18,T_SelfStock_Log[WeekIndex],52))</f>
        <v/>
      </c>
      <c r="BB18" s="12">
        <f>IF(COUNTIFS(T_SelfStock_Log[Part Name],$A18,T_SelfStock_Log[WeekIndex],53)=0,"",SUMIFS(T_SelfStock_Log[Self_Qty],T_SelfStock_Log[Part Name],$A18,T_SelfStock_Log[WeekIndex],53))</f>
        <v/>
      </c>
      <c r="BC18" s="12">
        <f>IF(COUNTIFS(T_SelfStock_Log[Part Name],$A18,T_SelfStock_Log[WeekIndex],54)=0,"",SUMIFS(T_SelfStock_Log[Self_Qty],T_SelfStock_Log[Part Name],$A18,T_SelfStock_Log[WeekIndex],54))</f>
        <v/>
      </c>
      <c r="BD18" s="12">
        <f>IF(COUNTIFS(T_SelfStock_Log[Part Name],$A18,T_SelfStock_Log[WeekIndex],55)=0,"",SUMIFS(T_SelfStock_Log[Self_Qty],T_SelfStock_Log[Part Name],$A18,T_SelfStock_Log[WeekIndex],55))</f>
        <v/>
      </c>
      <c r="BE18" s="12">
        <f>IF(COUNTIFS(T_SelfStock_Log[Part Name],$A18,T_SelfStock_Log[WeekIndex],56)=0,"",SUMIFS(T_SelfStock_Log[Self_Qty],T_SelfStock_Log[Part Name],$A18,T_SelfStock_Log[WeekIndex],56))</f>
        <v/>
      </c>
      <c r="BF18" s="12">
        <f>IF(COUNTIFS(T_SelfStock_Log[Part Name],$A18,T_SelfStock_Log[WeekIndex],57)=0,"",SUMIFS(T_SelfStock_Log[Self_Qty],T_SelfStock_Log[Part Name],$A18,T_SelfStock_Log[WeekIndex],57))</f>
        <v/>
      </c>
      <c r="BG18" s="12">
        <f>IF(COUNTIFS(T_SelfStock_Log[Part Name],$A18,T_SelfStock_Log[WeekIndex],58)=0,"",SUMIFS(T_SelfStock_Log[Self_Qty],T_SelfStock_Log[Part Name],$A18,T_SelfStock_Log[WeekIndex],58))</f>
        <v/>
      </c>
      <c r="BH18" s="12">
        <f>IF(COUNTIFS(T_SelfStock_Log[Part Name],$A18,T_SelfStock_Log[WeekIndex],59)=0,"",SUMIFS(T_SelfStock_Log[Self_Qty],T_SelfStock_Log[Part Name],$A18,T_SelfStock_Log[WeekIndex],59))</f>
        <v/>
      </c>
      <c r="BI18" s="12">
        <f>IF(COUNTIFS(T_SelfStock_Log[Part Name],$A18,T_SelfStock_Log[WeekIndex],60)=0,"",SUMIFS(T_SelfStock_Log[Self_Qty],T_SelfStock_Log[Part Name],$A18,T_SelfStock_Log[WeekIndex],60))</f>
        <v/>
      </c>
      <c r="BJ18" s="12">
        <f>IF(COUNTIFS(T_SelfStock_Log[Part Name],$A18,T_SelfStock_Log[WeekIndex],61)=0,"",SUMIFS(T_SelfStock_Log[Self_Qty],T_SelfStock_Log[Part Name],$A18,T_SelfStock_Log[WeekIndex],61))</f>
        <v/>
      </c>
      <c r="BK18" s="12">
        <f>IF(COUNTIFS(T_SelfStock_Log[Part Name],$A18,T_SelfStock_Log[WeekIndex],62)=0,"",SUMIFS(T_SelfStock_Log[Self_Qty],T_SelfStock_Log[Part Name],$A18,T_SelfStock_Log[WeekIndex],62))</f>
        <v/>
      </c>
      <c r="BL18" s="12">
        <f>IF(COUNTIFS(T_SelfStock_Log[Part Name],$A18,T_SelfStock_Log[WeekIndex],63)=0,"",SUMIFS(T_SelfStock_Log[Self_Qty],T_SelfStock_Log[Part Name],$A18,T_SelfStock_Log[WeekIndex],63))</f>
        <v/>
      </c>
      <c r="BM18" s="12">
        <f>IF(COUNTIFS(T_SelfStock_Log[Part Name],$A18,T_SelfStock_Log[WeekIndex],64)=0,"",SUMIFS(T_SelfStock_Log[Self_Qty],T_SelfStock_Log[Part Name],$A18,T_SelfStock_Log[WeekIndex],64))</f>
        <v/>
      </c>
      <c r="BN18" s="12">
        <f>IF(COUNTIFS(T_SelfStock_Log[Part Name],$A18,T_SelfStock_Log[WeekIndex],65)=0,"",SUMIFS(T_SelfStock_Log[Self_Qty],T_SelfStock_Log[Part Name],$A18,T_SelfStock_Log[WeekIndex],65))</f>
        <v/>
      </c>
      <c r="BO18" s="12">
        <f>IF(COUNTIFS(T_SelfStock_Log[Part Name],$A18,T_SelfStock_Log[WeekIndex],66)=0,"",SUMIFS(T_SelfStock_Log[Self_Qty],T_SelfStock_Log[Part Name],$A18,T_SelfStock_Log[WeekIndex],66))</f>
        <v/>
      </c>
      <c r="BP18" s="12">
        <f>IF(COUNTIFS(T_SelfStock_Log[Part Name],$A18,T_SelfStock_Log[WeekIndex],67)=0,"",SUMIFS(T_SelfStock_Log[Self_Qty],T_SelfStock_Log[Part Name],$A18,T_SelfStock_Log[WeekIndex],67))</f>
        <v/>
      </c>
      <c r="BQ18" s="12">
        <f>IF(COUNTIFS(T_SelfStock_Log[Part Name],$A18,T_SelfStock_Log[WeekIndex],68)=0,"",SUMIFS(T_SelfStock_Log[Self_Qty],T_SelfStock_Log[Part Name],$A18,T_SelfStock_Log[WeekIndex],68))</f>
        <v/>
      </c>
      <c r="BR18" s="12">
        <f>IF(COUNTIFS(T_SelfStock_Log[Part Name],$A18,T_SelfStock_Log[WeekIndex],69)=0,"",SUMIFS(T_SelfStock_Log[Self_Qty],T_SelfStock_Log[Part Name],$A18,T_SelfStock_Log[WeekIndex],69))</f>
        <v/>
      </c>
      <c r="BS18" s="12">
        <f>IF(COUNTIFS(T_SelfStock_Log[Part Name],$A18,T_SelfStock_Log[WeekIndex],70)=0,"",SUMIFS(T_SelfStock_Log[Self_Qty],T_SelfStock_Log[Part Name],$A18,T_SelfStock_Log[WeekIndex],70))</f>
        <v/>
      </c>
      <c r="BT18" s="12">
        <f>IF(COUNTIFS(T_SelfStock_Log[Part Name],$A18,T_SelfStock_Log[WeekIndex],71)=0,"",SUMIFS(T_SelfStock_Log[Self_Qty],T_SelfStock_Log[Part Name],$A18,T_SelfStock_Log[WeekIndex],71))</f>
        <v/>
      </c>
      <c r="BU18" s="12">
        <f>IF(COUNTIFS(T_SelfStock_Log[Part Name],$A18,T_SelfStock_Log[WeekIndex],72)=0,"",SUMIFS(T_SelfStock_Log[Self_Qty],T_SelfStock_Log[Part Name],$A18,T_SelfStock_Log[WeekIndex],72))</f>
        <v/>
      </c>
      <c r="BV18" s="12">
        <f>IF(COUNTIFS(T_SelfStock_Log[Part Name],$A18,T_SelfStock_Log[WeekIndex],73)=0,"",SUMIFS(T_SelfStock_Log[Self_Qty],T_SelfStock_Log[Part Name],$A18,T_SelfStock_Log[WeekIndex],73))</f>
        <v/>
      </c>
      <c r="BW18" s="12">
        <f>IF(COUNTIFS(T_SelfStock_Log[Part Name],$A18,T_SelfStock_Log[WeekIndex],74)=0,"",SUMIFS(T_SelfStock_Log[Self_Qty],T_SelfStock_Log[Part Name],$A18,T_SelfStock_Log[WeekIndex],74))</f>
        <v/>
      </c>
      <c r="BX18" s="12">
        <f>IF(COUNTIFS(T_SelfStock_Log[Part Name],$A18,T_SelfStock_Log[WeekIndex],75)=0,"",SUMIFS(T_SelfStock_Log[Self_Qty],T_SelfStock_Log[Part Name],$A18,T_SelfStock_Log[WeekIndex],75))</f>
        <v/>
      </c>
      <c r="BY18" s="12">
        <f>IF(COUNTIFS(T_SelfStock_Log[Part Name],$A18,T_SelfStock_Log[WeekIndex],76)=0,"",SUMIFS(T_SelfStock_Log[Self_Qty],T_SelfStock_Log[Part Name],$A18,T_SelfStock_Log[WeekIndex],76))</f>
        <v/>
      </c>
      <c r="BZ18" s="12">
        <f>IF(COUNTIFS(T_SelfStock_Log[Part Name],$A18,T_SelfStock_Log[WeekIndex],77)=0,"",SUMIFS(T_SelfStock_Log[Self_Qty],T_SelfStock_Log[Part Name],$A18,T_SelfStock_Log[WeekIndex],77))</f>
        <v/>
      </c>
      <c r="CA18" s="12">
        <f>IF(COUNTIFS(T_SelfStock_Log[Part Name],$A18,T_SelfStock_Log[WeekIndex],78)=0,"",SUMIFS(T_SelfStock_Log[Self_Qty],T_SelfStock_Log[Part Name],$A18,T_SelfStock_Log[WeekIndex],78))</f>
        <v/>
      </c>
      <c r="CB18" s="12">
        <f>IF(COUNTIFS(T_SelfStock_Log[Part Name],$A18,T_SelfStock_Log[WeekIndex],79)=0,"",SUMIFS(T_SelfStock_Log[Self_Qty],T_SelfStock_Log[Part Name],$A18,T_SelfStock_Log[WeekIndex],79))</f>
        <v/>
      </c>
      <c r="CC18" s="12">
        <f>IF(COUNTIFS(T_SelfStock_Log[Part Name],$A18,T_SelfStock_Log[WeekIndex],80)=0,"",SUMIFS(T_SelfStock_Log[Self_Qty],T_SelfStock_Log[Part Name],$A18,T_SelfStock_Log[WeekIndex],80))</f>
        <v/>
      </c>
      <c r="CD18" s="12">
        <f>IF(COUNTIFS(T_SelfStock_Log[Part Name],$A18,T_SelfStock_Log[WeekIndex],81)=0,"",SUMIFS(T_SelfStock_Log[Self_Qty],T_SelfStock_Log[Part Name],$A18,T_SelfStock_Log[WeekIndex],81))</f>
        <v/>
      </c>
      <c r="CE18" s="12">
        <f>IF(COUNTIFS(T_SelfStock_Log[Part Name],$A18,T_SelfStock_Log[WeekIndex],82)=0,"",SUMIFS(T_SelfStock_Log[Self_Qty],T_SelfStock_Log[Part Name],$A18,T_SelfStock_Log[WeekIndex],82))</f>
        <v/>
      </c>
      <c r="CF18" s="12">
        <f>IF(COUNTIFS(T_SelfStock_Log[Part Name],$A18,T_SelfStock_Log[WeekIndex],83)=0,"",SUMIFS(T_SelfStock_Log[Self_Qty],T_SelfStock_Log[Part Name],$A18,T_SelfStock_Log[WeekIndex],83))</f>
        <v/>
      </c>
      <c r="CG18" s="12">
        <f>IF(COUNTIFS(T_SelfStock_Log[Part Name],$A18,T_SelfStock_Log[WeekIndex],84)=0,"",SUMIFS(T_SelfStock_Log[Self_Qty],T_SelfStock_Log[Part Name],$A18,T_SelfStock_Log[WeekIndex],84))</f>
        <v/>
      </c>
      <c r="CH18" s="12">
        <f>IF(COUNTIFS(T_SelfStock_Log[Part Name],$A18,T_SelfStock_Log[WeekIndex],85)=0,"",SUMIFS(T_SelfStock_Log[Self_Qty],T_SelfStock_Log[Part Name],$A18,T_SelfStock_Log[WeekIndex],85))</f>
        <v/>
      </c>
      <c r="CI18" s="12">
        <f>IF(COUNTIFS(T_SelfStock_Log[Part Name],$A18,T_SelfStock_Log[WeekIndex],86)=0,"",SUMIFS(T_SelfStock_Log[Self_Qty],T_SelfStock_Log[Part Name],$A18,T_SelfStock_Log[WeekIndex],86))</f>
        <v/>
      </c>
      <c r="CJ18" s="12">
        <f>IF(COUNTIFS(T_SelfStock_Log[Part Name],$A18,T_SelfStock_Log[WeekIndex],87)=0,"",SUMIFS(T_SelfStock_Log[Self_Qty],T_SelfStock_Log[Part Name],$A18,T_SelfStock_Log[WeekIndex],87))</f>
        <v/>
      </c>
      <c r="CK18" s="12">
        <f>IF(COUNTIFS(T_SelfStock_Log[Part Name],$A18,T_SelfStock_Log[WeekIndex],88)=0,"",SUMIFS(T_SelfStock_Log[Self_Qty],T_SelfStock_Log[Part Name],$A18,T_SelfStock_Log[WeekIndex],88))</f>
        <v/>
      </c>
      <c r="CL18" s="12">
        <f>IF(COUNTIFS(T_SelfStock_Log[Part Name],$A18,T_SelfStock_Log[WeekIndex],89)=0,"",SUMIFS(T_SelfStock_Log[Self_Qty],T_SelfStock_Log[Part Name],$A18,T_SelfStock_Log[WeekIndex],89))</f>
        <v/>
      </c>
      <c r="CM18" s="12">
        <f>IF(COUNTIFS(T_SelfStock_Log[Part Name],$A18,T_SelfStock_Log[WeekIndex],90)=0,"",SUMIFS(T_SelfStock_Log[Self_Qty],T_SelfStock_Log[Part Name],$A18,T_SelfStock_Log[WeekIndex],90))</f>
        <v/>
      </c>
      <c r="CN18" s="12">
        <f>IF(COUNTIFS(T_SelfStock_Log[Part Name],$A18,T_SelfStock_Log[WeekIndex],91)=0,"",SUMIFS(T_SelfStock_Log[Self_Qty],T_SelfStock_Log[Part Name],$A18,T_SelfStock_Log[WeekIndex],91))</f>
        <v/>
      </c>
      <c r="CO18" s="12">
        <f>IF(COUNTIFS(T_SelfStock_Log[Part Name],$A18,T_SelfStock_Log[WeekIndex],92)=0,"",SUMIFS(T_SelfStock_Log[Self_Qty],T_SelfStock_Log[Part Name],$A18,T_SelfStock_Log[WeekIndex],92))</f>
        <v/>
      </c>
      <c r="CP18" s="12">
        <f>IF(COUNTIFS(T_SelfStock_Log[Part Name],$A18,T_SelfStock_Log[WeekIndex],93)=0,"",SUMIFS(T_SelfStock_Log[Self_Qty],T_SelfStock_Log[Part Name],$A18,T_SelfStock_Log[WeekIndex],93))</f>
        <v/>
      </c>
      <c r="CQ18" s="12">
        <f>IF(COUNTIFS(T_SelfStock_Log[Part Name],$A18,T_SelfStock_Log[WeekIndex],94)=0,"",SUMIFS(T_SelfStock_Log[Self_Qty],T_SelfStock_Log[Part Name],$A18,T_SelfStock_Log[WeekIndex],94))</f>
        <v/>
      </c>
      <c r="CR18" s="12">
        <f>IF(COUNTIFS(T_SelfStock_Log[Part Name],$A18,T_SelfStock_Log[WeekIndex],95)=0,"",SUMIFS(T_SelfStock_Log[Self_Qty],T_SelfStock_Log[Part Name],$A18,T_SelfStock_Log[WeekIndex],95))</f>
        <v/>
      </c>
      <c r="CS18" s="12">
        <f>IF(COUNTIFS(T_SelfStock_Log[Part Name],$A18,T_SelfStock_Log[WeekIndex],96)=0,"",SUMIFS(T_SelfStock_Log[Self_Qty],T_SelfStock_Log[Part Name],$A18,T_SelfStock_Log[WeekIndex],96))</f>
        <v/>
      </c>
      <c r="CT18" s="12">
        <f>IF(COUNTIFS(T_SelfStock_Log[Part Name],$A18,T_SelfStock_Log[WeekIndex],97)=0,"",SUMIFS(T_SelfStock_Log[Self_Qty],T_SelfStock_Log[Part Name],$A18,T_SelfStock_Log[WeekIndex],97))</f>
        <v/>
      </c>
      <c r="CU18" s="12">
        <f>IF(COUNTIFS(T_SelfStock_Log[Part Name],$A18,T_SelfStock_Log[WeekIndex],98)=0,"",SUMIFS(T_SelfStock_Log[Self_Qty],T_SelfStock_Log[Part Name],$A18,T_SelfStock_Log[WeekIndex],98))</f>
        <v/>
      </c>
      <c r="CV18" s="12">
        <f>IF(COUNTIFS(T_SelfStock_Log[Part Name],$A18,T_SelfStock_Log[WeekIndex],99)=0,"",SUMIFS(T_SelfStock_Log[Self_Qty],T_SelfStock_Log[Part Name],$A18,T_SelfStock_Log[WeekIndex],99))</f>
        <v/>
      </c>
      <c r="CW18" s="12">
        <f>IF(COUNTIFS(T_SelfStock_Log[Part Name],$A18,T_SelfStock_Log[WeekIndex],100)=0,"",SUMIFS(T_SelfStock_Log[Self_Qty],T_SelfStock_Log[Part Name],$A18,T_SelfStock_Log[WeekIndex],100))</f>
        <v/>
      </c>
      <c r="CX18" s="12">
        <f>IF(COUNTIFS(T_SelfStock_Log[Part Name],$A18,T_SelfStock_Log[WeekIndex],101)=0,"",SUMIFS(T_SelfStock_Log[Self_Qty],T_SelfStock_Log[Part Name],$A18,T_SelfStock_Log[WeekIndex],101))</f>
        <v/>
      </c>
      <c r="CY18" s="12">
        <f>IF(COUNTIFS(T_SelfStock_Log[Part Name],$A18,T_SelfStock_Log[WeekIndex],102)=0,"",SUMIFS(T_SelfStock_Log[Self_Qty],T_SelfStock_Log[Part Name],$A18,T_SelfStock_Log[WeekIndex],102))</f>
        <v/>
      </c>
      <c r="CZ18" s="12">
        <f>IF(COUNTIFS(T_SelfStock_Log[Part Name],$A18,T_SelfStock_Log[WeekIndex],103)=0,"",SUMIFS(T_SelfStock_Log[Self_Qty],T_SelfStock_Log[Part Name],$A18,T_SelfStock_Log[WeekIndex],103))</f>
        <v/>
      </c>
      <c r="DA18" s="12">
        <f>IF(COUNTIFS(T_SelfStock_Log[Part Name],$A18,T_SelfStock_Log[WeekIndex],104)=0,"",SUMIFS(T_SelfStock_Log[Self_Qty],T_SelfStock_Log[Part Name],$A18,T_SelfStock_Log[WeekIndex],104))</f>
        <v/>
      </c>
    </row>
    <row r="19">
      <c r="A19" s="13" t="inlineStr">
        <is>
          <t>CHEM-1400</t>
        </is>
      </c>
      <c r="B19" s="13">
        <f>IF(COUNTIFS(T_SelfStock_Log[Part Name],$A19,T_SelfStock_Log[WeekIndex],1)=0,"",SUMIFS(T_SelfStock_Log[Self_Qty],T_SelfStock_Log[Part Name],$A19,T_SelfStock_Log[WeekIndex],1))</f>
        <v/>
      </c>
      <c r="C19" s="13">
        <f>IF(COUNTIFS(T_SelfStock_Log[Part Name],$A19,T_SelfStock_Log[WeekIndex],2)=0,"",SUMIFS(T_SelfStock_Log[Self_Qty],T_SelfStock_Log[Part Name],$A19,T_SelfStock_Log[WeekIndex],2))</f>
        <v/>
      </c>
      <c r="D19" s="13">
        <f>IF(COUNTIFS(T_SelfStock_Log[Part Name],$A19,T_SelfStock_Log[WeekIndex],3)=0,"",SUMIFS(T_SelfStock_Log[Self_Qty],T_SelfStock_Log[Part Name],$A19,T_SelfStock_Log[WeekIndex],3))</f>
        <v/>
      </c>
      <c r="E19" s="13">
        <f>IF(COUNTIFS(T_SelfStock_Log[Part Name],$A19,T_SelfStock_Log[WeekIndex],4)=0,"",SUMIFS(T_SelfStock_Log[Self_Qty],T_SelfStock_Log[Part Name],$A19,T_SelfStock_Log[WeekIndex],4))</f>
        <v/>
      </c>
      <c r="F19" s="13">
        <f>IF(COUNTIFS(T_SelfStock_Log[Part Name],$A19,T_SelfStock_Log[WeekIndex],5)=0,"",SUMIFS(T_SelfStock_Log[Self_Qty],T_SelfStock_Log[Part Name],$A19,T_SelfStock_Log[WeekIndex],5))</f>
        <v/>
      </c>
      <c r="G19" s="13">
        <f>IF(COUNTIFS(T_SelfStock_Log[Part Name],$A19,T_SelfStock_Log[WeekIndex],6)=0,"",SUMIFS(T_SelfStock_Log[Self_Qty],T_SelfStock_Log[Part Name],$A19,T_SelfStock_Log[WeekIndex],6))</f>
        <v/>
      </c>
      <c r="H19" s="13">
        <f>IF(COUNTIFS(T_SelfStock_Log[Part Name],$A19,T_SelfStock_Log[WeekIndex],7)=0,"",SUMIFS(T_SelfStock_Log[Self_Qty],T_SelfStock_Log[Part Name],$A19,T_SelfStock_Log[WeekIndex],7))</f>
        <v/>
      </c>
      <c r="I19" s="13">
        <f>IF(COUNTIFS(T_SelfStock_Log[Part Name],$A19,T_SelfStock_Log[WeekIndex],8)=0,"",SUMIFS(T_SelfStock_Log[Self_Qty],T_SelfStock_Log[Part Name],$A19,T_SelfStock_Log[WeekIndex],8))</f>
        <v/>
      </c>
      <c r="J19" s="13">
        <f>IF(COUNTIFS(T_SelfStock_Log[Part Name],$A19,T_SelfStock_Log[WeekIndex],9)=0,"",SUMIFS(T_SelfStock_Log[Self_Qty],T_SelfStock_Log[Part Name],$A19,T_SelfStock_Log[WeekIndex],9))</f>
        <v/>
      </c>
      <c r="K19" s="13">
        <f>IF(COUNTIFS(T_SelfStock_Log[Part Name],$A19,T_SelfStock_Log[WeekIndex],10)=0,"",SUMIFS(T_SelfStock_Log[Self_Qty],T_SelfStock_Log[Part Name],$A19,T_SelfStock_Log[WeekIndex],10))</f>
        <v/>
      </c>
      <c r="L19" s="13">
        <f>IF(COUNTIFS(T_SelfStock_Log[Part Name],$A19,T_SelfStock_Log[WeekIndex],11)=0,"",SUMIFS(T_SelfStock_Log[Self_Qty],T_SelfStock_Log[Part Name],$A19,T_SelfStock_Log[WeekIndex],11))</f>
        <v/>
      </c>
      <c r="M19" s="13">
        <f>IF(COUNTIFS(T_SelfStock_Log[Part Name],$A19,T_SelfStock_Log[WeekIndex],12)=0,"",SUMIFS(T_SelfStock_Log[Self_Qty],T_SelfStock_Log[Part Name],$A19,T_SelfStock_Log[WeekIndex],12))</f>
        <v/>
      </c>
      <c r="N19" s="13">
        <f>IF(COUNTIFS(T_SelfStock_Log[Part Name],$A19,T_SelfStock_Log[WeekIndex],13)=0,"",SUMIFS(T_SelfStock_Log[Self_Qty],T_SelfStock_Log[Part Name],$A19,T_SelfStock_Log[WeekIndex],13))</f>
        <v/>
      </c>
      <c r="O19" s="13">
        <f>IF(COUNTIFS(T_SelfStock_Log[Part Name],$A19,T_SelfStock_Log[WeekIndex],14)=0,"",SUMIFS(T_SelfStock_Log[Self_Qty],T_SelfStock_Log[Part Name],$A19,T_SelfStock_Log[WeekIndex],14))</f>
        <v/>
      </c>
      <c r="P19" s="13">
        <f>IF(COUNTIFS(T_SelfStock_Log[Part Name],$A19,T_SelfStock_Log[WeekIndex],15)=0,"",SUMIFS(T_SelfStock_Log[Self_Qty],T_SelfStock_Log[Part Name],$A19,T_SelfStock_Log[WeekIndex],15))</f>
        <v/>
      </c>
      <c r="Q19" s="13">
        <f>IF(COUNTIFS(T_SelfStock_Log[Part Name],$A19,T_SelfStock_Log[WeekIndex],16)=0,"",SUMIFS(T_SelfStock_Log[Self_Qty],T_SelfStock_Log[Part Name],$A19,T_SelfStock_Log[WeekIndex],16))</f>
        <v/>
      </c>
      <c r="R19" s="13">
        <f>IF(COUNTIFS(T_SelfStock_Log[Part Name],$A19,T_SelfStock_Log[WeekIndex],17)=0,"",SUMIFS(T_SelfStock_Log[Self_Qty],T_SelfStock_Log[Part Name],$A19,T_SelfStock_Log[WeekIndex],17))</f>
        <v/>
      </c>
      <c r="S19" s="13">
        <f>IF(COUNTIFS(T_SelfStock_Log[Part Name],$A19,T_SelfStock_Log[WeekIndex],18)=0,"",SUMIFS(T_SelfStock_Log[Self_Qty],T_SelfStock_Log[Part Name],$A19,T_SelfStock_Log[WeekIndex],18))</f>
        <v/>
      </c>
      <c r="T19" s="13">
        <f>IF(COUNTIFS(T_SelfStock_Log[Part Name],$A19,T_SelfStock_Log[WeekIndex],19)=0,"",SUMIFS(T_SelfStock_Log[Self_Qty],T_SelfStock_Log[Part Name],$A19,T_SelfStock_Log[WeekIndex],19))</f>
        <v/>
      </c>
      <c r="U19" s="13">
        <f>IF(COUNTIFS(T_SelfStock_Log[Part Name],$A19,T_SelfStock_Log[WeekIndex],20)=0,"",SUMIFS(T_SelfStock_Log[Self_Qty],T_SelfStock_Log[Part Name],$A19,T_SelfStock_Log[WeekIndex],20))</f>
        <v/>
      </c>
      <c r="V19" s="13">
        <f>IF(COUNTIFS(T_SelfStock_Log[Part Name],$A19,T_SelfStock_Log[WeekIndex],21)=0,"",SUMIFS(T_SelfStock_Log[Self_Qty],T_SelfStock_Log[Part Name],$A19,T_SelfStock_Log[WeekIndex],21))</f>
        <v/>
      </c>
      <c r="W19" s="13">
        <f>IF(COUNTIFS(T_SelfStock_Log[Part Name],$A19,T_SelfStock_Log[WeekIndex],22)=0,"",SUMIFS(T_SelfStock_Log[Self_Qty],T_SelfStock_Log[Part Name],$A19,T_SelfStock_Log[WeekIndex],22))</f>
        <v/>
      </c>
      <c r="X19" s="13">
        <f>IF(COUNTIFS(T_SelfStock_Log[Part Name],$A19,T_SelfStock_Log[WeekIndex],23)=0,"",SUMIFS(T_SelfStock_Log[Self_Qty],T_SelfStock_Log[Part Name],$A19,T_SelfStock_Log[WeekIndex],23))</f>
        <v/>
      </c>
      <c r="Y19" s="13">
        <f>IF(COUNTIFS(T_SelfStock_Log[Part Name],$A19,T_SelfStock_Log[WeekIndex],24)=0,"",SUMIFS(T_SelfStock_Log[Self_Qty],T_SelfStock_Log[Part Name],$A19,T_SelfStock_Log[WeekIndex],24))</f>
        <v/>
      </c>
      <c r="Z19" s="13">
        <f>IF(COUNTIFS(T_SelfStock_Log[Part Name],$A19,T_SelfStock_Log[WeekIndex],25)=0,"",SUMIFS(T_SelfStock_Log[Self_Qty],T_SelfStock_Log[Part Name],$A19,T_SelfStock_Log[WeekIndex],25))</f>
        <v/>
      </c>
      <c r="AA19" s="13">
        <f>IF(COUNTIFS(T_SelfStock_Log[Part Name],$A19,T_SelfStock_Log[WeekIndex],26)=0,"",SUMIFS(T_SelfStock_Log[Self_Qty],T_SelfStock_Log[Part Name],$A19,T_SelfStock_Log[WeekIndex],26))</f>
        <v/>
      </c>
      <c r="AB19" s="13">
        <f>IF(COUNTIFS(T_SelfStock_Log[Part Name],$A19,T_SelfStock_Log[WeekIndex],27)=0,"",SUMIFS(T_SelfStock_Log[Self_Qty],T_SelfStock_Log[Part Name],$A19,T_SelfStock_Log[WeekIndex],27))</f>
        <v/>
      </c>
      <c r="AC19" s="13">
        <f>IF(COUNTIFS(T_SelfStock_Log[Part Name],$A19,T_SelfStock_Log[WeekIndex],28)=0,"",SUMIFS(T_SelfStock_Log[Self_Qty],T_SelfStock_Log[Part Name],$A19,T_SelfStock_Log[WeekIndex],28))</f>
        <v/>
      </c>
      <c r="AD19" s="13">
        <f>IF(COUNTIFS(T_SelfStock_Log[Part Name],$A19,T_SelfStock_Log[WeekIndex],29)=0,"",SUMIFS(T_SelfStock_Log[Self_Qty],T_SelfStock_Log[Part Name],$A19,T_SelfStock_Log[WeekIndex],29))</f>
        <v/>
      </c>
      <c r="AE19" s="13">
        <f>IF(COUNTIFS(T_SelfStock_Log[Part Name],$A19,T_SelfStock_Log[WeekIndex],30)=0,"",SUMIFS(T_SelfStock_Log[Self_Qty],T_SelfStock_Log[Part Name],$A19,T_SelfStock_Log[WeekIndex],30))</f>
        <v/>
      </c>
      <c r="AF19" s="13">
        <f>IF(COUNTIFS(T_SelfStock_Log[Part Name],$A19,T_SelfStock_Log[WeekIndex],31)=0,"",SUMIFS(T_SelfStock_Log[Self_Qty],T_SelfStock_Log[Part Name],$A19,T_SelfStock_Log[WeekIndex],31))</f>
        <v/>
      </c>
      <c r="AG19" s="13">
        <f>IF(COUNTIFS(T_SelfStock_Log[Part Name],$A19,T_SelfStock_Log[WeekIndex],32)=0,"",SUMIFS(T_SelfStock_Log[Self_Qty],T_SelfStock_Log[Part Name],$A19,T_SelfStock_Log[WeekIndex],32))</f>
        <v/>
      </c>
      <c r="AH19" s="13">
        <f>IF(COUNTIFS(T_SelfStock_Log[Part Name],$A19,T_SelfStock_Log[WeekIndex],33)=0,"",SUMIFS(T_SelfStock_Log[Self_Qty],T_SelfStock_Log[Part Name],$A19,T_SelfStock_Log[WeekIndex],33))</f>
        <v/>
      </c>
      <c r="AI19" s="13">
        <f>IF(COUNTIFS(T_SelfStock_Log[Part Name],$A19,T_SelfStock_Log[WeekIndex],34)=0,"",SUMIFS(T_SelfStock_Log[Self_Qty],T_SelfStock_Log[Part Name],$A19,T_SelfStock_Log[WeekIndex],34))</f>
        <v/>
      </c>
      <c r="AJ19" s="13">
        <f>IF(COUNTIFS(T_SelfStock_Log[Part Name],$A19,T_SelfStock_Log[WeekIndex],35)=0,"",SUMIFS(T_SelfStock_Log[Self_Qty],T_SelfStock_Log[Part Name],$A19,T_SelfStock_Log[WeekIndex],35))</f>
        <v/>
      </c>
      <c r="AK19" s="13">
        <f>IF(COUNTIFS(T_SelfStock_Log[Part Name],$A19,T_SelfStock_Log[WeekIndex],36)=0,"",SUMIFS(T_SelfStock_Log[Self_Qty],T_SelfStock_Log[Part Name],$A19,T_SelfStock_Log[WeekIndex],36))</f>
        <v/>
      </c>
      <c r="AL19" s="13">
        <f>IF(COUNTIFS(T_SelfStock_Log[Part Name],$A19,T_SelfStock_Log[WeekIndex],37)=0,"",SUMIFS(T_SelfStock_Log[Self_Qty],T_SelfStock_Log[Part Name],$A19,T_SelfStock_Log[WeekIndex],37))</f>
        <v/>
      </c>
      <c r="AM19" s="13">
        <f>IF(COUNTIFS(T_SelfStock_Log[Part Name],$A19,T_SelfStock_Log[WeekIndex],38)=0,"",SUMIFS(T_SelfStock_Log[Self_Qty],T_SelfStock_Log[Part Name],$A19,T_SelfStock_Log[WeekIndex],38))</f>
        <v/>
      </c>
      <c r="AN19" s="13">
        <f>IF(COUNTIFS(T_SelfStock_Log[Part Name],$A19,T_SelfStock_Log[WeekIndex],39)=0,"",SUMIFS(T_SelfStock_Log[Self_Qty],T_SelfStock_Log[Part Name],$A19,T_SelfStock_Log[WeekIndex],39))</f>
        <v/>
      </c>
      <c r="AO19" s="13">
        <f>IF(COUNTIFS(T_SelfStock_Log[Part Name],$A19,T_SelfStock_Log[WeekIndex],40)=0,"",SUMIFS(T_SelfStock_Log[Self_Qty],T_SelfStock_Log[Part Name],$A19,T_SelfStock_Log[WeekIndex],40))</f>
        <v/>
      </c>
      <c r="AP19" s="13">
        <f>IF(COUNTIFS(T_SelfStock_Log[Part Name],$A19,T_SelfStock_Log[WeekIndex],41)=0,"",SUMIFS(T_SelfStock_Log[Self_Qty],T_SelfStock_Log[Part Name],$A19,T_SelfStock_Log[WeekIndex],41))</f>
        <v/>
      </c>
      <c r="AQ19" s="13">
        <f>IF(COUNTIFS(T_SelfStock_Log[Part Name],$A19,T_SelfStock_Log[WeekIndex],42)=0,"",SUMIFS(T_SelfStock_Log[Self_Qty],T_SelfStock_Log[Part Name],$A19,T_SelfStock_Log[WeekIndex],42))</f>
        <v/>
      </c>
      <c r="AR19" s="13">
        <f>IF(COUNTIFS(T_SelfStock_Log[Part Name],$A19,T_SelfStock_Log[WeekIndex],43)=0,"",SUMIFS(T_SelfStock_Log[Self_Qty],T_SelfStock_Log[Part Name],$A19,T_SelfStock_Log[WeekIndex],43))</f>
        <v/>
      </c>
      <c r="AS19" s="13">
        <f>IF(COUNTIFS(T_SelfStock_Log[Part Name],$A19,T_SelfStock_Log[WeekIndex],44)=0,"",SUMIFS(T_SelfStock_Log[Self_Qty],T_SelfStock_Log[Part Name],$A19,T_SelfStock_Log[WeekIndex],44))</f>
        <v/>
      </c>
      <c r="AT19" s="13">
        <f>IF(COUNTIFS(T_SelfStock_Log[Part Name],$A19,T_SelfStock_Log[WeekIndex],45)=0,"",SUMIFS(T_SelfStock_Log[Self_Qty],T_SelfStock_Log[Part Name],$A19,T_SelfStock_Log[WeekIndex],45))</f>
        <v/>
      </c>
      <c r="AU19" s="13">
        <f>IF(COUNTIFS(T_SelfStock_Log[Part Name],$A19,T_SelfStock_Log[WeekIndex],46)=0,"",SUMIFS(T_SelfStock_Log[Self_Qty],T_SelfStock_Log[Part Name],$A19,T_SelfStock_Log[WeekIndex],46))</f>
        <v/>
      </c>
      <c r="AV19" s="13">
        <f>IF(COUNTIFS(T_SelfStock_Log[Part Name],$A19,T_SelfStock_Log[WeekIndex],47)=0,"",SUMIFS(T_SelfStock_Log[Self_Qty],T_SelfStock_Log[Part Name],$A19,T_SelfStock_Log[WeekIndex],47))</f>
        <v/>
      </c>
      <c r="AW19" s="13">
        <f>IF(COUNTIFS(T_SelfStock_Log[Part Name],$A19,T_SelfStock_Log[WeekIndex],48)=0,"",SUMIFS(T_SelfStock_Log[Self_Qty],T_SelfStock_Log[Part Name],$A19,T_SelfStock_Log[WeekIndex],48))</f>
        <v/>
      </c>
      <c r="AX19" s="13">
        <f>IF(COUNTIFS(T_SelfStock_Log[Part Name],$A19,T_SelfStock_Log[WeekIndex],49)=0,"",SUMIFS(T_SelfStock_Log[Self_Qty],T_SelfStock_Log[Part Name],$A19,T_SelfStock_Log[WeekIndex],49))</f>
        <v/>
      </c>
      <c r="AY19" s="13">
        <f>IF(COUNTIFS(T_SelfStock_Log[Part Name],$A19,T_SelfStock_Log[WeekIndex],50)=0,"",SUMIFS(T_SelfStock_Log[Self_Qty],T_SelfStock_Log[Part Name],$A19,T_SelfStock_Log[WeekIndex],50))</f>
        <v/>
      </c>
      <c r="AZ19" s="13">
        <f>IF(COUNTIFS(T_SelfStock_Log[Part Name],$A19,T_SelfStock_Log[WeekIndex],51)=0,"",SUMIFS(T_SelfStock_Log[Self_Qty],T_SelfStock_Log[Part Name],$A19,T_SelfStock_Log[WeekIndex],51))</f>
        <v/>
      </c>
      <c r="BA19" s="13">
        <f>IF(COUNTIFS(T_SelfStock_Log[Part Name],$A19,T_SelfStock_Log[WeekIndex],52)=0,"",SUMIFS(T_SelfStock_Log[Self_Qty],T_SelfStock_Log[Part Name],$A19,T_SelfStock_Log[WeekIndex],52))</f>
        <v/>
      </c>
      <c r="BB19" s="13">
        <f>IF(COUNTIFS(T_SelfStock_Log[Part Name],$A19,T_SelfStock_Log[WeekIndex],53)=0,"",SUMIFS(T_SelfStock_Log[Self_Qty],T_SelfStock_Log[Part Name],$A19,T_SelfStock_Log[WeekIndex],53))</f>
        <v/>
      </c>
      <c r="BC19" s="13">
        <f>IF(COUNTIFS(T_SelfStock_Log[Part Name],$A19,T_SelfStock_Log[WeekIndex],54)=0,"",SUMIFS(T_SelfStock_Log[Self_Qty],T_SelfStock_Log[Part Name],$A19,T_SelfStock_Log[WeekIndex],54))</f>
        <v/>
      </c>
      <c r="BD19" s="13">
        <f>IF(COUNTIFS(T_SelfStock_Log[Part Name],$A19,T_SelfStock_Log[WeekIndex],55)=0,"",SUMIFS(T_SelfStock_Log[Self_Qty],T_SelfStock_Log[Part Name],$A19,T_SelfStock_Log[WeekIndex],55))</f>
        <v/>
      </c>
      <c r="BE19" s="13">
        <f>IF(COUNTIFS(T_SelfStock_Log[Part Name],$A19,T_SelfStock_Log[WeekIndex],56)=0,"",SUMIFS(T_SelfStock_Log[Self_Qty],T_SelfStock_Log[Part Name],$A19,T_SelfStock_Log[WeekIndex],56))</f>
        <v/>
      </c>
      <c r="BF19" s="13">
        <f>IF(COUNTIFS(T_SelfStock_Log[Part Name],$A19,T_SelfStock_Log[WeekIndex],57)=0,"",SUMIFS(T_SelfStock_Log[Self_Qty],T_SelfStock_Log[Part Name],$A19,T_SelfStock_Log[WeekIndex],57))</f>
        <v/>
      </c>
      <c r="BG19" s="13">
        <f>IF(COUNTIFS(T_SelfStock_Log[Part Name],$A19,T_SelfStock_Log[WeekIndex],58)=0,"",SUMIFS(T_SelfStock_Log[Self_Qty],T_SelfStock_Log[Part Name],$A19,T_SelfStock_Log[WeekIndex],58))</f>
        <v/>
      </c>
      <c r="BH19" s="13">
        <f>IF(COUNTIFS(T_SelfStock_Log[Part Name],$A19,T_SelfStock_Log[WeekIndex],59)=0,"",SUMIFS(T_SelfStock_Log[Self_Qty],T_SelfStock_Log[Part Name],$A19,T_SelfStock_Log[WeekIndex],59))</f>
        <v/>
      </c>
      <c r="BI19" s="13">
        <f>IF(COUNTIFS(T_SelfStock_Log[Part Name],$A19,T_SelfStock_Log[WeekIndex],60)=0,"",SUMIFS(T_SelfStock_Log[Self_Qty],T_SelfStock_Log[Part Name],$A19,T_SelfStock_Log[WeekIndex],60))</f>
        <v/>
      </c>
      <c r="BJ19" s="13">
        <f>IF(COUNTIFS(T_SelfStock_Log[Part Name],$A19,T_SelfStock_Log[WeekIndex],61)=0,"",SUMIFS(T_SelfStock_Log[Self_Qty],T_SelfStock_Log[Part Name],$A19,T_SelfStock_Log[WeekIndex],61))</f>
        <v/>
      </c>
      <c r="BK19" s="13">
        <f>IF(COUNTIFS(T_SelfStock_Log[Part Name],$A19,T_SelfStock_Log[WeekIndex],62)=0,"",SUMIFS(T_SelfStock_Log[Self_Qty],T_SelfStock_Log[Part Name],$A19,T_SelfStock_Log[WeekIndex],62))</f>
        <v/>
      </c>
      <c r="BL19" s="13">
        <f>IF(COUNTIFS(T_SelfStock_Log[Part Name],$A19,T_SelfStock_Log[WeekIndex],63)=0,"",SUMIFS(T_SelfStock_Log[Self_Qty],T_SelfStock_Log[Part Name],$A19,T_SelfStock_Log[WeekIndex],63))</f>
        <v/>
      </c>
      <c r="BM19" s="13">
        <f>IF(COUNTIFS(T_SelfStock_Log[Part Name],$A19,T_SelfStock_Log[WeekIndex],64)=0,"",SUMIFS(T_SelfStock_Log[Self_Qty],T_SelfStock_Log[Part Name],$A19,T_SelfStock_Log[WeekIndex],64))</f>
        <v/>
      </c>
      <c r="BN19" s="13">
        <f>IF(COUNTIFS(T_SelfStock_Log[Part Name],$A19,T_SelfStock_Log[WeekIndex],65)=0,"",SUMIFS(T_SelfStock_Log[Self_Qty],T_SelfStock_Log[Part Name],$A19,T_SelfStock_Log[WeekIndex],65))</f>
        <v/>
      </c>
      <c r="BO19" s="13">
        <f>IF(COUNTIFS(T_SelfStock_Log[Part Name],$A19,T_SelfStock_Log[WeekIndex],66)=0,"",SUMIFS(T_SelfStock_Log[Self_Qty],T_SelfStock_Log[Part Name],$A19,T_SelfStock_Log[WeekIndex],66))</f>
        <v/>
      </c>
      <c r="BP19" s="13">
        <f>IF(COUNTIFS(T_SelfStock_Log[Part Name],$A19,T_SelfStock_Log[WeekIndex],67)=0,"",SUMIFS(T_SelfStock_Log[Self_Qty],T_SelfStock_Log[Part Name],$A19,T_SelfStock_Log[WeekIndex],67))</f>
        <v/>
      </c>
      <c r="BQ19" s="13">
        <f>IF(COUNTIFS(T_SelfStock_Log[Part Name],$A19,T_SelfStock_Log[WeekIndex],68)=0,"",SUMIFS(T_SelfStock_Log[Self_Qty],T_SelfStock_Log[Part Name],$A19,T_SelfStock_Log[WeekIndex],68))</f>
        <v/>
      </c>
      <c r="BR19" s="13">
        <f>IF(COUNTIFS(T_SelfStock_Log[Part Name],$A19,T_SelfStock_Log[WeekIndex],69)=0,"",SUMIFS(T_SelfStock_Log[Self_Qty],T_SelfStock_Log[Part Name],$A19,T_SelfStock_Log[WeekIndex],69))</f>
        <v/>
      </c>
      <c r="BS19" s="13">
        <f>IF(COUNTIFS(T_SelfStock_Log[Part Name],$A19,T_SelfStock_Log[WeekIndex],70)=0,"",SUMIFS(T_SelfStock_Log[Self_Qty],T_SelfStock_Log[Part Name],$A19,T_SelfStock_Log[WeekIndex],70))</f>
        <v/>
      </c>
      <c r="BT19" s="13">
        <f>IF(COUNTIFS(T_SelfStock_Log[Part Name],$A19,T_SelfStock_Log[WeekIndex],71)=0,"",SUMIFS(T_SelfStock_Log[Self_Qty],T_SelfStock_Log[Part Name],$A19,T_SelfStock_Log[WeekIndex],71))</f>
        <v/>
      </c>
      <c r="BU19" s="13">
        <f>IF(COUNTIFS(T_SelfStock_Log[Part Name],$A19,T_SelfStock_Log[WeekIndex],72)=0,"",SUMIFS(T_SelfStock_Log[Self_Qty],T_SelfStock_Log[Part Name],$A19,T_SelfStock_Log[WeekIndex],72))</f>
        <v/>
      </c>
      <c r="BV19" s="13">
        <f>IF(COUNTIFS(T_SelfStock_Log[Part Name],$A19,T_SelfStock_Log[WeekIndex],73)=0,"",SUMIFS(T_SelfStock_Log[Self_Qty],T_SelfStock_Log[Part Name],$A19,T_SelfStock_Log[WeekIndex],73))</f>
        <v/>
      </c>
      <c r="BW19" s="13">
        <f>IF(COUNTIFS(T_SelfStock_Log[Part Name],$A19,T_SelfStock_Log[WeekIndex],74)=0,"",SUMIFS(T_SelfStock_Log[Self_Qty],T_SelfStock_Log[Part Name],$A19,T_SelfStock_Log[WeekIndex],74))</f>
        <v/>
      </c>
      <c r="BX19" s="13">
        <f>IF(COUNTIFS(T_SelfStock_Log[Part Name],$A19,T_SelfStock_Log[WeekIndex],75)=0,"",SUMIFS(T_SelfStock_Log[Self_Qty],T_SelfStock_Log[Part Name],$A19,T_SelfStock_Log[WeekIndex],75))</f>
        <v/>
      </c>
      <c r="BY19" s="13">
        <f>IF(COUNTIFS(T_SelfStock_Log[Part Name],$A19,T_SelfStock_Log[WeekIndex],76)=0,"",SUMIFS(T_SelfStock_Log[Self_Qty],T_SelfStock_Log[Part Name],$A19,T_SelfStock_Log[WeekIndex],76))</f>
        <v/>
      </c>
      <c r="BZ19" s="13">
        <f>IF(COUNTIFS(T_SelfStock_Log[Part Name],$A19,T_SelfStock_Log[WeekIndex],77)=0,"",SUMIFS(T_SelfStock_Log[Self_Qty],T_SelfStock_Log[Part Name],$A19,T_SelfStock_Log[WeekIndex],77))</f>
        <v/>
      </c>
      <c r="CA19" s="13">
        <f>IF(COUNTIFS(T_SelfStock_Log[Part Name],$A19,T_SelfStock_Log[WeekIndex],78)=0,"",SUMIFS(T_SelfStock_Log[Self_Qty],T_SelfStock_Log[Part Name],$A19,T_SelfStock_Log[WeekIndex],78))</f>
        <v/>
      </c>
      <c r="CB19" s="13">
        <f>IF(COUNTIFS(T_SelfStock_Log[Part Name],$A19,T_SelfStock_Log[WeekIndex],79)=0,"",SUMIFS(T_SelfStock_Log[Self_Qty],T_SelfStock_Log[Part Name],$A19,T_SelfStock_Log[WeekIndex],79))</f>
        <v/>
      </c>
      <c r="CC19" s="13">
        <f>IF(COUNTIFS(T_SelfStock_Log[Part Name],$A19,T_SelfStock_Log[WeekIndex],80)=0,"",SUMIFS(T_SelfStock_Log[Self_Qty],T_SelfStock_Log[Part Name],$A19,T_SelfStock_Log[WeekIndex],80))</f>
        <v/>
      </c>
      <c r="CD19" s="13">
        <f>IF(COUNTIFS(T_SelfStock_Log[Part Name],$A19,T_SelfStock_Log[WeekIndex],81)=0,"",SUMIFS(T_SelfStock_Log[Self_Qty],T_SelfStock_Log[Part Name],$A19,T_SelfStock_Log[WeekIndex],81))</f>
        <v/>
      </c>
      <c r="CE19" s="13">
        <f>IF(COUNTIFS(T_SelfStock_Log[Part Name],$A19,T_SelfStock_Log[WeekIndex],82)=0,"",SUMIFS(T_SelfStock_Log[Self_Qty],T_SelfStock_Log[Part Name],$A19,T_SelfStock_Log[WeekIndex],82))</f>
        <v/>
      </c>
      <c r="CF19" s="13">
        <f>IF(COUNTIFS(T_SelfStock_Log[Part Name],$A19,T_SelfStock_Log[WeekIndex],83)=0,"",SUMIFS(T_SelfStock_Log[Self_Qty],T_SelfStock_Log[Part Name],$A19,T_SelfStock_Log[WeekIndex],83))</f>
        <v/>
      </c>
      <c r="CG19" s="13">
        <f>IF(COUNTIFS(T_SelfStock_Log[Part Name],$A19,T_SelfStock_Log[WeekIndex],84)=0,"",SUMIFS(T_SelfStock_Log[Self_Qty],T_SelfStock_Log[Part Name],$A19,T_SelfStock_Log[WeekIndex],84))</f>
        <v/>
      </c>
      <c r="CH19" s="13">
        <f>IF(COUNTIFS(T_SelfStock_Log[Part Name],$A19,T_SelfStock_Log[WeekIndex],85)=0,"",SUMIFS(T_SelfStock_Log[Self_Qty],T_SelfStock_Log[Part Name],$A19,T_SelfStock_Log[WeekIndex],85))</f>
        <v/>
      </c>
      <c r="CI19" s="13">
        <f>IF(COUNTIFS(T_SelfStock_Log[Part Name],$A19,T_SelfStock_Log[WeekIndex],86)=0,"",SUMIFS(T_SelfStock_Log[Self_Qty],T_SelfStock_Log[Part Name],$A19,T_SelfStock_Log[WeekIndex],86))</f>
        <v/>
      </c>
      <c r="CJ19" s="13">
        <f>IF(COUNTIFS(T_SelfStock_Log[Part Name],$A19,T_SelfStock_Log[WeekIndex],87)=0,"",SUMIFS(T_SelfStock_Log[Self_Qty],T_SelfStock_Log[Part Name],$A19,T_SelfStock_Log[WeekIndex],87))</f>
        <v/>
      </c>
      <c r="CK19" s="13">
        <f>IF(COUNTIFS(T_SelfStock_Log[Part Name],$A19,T_SelfStock_Log[WeekIndex],88)=0,"",SUMIFS(T_SelfStock_Log[Self_Qty],T_SelfStock_Log[Part Name],$A19,T_SelfStock_Log[WeekIndex],88))</f>
        <v/>
      </c>
      <c r="CL19" s="13">
        <f>IF(COUNTIFS(T_SelfStock_Log[Part Name],$A19,T_SelfStock_Log[WeekIndex],89)=0,"",SUMIFS(T_SelfStock_Log[Self_Qty],T_SelfStock_Log[Part Name],$A19,T_SelfStock_Log[WeekIndex],89))</f>
        <v/>
      </c>
      <c r="CM19" s="13">
        <f>IF(COUNTIFS(T_SelfStock_Log[Part Name],$A19,T_SelfStock_Log[WeekIndex],90)=0,"",SUMIFS(T_SelfStock_Log[Self_Qty],T_SelfStock_Log[Part Name],$A19,T_SelfStock_Log[WeekIndex],90))</f>
        <v/>
      </c>
      <c r="CN19" s="13">
        <f>IF(COUNTIFS(T_SelfStock_Log[Part Name],$A19,T_SelfStock_Log[WeekIndex],91)=0,"",SUMIFS(T_SelfStock_Log[Self_Qty],T_SelfStock_Log[Part Name],$A19,T_SelfStock_Log[WeekIndex],91))</f>
        <v/>
      </c>
      <c r="CO19" s="13">
        <f>IF(COUNTIFS(T_SelfStock_Log[Part Name],$A19,T_SelfStock_Log[WeekIndex],92)=0,"",SUMIFS(T_SelfStock_Log[Self_Qty],T_SelfStock_Log[Part Name],$A19,T_SelfStock_Log[WeekIndex],92))</f>
        <v/>
      </c>
      <c r="CP19" s="13">
        <f>IF(COUNTIFS(T_SelfStock_Log[Part Name],$A19,T_SelfStock_Log[WeekIndex],93)=0,"",SUMIFS(T_SelfStock_Log[Self_Qty],T_SelfStock_Log[Part Name],$A19,T_SelfStock_Log[WeekIndex],93))</f>
        <v/>
      </c>
      <c r="CQ19" s="13">
        <f>IF(COUNTIFS(T_SelfStock_Log[Part Name],$A19,T_SelfStock_Log[WeekIndex],94)=0,"",SUMIFS(T_SelfStock_Log[Self_Qty],T_SelfStock_Log[Part Name],$A19,T_SelfStock_Log[WeekIndex],94))</f>
        <v/>
      </c>
      <c r="CR19" s="13">
        <f>IF(COUNTIFS(T_SelfStock_Log[Part Name],$A19,T_SelfStock_Log[WeekIndex],95)=0,"",SUMIFS(T_SelfStock_Log[Self_Qty],T_SelfStock_Log[Part Name],$A19,T_SelfStock_Log[WeekIndex],95))</f>
        <v/>
      </c>
      <c r="CS19" s="13">
        <f>IF(COUNTIFS(T_SelfStock_Log[Part Name],$A19,T_SelfStock_Log[WeekIndex],96)=0,"",SUMIFS(T_SelfStock_Log[Self_Qty],T_SelfStock_Log[Part Name],$A19,T_SelfStock_Log[WeekIndex],96))</f>
        <v/>
      </c>
      <c r="CT19" s="13">
        <f>IF(COUNTIFS(T_SelfStock_Log[Part Name],$A19,T_SelfStock_Log[WeekIndex],97)=0,"",SUMIFS(T_SelfStock_Log[Self_Qty],T_SelfStock_Log[Part Name],$A19,T_SelfStock_Log[WeekIndex],97))</f>
        <v/>
      </c>
      <c r="CU19" s="13">
        <f>IF(COUNTIFS(T_SelfStock_Log[Part Name],$A19,T_SelfStock_Log[WeekIndex],98)=0,"",SUMIFS(T_SelfStock_Log[Self_Qty],T_SelfStock_Log[Part Name],$A19,T_SelfStock_Log[WeekIndex],98))</f>
        <v/>
      </c>
      <c r="CV19" s="13">
        <f>IF(COUNTIFS(T_SelfStock_Log[Part Name],$A19,T_SelfStock_Log[WeekIndex],99)=0,"",SUMIFS(T_SelfStock_Log[Self_Qty],T_SelfStock_Log[Part Name],$A19,T_SelfStock_Log[WeekIndex],99))</f>
        <v/>
      </c>
      <c r="CW19" s="13">
        <f>IF(COUNTIFS(T_SelfStock_Log[Part Name],$A19,T_SelfStock_Log[WeekIndex],100)=0,"",SUMIFS(T_SelfStock_Log[Self_Qty],T_SelfStock_Log[Part Name],$A19,T_SelfStock_Log[WeekIndex],100))</f>
        <v/>
      </c>
      <c r="CX19" s="13">
        <f>IF(COUNTIFS(T_SelfStock_Log[Part Name],$A19,T_SelfStock_Log[WeekIndex],101)=0,"",SUMIFS(T_SelfStock_Log[Self_Qty],T_SelfStock_Log[Part Name],$A19,T_SelfStock_Log[WeekIndex],101))</f>
        <v/>
      </c>
      <c r="CY19" s="13">
        <f>IF(COUNTIFS(T_SelfStock_Log[Part Name],$A19,T_SelfStock_Log[WeekIndex],102)=0,"",SUMIFS(T_SelfStock_Log[Self_Qty],T_SelfStock_Log[Part Name],$A19,T_SelfStock_Log[WeekIndex],102))</f>
        <v/>
      </c>
      <c r="CZ19" s="13">
        <f>IF(COUNTIFS(T_SelfStock_Log[Part Name],$A19,T_SelfStock_Log[WeekIndex],103)=0,"",SUMIFS(T_SelfStock_Log[Self_Qty],T_SelfStock_Log[Part Name],$A19,T_SelfStock_Log[WeekIndex],103))</f>
        <v/>
      </c>
      <c r="DA19" s="13">
        <f>IF(COUNTIFS(T_SelfStock_Log[Part Name],$A19,T_SelfStock_Log[WeekIndex],104)=0,"",SUMIFS(T_SelfStock_Log[Self_Qty],T_SelfStock_Log[Part Name],$A19,T_SelfStock_Log[WeekIndex],104))</f>
        <v/>
      </c>
    </row>
    <row r="20">
      <c r="A20" s="12" t="inlineStr">
        <is>
          <t>CHEM-1570</t>
        </is>
      </c>
      <c r="B20" s="12">
        <f>IF(COUNTIFS(T_SelfStock_Log[Part Name],$A20,T_SelfStock_Log[WeekIndex],1)=0,"",SUMIFS(T_SelfStock_Log[Self_Qty],T_SelfStock_Log[Part Name],$A20,T_SelfStock_Log[WeekIndex],1))</f>
        <v/>
      </c>
      <c r="C20" s="12">
        <f>IF(COUNTIFS(T_SelfStock_Log[Part Name],$A20,T_SelfStock_Log[WeekIndex],2)=0,"",SUMIFS(T_SelfStock_Log[Self_Qty],T_SelfStock_Log[Part Name],$A20,T_SelfStock_Log[WeekIndex],2))</f>
        <v/>
      </c>
      <c r="D20" s="12">
        <f>IF(COUNTIFS(T_SelfStock_Log[Part Name],$A20,T_SelfStock_Log[WeekIndex],3)=0,"",SUMIFS(T_SelfStock_Log[Self_Qty],T_SelfStock_Log[Part Name],$A20,T_SelfStock_Log[WeekIndex],3))</f>
        <v/>
      </c>
      <c r="E20" s="12">
        <f>IF(COUNTIFS(T_SelfStock_Log[Part Name],$A20,T_SelfStock_Log[WeekIndex],4)=0,"",SUMIFS(T_SelfStock_Log[Self_Qty],T_SelfStock_Log[Part Name],$A20,T_SelfStock_Log[WeekIndex],4))</f>
        <v/>
      </c>
      <c r="F20" s="12">
        <f>IF(COUNTIFS(T_SelfStock_Log[Part Name],$A20,T_SelfStock_Log[WeekIndex],5)=0,"",SUMIFS(T_SelfStock_Log[Self_Qty],T_SelfStock_Log[Part Name],$A20,T_SelfStock_Log[WeekIndex],5))</f>
        <v/>
      </c>
      <c r="G20" s="12">
        <f>IF(COUNTIFS(T_SelfStock_Log[Part Name],$A20,T_SelfStock_Log[WeekIndex],6)=0,"",SUMIFS(T_SelfStock_Log[Self_Qty],T_SelfStock_Log[Part Name],$A20,T_SelfStock_Log[WeekIndex],6))</f>
        <v/>
      </c>
      <c r="H20" s="12">
        <f>IF(COUNTIFS(T_SelfStock_Log[Part Name],$A20,T_SelfStock_Log[WeekIndex],7)=0,"",SUMIFS(T_SelfStock_Log[Self_Qty],T_SelfStock_Log[Part Name],$A20,T_SelfStock_Log[WeekIndex],7))</f>
        <v/>
      </c>
      <c r="I20" s="12">
        <f>IF(COUNTIFS(T_SelfStock_Log[Part Name],$A20,T_SelfStock_Log[WeekIndex],8)=0,"",SUMIFS(T_SelfStock_Log[Self_Qty],T_SelfStock_Log[Part Name],$A20,T_SelfStock_Log[WeekIndex],8))</f>
        <v/>
      </c>
      <c r="J20" s="12">
        <f>IF(COUNTIFS(T_SelfStock_Log[Part Name],$A20,T_SelfStock_Log[WeekIndex],9)=0,"",SUMIFS(T_SelfStock_Log[Self_Qty],T_SelfStock_Log[Part Name],$A20,T_SelfStock_Log[WeekIndex],9))</f>
        <v/>
      </c>
      <c r="K20" s="12">
        <f>IF(COUNTIFS(T_SelfStock_Log[Part Name],$A20,T_SelfStock_Log[WeekIndex],10)=0,"",SUMIFS(T_SelfStock_Log[Self_Qty],T_SelfStock_Log[Part Name],$A20,T_SelfStock_Log[WeekIndex],10))</f>
        <v/>
      </c>
      <c r="L20" s="12">
        <f>IF(COUNTIFS(T_SelfStock_Log[Part Name],$A20,T_SelfStock_Log[WeekIndex],11)=0,"",SUMIFS(T_SelfStock_Log[Self_Qty],T_SelfStock_Log[Part Name],$A20,T_SelfStock_Log[WeekIndex],11))</f>
        <v/>
      </c>
      <c r="M20" s="12">
        <f>IF(COUNTIFS(T_SelfStock_Log[Part Name],$A20,T_SelfStock_Log[WeekIndex],12)=0,"",SUMIFS(T_SelfStock_Log[Self_Qty],T_SelfStock_Log[Part Name],$A20,T_SelfStock_Log[WeekIndex],12))</f>
        <v/>
      </c>
      <c r="N20" s="12">
        <f>IF(COUNTIFS(T_SelfStock_Log[Part Name],$A20,T_SelfStock_Log[WeekIndex],13)=0,"",SUMIFS(T_SelfStock_Log[Self_Qty],T_SelfStock_Log[Part Name],$A20,T_SelfStock_Log[WeekIndex],13))</f>
        <v/>
      </c>
      <c r="O20" s="12">
        <f>IF(COUNTIFS(T_SelfStock_Log[Part Name],$A20,T_SelfStock_Log[WeekIndex],14)=0,"",SUMIFS(T_SelfStock_Log[Self_Qty],T_SelfStock_Log[Part Name],$A20,T_SelfStock_Log[WeekIndex],14))</f>
        <v/>
      </c>
      <c r="P20" s="12">
        <f>IF(COUNTIFS(T_SelfStock_Log[Part Name],$A20,T_SelfStock_Log[WeekIndex],15)=0,"",SUMIFS(T_SelfStock_Log[Self_Qty],T_SelfStock_Log[Part Name],$A20,T_SelfStock_Log[WeekIndex],15))</f>
        <v/>
      </c>
      <c r="Q20" s="12">
        <f>IF(COUNTIFS(T_SelfStock_Log[Part Name],$A20,T_SelfStock_Log[WeekIndex],16)=0,"",SUMIFS(T_SelfStock_Log[Self_Qty],T_SelfStock_Log[Part Name],$A20,T_SelfStock_Log[WeekIndex],16))</f>
        <v/>
      </c>
      <c r="R20" s="12">
        <f>IF(COUNTIFS(T_SelfStock_Log[Part Name],$A20,T_SelfStock_Log[WeekIndex],17)=0,"",SUMIFS(T_SelfStock_Log[Self_Qty],T_SelfStock_Log[Part Name],$A20,T_SelfStock_Log[WeekIndex],17))</f>
        <v/>
      </c>
      <c r="S20" s="12">
        <f>IF(COUNTIFS(T_SelfStock_Log[Part Name],$A20,T_SelfStock_Log[WeekIndex],18)=0,"",SUMIFS(T_SelfStock_Log[Self_Qty],T_SelfStock_Log[Part Name],$A20,T_SelfStock_Log[WeekIndex],18))</f>
        <v/>
      </c>
      <c r="T20" s="12">
        <f>IF(COUNTIFS(T_SelfStock_Log[Part Name],$A20,T_SelfStock_Log[WeekIndex],19)=0,"",SUMIFS(T_SelfStock_Log[Self_Qty],T_SelfStock_Log[Part Name],$A20,T_SelfStock_Log[WeekIndex],19))</f>
        <v/>
      </c>
      <c r="U20" s="12">
        <f>IF(COUNTIFS(T_SelfStock_Log[Part Name],$A20,T_SelfStock_Log[WeekIndex],20)=0,"",SUMIFS(T_SelfStock_Log[Self_Qty],T_SelfStock_Log[Part Name],$A20,T_SelfStock_Log[WeekIndex],20))</f>
        <v/>
      </c>
      <c r="V20" s="12">
        <f>IF(COUNTIFS(T_SelfStock_Log[Part Name],$A20,T_SelfStock_Log[WeekIndex],21)=0,"",SUMIFS(T_SelfStock_Log[Self_Qty],T_SelfStock_Log[Part Name],$A20,T_SelfStock_Log[WeekIndex],21))</f>
        <v/>
      </c>
      <c r="W20" s="12">
        <f>IF(COUNTIFS(T_SelfStock_Log[Part Name],$A20,T_SelfStock_Log[WeekIndex],22)=0,"",SUMIFS(T_SelfStock_Log[Self_Qty],T_SelfStock_Log[Part Name],$A20,T_SelfStock_Log[WeekIndex],22))</f>
        <v/>
      </c>
      <c r="X20" s="12">
        <f>IF(COUNTIFS(T_SelfStock_Log[Part Name],$A20,T_SelfStock_Log[WeekIndex],23)=0,"",SUMIFS(T_SelfStock_Log[Self_Qty],T_SelfStock_Log[Part Name],$A20,T_SelfStock_Log[WeekIndex],23))</f>
        <v/>
      </c>
      <c r="Y20" s="12">
        <f>IF(COUNTIFS(T_SelfStock_Log[Part Name],$A20,T_SelfStock_Log[WeekIndex],24)=0,"",SUMIFS(T_SelfStock_Log[Self_Qty],T_SelfStock_Log[Part Name],$A20,T_SelfStock_Log[WeekIndex],24))</f>
        <v/>
      </c>
      <c r="Z20" s="12">
        <f>IF(COUNTIFS(T_SelfStock_Log[Part Name],$A20,T_SelfStock_Log[WeekIndex],25)=0,"",SUMIFS(T_SelfStock_Log[Self_Qty],T_SelfStock_Log[Part Name],$A20,T_SelfStock_Log[WeekIndex],25))</f>
        <v/>
      </c>
      <c r="AA20" s="12">
        <f>IF(COUNTIFS(T_SelfStock_Log[Part Name],$A20,T_SelfStock_Log[WeekIndex],26)=0,"",SUMIFS(T_SelfStock_Log[Self_Qty],T_SelfStock_Log[Part Name],$A20,T_SelfStock_Log[WeekIndex],26))</f>
        <v/>
      </c>
      <c r="AB20" s="12">
        <f>IF(COUNTIFS(T_SelfStock_Log[Part Name],$A20,T_SelfStock_Log[WeekIndex],27)=0,"",SUMIFS(T_SelfStock_Log[Self_Qty],T_SelfStock_Log[Part Name],$A20,T_SelfStock_Log[WeekIndex],27))</f>
        <v/>
      </c>
      <c r="AC20" s="12">
        <f>IF(COUNTIFS(T_SelfStock_Log[Part Name],$A20,T_SelfStock_Log[WeekIndex],28)=0,"",SUMIFS(T_SelfStock_Log[Self_Qty],T_SelfStock_Log[Part Name],$A20,T_SelfStock_Log[WeekIndex],28))</f>
        <v/>
      </c>
      <c r="AD20" s="12">
        <f>IF(COUNTIFS(T_SelfStock_Log[Part Name],$A20,T_SelfStock_Log[WeekIndex],29)=0,"",SUMIFS(T_SelfStock_Log[Self_Qty],T_SelfStock_Log[Part Name],$A20,T_SelfStock_Log[WeekIndex],29))</f>
        <v/>
      </c>
      <c r="AE20" s="12">
        <f>IF(COUNTIFS(T_SelfStock_Log[Part Name],$A20,T_SelfStock_Log[WeekIndex],30)=0,"",SUMIFS(T_SelfStock_Log[Self_Qty],T_SelfStock_Log[Part Name],$A20,T_SelfStock_Log[WeekIndex],30))</f>
        <v/>
      </c>
      <c r="AF20" s="12">
        <f>IF(COUNTIFS(T_SelfStock_Log[Part Name],$A20,T_SelfStock_Log[WeekIndex],31)=0,"",SUMIFS(T_SelfStock_Log[Self_Qty],T_SelfStock_Log[Part Name],$A20,T_SelfStock_Log[WeekIndex],31))</f>
        <v/>
      </c>
      <c r="AG20" s="12">
        <f>IF(COUNTIFS(T_SelfStock_Log[Part Name],$A20,T_SelfStock_Log[WeekIndex],32)=0,"",SUMIFS(T_SelfStock_Log[Self_Qty],T_SelfStock_Log[Part Name],$A20,T_SelfStock_Log[WeekIndex],32))</f>
        <v/>
      </c>
      <c r="AH20" s="12">
        <f>IF(COUNTIFS(T_SelfStock_Log[Part Name],$A20,T_SelfStock_Log[WeekIndex],33)=0,"",SUMIFS(T_SelfStock_Log[Self_Qty],T_SelfStock_Log[Part Name],$A20,T_SelfStock_Log[WeekIndex],33))</f>
        <v/>
      </c>
      <c r="AI20" s="12">
        <f>IF(COUNTIFS(T_SelfStock_Log[Part Name],$A20,T_SelfStock_Log[WeekIndex],34)=0,"",SUMIFS(T_SelfStock_Log[Self_Qty],T_SelfStock_Log[Part Name],$A20,T_SelfStock_Log[WeekIndex],34))</f>
        <v/>
      </c>
      <c r="AJ20" s="12">
        <f>IF(COUNTIFS(T_SelfStock_Log[Part Name],$A20,T_SelfStock_Log[WeekIndex],35)=0,"",SUMIFS(T_SelfStock_Log[Self_Qty],T_SelfStock_Log[Part Name],$A20,T_SelfStock_Log[WeekIndex],35))</f>
        <v/>
      </c>
      <c r="AK20" s="12">
        <f>IF(COUNTIFS(T_SelfStock_Log[Part Name],$A20,T_SelfStock_Log[WeekIndex],36)=0,"",SUMIFS(T_SelfStock_Log[Self_Qty],T_SelfStock_Log[Part Name],$A20,T_SelfStock_Log[WeekIndex],36))</f>
        <v/>
      </c>
      <c r="AL20" s="12">
        <f>IF(COUNTIFS(T_SelfStock_Log[Part Name],$A20,T_SelfStock_Log[WeekIndex],37)=0,"",SUMIFS(T_SelfStock_Log[Self_Qty],T_SelfStock_Log[Part Name],$A20,T_SelfStock_Log[WeekIndex],37))</f>
        <v/>
      </c>
      <c r="AM20" s="12">
        <f>IF(COUNTIFS(T_SelfStock_Log[Part Name],$A20,T_SelfStock_Log[WeekIndex],38)=0,"",SUMIFS(T_SelfStock_Log[Self_Qty],T_SelfStock_Log[Part Name],$A20,T_SelfStock_Log[WeekIndex],38))</f>
        <v/>
      </c>
      <c r="AN20" s="12">
        <f>IF(COUNTIFS(T_SelfStock_Log[Part Name],$A20,T_SelfStock_Log[WeekIndex],39)=0,"",SUMIFS(T_SelfStock_Log[Self_Qty],T_SelfStock_Log[Part Name],$A20,T_SelfStock_Log[WeekIndex],39))</f>
        <v/>
      </c>
      <c r="AO20" s="12">
        <f>IF(COUNTIFS(T_SelfStock_Log[Part Name],$A20,T_SelfStock_Log[WeekIndex],40)=0,"",SUMIFS(T_SelfStock_Log[Self_Qty],T_SelfStock_Log[Part Name],$A20,T_SelfStock_Log[WeekIndex],40))</f>
        <v/>
      </c>
      <c r="AP20" s="12">
        <f>IF(COUNTIFS(T_SelfStock_Log[Part Name],$A20,T_SelfStock_Log[WeekIndex],41)=0,"",SUMIFS(T_SelfStock_Log[Self_Qty],T_SelfStock_Log[Part Name],$A20,T_SelfStock_Log[WeekIndex],41))</f>
        <v/>
      </c>
      <c r="AQ20" s="12">
        <f>IF(COUNTIFS(T_SelfStock_Log[Part Name],$A20,T_SelfStock_Log[WeekIndex],42)=0,"",SUMIFS(T_SelfStock_Log[Self_Qty],T_SelfStock_Log[Part Name],$A20,T_SelfStock_Log[WeekIndex],42))</f>
        <v/>
      </c>
      <c r="AR20" s="12">
        <f>IF(COUNTIFS(T_SelfStock_Log[Part Name],$A20,T_SelfStock_Log[WeekIndex],43)=0,"",SUMIFS(T_SelfStock_Log[Self_Qty],T_SelfStock_Log[Part Name],$A20,T_SelfStock_Log[WeekIndex],43))</f>
        <v/>
      </c>
      <c r="AS20" s="12">
        <f>IF(COUNTIFS(T_SelfStock_Log[Part Name],$A20,T_SelfStock_Log[WeekIndex],44)=0,"",SUMIFS(T_SelfStock_Log[Self_Qty],T_SelfStock_Log[Part Name],$A20,T_SelfStock_Log[WeekIndex],44))</f>
        <v/>
      </c>
      <c r="AT20" s="12">
        <f>IF(COUNTIFS(T_SelfStock_Log[Part Name],$A20,T_SelfStock_Log[WeekIndex],45)=0,"",SUMIFS(T_SelfStock_Log[Self_Qty],T_SelfStock_Log[Part Name],$A20,T_SelfStock_Log[WeekIndex],45))</f>
        <v/>
      </c>
      <c r="AU20" s="12">
        <f>IF(COUNTIFS(T_SelfStock_Log[Part Name],$A20,T_SelfStock_Log[WeekIndex],46)=0,"",SUMIFS(T_SelfStock_Log[Self_Qty],T_SelfStock_Log[Part Name],$A20,T_SelfStock_Log[WeekIndex],46))</f>
        <v/>
      </c>
      <c r="AV20" s="12">
        <f>IF(COUNTIFS(T_SelfStock_Log[Part Name],$A20,T_SelfStock_Log[WeekIndex],47)=0,"",SUMIFS(T_SelfStock_Log[Self_Qty],T_SelfStock_Log[Part Name],$A20,T_SelfStock_Log[WeekIndex],47))</f>
        <v/>
      </c>
      <c r="AW20" s="12">
        <f>IF(COUNTIFS(T_SelfStock_Log[Part Name],$A20,T_SelfStock_Log[WeekIndex],48)=0,"",SUMIFS(T_SelfStock_Log[Self_Qty],T_SelfStock_Log[Part Name],$A20,T_SelfStock_Log[WeekIndex],48))</f>
        <v/>
      </c>
      <c r="AX20" s="12">
        <f>IF(COUNTIFS(T_SelfStock_Log[Part Name],$A20,T_SelfStock_Log[WeekIndex],49)=0,"",SUMIFS(T_SelfStock_Log[Self_Qty],T_SelfStock_Log[Part Name],$A20,T_SelfStock_Log[WeekIndex],49))</f>
        <v/>
      </c>
      <c r="AY20" s="12">
        <f>IF(COUNTIFS(T_SelfStock_Log[Part Name],$A20,T_SelfStock_Log[WeekIndex],50)=0,"",SUMIFS(T_SelfStock_Log[Self_Qty],T_SelfStock_Log[Part Name],$A20,T_SelfStock_Log[WeekIndex],50))</f>
        <v/>
      </c>
      <c r="AZ20" s="12">
        <f>IF(COUNTIFS(T_SelfStock_Log[Part Name],$A20,T_SelfStock_Log[WeekIndex],51)=0,"",SUMIFS(T_SelfStock_Log[Self_Qty],T_SelfStock_Log[Part Name],$A20,T_SelfStock_Log[WeekIndex],51))</f>
        <v/>
      </c>
      <c r="BA20" s="12">
        <f>IF(COUNTIFS(T_SelfStock_Log[Part Name],$A20,T_SelfStock_Log[WeekIndex],52)=0,"",SUMIFS(T_SelfStock_Log[Self_Qty],T_SelfStock_Log[Part Name],$A20,T_SelfStock_Log[WeekIndex],52))</f>
        <v/>
      </c>
      <c r="BB20" s="12">
        <f>IF(COUNTIFS(T_SelfStock_Log[Part Name],$A20,T_SelfStock_Log[WeekIndex],53)=0,"",SUMIFS(T_SelfStock_Log[Self_Qty],T_SelfStock_Log[Part Name],$A20,T_SelfStock_Log[WeekIndex],53))</f>
        <v/>
      </c>
      <c r="BC20" s="12">
        <f>IF(COUNTIFS(T_SelfStock_Log[Part Name],$A20,T_SelfStock_Log[WeekIndex],54)=0,"",SUMIFS(T_SelfStock_Log[Self_Qty],T_SelfStock_Log[Part Name],$A20,T_SelfStock_Log[WeekIndex],54))</f>
        <v/>
      </c>
      <c r="BD20" s="12">
        <f>IF(COUNTIFS(T_SelfStock_Log[Part Name],$A20,T_SelfStock_Log[WeekIndex],55)=0,"",SUMIFS(T_SelfStock_Log[Self_Qty],T_SelfStock_Log[Part Name],$A20,T_SelfStock_Log[WeekIndex],55))</f>
        <v/>
      </c>
      <c r="BE20" s="12">
        <f>IF(COUNTIFS(T_SelfStock_Log[Part Name],$A20,T_SelfStock_Log[WeekIndex],56)=0,"",SUMIFS(T_SelfStock_Log[Self_Qty],T_SelfStock_Log[Part Name],$A20,T_SelfStock_Log[WeekIndex],56))</f>
        <v/>
      </c>
      <c r="BF20" s="12">
        <f>IF(COUNTIFS(T_SelfStock_Log[Part Name],$A20,T_SelfStock_Log[WeekIndex],57)=0,"",SUMIFS(T_SelfStock_Log[Self_Qty],T_SelfStock_Log[Part Name],$A20,T_SelfStock_Log[WeekIndex],57))</f>
        <v/>
      </c>
      <c r="BG20" s="12">
        <f>IF(COUNTIFS(T_SelfStock_Log[Part Name],$A20,T_SelfStock_Log[WeekIndex],58)=0,"",SUMIFS(T_SelfStock_Log[Self_Qty],T_SelfStock_Log[Part Name],$A20,T_SelfStock_Log[WeekIndex],58))</f>
        <v/>
      </c>
      <c r="BH20" s="12">
        <f>IF(COUNTIFS(T_SelfStock_Log[Part Name],$A20,T_SelfStock_Log[WeekIndex],59)=0,"",SUMIFS(T_SelfStock_Log[Self_Qty],T_SelfStock_Log[Part Name],$A20,T_SelfStock_Log[WeekIndex],59))</f>
        <v/>
      </c>
      <c r="BI20" s="12">
        <f>IF(COUNTIFS(T_SelfStock_Log[Part Name],$A20,T_SelfStock_Log[WeekIndex],60)=0,"",SUMIFS(T_SelfStock_Log[Self_Qty],T_SelfStock_Log[Part Name],$A20,T_SelfStock_Log[WeekIndex],60))</f>
        <v/>
      </c>
      <c r="BJ20" s="12">
        <f>IF(COUNTIFS(T_SelfStock_Log[Part Name],$A20,T_SelfStock_Log[WeekIndex],61)=0,"",SUMIFS(T_SelfStock_Log[Self_Qty],T_SelfStock_Log[Part Name],$A20,T_SelfStock_Log[WeekIndex],61))</f>
        <v/>
      </c>
      <c r="BK20" s="12">
        <f>IF(COUNTIFS(T_SelfStock_Log[Part Name],$A20,T_SelfStock_Log[WeekIndex],62)=0,"",SUMIFS(T_SelfStock_Log[Self_Qty],T_SelfStock_Log[Part Name],$A20,T_SelfStock_Log[WeekIndex],62))</f>
        <v/>
      </c>
      <c r="BL20" s="12">
        <f>IF(COUNTIFS(T_SelfStock_Log[Part Name],$A20,T_SelfStock_Log[WeekIndex],63)=0,"",SUMIFS(T_SelfStock_Log[Self_Qty],T_SelfStock_Log[Part Name],$A20,T_SelfStock_Log[WeekIndex],63))</f>
        <v/>
      </c>
      <c r="BM20" s="12">
        <f>IF(COUNTIFS(T_SelfStock_Log[Part Name],$A20,T_SelfStock_Log[WeekIndex],64)=0,"",SUMIFS(T_SelfStock_Log[Self_Qty],T_SelfStock_Log[Part Name],$A20,T_SelfStock_Log[WeekIndex],64))</f>
        <v/>
      </c>
      <c r="BN20" s="12">
        <f>IF(COUNTIFS(T_SelfStock_Log[Part Name],$A20,T_SelfStock_Log[WeekIndex],65)=0,"",SUMIFS(T_SelfStock_Log[Self_Qty],T_SelfStock_Log[Part Name],$A20,T_SelfStock_Log[WeekIndex],65))</f>
        <v/>
      </c>
      <c r="BO20" s="12">
        <f>IF(COUNTIFS(T_SelfStock_Log[Part Name],$A20,T_SelfStock_Log[WeekIndex],66)=0,"",SUMIFS(T_SelfStock_Log[Self_Qty],T_SelfStock_Log[Part Name],$A20,T_SelfStock_Log[WeekIndex],66))</f>
        <v/>
      </c>
      <c r="BP20" s="12">
        <f>IF(COUNTIFS(T_SelfStock_Log[Part Name],$A20,T_SelfStock_Log[WeekIndex],67)=0,"",SUMIFS(T_SelfStock_Log[Self_Qty],T_SelfStock_Log[Part Name],$A20,T_SelfStock_Log[WeekIndex],67))</f>
        <v/>
      </c>
      <c r="BQ20" s="12">
        <f>IF(COUNTIFS(T_SelfStock_Log[Part Name],$A20,T_SelfStock_Log[WeekIndex],68)=0,"",SUMIFS(T_SelfStock_Log[Self_Qty],T_SelfStock_Log[Part Name],$A20,T_SelfStock_Log[WeekIndex],68))</f>
        <v/>
      </c>
      <c r="BR20" s="12">
        <f>IF(COUNTIFS(T_SelfStock_Log[Part Name],$A20,T_SelfStock_Log[WeekIndex],69)=0,"",SUMIFS(T_SelfStock_Log[Self_Qty],T_SelfStock_Log[Part Name],$A20,T_SelfStock_Log[WeekIndex],69))</f>
        <v/>
      </c>
      <c r="BS20" s="12">
        <f>IF(COUNTIFS(T_SelfStock_Log[Part Name],$A20,T_SelfStock_Log[WeekIndex],70)=0,"",SUMIFS(T_SelfStock_Log[Self_Qty],T_SelfStock_Log[Part Name],$A20,T_SelfStock_Log[WeekIndex],70))</f>
        <v/>
      </c>
      <c r="BT20" s="12">
        <f>IF(COUNTIFS(T_SelfStock_Log[Part Name],$A20,T_SelfStock_Log[WeekIndex],71)=0,"",SUMIFS(T_SelfStock_Log[Self_Qty],T_SelfStock_Log[Part Name],$A20,T_SelfStock_Log[WeekIndex],71))</f>
        <v/>
      </c>
      <c r="BU20" s="12">
        <f>IF(COUNTIFS(T_SelfStock_Log[Part Name],$A20,T_SelfStock_Log[WeekIndex],72)=0,"",SUMIFS(T_SelfStock_Log[Self_Qty],T_SelfStock_Log[Part Name],$A20,T_SelfStock_Log[WeekIndex],72))</f>
        <v/>
      </c>
      <c r="BV20" s="12">
        <f>IF(COUNTIFS(T_SelfStock_Log[Part Name],$A20,T_SelfStock_Log[WeekIndex],73)=0,"",SUMIFS(T_SelfStock_Log[Self_Qty],T_SelfStock_Log[Part Name],$A20,T_SelfStock_Log[WeekIndex],73))</f>
        <v/>
      </c>
      <c r="BW20" s="12">
        <f>IF(COUNTIFS(T_SelfStock_Log[Part Name],$A20,T_SelfStock_Log[WeekIndex],74)=0,"",SUMIFS(T_SelfStock_Log[Self_Qty],T_SelfStock_Log[Part Name],$A20,T_SelfStock_Log[WeekIndex],74))</f>
        <v/>
      </c>
      <c r="BX20" s="12">
        <f>IF(COUNTIFS(T_SelfStock_Log[Part Name],$A20,T_SelfStock_Log[WeekIndex],75)=0,"",SUMIFS(T_SelfStock_Log[Self_Qty],T_SelfStock_Log[Part Name],$A20,T_SelfStock_Log[WeekIndex],75))</f>
        <v/>
      </c>
      <c r="BY20" s="12">
        <f>IF(COUNTIFS(T_SelfStock_Log[Part Name],$A20,T_SelfStock_Log[WeekIndex],76)=0,"",SUMIFS(T_SelfStock_Log[Self_Qty],T_SelfStock_Log[Part Name],$A20,T_SelfStock_Log[WeekIndex],76))</f>
        <v/>
      </c>
      <c r="BZ20" s="12">
        <f>IF(COUNTIFS(T_SelfStock_Log[Part Name],$A20,T_SelfStock_Log[WeekIndex],77)=0,"",SUMIFS(T_SelfStock_Log[Self_Qty],T_SelfStock_Log[Part Name],$A20,T_SelfStock_Log[WeekIndex],77))</f>
        <v/>
      </c>
      <c r="CA20" s="12">
        <f>IF(COUNTIFS(T_SelfStock_Log[Part Name],$A20,T_SelfStock_Log[WeekIndex],78)=0,"",SUMIFS(T_SelfStock_Log[Self_Qty],T_SelfStock_Log[Part Name],$A20,T_SelfStock_Log[WeekIndex],78))</f>
        <v/>
      </c>
      <c r="CB20" s="12">
        <f>IF(COUNTIFS(T_SelfStock_Log[Part Name],$A20,T_SelfStock_Log[WeekIndex],79)=0,"",SUMIFS(T_SelfStock_Log[Self_Qty],T_SelfStock_Log[Part Name],$A20,T_SelfStock_Log[WeekIndex],79))</f>
        <v/>
      </c>
      <c r="CC20" s="12">
        <f>IF(COUNTIFS(T_SelfStock_Log[Part Name],$A20,T_SelfStock_Log[WeekIndex],80)=0,"",SUMIFS(T_SelfStock_Log[Self_Qty],T_SelfStock_Log[Part Name],$A20,T_SelfStock_Log[WeekIndex],80))</f>
        <v/>
      </c>
      <c r="CD20" s="12">
        <f>IF(COUNTIFS(T_SelfStock_Log[Part Name],$A20,T_SelfStock_Log[WeekIndex],81)=0,"",SUMIFS(T_SelfStock_Log[Self_Qty],T_SelfStock_Log[Part Name],$A20,T_SelfStock_Log[WeekIndex],81))</f>
        <v/>
      </c>
      <c r="CE20" s="12">
        <f>IF(COUNTIFS(T_SelfStock_Log[Part Name],$A20,T_SelfStock_Log[WeekIndex],82)=0,"",SUMIFS(T_SelfStock_Log[Self_Qty],T_SelfStock_Log[Part Name],$A20,T_SelfStock_Log[WeekIndex],82))</f>
        <v/>
      </c>
      <c r="CF20" s="12">
        <f>IF(COUNTIFS(T_SelfStock_Log[Part Name],$A20,T_SelfStock_Log[WeekIndex],83)=0,"",SUMIFS(T_SelfStock_Log[Self_Qty],T_SelfStock_Log[Part Name],$A20,T_SelfStock_Log[WeekIndex],83))</f>
        <v/>
      </c>
      <c r="CG20" s="12">
        <f>IF(COUNTIFS(T_SelfStock_Log[Part Name],$A20,T_SelfStock_Log[WeekIndex],84)=0,"",SUMIFS(T_SelfStock_Log[Self_Qty],T_SelfStock_Log[Part Name],$A20,T_SelfStock_Log[WeekIndex],84))</f>
        <v/>
      </c>
      <c r="CH20" s="12">
        <f>IF(COUNTIFS(T_SelfStock_Log[Part Name],$A20,T_SelfStock_Log[WeekIndex],85)=0,"",SUMIFS(T_SelfStock_Log[Self_Qty],T_SelfStock_Log[Part Name],$A20,T_SelfStock_Log[WeekIndex],85))</f>
        <v/>
      </c>
      <c r="CI20" s="12">
        <f>IF(COUNTIFS(T_SelfStock_Log[Part Name],$A20,T_SelfStock_Log[WeekIndex],86)=0,"",SUMIFS(T_SelfStock_Log[Self_Qty],T_SelfStock_Log[Part Name],$A20,T_SelfStock_Log[WeekIndex],86))</f>
        <v/>
      </c>
      <c r="CJ20" s="12">
        <f>IF(COUNTIFS(T_SelfStock_Log[Part Name],$A20,T_SelfStock_Log[WeekIndex],87)=0,"",SUMIFS(T_SelfStock_Log[Self_Qty],T_SelfStock_Log[Part Name],$A20,T_SelfStock_Log[WeekIndex],87))</f>
        <v/>
      </c>
      <c r="CK20" s="12">
        <f>IF(COUNTIFS(T_SelfStock_Log[Part Name],$A20,T_SelfStock_Log[WeekIndex],88)=0,"",SUMIFS(T_SelfStock_Log[Self_Qty],T_SelfStock_Log[Part Name],$A20,T_SelfStock_Log[WeekIndex],88))</f>
        <v/>
      </c>
      <c r="CL20" s="12">
        <f>IF(COUNTIFS(T_SelfStock_Log[Part Name],$A20,T_SelfStock_Log[WeekIndex],89)=0,"",SUMIFS(T_SelfStock_Log[Self_Qty],T_SelfStock_Log[Part Name],$A20,T_SelfStock_Log[WeekIndex],89))</f>
        <v/>
      </c>
      <c r="CM20" s="12">
        <f>IF(COUNTIFS(T_SelfStock_Log[Part Name],$A20,T_SelfStock_Log[WeekIndex],90)=0,"",SUMIFS(T_SelfStock_Log[Self_Qty],T_SelfStock_Log[Part Name],$A20,T_SelfStock_Log[WeekIndex],90))</f>
        <v/>
      </c>
      <c r="CN20" s="12">
        <f>IF(COUNTIFS(T_SelfStock_Log[Part Name],$A20,T_SelfStock_Log[WeekIndex],91)=0,"",SUMIFS(T_SelfStock_Log[Self_Qty],T_SelfStock_Log[Part Name],$A20,T_SelfStock_Log[WeekIndex],91))</f>
        <v/>
      </c>
      <c r="CO20" s="12">
        <f>IF(COUNTIFS(T_SelfStock_Log[Part Name],$A20,T_SelfStock_Log[WeekIndex],92)=0,"",SUMIFS(T_SelfStock_Log[Self_Qty],T_SelfStock_Log[Part Name],$A20,T_SelfStock_Log[WeekIndex],92))</f>
        <v/>
      </c>
      <c r="CP20" s="12">
        <f>IF(COUNTIFS(T_SelfStock_Log[Part Name],$A20,T_SelfStock_Log[WeekIndex],93)=0,"",SUMIFS(T_SelfStock_Log[Self_Qty],T_SelfStock_Log[Part Name],$A20,T_SelfStock_Log[WeekIndex],93))</f>
        <v/>
      </c>
      <c r="CQ20" s="12">
        <f>IF(COUNTIFS(T_SelfStock_Log[Part Name],$A20,T_SelfStock_Log[WeekIndex],94)=0,"",SUMIFS(T_SelfStock_Log[Self_Qty],T_SelfStock_Log[Part Name],$A20,T_SelfStock_Log[WeekIndex],94))</f>
        <v/>
      </c>
      <c r="CR20" s="12">
        <f>IF(COUNTIFS(T_SelfStock_Log[Part Name],$A20,T_SelfStock_Log[WeekIndex],95)=0,"",SUMIFS(T_SelfStock_Log[Self_Qty],T_SelfStock_Log[Part Name],$A20,T_SelfStock_Log[WeekIndex],95))</f>
        <v/>
      </c>
      <c r="CS20" s="12">
        <f>IF(COUNTIFS(T_SelfStock_Log[Part Name],$A20,T_SelfStock_Log[WeekIndex],96)=0,"",SUMIFS(T_SelfStock_Log[Self_Qty],T_SelfStock_Log[Part Name],$A20,T_SelfStock_Log[WeekIndex],96))</f>
        <v/>
      </c>
      <c r="CT20" s="12">
        <f>IF(COUNTIFS(T_SelfStock_Log[Part Name],$A20,T_SelfStock_Log[WeekIndex],97)=0,"",SUMIFS(T_SelfStock_Log[Self_Qty],T_SelfStock_Log[Part Name],$A20,T_SelfStock_Log[WeekIndex],97))</f>
        <v/>
      </c>
      <c r="CU20" s="12">
        <f>IF(COUNTIFS(T_SelfStock_Log[Part Name],$A20,T_SelfStock_Log[WeekIndex],98)=0,"",SUMIFS(T_SelfStock_Log[Self_Qty],T_SelfStock_Log[Part Name],$A20,T_SelfStock_Log[WeekIndex],98))</f>
        <v/>
      </c>
      <c r="CV20" s="12">
        <f>IF(COUNTIFS(T_SelfStock_Log[Part Name],$A20,T_SelfStock_Log[WeekIndex],99)=0,"",SUMIFS(T_SelfStock_Log[Self_Qty],T_SelfStock_Log[Part Name],$A20,T_SelfStock_Log[WeekIndex],99))</f>
        <v/>
      </c>
      <c r="CW20" s="12">
        <f>IF(COUNTIFS(T_SelfStock_Log[Part Name],$A20,T_SelfStock_Log[WeekIndex],100)=0,"",SUMIFS(T_SelfStock_Log[Self_Qty],T_SelfStock_Log[Part Name],$A20,T_SelfStock_Log[WeekIndex],100))</f>
        <v/>
      </c>
      <c r="CX20" s="12">
        <f>IF(COUNTIFS(T_SelfStock_Log[Part Name],$A20,T_SelfStock_Log[WeekIndex],101)=0,"",SUMIFS(T_SelfStock_Log[Self_Qty],T_SelfStock_Log[Part Name],$A20,T_SelfStock_Log[WeekIndex],101))</f>
        <v/>
      </c>
      <c r="CY20" s="12">
        <f>IF(COUNTIFS(T_SelfStock_Log[Part Name],$A20,T_SelfStock_Log[WeekIndex],102)=0,"",SUMIFS(T_SelfStock_Log[Self_Qty],T_SelfStock_Log[Part Name],$A20,T_SelfStock_Log[WeekIndex],102))</f>
        <v/>
      </c>
      <c r="CZ20" s="12">
        <f>IF(COUNTIFS(T_SelfStock_Log[Part Name],$A20,T_SelfStock_Log[WeekIndex],103)=0,"",SUMIFS(T_SelfStock_Log[Self_Qty],T_SelfStock_Log[Part Name],$A20,T_SelfStock_Log[WeekIndex],103))</f>
        <v/>
      </c>
      <c r="DA20" s="12">
        <f>IF(COUNTIFS(T_SelfStock_Log[Part Name],$A20,T_SelfStock_Log[WeekIndex],104)=0,"",SUMIFS(T_SelfStock_Log[Self_Qty],T_SelfStock_Log[Part Name],$A20,T_SelfStock_Log[WeekIndex],104))</f>
        <v/>
      </c>
    </row>
    <row r="21">
      <c r="A21" s="13" t="inlineStr">
        <is>
          <t>CHEM-1650</t>
        </is>
      </c>
      <c r="B21" s="13">
        <f>IF(COUNTIFS(T_SelfStock_Log[Part Name],$A21,T_SelfStock_Log[WeekIndex],1)=0,"",SUMIFS(T_SelfStock_Log[Self_Qty],T_SelfStock_Log[Part Name],$A21,T_SelfStock_Log[WeekIndex],1))</f>
        <v/>
      </c>
      <c r="C21" s="13">
        <f>IF(COUNTIFS(T_SelfStock_Log[Part Name],$A21,T_SelfStock_Log[WeekIndex],2)=0,"",SUMIFS(T_SelfStock_Log[Self_Qty],T_SelfStock_Log[Part Name],$A21,T_SelfStock_Log[WeekIndex],2))</f>
        <v/>
      </c>
      <c r="D21" s="13">
        <f>IF(COUNTIFS(T_SelfStock_Log[Part Name],$A21,T_SelfStock_Log[WeekIndex],3)=0,"",SUMIFS(T_SelfStock_Log[Self_Qty],T_SelfStock_Log[Part Name],$A21,T_SelfStock_Log[WeekIndex],3))</f>
        <v/>
      </c>
      <c r="E21" s="13">
        <f>IF(COUNTIFS(T_SelfStock_Log[Part Name],$A21,T_SelfStock_Log[WeekIndex],4)=0,"",SUMIFS(T_SelfStock_Log[Self_Qty],T_SelfStock_Log[Part Name],$A21,T_SelfStock_Log[WeekIndex],4))</f>
        <v/>
      </c>
      <c r="F21" s="13">
        <f>IF(COUNTIFS(T_SelfStock_Log[Part Name],$A21,T_SelfStock_Log[WeekIndex],5)=0,"",SUMIFS(T_SelfStock_Log[Self_Qty],T_SelfStock_Log[Part Name],$A21,T_SelfStock_Log[WeekIndex],5))</f>
        <v/>
      </c>
      <c r="G21" s="13">
        <f>IF(COUNTIFS(T_SelfStock_Log[Part Name],$A21,T_SelfStock_Log[WeekIndex],6)=0,"",SUMIFS(T_SelfStock_Log[Self_Qty],T_SelfStock_Log[Part Name],$A21,T_SelfStock_Log[WeekIndex],6))</f>
        <v/>
      </c>
      <c r="H21" s="13">
        <f>IF(COUNTIFS(T_SelfStock_Log[Part Name],$A21,T_SelfStock_Log[WeekIndex],7)=0,"",SUMIFS(T_SelfStock_Log[Self_Qty],T_SelfStock_Log[Part Name],$A21,T_SelfStock_Log[WeekIndex],7))</f>
        <v/>
      </c>
      <c r="I21" s="13">
        <f>IF(COUNTIFS(T_SelfStock_Log[Part Name],$A21,T_SelfStock_Log[WeekIndex],8)=0,"",SUMIFS(T_SelfStock_Log[Self_Qty],T_SelfStock_Log[Part Name],$A21,T_SelfStock_Log[WeekIndex],8))</f>
        <v/>
      </c>
      <c r="J21" s="13">
        <f>IF(COUNTIFS(T_SelfStock_Log[Part Name],$A21,T_SelfStock_Log[WeekIndex],9)=0,"",SUMIFS(T_SelfStock_Log[Self_Qty],T_SelfStock_Log[Part Name],$A21,T_SelfStock_Log[WeekIndex],9))</f>
        <v/>
      </c>
      <c r="K21" s="13">
        <f>IF(COUNTIFS(T_SelfStock_Log[Part Name],$A21,T_SelfStock_Log[WeekIndex],10)=0,"",SUMIFS(T_SelfStock_Log[Self_Qty],T_SelfStock_Log[Part Name],$A21,T_SelfStock_Log[WeekIndex],10))</f>
        <v/>
      </c>
      <c r="L21" s="13">
        <f>IF(COUNTIFS(T_SelfStock_Log[Part Name],$A21,T_SelfStock_Log[WeekIndex],11)=0,"",SUMIFS(T_SelfStock_Log[Self_Qty],T_SelfStock_Log[Part Name],$A21,T_SelfStock_Log[WeekIndex],11))</f>
        <v/>
      </c>
      <c r="M21" s="13">
        <f>IF(COUNTIFS(T_SelfStock_Log[Part Name],$A21,T_SelfStock_Log[WeekIndex],12)=0,"",SUMIFS(T_SelfStock_Log[Self_Qty],T_SelfStock_Log[Part Name],$A21,T_SelfStock_Log[WeekIndex],12))</f>
        <v/>
      </c>
      <c r="N21" s="13">
        <f>IF(COUNTIFS(T_SelfStock_Log[Part Name],$A21,T_SelfStock_Log[WeekIndex],13)=0,"",SUMIFS(T_SelfStock_Log[Self_Qty],T_SelfStock_Log[Part Name],$A21,T_SelfStock_Log[WeekIndex],13))</f>
        <v/>
      </c>
      <c r="O21" s="13">
        <f>IF(COUNTIFS(T_SelfStock_Log[Part Name],$A21,T_SelfStock_Log[WeekIndex],14)=0,"",SUMIFS(T_SelfStock_Log[Self_Qty],T_SelfStock_Log[Part Name],$A21,T_SelfStock_Log[WeekIndex],14))</f>
        <v/>
      </c>
      <c r="P21" s="13">
        <f>IF(COUNTIFS(T_SelfStock_Log[Part Name],$A21,T_SelfStock_Log[WeekIndex],15)=0,"",SUMIFS(T_SelfStock_Log[Self_Qty],T_SelfStock_Log[Part Name],$A21,T_SelfStock_Log[WeekIndex],15))</f>
        <v/>
      </c>
      <c r="Q21" s="13">
        <f>IF(COUNTIFS(T_SelfStock_Log[Part Name],$A21,T_SelfStock_Log[WeekIndex],16)=0,"",SUMIFS(T_SelfStock_Log[Self_Qty],T_SelfStock_Log[Part Name],$A21,T_SelfStock_Log[WeekIndex],16))</f>
        <v/>
      </c>
      <c r="R21" s="13">
        <f>IF(COUNTIFS(T_SelfStock_Log[Part Name],$A21,T_SelfStock_Log[WeekIndex],17)=0,"",SUMIFS(T_SelfStock_Log[Self_Qty],T_SelfStock_Log[Part Name],$A21,T_SelfStock_Log[WeekIndex],17))</f>
        <v/>
      </c>
      <c r="S21" s="13">
        <f>IF(COUNTIFS(T_SelfStock_Log[Part Name],$A21,T_SelfStock_Log[WeekIndex],18)=0,"",SUMIFS(T_SelfStock_Log[Self_Qty],T_SelfStock_Log[Part Name],$A21,T_SelfStock_Log[WeekIndex],18))</f>
        <v/>
      </c>
      <c r="T21" s="13">
        <f>IF(COUNTIFS(T_SelfStock_Log[Part Name],$A21,T_SelfStock_Log[WeekIndex],19)=0,"",SUMIFS(T_SelfStock_Log[Self_Qty],T_SelfStock_Log[Part Name],$A21,T_SelfStock_Log[WeekIndex],19))</f>
        <v/>
      </c>
      <c r="U21" s="13">
        <f>IF(COUNTIFS(T_SelfStock_Log[Part Name],$A21,T_SelfStock_Log[WeekIndex],20)=0,"",SUMIFS(T_SelfStock_Log[Self_Qty],T_SelfStock_Log[Part Name],$A21,T_SelfStock_Log[WeekIndex],20))</f>
        <v/>
      </c>
      <c r="V21" s="13">
        <f>IF(COUNTIFS(T_SelfStock_Log[Part Name],$A21,T_SelfStock_Log[WeekIndex],21)=0,"",SUMIFS(T_SelfStock_Log[Self_Qty],T_SelfStock_Log[Part Name],$A21,T_SelfStock_Log[WeekIndex],21))</f>
        <v/>
      </c>
      <c r="W21" s="13">
        <f>IF(COUNTIFS(T_SelfStock_Log[Part Name],$A21,T_SelfStock_Log[WeekIndex],22)=0,"",SUMIFS(T_SelfStock_Log[Self_Qty],T_SelfStock_Log[Part Name],$A21,T_SelfStock_Log[WeekIndex],22))</f>
        <v/>
      </c>
      <c r="X21" s="13">
        <f>IF(COUNTIFS(T_SelfStock_Log[Part Name],$A21,T_SelfStock_Log[WeekIndex],23)=0,"",SUMIFS(T_SelfStock_Log[Self_Qty],T_SelfStock_Log[Part Name],$A21,T_SelfStock_Log[WeekIndex],23))</f>
        <v/>
      </c>
      <c r="Y21" s="13">
        <f>IF(COUNTIFS(T_SelfStock_Log[Part Name],$A21,T_SelfStock_Log[WeekIndex],24)=0,"",SUMIFS(T_SelfStock_Log[Self_Qty],T_SelfStock_Log[Part Name],$A21,T_SelfStock_Log[WeekIndex],24))</f>
        <v/>
      </c>
      <c r="Z21" s="13">
        <f>IF(COUNTIFS(T_SelfStock_Log[Part Name],$A21,T_SelfStock_Log[WeekIndex],25)=0,"",SUMIFS(T_SelfStock_Log[Self_Qty],T_SelfStock_Log[Part Name],$A21,T_SelfStock_Log[WeekIndex],25))</f>
        <v/>
      </c>
      <c r="AA21" s="13">
        <f>IF(COUNTIFS(T_SelfStock_Log[Part Name],$A21,T_SelfStock_Log[WeekIndex],26)=0,"",SUMIFS(T_SelfStock_Log[Self_Qty],T_SelfStock_Log[Part Name],$A21,T_SelfStock_Log[WeekIndex],26))</f>
        <v/>
      </c>
      <c r="AB21" s="13">
        <f>IF(COUNTIFS(T_SelfStock_Log[Part Name],$A21,T_SelfStock_Log[WeekIndex],27)=0,"",SUMIFS(T_SelfStock_Log[Self_Qty],T_SelfStock_Log[Part Name],$A21,T_SelfStock_Log[WeekIndex],27))</f>
        <v/>
      </c>
      <c r="AC21" s="13">
        <f>IF(COUNTIFS(T_SelfStock_Log[Part Name],$A21,T_SelfStock_Log[WeekIndex],28)=0,"",SUMIFS(T_SelfStock_Log[Self_Qty],T_SelfStock_Log[Part Name],$A21,T_SelfStock_Log[WeekIndex],28))</f>
        <v/>
      </c>
      <c r="AD21" s="13">
        <f>IF(COUNTIFS(T_SelfStock_Log[Part Name],$A21,T_SelfStock_Log[WeekIndex],29)=0,"",SUMIFS(T_SelfStock_Log[Self_Qty],T_SelfStock_Log[Part Name],$A21,T_SelfStock_Log[WeekIndex],29))</f>
        <v/>
      </c>
      <c r="AE21" s="13">
        <f>IF(COUNTIFS(T_SelfStock_Log[Part Name],$A21,T_SelfStock_Log[WeekIndex],30)=0,"",SUMIFS(T_SelfStock_Log[Self_Qty],T_SelfStock_Log[Part Name],$A21,T_SelfStock_Log[WeekIndex],30))</f>
        <v/>
      </c>
      <c r="AF21" s="13">
        <f>IF(COUNTIFS(T_SelfStock_Log[Part Name],$A21,T_SelfStock_Log[WeekIndex],31)=0,"",SUMIFS(T_SelfStock_Log[Self_Qty],T_SelfStock_Log[Part Name],$A21,T_SelfStock_Log[WeekIndex],31))</f>
        <v/>
      </c>
      <c r="AG21" s="13">
        <f>IF(COUNTIFS(T_SelfStock_Log[Part Name],$A21,T_SelfStock_Log[WeekIndex],32)=0,"",SUMIFS(T_SelfStock_Log[Self_Qty],T_SelfStock_Log[Part Name],$A21,T_SelfStock_Log[WeekIndex],32))</f>
        <v/>
      </c>
      <c r="AH21" s="13">
        <f>IF(COUNTIFS(T_SelfStock_Log[Part Name],$A21,T_SelfStock_Log[WeekIndex],33)=0,"",SUMIFS(T_SelfStock_Log[Self_Qty],T_SelfStock_Log[Part Name],$A21,T_SelfStock_Log[WeekIndex],33))</f>
        <v/>
      </c>
      <c r="AI21" s="13">
        <f>IF(COUNTIFS(T_SelfStock_Log[Part Name],$A21,T_SelfStock_Log[WeekIndex],34)=0,"",SUMIFS(T_SelfStock_Log[Self_Qty],T_SelfStock_Log[Part Name],$A21,T_SelfStock_Log[WeekIndex],34))</f>
        <v/>
      </c>
      <c r="AJ21" s="13">
        <f>IF(COUNTIFS(T_SelfStock_Log[Part Name],$A21,T_SelfStock_Log[WeekIndex],35)=0,"",SUMIFS(T_SelfStock_Log[Self_Qty],T_SelfStock_Log[Part Name],$A21,T_SelfStock_Log[WeekIndex],35))</f>
        <v/>
      </c>
      <c r="AK21" s="13">
        <f>IF(COUNTIFS(T_SelfStock_Log[Part Name],$A21,T_SelfStock_Log[WeekIndex],36)=0,"",SUMIFS(T_SelfStock_Log[Self_Qty],T_SelfStock_Log[Part Name],$A21,T_SelfStock_Log[WeekIndex],36))</f>
        <v/>
      </c>
      <c r="AL21" s="13">
        <f>IF(COUNTIFS(T_SelfStock_Log[Part Name],$A21,T_SelfStock_Log[WeekIndex],37)=0,"",SUMIFS(T_SelfStock_Log[Self_Qty],T_SelfStock_Log[Part Name],$A21,T_SelfStock_Log[WeekIndex],37))</f>
        <v/>
      </c>
      <c r="AM21" s="13">
        <f>IF(COUNTIFS(T_SelfStock_Log[Part Name],$A21,T_SelfStock_Log[WeekIndex],38)=0,"",SUMIFS(T_SelfStock_Log[Self_Qty],T_SelfStock_Log[Part Name],$A21,T_SelfStock_Log[WeekIndex],38))</f>
        <v/>
      </c>
      <c r="AN21" s="13">
        <f>IF(COUNTIFS(T_SelfStock_Log[Part Name],$A21,T_SelfStock_Log[WeekIndex],39)=0,"",SUMIFS(T_SelfStock_Log[Self_Qty],T_SelfStock_Log[Part Name],$A21,T_SelfStock_Log[WeekIndex],39))</f>
        <v/>
      </c>
      <c r="AO21" s="13">
        <f>IF(COUNTIFS(T_SelfStock_Log[Part Name],$A21,T_SelfStock_Log[WeekIndex],40)=0,"",SUMIFS(T_SelfStock_Log[Self_Qty],T_SelfStock_Log[Part Name],$A21,T_SelfStock_Log[WeekIndex],40))</f>
        <v/>
      </c>
      <c r="AP21" s="13">
        <f>IF(COUNTIFS(T_SelfStock_Log[Part Name],$A21,T_SelfStock_Log[WeekIndex],41)=0,"",SUMIFS(T_SelfStock_Log[Self_Qty],T_SelfStock_Log[Part Name],$A21,T_SelfStock_Log[WeekIndex],41))</f>
        <v/>
      </c>
      <c r="AQ21" s="13">
        <f>IF(COUNTIFS(T_SelfStock_Log[Part Name],$A21,T_SelfStock_Log[WeekIndex],42)=0,"",SUMIFS(T_SelfStock_Log[Self_Qty],T_SelfStock_Log[Part Name],$A21,T_SelfStock_Log[WeekIndex],42))</f>
        <v/>
      </c>
      <c r="AR21" s="13">
        <f>IF(COUNTIFS(T_SelfStock_Log[Part Name],$A21,T_SelfStock_Log[WeekIndex],43)=0,"",SUMIFS(T_SelfStock_Log[Self_Qty],T_SelfStock_Log[Part Name],$A21,T_SelfStock_Log[WeekIndex],43))</f>
        <v/>
      </c>
      <c r="AS21" s="13">
        <f>IF(COUNTIFS(T_SelfStock_Log[Part Name],$A21,T_SelfStock_Log[WeekIndex],44)=0,"",SUMIFS(T_SelfStock_Log[Self_Qty],T_SelfStock_Log[Part Name],$A21,T_SelfStock_Log[WeekIndex],44))</f>
        <v/>
      </c>
      <c r="AT21" s="13">
        <f>IF(COUNTIFS(T_SelfStock_Log[Part Name],$A21,T_SelfStock_Log[WeekIndex],45)=0,"",SUMIFS(T_SelfStock_Log[Self_Qty],T_SelfStock_Log[Part Name],$A21,T_SelfStock_Log[WeekIndex],45))</f>
        <v/>
      </c>
      <c r="AU21" s="13">
        <f>IF(COUNTIFS(T_SelfStock_Log[Part Name],$A21,T_SelfStock_Log[WeekIndex],46)=0,"",SUMIFS(T_SelfStock_Log[Self_Qty],T_SelfStock_Log[Part Name],$A21,T_SelfStock_Log[WeekIndex],46))</f>
        <v/>
      </c>
      <c r="AV21" s="13">
        <f>IF(COUNTIFS(T_SelfStock_Log[Part Name],$A21,T_SelfStock_Log[WeekIndex],47)=0,"",SUMIFS(T_SelfStock_Log[Self_Qty],T_SelfStock_Log[Part Name],$A21,T_SelfStock_Log[WeekIndex],47))</f>
        <v/>
      </c>
      <c r="AW21" s="13">
        <f>IF(COUNTIFS(T_SelfStock_Log[Part Name],$A21,T_SelfStock_Log[WeekIndex],48)=0,"",SUMIFS(T_SelfStock_Log[Self_Qty],T_SelfStock_Log[Part Name],$A21,T_SelfStock_Log[WeekIndex],48))</f>
        <v/>
      </c>
      <c r="AX21" s="13">
        <f>IF(COUNTIFS(T_SelfStock_Log[Part Name],$A21,T_SelfStock_Log[WeekIndex],49)=0,"",SUMIFS(T_SelfStock_Log[Self_Qty],T_SelfStock_Log[Part Name],$A21,T_SelfStock_Log[WeekIndex],49))</f>
        <v/>
      </c>
      <c r="AY21" s="13">
        <f>IF(COUNTIFS(T_SelfStock_Log[Part Name],$A21,T_SelfStock_Log[WeekIndex],50)=0,"",SUMIFS(T_SelfStock_Log[Self_Qty],T_SelfStock_Log[Part Name],$A21,T_SelfStock_Log[WeekIndex],50))</f>
        <v/>
      </c>
      <c r="AZ21" s="13">
        <f>IF(COUNTIFS(T_SelfStock_Log[Part Name],$A21,T_SelfStock_Log[WeekIndex],51)=0,"",SUMIFS(T_SelfStock_Log[Self_Qty],T_SelfStock_Log[Part Name],$A21,T_SelfStock_Log[WeekIndex],51))</f>
        <v/>
      </c>
      <c r="BA21" s="13">
        <f>IF(COUNTIFS(T_SelfStock_Log[Part Name],$A21,T_SelfStock_Log[WeekIndex],52)=0,"",SUMIFS(T_SelfStock_Log[Self_Qty],T_SelfStock_Log[Part Name],$A21,T_SelfStock_Log[WeekIndex],52))</f>
        <v/>
      </c>
      <c r="BB21" s="13">
        <f>IF(COUNTIFS(T_SelfStock_Log[Part Name],$A21,T_SelfStock_Log[WeekIndex],53)=0,"",SUMIFS(T_SelfStock_Log[Self_Qty],T_SelfStock_Log[Part Name],$A21,T_SelfStock_Log[WeekIndex],53))</f>
        <v/>
      </c>
      <c r="BC21" s="13">
        <f>IF(COUNTIFS(T_SelfStock_Log[Part Name],$A21,T_SelfStock_Log[WeekIndex],54)=0,"",SUMIFS(T_SelfStock_Log[Self_Qty],T_SelfStock_Log[Part Name],$A21,T_SelfStock_Log[WeekIndex],54))</f>
        <v/>
      </c>
      <c r="BD21" s="13">
        <f>IF(COUNTIFS(T_SelfStock_Log[Part Name],$A21,T_SelfStock_Log[WeekIndex],55)=0,"",SUMIFS(T_SelfStock_Log[Self_Qty],T_SelfStock_Log[Part Name],$A21,T_SelfStock_Log[WeekIndex],55))</f>
        <v/>
      </c>
      <c r="BE21" s="13">
        <f>IF(COUNTIFS(T_SelfStock_Log[Part Name],$A21,T_SelfStock_Log[WeekIndex],56)=0,"",SUMIFS(T_SelfStock_Log[Self_Qty],T_SelfStock_Log[Part Name],$A21,T_SelfStock_Log[WeekIndex],56))</f>
        <v/>
      </c>
      <c r="BF21" s="13">
        <f>IF(COUNTIFS(T_SelfStock_Log[Part Name],$A21,T_SelfStock_Log[WeekIndex],57)=0,"",SUMIFS(T_SelfStock_Log[Self_Qty],T_SelfStock_Log[Part Name],$A21,T_SelfStock_Log[WeekIndex],57))</f>
        <v/>
      </c>
      <c r="BG21" s="13">
        <f>IF(COUNTIFS(T_SelfStock_Log[Part Name],$A21,T_SelfStock_Log[WeekIndex],58)=0,"",SUMIFS(T_SelfStock_Log[Self_Qty],T_SelfStock_Log[Part Name],$A21,T_SelfStock_Log[WeekIndex],58))</f>
        <v/>
      </c>
      <c r="BH21" s="13">
        <f>IF(COUNTIFS(T_SelfStock_Log[Part Name],$A21,T_SelfStock_Log[WeekIndex],59)=0,"",SUMIFS(T_SelfStock_Log[Self_Qty],T_SelfStock_Log[Part Name],$A21,T_SelfStock_Log[WeekIndex],59))</f>
        <v/>
      </c>
      <c r="BI21" s="13">
        <f>IF(COUNTIFS(T_SelfStock_Log[Part Name],$A21,T_SelfStock_Log[WeekIndex],60)=0,"",SUMIFS(T_SelfStock_Log[Self_Qty],T_SelfStock_Log[Part Name],$A21,T_SelfStock_Log[WeekIndex],60))</f>
        <v/>
      </c>
      <c r="BJ21" s="13">
        <f>IF(COUNTIFS(T_SelfStock_Log[Part Name],$A21,T_SelfStock_Log[WeekIndex],61)=0,"",SUMIFS(T_SelfStock_Log[Self_Qty],T_SelfStock_Log[Part Name],$A21,T_SelfStock_Log[WeekIndex],61))</f>
        <v/>
      </c>
      <c r="BK21" s="13">
        <f>IF(COUNTIFS(T_SelfStock_Log[Part Name],$A21,T_SelfStock_Log[WeekIndex],62)=0,"",SUMIFS(T_SelfStock_Log[Self_Qty],T_SelfStock_Log[Part Name],$A21,T_SelfStock_Log[WeekIndex],62))</f>
        <v/>
      </c>
      <c r="BL21" s="13">
        <f>IF(COUNTIFS(T_SelfStock_Log[Part Name],$A21,T_SelfStock_Log[WeekIndex],63)=0,"",SUMIFS(T_SelfStock_Log[Self_Qty],T_SelfStock_Log[Part Name],$A21,T_SelfStock_Log[WeekIndex],63))</f>
        <v/>
      </c>
      <c r="BM21" s="13">
        <f>IF(COUNTIFS(T_SelfStock_Log[Part Name],$A21,T_SelfStock_Log[WeekIndex],64)=0,"",SUMIFS(T_SelfStock_Log[Self_Qty],T_SelfStock_Log[Part Name],$A21,T_SelfStock_Log[WeekIndex],64))</f>
        <v/>
      </c>
      <c r="BN21" s="13">
        <f>IF(COUNTIFS(T_SelfStock_Log[Part Name],$A21,T_SelfStock_Log[WeekIndex],65)=0,"",SUMIFS(T_SelfStock_Log[Self_Qty],T_SelfStock_Log[Part Name],$A21,T_SelfStock_Log[WeekIndex],65))</f>
        <v/>
      </c>
      <c r="BO21" s="13">
        <f>IF(COUNTIFS(T_SelfStock_Log[Part Name],$A21,T_SelfStock_Log[WeekIndex],66)=0,"",SUMIFS(T_SelfStock_Log[Self_Qty],T_SelfStock_Log[Part Name],$A21,T_SelfStock_Log[WeekIndex],66))</f>
        <v/>
      </c>
      <c r="BP21" s="13">
        <f>IF(COUNTIFS(T_SelfStock_Log[Part Name],$A21,T_SelfStock_Log[WeekIndex],67)=0,"",SUMIFS(T_SelfStock_Log[Self_Qty],T_SelfStock_Log[Part Name],$A21,T_SelfStock_Log[WeekIndex],67))</f>
        <v/>
      </c>
      <c r="BQ21" s="13">
        <f>IF(COUNTIFS(T_SelfStock_Log[Part Name],$A21,T_SelfStock_Log[WeekIndex],68)=0,"",SUMIFS(T_SelfStock_Log[Self_Qty],T_SelfStock_Log[Part Name],$A21,T_SelfStock_Log[WeekIndex],68))</f>
        <v/>
      </c>
      <c r="BR21" s="13">
        <f>IF(COUNTIFS(T_SelfStock_Log[Part Name],$A21,T_SelfStock_Log[WeekIndex],69)=0,"",SUMIFS(T_SelfStock_Log[Self_Qty],T_SelfStock_Log[Part Name],$A21,T_SelfStock_Log[WeekIndex],69))</f>
        <v/>
      </c>
      <c r="BS21" s="13">
        <f>IF(COUNTIFS(T_SelfStock_Log[Part Name],$A21,T_SelfStock_Log[WeekIndex],70)=0,"",SUMIFS(T_SelfStock_Log[Self_Qty],T_SelfStock_Log[Part Name],$A21,T_SelfStock_Log[WeekIndex],70))</f>
        <v/>
      </c>
      <c r="BT21" s="13">
        <f>IF(COUNTIFS(T_SelfStock_Log[Part Name],$A21,T_SelfStock_Log[WeekIndex],71)=0,"",SUMIFS(T_SelfStock_Log[Self_Qty],T_SelfStock_Log[Part Name],$A21,T_SelfStock_Log[WeekIndex],71))</f>
        <v/>
      </c>
      <c r="BU21" s="13">
        <f>IF(COUNTIFS(T_SelfStock_Log[Part Name],$A21,T_SelfStock_Log[WeekIndex],72)=0,"",SUMIFS(T_SelfStock_Log[Self_Qty],T_SelfStock_Log[Part Name],$A21,T_SelfStock_Log[WeekIndex],72))</f>
        <v/>
      </c>
      <c r="BV21" s="13">
        <f>IF(COUNTIFS(T_SelfStock_Log[Part Name],$A21,T_SelfStock_Log[WeekIndex],73)=0,"",SUMIFS(T_SelfStock_Log[Self_Qty],T_SelfStock_Log[Part Name],$A21,T_SelfStock_Log[WeekIndex],73))</f>
        <v/>
      </c>
      <c r="BW21" s="13">
        <f>IF(COUNTIFS(T_SelfStock_Log[Part Name],$A21,T_SelfStock_Log[WeekIndex],74)=0,"",SUMIFS(T_SelfStock_Log[Self_Qty],T_SelfStock_Log[Part Name],$A21,T_SelfStock_Log[WeekIndex],74))</f>
        <v/>
      </c>
      <c r="BX21" s="13">
        <f>IF(COUNTIFS(T_SelfStock_Log[Part Name],$A21,T_SelfStock_Log[WeekIndex],75)=0,"",SUMIFS(T_SelfStock_Log[Self_Qty],T_SelfStock_Log[Part Name],$A21,T_SelfStock_Log[WeekIndex],75))</f>
        <v/>
      </c>
      <c r="BY21" s="13">
        <f>IF(COUNTIFS(T_SelfStock_Log[Part Name],$A21,T_SelfStock_Log[WeekIndex],76)=0,"",SUMIFS(T_SelfStock_Log[Self_Qty],T_SelfStock_Log[Part Name],$A21,T_SelfStock_Log[WeekIndex],76))</f>
        <v/>
      </c>
      <c r="BZ21" s="13">
        <f>IF(COUNTIFS(T_SelfStock_Log[Part Name],$A21,T_SelfStock_Log[WeekIndex],77)=0,"",SUMIFS(T_SelfStock_Log[Self_Qty],T_SelfStock_Log[Part Name],$A21,T_SelfStock_Log[WeekIndex],77))</f>
        <v/>
      </c>
      <c r="CA21" s="13">
        <f>IF(COUNTIFS(T_SelfStock_Log[Part Name],$A21,T_SelfStock_Log[WeekIndex],78)=0,"",SUMIFS(T_SelfStock_Log[Self_Qty],T_SelfStock_Log[Part Name],$A21,T_SelfStock_Log[WeekIndex],78))</f>
        <v/>
      </c>
      <c r="CB21" s="13">
        <f>IF(COUNTIFS(T_SelfStock_Log[Part Name],$A21,T_SelfStock_Log[WeekIndex],79)=0,"",SUMIFS(T_SelfStock_Log[Self_Qty],T_SelfStock_Log[Part Name],$A21,T_SelfStock_Log[WeekIndex],79))</f>
        <v/>
      </c>
      <c r="CC21" s="13">
        <f>IF(COUNTIFS(T_SelfStock_Log[Part Name],$A21,T_SelfStock_Log[WeekIndex],80)=0,"",SUMIFS(T_SelfStock_Log[Self_Qty],T_SelfStock_Log[Part Name],$A21,T_SelfStock_Log[WeekIndex],80))</f>
        <v/>
      </c>
      <c r="CD21" s="13">
        <f>IF(COUNTIFS(T_SelfStock_Log[Part Name],$A21,T_SelfStock_Log[WeekIndex],81)=0,"",SUMIFS(T_SelfStock_Log[Self_Qty],T_SelfStock_Log[Part Name],$A21,T_SelfStock_Log[WeekIndex],81))</f>
        <v/>
      </c>
      <c r="CE21" s="13">
        <f>IF(COUNTIFS(T_SelfStock_Log[Part Name],$A21,T_SelfStock_Log[WeekIndex],82)=0,"",SUMIFS(T_SelfStock_Log[Self_Qty],T_SelfStock_Log[Part Name],$A21,T_SelfStock_Log[WeekIndex],82))</f>
        <v/>
      </c>
      <c r="CF21" s="13">
        <f>IF(COUNTIFS(T_SelfStock_Log[Part Name],$A21,T_SelfStock_Log[WeekIndex],83)=0,"",SUMIFS(T_SelfStock_Log[Self_Qty],T_SelfStock_Log[Part Name],$A21,T_SelfStock_Log[WeekIndex],83))</f>
        <v/>
      </c>
      <c r="CG21" s="13">
        <f>IF(COUNTIFS(T_SelfStock_Log[Part Name],$A21,T_SelfStock_Log[WeekIndex],84)=0,"",SUMIFS(T_SelfStock_Log[Self_Qty],T_SelfStock_Log[Part Name],$A21,T_SelfStock_Log[WeekIndex],84))</f>
        <v/>
      </c>
      <c r="CH21" s="13">
        <f>IF(COUNTIFS(T_SelfStock_Log[Part Name],$A21,T_SelfStock_Log[WeekIndex],85)=0,"",SUMIFS(T_SelfStock_Log[Self_Qty],T_SelfStock_Log[Part Name],$A21,T_SelfStock_Log[WeekIndex],85))</f>
        <v/>
      </c>
      <c r="CI21" s="13">
        <f>IF(COUNTIFS(T_SelfStock_Log[Part Name],$A21,T_SelfStock_Log[WeekIndex],86)=0,"",SUMIFS(T_SelfStock_Log[Self_Qty],T_SelfStock_Log[Part Name],$A21,T_SelfStock_Log[WeekIndex],86))</f>
        <v/>
      </c>
      <c r="CJ21" s="13">
        <f>IF(COUNTIFS(T_SelfStock_Log[Part Name],$A21,T_SelfStock_Log[WeekIndex],87)=0,"",SUMIFS(T_SelfStock_Log[Self_Qty],T_SelfStock_Log[Part Name],$A21,T_SelfStock_Log[WeekIndex],87))</f>
        <v/>
      </c>
      <c r="CK21" s="13">
        <f>IF(COUNTIFS(T_SelfStock_Log[Part Name],$A21,T_SelfStock_Log[WeekIndex],88)=0,"",SUMIFS(T_SelfStock_Log[Self_Qty],T_SelfStock_Log[Part Name],$A21,T_SelfStock_Log[WeekIndex],88))</f>
        <v/>
      </c>
      <c r="CL21" s="13">
        <f>IF(COUNTIFS(T_SelfStock_Log[Part Name],$A21,T_SelfStock_Log[WeekIndex],89)=0,"",SUMIFS(T_SelfStock_Log[Self_Qty],T_SelfStock_Log[Part Name],$A21,T_SelfStock_Log[WeekIndex],89))</f>
        <v/>
      </c>
      <c r="CM21" s="13">
        <f>IF(COUNTIFS(T_SelfStock_Log[Part Name],$A21,T_SelfStock_Log[WeekIndex],90)=0,"",SUMIFS(T_SelfStock_Log[Self_Qty],T_SelfStock_Log[Part Name],$A21,T_SelfStock_Log[WeekIndex],90))</f>
        <v/>
      </c>
      <c r="CN21" s="13">
        <f>IF(COUNTIFS(T_SelfStock_Log[Part Name],$A21,T_SelfStock_Log[WeekIndex],91)=0,"",SUMIFS(T_SelfStock_Log[Self_Qty],T_SelfStock_Log[Part Name],$A21,T_SelfStock_Log[WeekIndex],91))</f>
        <v/>
      </c>
      <c r="CO21" s="13">
        <f>IF(COUNTIFS(T_SelfStock_Log[Part Name],$A21,T_SelfStock_Log[WeekIndex],92)=0,"",SUMIFS(T_SelfStock_Log[Self_Qty],T_SelfStock_Log[Part Name],$A21,T_SelfStock_Log[WeekIndex],92))</f>
        <v/>
      </c>
      <c r="CP21" s="13">
        <f>IF(COUNTIFS(T_SelfStock_Log[Part Name],$A21,T_SelfStock_Log[WeekIndex],93)=0,"",SUMIFS(T_SelfStock_Log[Self_Qty],T_SelfStock_Log[Part Name],$A21,T_SelfStock_Log[WeekIndex],93))</f>
        <v/>
      </c>
      <c r="CQ21" s="13">
        <f>IF(COUNTIFS(T_SelfStock_Log[Part Name],$A21,T_SelfStock_Log[WeekIndex],94)=0,"",SUMIFS(T_SelfStock_Log[Self_Qty],T_SelfStock_Log[Part Name],$A21,T_SelfStock_Log[WeekIndex],94))</f>
        <v/>
      </c>
      <c r="CR21" s="13">
        <f>IF(COUNTIFS(T_SelfStock_Log[Part Name],$A21,T_SelfStock_Log[WeekIndex],95)=0,"",SUMIFS(T_SelfStock_Log[Self_Qty],T_SelfStock_Log[Part Name],$A21,T_SelfStock_Log[WeekIndex],95))</f>
        <v/>
      </c>
      <c r="CS21" s="13">
        <f>IF(COUNTIFS(T_SelfStock_Log[Part Name],$A21,T_SelfStock_Log[WeekIndex],96)=0,"",SUMIFS(T_SelfStock_Log[Self_Qty],T_SelfStock_Log[Part Name],$A21,T_SelfStock_Log[WeekIndex],96))</f>
        <v/>
      </c>
      <c r="CT21" s="13">
        <f>IF(COUNTIFS(T_SelfStock_Log[Part Name],$A21,T_SelfStock_Log[WeekIndex],97)=0,"",SUMIFS(T_SelfStock_Log[Self_Qty],T_SelfStock_Log[Part Name],$A21,T_SelfStock_Log[WeekIndex],97))</f>
        <v/>
      </c>
      <c r="CU21" s="13">
        <f>IF(COUNTIFS(T_SelfStock_Log[Part Name],$A21,T_SelfStock_Log[WeekIndex],98)=0,"",SUMIFS(T_SelfStock_Log[Self_Qty],T_SelfStock_Log[Part Name],$A21,T_SelfStock_Log[WeekIndex],98))</f>
        <v/>
      </c>
      <c r="CV21" s="13">
        <f>IF(COUNTIFS(T_SelfStock_Log[Part Name],$A21,T_SelfStock_Log[WeekIndex],99)=0,"",SUMIFS(T_SelfStock_Log[Self_Qty],T_SelfStock_Log[Part Name],$A21,T_SelfStock_Log[WeekIndex],99))</f>
        <v/>
      </c>
      <c r="CW21" s="13">
        <f>IF(COUNTIFS(T_SelfStock_Log[Part Name],$A21,T_SelfStock_Log[WeekIndex],100)=0,"",SUMIFS(T_SelfStock_Log[Self_Qty],T_SelfStock_Log[Part Name],$A21,T_SelfStock_Log[WeekIndex],100))</f>
        <v/>
      </c>
      <c r="CX21" s="13">
        <f>IF(COUNTIFS(T_SelfStock_Log[Part Name],$A21,T_SelfStock_Log[WeekIndex],101)=0,"",SUMIFS(T_SelfStock_Log[Self_Qty],T_SelfStock_Log[Part Name],$A21,T_SelfStock_Log[WeekIndex],101))</f>
        <v/>
      </c>
      <c r="CY21" s="13">
        <f>IF(COUNTIFS(T_SelfStock_Log[Part Name],$A21,T_SelfStock_Log[WeekIndex],102)=0,"",SUMIFS(T_SelfStock_Log[Self_Qty],T_SelfStock_Log[Part Name],$A21,T_SelfStock_Log[WeekIndex],102))</f>
        <v/>
      </c>
      <c r="CZ21" s="13">
        <f>IF(COUNTIFS(T_SelfStock_Log[Part Name],$A21,T_SelfStock_Log[WeekIndex],103)=0,"",SUMIFS(T_SelfStock_Log[Self_Qty],T_SelfStock_Log[Part Name],$A21,T_SelfStock_Log[WeekIndex],103))</f>
        <v/>
      </c>
      <c r="DA21" s="13">
        <f>IF(COUNTIFS(T_SelfStock_Log[Part Name],$A21,T_SelfStock_Log[WeekIndex],104)=0,"",SUMIFS(T_SelfStock_Log[Self_Qty],T_SelfStock_Log[Part Name],$A21,T_SelfStock_Log[WeekIndex],104))</f>
        <v/>
      </c>
    </row>
    <row r="22">
      <c r="A22" s="12" t="inlineStr">
        <is>
          <t>CHEM-1660</t>
        </is>
      </c>
      <c r="B22" s="12">
        <f>IF(COUNTIFS(T_SelfStock_Log[Part Name],$A22,T_SelfStock_Log[WeekIndex],1)=0,"",SUMIFS(T_SelfStock_Log[Self_Qty],T_SelfStock_Log[Part Name],$A22,T_SelfStock_Log[WeekIndex],1))</f>
        <v/>
      </c>
      <c r="C22" s="12">
        <f>IF(COUNTIFS(T_SelfStock_Log[Part Name],$A22,T_SelfStock_Log[WeekIndex],2)=0,"",SUMIFS(T_SelfStock_Log[Self_Qty],T_SelfStock_Log[Part Name],$A22,T_SelfStock_Log[WeekIndex],2))</f>
        <v/>
      </c>
      <c r="D22" s="12">
        <f>IF(COUNTIFS(T_SelfStock_Log[Part Name],$A22,T_SelfStock_Log[WeekIndex],3)=0,"",SUMIFS(T_SelfStock_Log[Self_Qty],T_SelfStock_Log[Part Name],$A22,T_SelfStock_Log[WeekIndex],3))</f>
        <v/>
      </c>
      <c r="E22" s="12">
        <f>IF(COUNTIFS(T_SelfStock_Log[Part Name],$A22,T_SelfStock_Log[WeekIndex],4)=0,"",SUMIFS(T_SelfStock_Log[Self_Qty],T_SelfStock_Log[Part Name],$A22,T_SelfStock_Log[WeekIndex],4))</f>
        <v/>
      </c>
      <c r="F22" s="12">
        <f>IF(COUNTIFS(T_SelfStock_Log[Part Name],$A22,T_SelfStock_Log[WeekIndex],5)=0,"",SUMIFS(T_SelfStock_Log[Self_Qty],T_SelfStock_Log[Part Name],$A22,T_SelfStock_Log[WeekIndex],5))</f>
        <v/>
      </c>
      <c r="G22" s="12">
        <f>IF(COUNTIFS(T_SelfStock_Log[Part Name],$A22,T_SelfStock_Log[WeekIndex],6)=0,"",SUMIFS(T_SelfStock_Log[Self_Qty],T_SelfStock_Log[Part Name],$A22,T_SelfStock_Log[WeekIndex],6))</f>
        <v/>
      </c>
      <c r="H22" s="12">
        <f>IF(COUNTIFS(T_SelfStock_Log[Part Name],$A22,T_SelfStock_Log[WeekIndex],7)=0,"",SUMIFS(T_SelfStock_Log[Self_Qty],T_SelfStock_Log[Part Name],$A22,T_SelfStock_Log[WeekIndex],7))</f>
        <v/>
      </c>
      <c r="I22" s="12">
        <f>IF(COUNTIFS(T_SelfStock_Log[Part Name],$A22,T_SelfStock_Log[WeekIndex],8)=0,"",SUMIFS(T_SelfStock_Log[Self_Qty],T_SelfStock_Log[Part Name],$A22,T_SelfStock_Log[WeekIndex],8))</f>
        <v/>
      </c>
      <c r="J22" s="12">
        <f>IF(COUNTIFS(T_SelfStock_Log[Part Name],$A22,T_SelfStock_Log[WeekIndex],9)=0,"",SUMIFS(T_SelfStock_Log[Self_Qty],T_SelfStock_Log[Part Name],$A22,T_SelfStock_Log[WeekIndex],9))</f>
        <v/>
      </c>
      <c r="K22" s="12">
        <f>IF(COUNTIFS(T_SelfStock_Log[Part Name],$A22,T_SelfStock_Log[WeekIndex],10)=0,"",SUMIFS(T_SelfStock_Log[Self_Qty],T_SelfStock_Log[Part Name],$A22,T_SelfStock_Log[WeekIndex],10))</f>
        <v/>
      </c>
      <c r="L22" s="12">
        <f>IF(COUNTIFS(T_SelfStock_Log[Part Name],$A22,T_SelfStock_Log[WeekIndex],11)=0,"",SUMIFS(T_SelfStock_Log[Self_Qty],T_SelfStock_Log[Part Name],$A22,T_SelfStock_Log[WeekIndex],11))</f>
        <v/>
      </c>
      <c r="M22" s="12">
        <f>IF(COUNTIFS(T_SelfStock_Log[Part Name],$A22,T_SelfStock_Log[WeekIndex],12)=0,"",SUMIFS(T_SelfStock_Log[Self_Qty],T_SelfStock_Log[Part Name],$A22,T_SelfStock_Log[WeekIndex],12))</f>
        <v/>
      </c>
      <c r="N22" s="12">
        <f>IF(COUNTIFS(T_SelfStock_Log[Part Name],$A22,T_SelfStock_Log[WeekIndex],13)=0,"",SUMIFS(T_SelfStock_Log[Self_Qty],T_SelfStock_Log[Part Name],$A22,T_SelfStock_Log[WeekIndex],13))</f>
        <v/>
      </c>
      <c r="O22" s="12">
        <f>IF(COUNTIFS(T_SelfStock_Log[Part Name],$A22,T_SelfStock_Log[WeekIndex],14)=0,"",SUMIFS(T_SelfStock_Log[Self_Qty],T_SelfStock_Log[Part Name],$A22,T_SelfStock_Log[WeekIndex],14))</f>
        <v/>
      </c>
      <c r="P22" s="12">
        <f>IF(COUNTIFS(T_SelfStock_Log[Part Name],$A22,T_SelfStock_Log[WeekIndex],15)=0,"",SUMIFS(T_SelfStock_Log[Self_Qty],T_SelfStock_Log[Part Name],$A22,T_SelfStock_Log[WeekIndex],15))</f>
        <v/>
      </c>
      <c r="Q22" s="12">
        <f>IF(COUNTIFS(T_SelfStock_Log[Part Name],$A22,T_SelfStock_Log[WeekIndex],16)=0,"",SUMIFS(T_SelfStock_Log[Self_Qty],T_SelfStock_Log[Part Name],$A22,T_SelfStock_Log[WeekIndex],16))</f>
        <v/>
      </c>
      <c r="R22" s="12">
        <f>IF(COUNTIFS(T_SelfStock_Log[Part Name],$A22,T_SelfStock_Log[WeekIndex],17)=0,"",SUMIFS(T_SelfStock_Log[Self_Qty],T_SelfStock_Log[Part Name],$A22,T_SelfStock_Log[WeekIndex],17))</f>
        <v/>
      </c>
      <c r="S22" s="12">
        <f>IF(COUNTIFS(T_SelfStock_Log[Part Name],$A22,T_SelfStock_Log[WeekIndex],18)=0,"",SUMIFS(T_SelfStock_Log[Self_Qty],T_SelfStock_Log[Part Name],$A22,T_SelfStock_Log[WeekIndex],18))</f>
        <v/>
      </c>
      <c r="T22" s="12">
        <f>IF(COUNTIFS(T_SelfStock_Log[Part Name],$A22,T_SelfStock_Log[WeekIndex],19)=0,"",SUMIFS(T_SelfStock_Log[Self_Qty],T_SelfStock_Log[Part Name],$A22,T_SelfStock_Log[WeekIndex],19))</f>
        <v/>
      </c>
      <c r="U22" s="12">
        <f>IF(COUNTIFS(T_SelfStock_Log[Part Name],$A22,T_SelfStock_Log[WeekIndex],20)=0,"",SUMIFS(T_SelfStock_Log[Self_Qty],T_SelfStock_Log[Part Name],$A22,T_SelfStock_Log[WeekIndex],20))</f>
        <v/>
      </c>
      <c r="V22" s="12">
        <f>IF(COUNTIFS(T_SelfStock_Log[Part Name],$A22,T_SelfStock_Log[WeekIndex],21)=0,"",SUMIFS(T_SelfStock_Log[Self_Qty],T_SelfStock_Log[Part Name],$A22,T_SelfStock_Log[WeekIndex],21))</f>
        <v/>
      </c>
      <c r="W22" s="12">
        <f>IF(COUNTIFS(T_SelfStock_Log[Part Name],$A22,T_SelfStock_Log[WeekIndex],22)=0,"",SUMIFS(T_SelfStock_Log[Self_Qty],T_SelfStock_Log[Part Name],$A22,T_SelfStock_Log[WeekIndex],22))</f>
        <v/>
      </c>
      <c r="X22" s="12">
        <f>IF(COUNTIFS(T_SelfStock_Log[Part Name],$A22,T_SelfStock_Log[WeekIndex],23)=0,"",SUMIFS(T_SelfStock_Log[Self_Qty],T_SelfStock_Log[Part Name],$A22,T_SelfStock_Log[WeekIndex],23))</f>
        <v/>
      </c>
      <c r="Y22" s="12">
        <f>IF(COUNTIFS(T_SelfStock_Log[Part Name],$A22,T_SelfStock_Log[WeekIndex],24)=0,"",SUMIFS(T_SelfStock_Log[Self_Qty],T_SelfStock_Log[Part Name],$A22,T_SelfStock_Log[WeekIndex],24))</f>
        <v/>
      </c>
      <c r="Z22" s="12">
        <f>IF(COUNTIFS(T_SelfStock_Log[Part Name],$A22,T_SelfStock_Log[WeekIndex],25)=0,"",SUMIFS(T_SelfStock_Log[Self_Qty],T_SelfStock_Log[Part Name],$A22,T_SelfStock_Log[WeekIndex],25))</f>
        <v/>
      </c>
      <c r="AA22" s="12">
        <f>IF(COUNTIFS(T_SelfStock_Log[Part Name],$A22,T_SelfStock_Log[WeekIndex],26)=0,"",SUMIFS(T_SelfStock_Log[Self_Qty],T_SelfStock_Log[Part Name],$A22,T_SelfStock_Log[WeekIndex],26))</f>
        <v/>
      </c>
      <c r="AB22" s="12">
        <f>IF(COUNTIFS(T_SelfStock_Log[Part Name],$A22,T_SelfStock_Log[WeekIndex],27)=0,"",SUMIFS(T_SelfStock_Log[Self_Qty],T_SelfStock_Log[Part Name],$A22,T_SelfStock_Log[WeekIndex],27))</f>
        <v/>
      </c>
      <c r="AC22" s="12">
        <f>IF(COUNTIFS(T_SelfStock_Log[Part Name],$A22,T_SelfStock_Log[WeekIndex],28)=0,"",SUMIFS(T_SelfStock_Log[Self_Qty],T_SelfStock_Log[Part Name],$A22,T_SelfStock_Log[WeekIndex],28))</f>
        <v/>
      </c>
      <c r="AD22" s="12">
        <f>IF(COUNTIFS(T_SelfStock_Log[Part Name],$A22,T_SelfStock_Log[WeekIndex],29)=0,"",SUMIFS(T_SelfStock_Log[Self_Qty],T_SelfStock_Log[Part Name],$A22,T_SelfStock_Log[WeekIndex],29))</f>
        <v/>
      </c>
      <c r="AE22" s="12">
        <f>IF(COUNTIFS(T_SelfStock_Log[Part Name],$A22,T_SelfStock_Log[WeekIndex],30)=0,"",SUMIFS(T_SelfStock_Log[Self_Qty],T_SelfStock_Log[Part Name],$A22,T_SelfStock_Log[WeekIndex],30))</f>
        <v/>
      </c>
      <c r="AF22" s="12">
        <f>IF(COUNTIFS(T_SelfStock_Log[Part Name],$A22,T_SelfStock_Log[WeekIndex],31)=0,"",SUMIFS(T_SelfStock_Log[Self_Qty],T_SelfStock_Log[Part Name],$A22,T_SelfStock_Log[WeekIndex],31))</f>
        <v/>
      </c>
      <c r="AG22" s="12">
        <f>IF(COUNTIFS(T_SelfStock_Log[Part Name],$A22,T_SelfStock_Log[WeekIndex],32)=0,"",SUMIFS(T_SelfStock_Log[Self_Qty],T_SelfStock_Log[Part Name],$A22,T_SelfStock_Log[WeekIndex],32))</f>
        <v/>
      </c>
      <c r="AH22" s="12">
        <f>IF(COUNTIFS(T_SelfStock_Log[Part Name],$A22,T_SelfStock_Log[WeekIndex],33)=0,"",SUMIFS(T_SelfStock_Log[Self_Qty],T_SelfStock_Log[Part Name],$A22,T_SelfStock_Log[WeekIndex],33))</f>
        <v/>
      </c>
      <c r="AI22" s="12">
        <f>IF(COUNTIFS(T_SelfStock_Log[Part Name],$A22,T_SelfStock_Log[WeekIndex],34)=0,"",SUMIFS(T_SelfStock_Log[Self_Qty],T_SelfStock_Log[Part Name],$A22,T_SelfStock_Log[WeekIndex],34))</f>
        <v/>
      </c>
      <c r="AJ22" s="12">
        <f>IF(COUNTIFS(T_SelfStock_Log[Part Name],$A22,T_SelfStock_Log[WeekIndex],35)=0,"",SUMIFS(T_SelfStock_Log[Self_Qty],T_SelfStock_Log[Part Name],$A22,T_SelfStock_Log[WeekIndex],35))</f>
        <v/>
      </c>
      <c r="AK22" s="12">
        <f>IF(COUNTIFS(T_SelfStock_Log[Part Name],$A22,T_SelfStock_Log[WeekIndex],36)=0,"",SUMIFS(T_SelfStock_Log[Self_Qty],T_SelfStock_Log[Part Name],$A22,T_SelfStock_Log[WeekIndex],36))</f>
        <v/>
      </c>
      <c r="AL22" s="12">
        <f>IF(COUNTIFS(T_SelfStock_Log[Part Name],$A22,T_SelfStock_Log[WeekIndex],37)=0,"",SUMIFS(T_SelfStock_Log[Self_Qty],T_SelfStock_Log[Part Name],$A22,T_SelfStock_Log[WeekIndex],37))</f>
        <v/>
      </c>
      <c r="AM22" s="12">
        <f>IF(COUNTIFS(T_SelfStock_Log[Part Name],$A22,T_SelfStock_Log[WeekIndex],38)=0,"",SUMIFS(T_SelfStock_Log[Self_Qty],T_SelfStock_Log[Part Name],$A22,T_SelfStock_Log[WeekIndex],38))</f>
        <v/>
      </c>
      <c r="AN22" s="12">
        <f>IF(COUNTIFS(T_SelfStock_Log[Part Name],$A22,T_SelfStock_Log[WeekIndex],39)=0,"",SUMIFS(T_SelfStock_Log[Self_Qty],T_SelfStock_Log[Part Name],$A22,T_SelfStock_Log[WeekIndex],39))</f>
        <v/>
      </c>
      <c r="AO22" s="12">
        <f>IF(COUNTIFS(T_SelfStock_Log[Part Name],$A22,T_SelfStock_Log[WeekIndex],40)=0,"",SUMIFS(T_SelfStock_Log[Self_Qty],T_SelfStock_Log[Part Name],$A22,T_SelfStock_Log[WeekIndex],40))</f>
        <v/>
      </c>
      <c r="AP22" s="12">
        <f>IF(COUNTIFS(T_SelfStock_Log[Part Name],$A22,T_SelfStock_Log[WeekIndex],41)=0,"",SUMIFS(T_SelfStock_Log[Self_Qty],T_SelfStock_Log[Part Name],$A22,T_SelfStock_Log[WeekIndex],41))</f>
        <v/>
      </c>
      <c r="AQ22" s="12">
        <f>IF(COUNTIFS(T_SelfStock_Log[Part Name],$A22,T_SelfStock_Log[WeekIndex],42)=0,"",SUMIFS(T_SelfStock_Log[Self_Qty],T_SelfStock_Log[Part Name],$A22,T_SelfStock_Log[WeekIndex],42))</f>
        <v/>
      </c>
      <c r="AR22" s="12">
        <f>IF(COUNTIFS(T_SelfStock_Log[Part Name],$A22,T_SelfStock_Log[WeekIndex],43)=0,"",SUMIFS(T_SelfStock_Log[Self_Qty],T_SelfStock_Log[Part Name],$A22,T_SelfStock_Log[WeekIndex],43))</f>
        <v/>
      </c>
      <c r="AS22" s="12">
        <f>IF(COUNTIFS(T_SelfStock_Log[Part Name],$A22,T_SelfStock_Log[WeekIndex],44)=0,"",SUMIFS(T_SelfStock_Log[Self_Qty],T_SelfStock_Log[Part Name],$A22,T_SelfStock_Log[WeekIndex],44))</f>
        <v/>
      </c>
      <c r="AT22" s="12">
        <f>IF(COUNTIFS(T_SelfStock_Log[Part Name],$A22,T_SelfStock_Log[WeekIndex],45)=0,"",SUMIFS(T_SelfStock_Log[Self_Qty],T_SelfStock_Log[Part Name],$A22,T_SelfStock_Log[WeekIndex],45))</f>
        <v/>
      </c>
      <c r="AU22" s="12">
        <f>IF(COUNTIFS(T_SelfStock_Log[Part Name],$A22,T_SelfStock_Log[WeekIndex],46)=0,"",SUMIFS(T_SelfStock_Log[Self_Qty],T_SelfStock_Log[Part Name],$A22,T_SelfStock_Log[WeekIndex],46))</f>
        <v/>
      </c>
      <c r="AV22" s="12">
        <f>IF(COUNTIFS(T_SelfStock_Log[Part Name],$A22,T_SelfStock_Log[WeekIndex],47)=0,"",SUMIFS(T_SelfStock_Log[Self_Qty],T_SelfStock_Log[Part Name],$A22,T_SelfStock_Log[WeekIndex],47))</f>
        <v/>
      </c>
      <c r="AW22" s="12">
        <f>IF(COUNTIFS(T_SelfStock_Log[Part Name],$A22,T_SelfStock_Log[WeekIndex],48)=0,"",SUMIFS(T_SelfStock_Log[Self_Qty],T_SelfStock_Log[Part Name],$A22,T_SelfStock_Log[WeekIndex],48))</f>
        <v/>
      </c>
      <c r="AX22" s="12">
        <f>IF(COUNTIFS(T_SelfStock_Log[Part Name],$A22,T_SelfStock_Log[WeekIndex],49)=0,"",SUMIFS(T_SelfStock_Log[Self_Qty],T_SelfStock_Log[Part Name],$A22,T_SelfStock_Log[WeekIndex],49))</f>
        <v/>
      </c>
      <c r="AY22" s="12">
        <f>IF(COUNTIFS(T_SelfStock_Log[Part Name],$A22,T_SelfStock_Log[WeekIndex],50)=0,"",SUMIFS(T_SelfStock_Log[Self_Qty],T_SelfStock_Log[Part Name],$A22,T_SelfStock_Log[WeekIndex],50))</f>
        <v/>
      </c>
      <c r="AZ22" s="12">
        <f>IF(COUNTIFS(T_SelfStock_Log[Part Name],$A22,T_SelfStock_Log[WeekIndex],51)=0,"",SUMIFS(T_SelfStock_Log[Self_Qty],T_SelfStock_Log[Part Name],$A22,T_SelfStock_Log[WeekIndex],51))</f>
        <v/>
      </c>
      <c r="BA22" s="12">
        <f>IF(COUNTIFS(T_SelfStock_Log[Part Name],$A22,T_SelfStock_Log[WeekIndex],52)=0,"",SUMIFS(T_SelfStock_Log[Self_Qty],T_SelfStock_Log[Part Name],$A22,T_SelfStock_Log[WeekIndex],52))</f>
        <v/>
      </c>
      <c r="BB22" s="12">
        <f>IF(COUNTIFS(T_SelfStock_Log[Part Name],$A22,T_SelfStock_Log[WeekIndex],53)=0,"",SUMIFS(T_SelfStock_Log[Self_Qty],T_SelfStock_Log[Part Name],$A22,T_SelfStock_Log[WeekIndex],53))</f>
        <v/>
      </c>
      <c r="BC22" s="12">
        <f>IF(COUNTIFS(T_SelfStock_Log[Part Name],$A22,T_SelfStock_Log[WeekIndex],54)=0,"",SUMIFS(T_SelfStock_Log[Self_Qty],T_SelfStock_Log[Part Name],$A22,T_SelfStock_Log[WeekIndex],54))</f>
        <v/>
      </c>
      <c r="BD22" s="12">
        <f>IF(COUNTIFS(T_SelfStock_Log[Part Name],$A22,T_SelfStock_Log[WeekIndex],55)=0,"",SUMIFS(T_SelfStock_Log[Self_Qty],T_SelfStock_Log[Part Name],$A22,T_SelfStock_Log[WeekIndex],55))</f>
        <v/>
      </c>
      <c r="BE22" s="12">
        <f>IF(COUNTIFS(T_SelfStock_Log[Part Name],$A22,T_SelfStock_Log[WeekIndex],56)=0,"",SUMIFS(T_SelfStock_Log[Self_Qty],T_SelfStock_Log[Part Name],$A22,T_SelfStock_Log[WeekIndex],56))</f>
        <v/>
      </c>
      <c r="BF22" s="12">
        <f>IF(COUNTIFS(T_SelfStock_Log[Part Name],$A22,T_SelfStock_Log[WeekIndex],57)=0,"",SUMIFS(T_SelfStock_Log[Self_Qty],T_SelfStock_Log[Part Name],$A22,T_SelfStock_Log[WeekIndex],57))</f>
        <v/>
      </c>
      <c r="BG22" s="12">
        <f>IF(COUNTIFS(T_SelfStock_Log[Part Name],$A22,T_SelfStock_Log[WeekIndex],58)=0,"",SUMIFS(T_SelfStock_Log[Self_Qty],T_SelfStock_Log[Part Name],$A22,T_SelfStock_Log[WeekIndex],58))</f>
        <v/>
      </c>
      <c r="BH22" s="12">
        <f>IF(COUNTIFS(T_SelfStock_Log[Part Name],$A22,T_SelfStock_Log[WeekIndex],59)=0,"",SUMIFS(T_SelfStock_Log[Self_Qty],T_SelfStock_Log[Part Name],$A22,T_SelfStock_Log[WeekIndex],59))</f>
        <v/>
      </c>
      <c r="BI22" s="12">
        <f>IF(COUNTIFS(T_SelfStock_Log[Part Name],$A22,T_SelfStock_Log[WeekIndex],60)=0,"",SUMIFS(T_SelfStock_Log[Self_Qty],T_SelfStock_Log[Part Name],$A22,T_SelfStock_Log[WeekIndex],60))</f>
        <v/>
      </c>
      <c r="BJ22" s="12">
        <f>IF(COUNTIFS(T_SelfStock_Log[Part Name],$A22,T_SelfStock_Log[WeekIndex],61)=0,"",SUMIFS(T_SelfStock_Log[Self_Qty],T_SelfStock_Log[Part Name],$A22,T_SelfStock_Log[WeekIndex],61))</f>
        <v/>
      </c>
      <c r="BK22" s="12">
        <f>IF(COUNTIFS(T_SelfStock_Log[Part Name],$A22,T_SelfStock_Log[WeekIndex],62)=0,"",SUMIFS(T_SelfStock_Log[Self_Qty],T_SelfStock_Log[Part Name],$A22,T_SelfStock_Log[WeekIndex],62))</f>
        <v/>
      </c>
      <c r="BL22" s="12">
        <f>IF(COUNTIFS(T_SelfStock_Log[Part Name],$A22,T_SelfStock_Log[WeekIndex],63)=0,"",SUMIFS(T_SelfStock_Log[Self_Qty],T_SelfStock_Log[Part Name],$A22,T_SelfStock_Log[WeekIndex],63))</f>
        <v/>
      </c>
      <c r="BM22" s="12">
        <f>IF(COUNTIFS(T_SelfStock_Log[Part Name],$A22,T_SelfStock_Log[WeekIndex],64)=0,"",SUMIFS(T_SelfStock_Log[Self_Qty],T_SelfStock_Log[Part Name],$A22,T_SelfStock_Log[WeekIndex],64))</f>
        <v/>
      </c>
      <c r="BN22" s="12">
        <f>IF(COUNTIFS(T_SelfStock_Log[Part Name],$A22,T_SelfStock_Log[WeekIndex],65)=0,"",SUMIFS(T_SelfStock_Log[Self_Qty],T_SelfStock_Log[Part Name],$A22,T_SelfStock_Log[WeekIndex],65))</f>
        <v/>
      </c>
      <c r="BO22" s="12">
        <f>IF(COUNTIFS(T_SelfStock_Log[Part Name],$A22,T_SelfStock_Log[WeekIndex],66)=0,"",SUMIFS(T_SelfStock_Log[Self_Qty],T_SelfStock_Log[Part Name],$A22,T_SelfStock_Log[WeekIndex],66))</f>
        <v/>
      </c>
      <c r="BP22" s="12">
        <f>IF(COUNTIFS(T_SelfStock_Log[Part Name],$A22,T_SelfStock_Log[WeekIndex],67)=0,"",SUMIFS(T_SelfStock_Log[Self_Qty],T_SelfStock_Log[Part Name],$A22,T_SelfStock_Log[WeekIndex],67))</f>
        <v/>
      </c>
      <c r="BQ22" s="12">
        <f>IF(COUNTIFS(T_SelfStock_Log[Part Name],$A22,T_SelfStock_Log[WeekIndex],68)=0,"",SUMIFS(T_SelfStock_Log[Self_Qty],T_SelfStock_Log[Part Name],$A22,T_SelfStock_Log[WeekIndex],68))</f>
        <v/>
      </c>
      <c r="BR22" s="12">
        <f>IF(COUNTIFS(T_SelfStock_Log[Part Name],$A22,T_SelfStock_Log[WeekIndex],69)=0,"",SUMIFS(T_SelfStock_Log[Self_Qty],T_SelfStock_Log[Part Name],$A22,T_SelfStock_Log[WeekIndex],69))</f>
        <v/>
      </c>
      <c r="BS22" s="12">
        <f>IF(COUNTIFS(T_SelfStock_Log[Part Name],$A22,T_SelfStock_Log[WeekIndex],70)=0,"",SUMIFS(T_SelfStock_Log[Self_Qty],T_SelfStock_Log[Part Name],$A22,T_SelfStock_Log[WeekIndex],70))</f>
        <v/>
      </c>
      <c r="BT22" s="12">
        <f>IF(COUNTIFS(T_SelfStock_Log[Part Name],$A22,T_SelfStock_Log[WeekIndex],71)=0,"",SUMIFS(T_SelfStock_Log[Self_Qty],T_SelfStock_Log[Part Name],$A22,T_SelfStock_Log[WeekIndex],71))</f>
        <v/>
      </c>
      <c r="BU22" s="12">
        <f>IF(COUNTIFS(T_SelfStock_Log[Part Name],$A22,T_SelfStock_Log[WeekIndex],72)=0,"",SUMIFS(T_SelfStock_Log[Self_Qty],T_SelfStock_Log[Part Name],$A22,T_SelfStock_Log[WeekIndex],72))</f>
        <v/>
      </c>
      <c r="BV22" s="12">
        <f>IF(COUNTIFS(T_SelfStock_Log[Part Name],$A22,T_SelfStock_Log[WeekIndex],73)=0,"",SUMIFS(T_SelfStock_Log[Self_Qty],T_SelfStock_Log[Part Name],$A22,T_SelfStock_Log[WeekIndex],73))</f>
        <v/>
      </c>
      <c r="BW22" s="12">
        <f>IF(COUNTIFS(T_SelfStock_Log[Part Name],$A22,T_SelfStock_Log[WeekIndex],74)=0,"",SUMIFS(T_SelfStock_Log[Self_Qty],T_SelfStock_Log[Part Name],$A22,T_SelfStock_Log[WeekIndex],74))</f>
        <v/>
      </c>
      <c r="BX22" s="12">
        <f>IF(COUNTIFS(T_SelfStock_Log[Part Name],$A22,T_SelfStock_Log[WeekIndex],75)=0,"",SUMIFS(T_SelfStock_Log[Self_Qty],T_SelfStock_Log[Part Name],$A22,T_SelfStock_Log[WeekIndex],75))</f>
        <v/>
      </c>
      <c r="BY22" s="12">
        <f>IF(COUNTIFS(T_SelfStock_Log[Part Name],$A22,T_SelfStock_Log[WeekIndex],76)=0,"",SUMIFS(T_SelfStock_Log[Self_Qty],T_SelfStock_Log[Part Name],$A22,T_SelfStock_Log[WeekIndex],76))</f>
        <v/>
      </c>
      <c r="BZ22" s="12">
        <f>IF(COUNTIFS(T_SelfStock_Log[Part Name],$A22,T_SelfStock_Log[WeekIndex],77)=0,"",SUMIFS(T_SelfStock_Log[Self_Qty],T_SelfStock_Log[Part Name],$A22,T_SelfStock_Log[WeekIndex],77))</f>
        <v/>
      </c>
      <c r="CA22" s="12">
        <f>IF(COUNTIFS(T_SelfStock_Log[Part Name],$A22,T_SelfStock_Log[WeekIndex],78)=0,"",SUMIFS(T_SelfStock_Log[Self_Qty],T_SelfStock_Log[Part Name],$A22,T_SelfStock_Log[WeekIndex],78))</f>
        <v/>
      </c>
      <c r="CB22" s="12">
        <f>IF(COUNTIFS(T_SelfStock_Log[Part Name],$A22,T_SelfStock_Log[WeekIndex],79)=0,"",SUMIFS(T_SelfStock_Log[Self_Qty],T_SelfStock_Log[Part Name],$A22,T_SelfStock_Log[WeekIndex],79))</f>
        <v/>
      </c>
      <c r="CC22" s="12">
        <f>IF(COUNTIFS(T_SelfStock_Log[Part Name],$A22,T_SelfStock_Log[WeekIndex],80)=0,"",SUMIFS(T_SelfStock_Log[Self_Qty],T_SelfStock_Log[Part Name],$A22,T_SelfStock_Log[WeekIndex],80))</f>
        <v/>
      </c>
      <c r="CD22" s="12">
        <f>IF(COUNTIFS(T_SelfStock_Log[Part Name],$A22,T_SelfStock_Log[WeekIndex],81)=0,"",SUMIFS(T_SelfStock_Log[Self_Qty],T_SelfStock_Log[Part Name],$A22,T_SelfStock_Log[WeekIndex],81))</f>
        <v/>
      </c>
      <c r="CE22" s="12">
        <f>IF(COUNTIFS(T_SelfStock_Log[Part Name],$A22,T_SelfStock_Log[WeekIndex],82)=0,"",SUMIFS(T_SelfStock_Log[Self_Qty],T_SelfStock_Log[Part Name],$A22,T_SelfStock_Log[WeekIndex],82))</f>
        <v/>
      </c>
      <c r="CF22" s="12">
        <f>IF(COUNTIFS(T_SelfStock_Log[Part Name],$A22,T_SelfStock_Log[WeekIndex],83)=0,"",SUMIFS(T_SelfStock_Log[Self_Qty],T_SelfStock_Log[Part Name],$A22,T_SelfStock_Log[WeekIndex],83))</f>
        <v/>
      </c>
      <c r="CG22" s="12">
        <f>IF(COUNTIFS(T_SelfStock_Log[Part Name],$A22,T_SelfStock_Log[WeekIndex],84)=0,"",SUMIFS(T_SelfStock_Log[Self_Qty],T_SelfStock_Log[Part Name],$A22,T_SelfStock_Log[WeekIndex],84))</f>
        <v/>
      </c>
      <c r="CH22" s="12">
        <f>IF(COUNTIFS(T_SelfStock_Log[Part Name],$A22,T_SelfStock_Log[WeekIndex],85)=0,"",SUMIFS(T_SelfStock_Log[Self_Qty],T_SelfStock_Log[Part Name],$A22,T_SelfStock_Log[WeekIndex],85))</f>
        <v/>
      </c>
      <c r="CI22" s="12">
        <f>IF(COUNTIFS(T_SelfStock_Log[Part Name],$A22,T_SelfStock_Log[WeekIndex],86)=0,"",SUMIFS(T_SelfStock_Log[Self_Qty],T_SelfStock_Log[Part Name],$A22,T_SelfStock_Log[WeekIndex],86))</f>
        <v/>
      </c>
      <c r="CJ22" s="12">
        <f>IF(COUNTIFS(T_SelfStock_Log[Part Name],$A22,T_SelfStock_Log[WeekIndex],87)=0,"",SUMIFS(T_SelfStock_Log[Self_Qty],T_SelfStock_Log[Part Name],$A22,T_SelfStock_Log[WeekIndex],87))</f>
        <v/>
      </c>
      <c r="CK22" s="12">
        <f>IF(COUNTIFS(T_SelfStock_Log[Part Name],$A22,T_SelfStock_Log[WeekIndex],88)=0,"",SUMIFS(T_SelfStock_Log[Self_Qty],T_SelfStock_Log[Part Name],$A22,T_SelfStock_Log[WeekIndex],88))</f>
        <v/>
      </c>
      <c r="CL22" s="12">
        <f>IF(COUNTIFS(T_SelfStock_Log[Part Name],$A22,T_SelfStock_Log[WeekIndex],89)=0,"",SUMIFS(T_SelfStock_Log[Self_Qty],T_SelfStock_Log[Part Name],$A22,T_SelfStock_Log[WeekIndex],89))</f>
        <v/>
      </c>
      <c r="CM22" s="12">
        <f>IF(COUNTIFS(T_SelfStock_Log[Part Name],$A22,T_SelfStock_Log[WeekIndex],90)=0,"",SUMIFS(T_SelfStock_Log[Self_Qty],T_SelfStock_Log[Part Name],$A22,T_SelfStock_Log[WeekIndex],90))</f>
        <v/>
      </c>
      <c r="CN22" s="12">
        <f>IF(COUNTIFS(T_SelfStock_Log[Part Name],$A22,T_SelfStock_Log[WeekIndex],91)=0,"",SUMIFS(T_SelfStock_Log[Self_Qty],T_SelfStock_Log[Part Name],$A22,T_SelfStock_Log[WeekIndex],91))</f>
        <v/>
      </c>
      <c r="CO22" s="12">
        <f>IF(COUNTIFS(T_SelfStock_Log[Part Name],$A22,T_SelfStock_Log[WeekIndex],92)=0,"",SUMIFS(T_SelfStock_Log[Self_Qty],T_SelfStock_Log[Part Name],$A22,T_SelfStock_Log[WeekIndex],92))</f>
        <v/>
      </c>
      <c r="CP22" s="12">
        <f>IF(COUNTIFS(T_SelfStock_Log[Part Name],$A22,T_SelfStock_Log[WeekIndex],93)=0,"",SUMIFS(T_SelfStock_Log[Self_Qty],T_SelfStock_Log[Part Name],$A22,T_SelfStock_Log[WeekIndex],93))</f>
        <v/>
      </c>
      <c r="CQ22" s="12">
        <f>IF(COUNTIFS(T_SelfStock_Log[Part Name],$A22,T_SelfStock_Log[WeekIndex],94)=0,"",SUMIFS(T_SelfStock_Log[Self_Qty],T_SelfStock_Log[Part Name],$A22,T_SelfStock_Log[WeekIndex],94))</f>
        <v/>
      </c>
      <c r="CR22" s="12">
        <f>IF(COUNTIFS(T_SelfStock_Log[Part Name],$A22,T_SelfStock_Log[WeekIndex],95)=0,"",SUMIFS(T_SelfStock_Log[Self_Qty],T_SelfStock_Log[Part Name],$A22,T_SelfStock_Log[WeekIndex],95))</f>
        <v/>
      </c>
      <c r="CS22" s="12">
        <f>IF(COUNTIFS(T_SelfStock_Log[Part Name],$A22,T_SelfStock_Log[WeekIndex],96)=0,"",SUMIFS(T_SelfStock_Log[Self_Qty],T_SelfStock_Log[Part Name],$A22,T_SelfStock_Log[WeekIndex],96))</f>
        <v/>
      </c>
      <c r="CT22" s="12">
        <f>IF(COUNTIFS(T_SelfStock_Log[Part Name],$A22,T_SelfStock_Log[WeekIndex],97)=0,"",SUMIFS(T_SelfStock_Log[Self_Qty],T_SelfStock_Log[Part Name],$A22,T_SelfStock_Log[WeekIndex],97))</f>
        <v/>
      </c>
      <c r="CU22" s="12">
        <f>IF(COUNTIFS(T_SelfStock_Log[Part Name],$A22,T_SelfStock_Log[WeekIndex],98)=0,"",SUMIFS(T_SelfStock_Log[Self_Qty],T_SelfStock_Log[Part Name],$A22,T_SelfStock_Log[WeekIndex],98))</f>
        <v/>
      </c>
      <c r="CV22" s="12">
        <f>IF(COUNTIFS(T_SelfStock_Log[Part Name],$A22,T_SelfStock_Log[WeekIndex],99)=0,"",SUMIFS(T_SelfStock_Log[Self_Qty],T_SelfStock_Log[Part Name],$A22,T_SelfStock_Log[WeekIndex],99))</f>
        <v/>
      </c>
      <c r="CW22" s="12">
        <f>IF(COUNTIFS(T_SelfStock_Log[Part Name],$A22,T_SelfStock_Log[WeekIndex],100)=0,"",SUMIFS(T_SelfStock_Log[Self_Qty],T_SelfStock_Log[Part Name],$A22,T_SelfStock_Log[WeekIndex],100))</f>
        <v/>
      </c>
      <c r="CX22" s="12">
        <f>IF(COUNTIFS(T_SelfStock_Log[Part Name],$A22,T_SelfStock_Log[WeekIndex],101)=0,"",SUMIFS(T_SelfStock_Log[Self_Qty],T_SelfStock_Log[Part Name],$A22,T_SelfStock_Log[WeekIndex],101))</f>
        <v/>
      </c>
      <c r="CY22" s="12">
        <f>IF(COUNTIFS(T_SelfStock_Log[Part Name],$A22,T_SelfStock_Log[WeekIndex],102)=0,"",SUMIFS(T_SelfStock_Log[Self_Qty],T_SelfStock_Log[Part Name],$A22,T_SelfStock_Log[WeekIndex],102))</f>
        <v/>
      </c>
      <c r="CZ22" s="12">
        <f>IF(COUNTIFS(T_SelfStock_Log[Part Name],$A22,T_SelfStock_Log[WeekIndex],103)=0,"",SUMIFS(T_SelfStock_Log[Self_Qty],T_SelfStock_Log[Part Name],$A22,T_SelfStock_Log[WeekIndex],103))</f>
        <v/>
      </c>
      <c r="DA22" s="12">
        <f>IF(COUNTIFS(T_SelfStock_Log[Part Name],$A22,T_SelfStock_Log[WeekIndex],104)=0,"",SUMIFS(T_SelfStock_Log[Self_Qty],T_SelfStock_Log[Part Name],$A22,T_SelfStock_Log[WeekIndex],104))</f>
        <v/>
      </c>
    </row>
    <row r="23">
      <c r="A23" s="13" t="inlineStr">
        <is>
          <t>CHEM-1600</t>
        </is>
      </c>
      <c r="B23" s="13">
        <f>IF(COUNTIFS(T_SelfStock_Log[Part Name],$A23,T_SelfStock_Log[WeekIndex],1)=0,"",SUMIFS(T_SelfStock_Log[Self_Qty],T_SelfStock_Log[Part Name],$A23,T_SelfStock_Log[WeekIndex],1))</f>
        <v/>
      </c>
      <c r="C23" s="13">
        <f>IF(COUNTIFS(T_SelfStock_Log[Part Name],$A23,T_SelfStock_Log[WeekIndex],2)=0,"",SUMIFS(T_SelfStock_Log[Self_Qty],T_SelfStock_Log[Part Name],$A23,T_SelfStock_Log[WeekIndex],2))</f>
        <v/>
      </c>
      <c r="D23" s="13">
        <f>IF(COUNTIFS(T_SelfStock_Log[Part Name],$A23,T_SelfStock_Log[WeekIndex],3)=0,"",SUMIFS(T_SelfStock_Log[Self_Qty],T_SelfStock_Log[Part Name],$A23,T_SelfStock_Log[WeekIndex],3))</f>
        <v/>
      </c>
      <c r="E23" s="13">
        <f>IF(COUNTIFS(T_SelfStock_Log[Part Name],$A23,T_SelfStock_Log[WeekIndex],4)=0,"",SUMIFS(T_SelfStock_Log[Self_Qty],T_SelfStock_Log[Part Name],$A23,T_SelfStock_Log[WeekIndex],4))</f>
        <v/>
      </c>
      <c r="F23" s="13">
        <f>IF(COUNTIFS(T_SelfStock_Log[Part Name],$A23,T_SelfStock_Log[WeekIndex],5)=0,"",SUMIFS(T_SelfStock_Log[Self_Qty],T_SelfStock_Log[Part Name],$A23,T_SelfStock_Log[WeekIndex],5))</f>
        <v/>
      </c>
      <c r="G23" s="13">
        <f>IF(COUNTIFS(T_SelfStock_Log[Part Name],$A23,T_SelfStock_Log[WeekIndex],6)=0,"",SUMIFS(T_SelfStock_Log[Self_Qty],T_SelfStock_Log[Part Name],$A23,T_SelfStock_Log[WeekIndex],6))</f>
        <v/>
      </c>
      <c r="H23" s="13">
        <f>IF(COUNTIFS(T_SelfStock_Log[Part Name],$A23,T_SelfStock_Log[WeekIndex],7)=0,"",SUMIFS(T_SelfStock_Log[Self_Qty],T_SelfStock_Log[Part Name],$A23,T_SelfStock_Log[WeekIndex],7))</f>
        <v/>
      </c>
      <c r="I23" s="13">
        <f>IF(COUNTIFS(T_SelfStock_Log[Part Name],$A23,T_SelfStock_Log[WeekIndex],8)=0,"",SUMIFS(T_SelfStock_Log[Self_Qty],T_SelfStock_Log[Part Name],$A23,T_SelfStock_Log[WeekIndex],8))</f>
        <v/>
      </c>
      <c r="J23" s="13">
        <f>IF(COUNTIFS(T_SelfStock_Log[Part Name],$A23,T_SelfStock_Log[WeekIndex],9)=0,"",SUMIFS(T_SelfStock_Log[Self_Qty],T_SelfStock_Log[Part Name],$A23,T_SelfStock_Log[WeekIndex],9))</f>
        <v/>
      </c>
      <c r="K23" s="13">
        <f>IF(COUNTIFS(T_SelfStock_Log[Part Name],$A23,T_SelfStock_Log[WeekIndex],10)=0,"",SUMIFS(T_SelfStock_Log[Self_Qty],T_SelfStock_Log[Part Name],$A23,T_SelfStock_Log[WeekIndex],10))</f>
        <v/>
      </c>
      <c r="L23" s="13">
        <f>IF(COUNTIFS(T_SelfStock_Log[Part Name],$A23,T_SelfStock_Log[WeekIndex],11)=0,"",SUMIFS(T_SelfStock_Log[Self_Qty],T_SelfStock_Log[Part Name],$A23,T_SelfStock_Log[WeekIndex],11))</f>
        <v/>
      </c>
      <c r="M23" s="13">
        <f>IF(COUNTIFS(T_SelfStock_Log[Part Name],$A23,T_SelfStock_Log[WeekIndex],12)=0,"",SUMIFS(T_SelfStock_Log[Self_Qty],T_SelfStock_Log[Part Name],$A23,T_SelfStock_Log[WeekIndex],12))</f>
        <v/>
      </c>
      <c r="N23" s="13">
        <f>IF(COUNTIFS(T_SelfStock_Log[Part Name],$A23,T_SelfStock_Log[WeekIndex],13)=0,"",SUMIFS(T_SelfStock_Log[Self_Qty],T_SelfStock_Log[Part Name],$A23,T_SelfStock_Log[WeekIndex],13))</f>
        <v/>
      </c>
      <c r="O23" s="13">
        <f>IF(COUNTIFS(T_SelfStock_Log[Part Name],$A23,T_SelfStock_Log[WeekIndex],14)=0,"",SUMIFS(T_SelfStock_Log[Self_Qty],T_SelfStock_Log[Part Name],$A23,T_SelfStock_Log[WeekIndex],14))</f>
        <v/>
      </c>
      <c r="P23" s="13">
        <f>IF(COUNTIFS(T_SelfStock_Log[Part Name],$A23,T_SelfStock_Log[WeekIndex],15)=0,"",SUMIFS(T_SelfStock_Log[Self_Qty],T_SelfStock_Log[Part Name],$A23,T_SelfStock_Log[WeekIndex],15))</f>
        <v/>
      </c>
      <c r="Q23" s="13">
        <f>IF(COUNTIFS(T_SelfStock_Log[Part Name],$A23,T_SelfStock_Log[WeekIndex],16)=0,"",SUMIFS(T_SelfStock_Log[Self_Qty],T_SelfStock_Log[Part Name],$A23,T_SelfStock_Log[WeekIndex],16))</f>
        <v/>
      </c>
      <c r="R23" s="13">
        <f>IF(COUNTIFS(T_SelfStock_Log[Part Name],$A23,T_SelfStock_Log[WeekIndex],17)=0,"",SUMIFS(T_SelfStock_Log[Self_Qty],T_SelfStock_Log[Part Name],$A23,T_SelfStock_Log[WeekIndex],17))</f>
        <v/>
      </c>
      <c r="S23" s="13">
        <f>IF(COUNTIFS(T_SelfStock_Log[Part Name],$A23,T_SelfStock_Log[WeekIndex],18)=0,"",SUMIFS(T_SelfStock_Log[Self_Qty],T_SelfStock_Log[Part Name],$A23,T_SelfStock_Log[WeekIndex],18))</f>
        <v/>
      </c>
      <c r="T23" s="13">
        <f>IF(COUNTIFS(T_SelfStock_Log[Part Name],$A23,T_SelfStock_Log[WeekIndex],19)=0,"",SUMIFS(T_SelfStock_Log[Self_Qty],T_SelfStock_Log[Part Name],$A23,T_SelfStock_Log[WeekIndex],19))</f>
        <v/>
      </c>
      <c r="U23" s="13">
        <f>IF(COUNTIFS(T_SelfStock_Log[Part Name],$A23,T_SelfStock_Log[WeekIndex],20)=0,"",SUMIFS(T_SelfStock_Log[Self_Qty],T_SelfStock_Log[Part Name],$A23,T_SelfStock_Log[WeekIndex],20))</f>
        <v/>
      </c>
      <c r="V23" s="13">
        <f>IF(COUNTIFS(T_SelfStock_Log[Part Name],$A23,T_SelfStock_Log[WeekIndex],21)=0,"",SUMIFS(T_SelfStock_Log[Self_Qty],T_SelfStock_Log[Part Name],$A23,T_SelfStock_Log[WeekIndex],21))</f>
        <v/>
      </c>
      <c r="W23" s="13">
        <f>IF(COUNTIFS(T_SelfStock_Log[Part Name],$A23,T_SelfStock_Log[WeekIndex],22)=0,"",SUMIFS(T_SelfStock_Log[Self_Qty],T_SelfStock_Log[Part Name],$A23,T_SelfStock_Log[WeekIndex],22))</f>
        <v/>
      </c>
      <c r="X23" s="13">
        <f>IF(COUNTIFS(T_SelfStock_Log[Part Name],$A23,T_SelfStock_Log[WeekIndex],23)=0,"",SUMIFS(T_SelfStock_Log[Self_Qty],T_SelfStock_Log[Part Name],$A23,T_SelfStock_Log[WeekIndex],23))</f>
        <v/>
      </c>
      <c r="Y23" s="13">
        <f>IF(COUNTIFS(T_SelfStock_Log[Part Name],$A23,T_SelfStock_Log[WeekIndex],24)=0,"",SUMIFS(T_SelfStock_Log[Self_Qty],T_SelfStock_Log[Part Name],$A23,T_SelfStock_Log[WeekIndex],24))</f>
        <v/>
      </c>
      <c r="Z23" s="13">
        <f>IF(COUNTIFS(T_SelfStock_Log[Part Name],$A23,T_SelfStock_Log[WeekIndex],25)=0,"",SUMIFS(T_SelfStock_Log[Self_Qty],T_SelfStock_Log[Part Name],$A23,T_SelfStock_Log[WeekIndex],25))</f>
        <v/>
      </c>
      <c r="AA23" s="13">
        <f>IF(COUNTIFS(T_SelfStock_Log[Part Name],$A23,T_SelfStock_Log[WeekIndex],26)=0,"",SUMIFS(T_SelfStock_Log[Self_Qty],T_SelfStock_Log[Part Name],$A23,T_SelfStock_Log[WeekIndex],26))</f>
        <v/>
      </c>
      <c r="AB23" s="13">
        <f>IF(COUNTIFS(T_SelfStock_Log[Part Name],$A23,T_SelfStock_Log[WeekIndex],27)=0,"",SUMIFS(T_SelfStock_Log[Self_Qty],T_SelfStock_Log[Part Name],$A23,T_SelfStock_Log[WeekIndex],27))</f>
        <v/>
      </c>
      <c r="AC23" s="13">
        <f>IF(COUNTIFS(T_SelfStock_Log[Part Name],$A23,T_SelfStock_Log[WeekIndex],28)=0,"",SUMIFS(T_SelfStock_Log[Self_Qty],T_SelfStock_Log[Part Name],$A23,T_SelfStock_Log[WeekIndex],28))</f>
        <v/>
      </c>
      <c r="AD23" s="13">
        <f>IF(COUNTIFS(T_SelfStock_Log[Part Name],$A23,T_SelfStock_Log[WeekIndex],29)=0,"",SUMIFS(T_SelfStock_Log[Self_Qty],T_SelfStock_Log[Part Name],$A23,T_SelfStock_Log[WeekIndex],29))</f>
        <v/>
      </c>
      <c r="AE23" s="13">
        <f>IF(COUNTIFS(T_SelfStock_Log[Part Name],$A23,T_SelfStock_Log[WeekIndex],30)=0,"",SUMIFS(T_SelfStock_Log[Self_Qty],T_SelfStock_Log[Part Name],$A23,T_SelfStock_Log[WeekIndex],30))</f>
        <v/>
      </c>
      <c r="AF23" s="13">
        <f>IF(COUNTIFS(T_SelfStock_Log[Part Name],$A23,T_SelfStock_Log[WeekIndex],31)=0,"",SUMIFS(T_SelfStock_Log[Self_Qty],T_SelfStock_Log[Part Name],$A23,T_SelfStock_Log[WeekIndex],31))</f>
        <v/>
      </c>
      <c r="AG23" s="13">
        <f>IF(COUNTIFS(T_SelfStock_Log[Part Name],$A23,T_SelfStock_Log[WeekIndex],32)=0,"",SUMIFS(T_SelfStock_Log[Self_Qty],T_SelfStock_Log[Part Name],$A23,T_SelfStock_Log[WeekIndex],32))</f>
        <v/>
      </c>
      <c r="AH23" s="13">
        <f>IF(COUNTIFS(T_SelfStock_Log[Part Name],$A23,T_SelfStock_Log[WeekIndex],33)=0,"",SUMIFS(T_SelfStock_Log[Self_Qty],T_SelfStock_Log[Part Name],$A23,T_SelfStock_Log[WeekIndex],33))</f>
        <v/>
      </c>
      <c r="AI23" s="13">
        <f>IF(COUNTIFS(T_SelfStock_Log[Part Name],$A23,T_SelfStock_Log[WeekIndex],34)=0,"",SUMIFS(T_SelfStock_Log[Self_Qty],T_SelfStock_Log[Part Name],$A23,T_SelfStock_Log[WeekIndex],34))</f>
        <v/>
      </c>
      <c r="AJ23" s="13">
        <f>IF(COUNTIFS(T_SelfStock_Log[Part Name],$A23,T_SelfStock_Log[WeekIndex],35)=0,"",SUMIFS(T_SelfStock_Log[Self_Qty],T_SelfStock_Log[Part Name],$A23,T_SelfStock_Log[WeekIndex],35))</f>
        <v/>
      </c>
      <c r="AK23" s="13">
        <f>IF(COUNTIFS(T_SelfStock_Log[Part Name],$A23,T_SelfStock_Log[WeekIndex],36)=0,"",SUMIFS(T_SelfStock_Log[Self_Qty],T_SelfStock_Log[Part Name],$A23,T_SelfStock_Log[WeekIndex],36))</f>
        <v/>
      </c>
      <c r="AL23" s="13">
        <f>IF(COUNTIFS(T_SelfStock_Log[Part Name],$A23,T_SelfStock_Log[WeekIndex],37)=0,"",SUMIFS(T_SelfStock_Log[Self_Qty],T_SelfStock_Log[Part Name],$A23,T_SelfStock_Log[WeekIndex],37))</f>
        <v/>
      </c>
      <c r="AM23" s="13">
        <f>IF(COUNTIFS(T_SelfStock_Log[Part Name],$A23,T_SelfStock_Log[WeekIndex],38)=0,"",SUMIFS(T_SelfStock_Log[Self_Qty],T_SelfStock_Log[Part Name],$A23,T_SelfStock_Log[WeekIndex],38))</f>
        <v/>
      </c>
      <c r="AN23" s="13">
        <f>IF(COUNTIFS(T_SelfStock_Log[Part Name],$A23,T_SelfStock_Log[WeekIndex],39)=0,"",SUMIFS(T_SelfStock_Log[Self_Qty],T_SelfStock_Log[Part Name],$A23,T_SelfStock_Log[WeekIndex],39))</f>
        <v/>
      </c>
      <c r="AO23" s="13">
        <f>IF(COUNTIFS(T_SelfStock_Log[Part Name],$A23,T_SelfStock_Log[WeekIndex],40)=0,"",SUMIFS(T_SelfStock_Log[Self_Qty],T_SelfStock_Log[Part Name],$A23,T_SelfStock_Log[WeekIndex],40))</f>
        <v/>
      </c>
      <c r="AP23" s="13">
        <f>IF(COUNTIFS(T_SelfStock_Log[Part Name],$A23,T_SelfStock_Log[WeekIndex],41)=0,"",SUMIFS(T_SelfStock_Log[Self_Qty],T_SelfStock_Log[Part Name],$A23,T_SelfStock_Log[WeekIndex],41))</f>
        <v/>
      </c>
      <c r="AQ23" s="13">
        <f>IF(COUNTIFS(T_SelfStock_Log[Part Name],$A23,T_SelfStock_Log[WeekIndex],42)=0,"",SUMIFS(T_SelfStock_Log[Self_Qty],T_SelfStock_Log[Part Name],$A23,T_SelfStock_Log[WeekIndex],42))</f>
        <v/>
      </c>
      <c r="AR23" s="13">
        <f>IF(COUNTIFS(T_SelfStock_Log[Part Name],$A23,T_SelfStock_Log[WeekIndex],43)=0,"",SUMIFS(T_SelfStock_Log[Self_Qty],T_SelfStock_Log[Part Name],$A23,T_SelfStock_Log[WeekIndex],43))</f>
        <v/>
      </c>
      <c r="AS23" s="13">
        <f>IF(COUNTIFS(T_SelfStock_Log[Part Name],$A23,T_SelfStock_Log[WeekIndex],44)=0,"",SUMIFS(T_SelfStock_Log[Self_Qty],T_SelfStock_Log[Part Name],$A23,T_SelfStock_Log[WeekIndex],44))</f>
        <v/>
      </c>
      <c r="AT23" s="13">
        <f>IF(COUNTIFS(T_SelfStock_Log[Part Name],$A23,T_SelfStock_Log[WeekIndex],45)=0,"",SUMIFS(T_SelfStock_Log[Self_Qty],T_SelfStock_Log[Part Name],$A23,T_SelfStock_Log[WeekIndex],45))</f>
        <v/>
      </c>
      <c r="AU23" s="13">
        <f>IF(COUNTIFS(T_SelfStock_Log[Part Name],$A23,T_SelfStock_Log[WeekIndex],46)=0,"",SUMIFS(T_SelfStock_Log[Self_Qty],T_SelfStock_Log[Part Name],$A23,T_SelfStock_Log[WeekIndex],46))</f>
        <v/>
      </c>
      <c r="AV23" s="13">
        <f>IF(COUNTIFS(T_SelfStock_Log[Part Name],$A23,T_SelfStock_Log[WeekIndex],47)=0,"",SUMIFS(T_SelfStock_Log[Self_Qty],T_SelfStock_Log[Part Name],$A23,T_SelfStock_Log[WeekIndex],47))</f>
        <v/>
      </c>
      <c r="AW23" s="13">
        <f>IF(COUNTIFS(T_SelfStock_Log[Part Name],$A23,T_SelfStock_Log[WeekIndex],48)=0,"",SUMIFS(T_SelfStock_Log[Self_Qty],T_SelfStock_Log[Part Name],$A23,T_SelfStock_Log[WeekIndex],48))</f>
        <v/>
      </c>
      <c r="AX23" s="13">
        <f>IF(COUNTIFS(T_SelfStock_Log[Part Name],$A23,T_SelfStock_Log[WeekIndex],49)=0,"",SUMIFS(T_SelfStock_Log[Self_Qty],T_SelfStock_Log[Part Name],$A23,T_SelfStock_Log[WeekIndex],49))</f>
        <v/>
      </c>
      <c r="AY23" s="13">
        <f>IF(COUNTIFS(T_SelfStock_Log[Part Name],$A23,T_SelfStock_Log[WeekIndex],50)=0,"",SUMIFS(T_SelfStock_Log[Self_Qty],T_SelfStock_Log[Part Name],$A23,T_SelfStock_Log[WeekIndex],50))</f>
        <v/>
      </c>
      <c r="AZ23" s="13">
        <f>IF(COUNTIFS(T_SelfStock_Log[Part Name],$A23,T_SelfStock_Log[WeekIndex],51)=0,"",SUMIFS(T_SelfStock_Log[Self_Qty],T_SelfStock_Log[Part Name],$A23,T_SelfStock_Log[WeekIndex],51))</f>
        <v/>
      </c>
      <c r="BA23" s="13">
        <f>IF(COUNTIFS(T_SelfStock_Log[Part Name],$A23,T_SelfStock_Log[WeekIndex],52)=0,"",SUMIFS(T_SelfStock_Log[Self_Qty],T_SelfStock_Log[Part Name],$A23,T_SelfStock_Log[WeekIndex],52))</f>
        <v/>
      </c>
      <c r="BB23" s="13">
        <f>IF(COUNTIFS(T_SelfStock_Log[Part Name],$A23,T_SelfStock_Log[WeekIndex],53)=0,"",SUMIFS(T_SelfStock_Log[Self_Qty],T_SelfStock_Log[Part Name],$A23,T_SelfStock_Log[WeekIndex],53))</f>
        <v/>
      </c>
      <c r="BC23" s="13">
        <f>IF(COUNTIFS(T_SelfStock_Log[Part Name],$A23,T_SelfStock_Log[WeekIndex],54)=0,"",SUMIFS(T_SelfStock_Log[Self_Qty],T_SelfStock_Log[Part Name],$A23,T_SelfStock_Log[WeekIndex],54))</f>
        <v/>
      </c>
      <c r="BD23" s="13">
        <f>IF(COUNTIFS(T_SelfStock_Log[Part Name],$A23,T_SelfStock_Log[WeekIndex],55)=0,"",SUMIFS(T_SelfStock_Log[Self_Qty],T_SelfStock_Log[Part Name],$A23,T_SelfStock_Log[WeekIndex],55))</f>
        <v/>
      </c>
      <c r="BE23" s="13">
        <f>IF(COUNTIFS(T_SelfStock_Log[Part Name],$A23,T_SelfStock_Log[WeekIndex],56)=0,"",SUMIFS(T_SelfStock_Log[Self_Qty],T_SelfStock_Log[Part Name],$A23,T_SelfStock_Log[WeekIndex],56))</f>
        <v/>
      </c>
      <c r="BF23" s="13">
        <f>IF(COUNTIFS(T_SelfStock_Log[Part Name],$A23,T_SelfStock_Log[WeekIndex],57)=0,"",SUMIFS(T_SelfStock_Log[Self_Qty],T_SelfStock_Log[Part Name],$A23,T_SelfStock_Log[WeekIndex],57))</f>
        <v/>
      </c>
      <c r="BG23" s="13">
        <f>IF(COUNTIFS(T_SelfStock_Log[Part Name],$A23,T_SelfStock_Log[WeekIndex],58)=0,"",SUMIFS(T_SelfStock_Log[Self_Qty],T_SelfStock_Log[Part Name],$A23,T_SelfStock_Log[WeekIndex],58))</f>
        <v/>
      </c>
      <c r="BH23" s="13">
        <f>IF(COUNTIFS(T_SelfStock_Log[Part Name],$A23,T_SelfStock_Log[WeekIndex],59)=0,"",SUMIFS(T_SelfStock_Log[Self_Qty],T_SelfStock_Log[Part Name],$A23,T_SelfStock_Log[WeekIndex],59))</f>
        <v/>
      </c>
      <c r="BI23" s="13">
        <f>IF(COUNTIFS(T_SelfStock_Log[Part Name],$A23,T_SelfStock_Log[WeekIndex],60)=0,"",SUMIFS(T_SelfStock_Log[Self_Qty],T_SelfStock_Log[Part Name],$A23,T_SelfStock_Log[WeekIndex],60))</f>
        <v/>
      </c>
      <c r="BJ23" s="13">
        <f>IF(COUNTIFS(T_SelfStock_Log[Part Name],$A23,T_SelfStock_Log[WeekIndex],61)=0,"",SUMIFS(T_SelfStock_Log[Self_Qty],T_SelfStock_Log[Part Name],$A23,T_SelfStock_Log[WeekIndex],61))</f>
        <v/>
      </c>
      <c r="BK23" s="13">
        <f>IF(COUNTIFS(T_SelfStock_Log[Part Name],$A23,T_SelfStock_Log[WeekIndex],62)=0,"",SUMIFS(T_SelfStock_Log[Self_Qty],T_SelfStock_Log[Part Name],$A23,T_SelfStock_Log[WeekIndex],62))</f>
        <v/>
      </c>
      <c r="BL23" s="13">
        <f>IF(COUNTIFS(T_SelfStock_Log[Part Name],$A23,T_SelfStock_Log[WeekIndex],63)=0,"",SUMIFS(T_SelfStock_Log[Self_Qty],T_SelfStock_Log[Part Name],$A23,T_SelfStock_Log[WeekIndex],63))</f>
        <v/>
      </c>
      <c r="BM23" s="13">
        <f>IF(COUNTIFS(T_SelfStock_Log[Part Name],$A23,T_SelfStock_Log[WeekIndex],64)=0,"",SUMIFS(T_SelfStock_Log[Self_Qty],T_SelfStock_Log[Part Name],$A23,T_SelfStock_Log[WeekIndex],64))</f>
        <v/>
      </c>
      <c r="BN23" s="13">
        <f>IF(COUNTIFS(T_SelfStock_Log[Part Name],$A23,T_SelfStock_Log[WeekIndex],65)=0,"",SUMIFS(T_SelfStock_Log[Self_Qty],T_SelfStock_Log[Part Name],$A23,T_SelfStock_Log[WeekIndex],65))</f>
        <v/>
      </c>
      <c r="BO23" s="13">
        <f>IF(COUNTIFS(T_SelfStock_Log[Part Name],$A23,T_SelfStock_Log[WeekIndex],66)=0,"",SUMIFS(T_SelfStock_Log[Self_Qty],T_SelfStock_Log[Part Name],$A23,T_SelfStock_Log[WeekIndex],66))</f>
        <v/>
      </c>
      <c r="BP23" s="13">
        <f>IF(COUNTIFS(T_SelfStock_Log[Part Name],$A23,T_SelfStock_Log[WeekIndex],67)=0,"",SUMIFS(T_SelfStock_Log[Self_Qty],T_SelfStock_Log[Part Name],$A23,T_SelfStock_Log[WeekIndex],67))</f>
        <v/>
      </c>
      <c r="BQ23" s="13">
        <f>IF(COUNTIFS(T_SelfStock_Log[Part Name],$A23,T_SelfStock_Log[WeekIndex],68)=0,"",SUMIFS(T_SelfStock_Log[Self_Qty],T_SelfStock_Log[Part Name],$A23,T_SelfStock_Log[WeekIndex],68))</f>
        <v/>
      </c>
      <c r="BR23" s="13">
        <f>IF(COUNTIFS(T_SelfStock_Log[Part Name],$A23,T_SelfStock_Log[WeekIndex],69)=0,"",SUMIFS(T_SelfStock_Log[Self_Qty],T_SelfStock_Log[Part Name],$A23,T_SelfStock_Log[WeekIndex],69))</f>
        <v/>
      </c>
      <c r="BS23" s="13">
        <f>IF(COUNTIFS(T_SelfStock_Log[Part Name],$A23,T_SelfStock_Log[WeekIndex],70)=0,"",SUMIFS(T_SelfStock_Log[Self_Qty],T_SelfStock_Log[Part Name],$A23,T_SelfStock_Log[WeekIndex],70))</f>
        <v/>
      </c>
      <c r="BT23" s="13">
        <f>IF(COUNTIFS(T_SelfStock_Log[Part Name],$A23,T_SelfStock_Log[WeekIndex],71)=0,"",SUMIFS(T_SelfStock_Log[Self_Qty],T_SelfStock_Log[Part Name],$A23,T_SelfStock_Log[WeekIndex],71))</f>
        <v/>
      </c>
      <c r="BU23" s="13">
        <f>IF(COUNTIFS(T_SelfStock_Log[Part Name],$A23,T_SelfStock_Log[WeekIndex],72)=0,"",SUMIFS(T_SelfStock_Log[Self_Qty],T_SelfStock_Log[Part Name],$A23,T_SelfStock_Log[WeekIndex],72))</f>
        <v/>
      </c>
      <c r="BV23" s="13">
        <f>IF(COUNTIFS(T_SelfStock_Log[Part Name],$A23,T_SelfStock_Log[WeekIndex],73)=0,"",SUMIFS(T_SelfStock_Log[Self_Qty],T_SelfStock_Log[Part Name],$A23,T_SelfStock_Log[WeekIndex],73))</f>
        <v/>
      </c>
      <c r="BW23" s="13">
        <f>IF(COUNTIFS(T_SelfStock_Log[Part Name],$A23,T_SelfStock_Log[WeekIndex],74)=0,"",SUMIFS(T_SelfStock_Log[Self_Qty],T_SelfStock_Log[Part Name],$A23,T_SelfStock_Log[WeekIndex],74))</f>
        <v/>
      </c>
      <c r="BX23" s="13">
        <f>IF(COUNTIFS(T_SelfStock_Log[Part Name],$A23,T_SelfStock_Log[WeekIndex],75)=0,"",SUMIFS(T_SelfStock_Log[Self_Qty],T_SelfStock_Log[Part Name],$A23,T_SelfStock_Log[WeekIndex],75))</f>
        <v/>
      </c>
      <c r="BY23" s="13">
        <f>IF(COUNTIFS(T_SelfStock_Log[Part Name],$A23,T_SelfStock_Log[WeekIndex],76)=0,"",SUMIFS(T_SelfStock_Log[Self_Qty],T_SelfStock_Log[Part Name],$A23,T_SelfStock_Log[WeekIndex],76))</f>
        <v/>
      </c>
      <c r="BZ23" s="13">
        <f>IF(COUNTIFS(T_SelfStock_Log[Part Name],$A23,T_SelfStock_Log[WeekIndex],77)=0,"",SUMIFS(T_SelfStock_Log[Self_Qty],T_SelfStock_Log[Part Name],$A23,T_SelfStock_Log[WeekIndex],77))</f>
        <v/>
      </c>
      <c r="CA23" s="13">
        <f>IF(COUNTIFS(T_SelfStock_Log[Part Name],$A23,T_SelfStock_Log[WeekIndex],78)=0,"",SUMIFS(T_SelfStock_Log[Self_Qty],T_SelfStock_Log[Part Name],$A23,T_SelfStock_Log[WeekIndex],78))</f>
        <v/>
      </c>
      <c r="CB23" s="13">
        <f>IF(COUNTIFS(T_SelfStock_Log[Part Name],$A23,T_SelfStock_Log[WeekIndex],79)=0,"",SUMIFS(T_SelfStock_Log[Self_Qty],T_SelfStock_Log[Part Name],$A23,T_SelfStock_Log[WeekIndex],79))</f>
        <v/>
      </c>
      <c r="CC23" s="13">
        <f>IF(COUNTIFS(T_SelfStock_Log[Part Name],$A23,T_SelfStock_Log[WeekIndex],80)=0,"",SUMIFS(T_SelfStock_Log[Self_Qty],T_SelfStock_Log[Part Name],$A23,T_SelfStock_Log[WeekIndex],80))</f>
        <v/>
      </c>
      <c r="CD23" s="13">
        <f>IF(COUNTIFS(T_SelfStock_Log[Part Name],$A23,T_SelfStock_Log[WeekIndex],81)=0,"",SUMIFS(T_SelfStock_Log[Self_Qty],T_SelfStock_Log[Part Name],$A23,T_SelfStock_Log[WeekIndex],81))</f>
        <v/>
      </c>
      <c r="CE23" s="13">
        <f>IF(COUNTIFS(T_SelfStock_Log[Part Name],$A23,T_SelfStock_Log[WeekIndex],82)=0,"",SUMIFS(T_SelfStock_Log[Self_Qty],T_SelfStock_Log[Part Name],$A23,T_SelfStock_Log[WeekIndex],82))</f>
        <v/>
      </c>
      <c r="CF23" s="13">
        <f>IF(COUNTIFS(T_SelfStock_Log[Part Name],$A23,T_SelfStock_Log[WeekIndex],83)=0,"",SUMIFS(T_SelfStock_Log[Self_Qty],T_SelfStock_Log[Part Name],$A23,T_SelfStock_Log[WeekIndex],83))</f>
        <v/>
      </c>
      <c r="CG23" s="13">
        <f>IF(COUNTIFS(T_SelfStock_Log[Part Name],$A23,T_SelfStock_Log[WeekIndex],84)=0,"",SUMIFS(T_SelfStock_Log[Self_Qty],T_SelfStock_Log[Part Name],$A23,T_SelfStock_Log[WeekIndex],84))</f>
        <v/>
      </c>
      <c r="CH23" s="13">
        <f>IF(COUNTIFS(T_SelfStock_Log[Part Name],$A23,T_SelfStock_Log[WeekIndex],85)=0,"",SUMIFS(T_SelfStock_Log[Self_Qty],T_SelfStock_Log[Part Name],$A23,T_SelfStock_Log[WeekIndex],85))</f>
        <v/>
      </c>
      <c r="CI23" s="13">
        <f>IF(COUNTIFS(T_SelfStock_Log[Part Name],$A23,T_SelfStock_Log[WeekIndex],86)=0,"",SUMIFS(T_SelfStock_Log[Self_Qty],T_SelfStock_Log[Part Name],$A23,T_SelfStock_Log[WeekIndex],86))</f>
        <v/>
      </c>
      <c r="CJ23" s="13">
        <f>IF(COUNTIFS(T_SelfStock_Log[Part Name],$A23,T_SelfStock_Log[WeekIndex],87)=0,"",SUMIFS(T_SelfStock_Log[Self_Qty],T_SelfStock_Log[Part Name],$A23,T_SelfStock_Log[WeekIndex],87))</f>
        <v/>
      </c>
      <c r="CK23" s="13">
        <f>IF(COUNTIFS(T_SelfStock_Log[Part Name],$A23,T_SelfStock_Log[WeekIndex],88)=0,"",SUMIFS(T_SelfStock_Log[Self_Qty],T_SelfStock_Log[Part Name],$A23,T_SelfStock_Log[WeekIndex],88))</f>
        <v/>
      </c>
      <c r="CL23" s="13">
        <f>IF(COUNTIFS(T_SelfStock_Log[Part Name],$A23,T_SelfStock_Log[WeekIndex],89)=0,"",SUMIFS(T_SelfStock_Log[Self_Qty],T_SelfStock_Log[Part Name],$A23,T_SelfStock_Log[WeekIndex],89))</f>
        <v/>
      </c>
      <c r="CM23" s="13">
        <f>IF(COUNTIFS(T_SelfStock_Log[Part Name],$A23,T_SelfStock_Log[WeekIndex],90)=0,"",SUMIFS(T_SelfStock_Log[Self_Qty],T_SelfStock_Log[Part Name],$A23,T_SelfStock_Log[WeekIndex],90))</f>
        <v/>
      </c>
      <c r="CN23" s="13">
        <f>IF(COUNTIFS(T_SelfStock_Log[Part Name],$A23,T_SelfStock_Log[WeekIndex],91)=0,"",SUMIFS(T_SelfStock_Log[Self_Qty],T_SelfStock_Log[Part Name],$A23,T_SelfStock_Log[WeekIndex],91))</f>
        <v/>
      </c>
      <c r="CO23" s="13">
        <f>IF(COUNTIFS(T_SelfStock_Log[Part Name],$A23,T_SelfStock_Log[WeekIndex],92)=0,"",SUMIFS(T_SelfStock_Log[Self_Qty],T_SelfStock_Log[Part Name],$A23,T_SelfStock_Log[WeekIndex],92))</f>
        <v/>
      </c>
      <c r="CP23" s="13">
        <f>IF(COUNTIFS(T_SelfStock_Log[Part Name],$A23,T_SelfStock_Log[WeekIndex],93)=0,"",SUMIFS(T_SelfStock_Log[Self_Qty],T_SelfStock_Log[Part Name],$A23,T_SelfStock_Log[WeekIndex],93))</f>
        <v/>
      </c>
      <c r="CQ23" s="13">
        <f>IF(COUNTIFS(T_SelfStock_Log[Part Name],$A23,T_SelfStock_Log[WeekIndex],94)=0,"",SUMIFS(T_SelfStock_Log[Self_Qty],T_SelfStock_Log[Part Name],$A23,T_SelfStock_Log[WeekIndex],94))</f>
        <v/>
      </c>
      <c r="CR23" s="13">
        <f>IF(COUNTIFS(T_SelfStock_Log[Part Name],$A23,T_SelfStock_Log[WeekIndex],95)=0,"",SUMIFS(T_SelfStock_Log[Self_Qty],T_SelfStock_Log[Part Name],$A23,T_SelfStock_Log[WeekIndex],95))</f>
        <v/>
      </c>
      <c r="CS23" s="13">
        <f>IF(COUNTIFS(T_SelfStock_Log[Part Name],$A23,T_SelfStock_Log[WeekIndex],96)=0,"",SUMIFS(T_SelfStock_Log[Self_Qty],T_SelfStock_Log[Part Name],$A23,T_SelfStock_Log[WeekIndex],96))</f>
        <v/>
      </c>
      <c r="CT23" s="13">
        <f>IF(COUNTIFS(T_SelfStock_Log[Part Name],$A23,T_SelfStock_Log[WeekIndex],97)=0,"",SUMIFS(T_SelfStock_Log[Self_Qty],T_SelfStock_Log[Part Name],$A23,T_SelfStock_Log[WeekIndex],97))</f>
        <v/>
      </c>
      <c r="CU23" s="13">
        <f>IF(COUNTIFS(T_SelfStock_Log[Part Name],$A23,T_SelfStock_Log[WeekIndex],98)=0,"",SUMIFS(T_SelfStock_Log[Self_Qty],T_SelfStock_Log[Part Name],$A23,T_SelfStock_Log[WeekIndex],98))</f>
        <v/>
      </c>
      <c r="CV23" s="13">
        <f>IF(COUNTIFS(T_SelfStock_Log[Part Name],$A23,T_SelfStock_Log[WeekIndex],99)=0,"",SUMIFS(T_SelfStock_Log[Self_Qty],T_SelfStock_Log[Part Name],$A23,T_SelfStock_Log[WeekIndex],99))</f>
        <v/>
      </c>
      <c r="CW23" s="13">
        <f>IF(COUNTIFS(T_SelfStock_Log[Part Name],$A23,T_SelfStock_Log[WeekIndex],100)=0,"",SUMIFS(T_SelfStock_Log[Self_Qty],T_SelfStock_Log[Part Name],$A23,T_SelfStock_Log[WeekIndex],100))</f>
        <v/>
      </c>
      <c r="CX23" s="13">
        <f>IF(COUNTIFS(T_SelfStock_Log[Part Name],$A23,T_SelfStock_Log[WeekIndex],101)=0,"",SUMIFS(T_SelfStock_Log[Self_Qty],T_SelfStock_Log[Part Name],$A23,T_SelfStock_Log[WeekIndex],101))</f>
        <v/>
      </c>
      <c r="CY23" s="13">
        <f>IF(COUNTIFS(T_SelfStock_Log[Part Name],$A23,T_SelfStock_Log[WeekIndex],102)=0,"",SUMIFS(T_SelfStock_Log[Self_Qty],T_SelfStock_Log[Part Name],$A23,T_SelfStock_Log[WeekIndex],102))</f>
        <v/>
      </c>
      <c r="CZ23" s="13">
        <f>IF(COUNTIFS(T_SelfStock_Log[Part Name],$A23,T_SelfStock_Log[WeekIndex],103)=0,"",SUMIFS(T_SelfStock_Log[Self_Qty],T_SelfStock_Log[Part Name],$A23,T_SelfStock_Log[WeekIndex],103))</f>
        <v/>
      </c>
      <c r="DA23" s="13">
        <f>IF(COUNTIFS(T_SelfStock_Log[Part Name],$A23,T_SelfStock_Log[WeekIndex],104)=0,"",SUMIFS(T_SelfStock_Log[Self_Qty],T_SelfStock_Log[Part Name],$A23,T_SelfStock_Log[WeekIndex],104))</f>
        <v/>
      </c>
    </row>
    <row r="24">
      <c r="A24" s="12" t="inlineStr">
        <is>
          <t>CHEM-1280</t>
        </is>
      </c>
      <c r="B24" s="12">
        <f>IF(COUNTIFS(T_SelfStock_Log[Part Name],$A24,T_SelfStock_Log[WeekIndex],1)=0,"",SUMIFS(T_SelfStock_Log[Self_Qty],T_SelfStock_Log[Part Name],$A24,T_SelfStock_Log[WeekIndex],1))</f>
        <v/>
      </c>
      <c r="C24" s="12">
        <f>IF(COUNTIFS(T_SelfStock_Log[Part Name],$A24,T_SelfStock_Log[WeekIndex],2)=0,"",SUMIFS(T_SelfStock_Log[Self_Qty],T_SelfStock_Log[Part Name],$A24,T_SelfStock_Log[WeekIndex],2))</f>
        <v/>
      </c>
      <c r="D24" s="12">
        <f>IF(COUNTIFS(T_SelfStock_Log[Part Name],$A24,T_SelfStock_Log[WeekIndex],3)=0,"",SUMIFS(T_SelfStock_Log[Self_Qty],T_SelfStock_Log[Part Name],$A24,T_SelfStock_Log[WeekIndex],3))</f>
        <v/>
      </c>
      <c r="E24" s="12">
        <f>IF(COUNTIFS(T_SelfStock_Log[Part Name],$A24,T_SelfStock_Log[WeekIndex],4)=0,"",SUMIFS(T_SelfStock_Log[Self_Qty],T_SelfStock_Log[Part Name],$A24,T_SelfStock_Log[WeekIndex],4))</f>
        <v/>
      </c>
      <c r="F24" s="12">
        <f>IF(COUNTIFS(T_SelfStock_Log[Part Name],$A24,T_SelfStock_Log[WeekIndex],5)=0,"",SUMIFS(T_SelfStock_Log[Self_Qty],T_SelfStock_Log[Part Name],$A24,T_SelfStock_Log[WeekIndex],5))</f>
        <v/>
      </c>
      <c r="G24" s="12">
        <f>IF(COUNTIFS(T_SelfStock_Log[Part Name],$A24,T_SelfStock_Log[WeekIndex],6)=0,"",SUMIFS(T_SelfStock_Log[Self_Qty],T_SelfStock_Log[Part Name],$A24,T_SelfStock_Log[WeekIndex],6))</f>
        <v/>
      </c>
      <c r="H24" s="12">
        <f>IF(COUNTIFS(T_SelfStock_Log[Part Name],$A24,T_SelfStock_Log[WeekIndex],7)=0,"",SUMIFS(T_SelfStock_Log[Self_Qty],T_SelfStock_Log[Part Name],$A24,T_SelfStock_Log[WeekIndex],7))</f>
        <v/>
      </c>
      <c r="I24" s="12">
        <f>IF(COUNTIFS(T_SelfStock_Log[Part Name],$A24,T_SelfStock_Log[WeekIndex],8)=0,"",SUMIFS(T_SelfStock_Log[Self_Qty],T_SelfStock_Log[Part Name],$A24,T_SelfStock_Log[WeekIndex],8))</f>
        <v/>
      </c>
      <c r="J24" s="12">
        <f>IF(COUNTIFS(T_SelfStock_Log[Part Name],$A24,T_SelfStock_Log[WeekIndex],9)=0,"",SUMIFS(T_SelfStock_Log[Self_Qty],T_SelfStock_Log[Part Name],$A24,T_SelfStock_Log[WeekIndex],9))</f>
        <v/>
      </c>
      <c r="K24" s="12">
        <f>IF(COUNTIFS(T_SelfStock_Log[Part Name],$A24,T_SelfStock_Log[WeekIndex],10)=0,"",SUMIFS(T_SelfStock_Log[Self_Qty],T_SelfStock_Log[Part Name],$A24,T_SelfStock_Log[WeekIndex],10))</f>
        <v/>
      </c>
      <c r="L24" s="12">
        <f>IF(COUNTIFS(T_SelfStock_Log[Part Name],$A24,T_SelfStock_Log[WeekIndex],11)=0,"",SUMIFS(T_SelfStock_Log[Self_Qty],T_SelfStock_Log[Part Name],$A24,T_SelfStock_Log[WeekIndex],11))</f>
        <v/>
      </c>
      <c r="M24" s="12">
        <f>IF(COUNTIFS(T_SelfStock_Log[Part Name],$A24,T_SelfStock_Log[WeekIndex],12)=0,"",SUMIFS(T_SelfStock_Log[Self_Qty],T_SelfStock_Log[Part Name],$A24,T_SelfStock_Log[WeekIndex],12))</f>
        <v/>
      </c>
      <c r="N24" s="12">
        <f>IF(COUNTIFS(T_SelfStock_Log[Part Name],$A24,T_SelfStock_Log[WeekIndex],13)=0,"",SUMIFS(T_SelfStock_Log[Self_Qty],T_SelfStock_Log[Part Name],$A24,T_SelfStock_Log[WeekIndex],13))</f>
        <v/>
      </c>
      <c r="O24" s="12">
        <f>IF(COUNTIFS(T_SelfStock_Log[Part Name],$A24,T_SelfStock_Log[WeekIndex],14)=0,"",SUMIFS(T_SelfStock_Log[Self_Qty],T_SelfStock_Log[Part Name],$A24,T_SelfStock_Log[WeekIndex],14))</f>
        <v/>
      </c>
      <c r="P24" s="12">
        <f>IF(COUNTIFS(T_SelfStock_Log[Part Name],$A24,T_SelfStock_Log[WeekIndex],15)=0,"",SUMIFS(T_SelfStock_Log[Self_Qty],T_SelfStock_Log[Part Name],$A24,T_SelfStock_Log[WeekIndex],15))</f>
        <v/>
      </c>
      <c r="Q24" s="12">
        <f>IF(COUNTIFS(T_SelfStock_Log[Part Name],$A24,T_SelfStock_Log[WeekIndex],16)=0,"",SUMIFS(T_SelfStock_Log[Self_Qty],T_SelfStock_Log[Part Name],$A24,T_SelfStock_Log[WeekIndex],16))</f>
        <v/>
      </c>
      <c r="R24" s="12">
        <f>IF(COUNTIFS(T_SelfStock_Log[Part Name],$A24,T_SelfStock_Log[WeekIndex],17)=0,"",SUMIFS(T_SelfStock_Log[Self_Qty],T_SelfStock_Log[Part Name],$A24,T_SelfStock_Log[WeekIndex],17))</f>
        <v/>
      </c>
      <c r="S24" s="12">
        <f>IF(COUNTIFS(T_SelfStock_Log[Part Name],$A24,T_SelfStock_Log[WeekIndex],18)=0,"",SUMIFS(T_SelfStock_Log[Self_Qty],T_SelfStock_Log[Part Name],$A24,T_SelfStock_Log[WeekIndex],18))</f>
        <v/>
      </c>
      <c r="T24" s="12">
        <f>IF(COUNTIFS(T_SelfStock_Log[Part Name],$A24,T_SelfStock_Log[WeekIndex],19)=0,"",SUMIFS(T_SelfStock_Log[Self_Qty],T_SelfStock_Log[Part Name],$A24,T_SelfStock_Log[WeekIndex],19))</f>
        <v/>
      </c>
      <c r="U24" s="12">
        <f>IF(COUNTIFS(T_SelfStock_Log[Part Name],$A24,T_SelfStock_Log[WeekIndex],20)=0,"",SUMIFS(T_SelfStock_Log[Self_Qty],T_SelfStock_Log[Part Name],$A24,T_SelfStock_Log[WeekIndex],20))</f>
        <v/>
      </c>
      <c r="V24" s="12">
        <f>IF(COUNTIFS(T_SelfStock_Log[Part Name],$A24,T_SelfStock_Log[WeekIndex],21)=0,"",SUMIFS(T_SelfStock_Log[Self_Qty],T_SelfStock_Log[Part Name],$A24,T_SelfStock_Log[WeekIndex],21))</f>
        <v/>
      </c>
      <c r="W24" s="12">
        <f>IF(COUNTIFS(T_SelfStock_Log[Part Name],$A24,T_SelfStock_Log[WeekIndex],22)=0,"",SUMIFS(T_SelfStock_Log[Self_Qty],T_SelfStock_Log[Part Name],$A24,T_SelfStock_Log[WeekIndex],22))</f>
        <v/>
      </c>
      <c r="X24" s="12">
        <f>IF(COUNTIFS(T_SelfStock_Log[Part Name],$A24,T_SelfStock_Log[WeekIndex],23)=0,"",SUMIFS(T_SelfStock_Log[Self_Qty],T_SelfStock_Log[Part Name],$A24,T_SelfStock_Log[WeekIndex],23))</f>
        <v/>
      </c>
      <c r="Y24" s="12">
        <f>IF(COUNTIFS(T_SelfStock_Log[Part Name],$A24,T_SelfStock_Log[WeekIndex],24)=0,"",SUMIFS(T_SelfStock_Log[Self_Qty],T_SelfStock_Log[Part Name],$A24,T_SelfStock_Log[WeekIndex],24))</f>
        <v/>
      </c>
      <c r="Z24" s="12">
        <f>IF(COUNTIFS(T_SelfStock_Log[Part Name],$A24,T_SelfStock_Log[WeekIndex],25)=0,"",SUMIFS(T_SelfStock_Log[Self_Qty],T_SelfStock_Log[Part Name],$A24,T_SelfStock_Log[WeekIndex],25))</f>
        <v/>
      </c>
      <c r="AA24" s="12">
        <f>IF(COUNTIFS(T_SelfStock_Log[Part Name],$A24,T_SelfStock_Log[WeekIndex],26)=0,"",SUMIFS(T_SelfStock_Log[Self_Qty],T_SelfStock_Log[Part Name],$A24,T_SelfStock_Log[WeekIndex],26))</f>
        <v/>
      </c>
      <c r="AB24" s="12">
        <f>IF(COUNTIFS(T_SelfStock_Log[Part Name],$A24,T_SelfStock_Log[WeekIndex],27)=0,"",SUMIFS(T_SelfStock_Log[Self_Qty],T_SelfStock_Log[Part Name],$A24,T_SelfStock_Log[WeekIndex],27))</f>
        <v/>
      </c>
      <c r="AC24" s="12">
        <f>IF(COUNTIFS(T_SelfStock_Log[Part Name],$A24,T_SelfStock_Log[WeekIndex],28)=0,"",SUMIFS(T_SelfStock_Log[Self_Qty],T_SelfStock_Log[Part Name],$A24,T_SelfStock_Log[WeekIndex],28))</f>
        <v/>
      </c>
      <c r="AD24" s="12">
        <f>IF(COUNTIFS(T_SelfStock_Log[Part Name],$A24,T_SelfStock_Log[WeekIndex],29)=0,"",SUMIFS(T_SelfStock_Log[Self_Qty],T_SelfStock_Log[Part Name],$A24,T_SelfStock_Log[WeekIndex],29))</f>
        <v/>
      </c>
      <c r="AE24" s="12">
        <f>IF(COUNTIFS(T_SelfStock_Log[Part Name],$A24,T_SelfStock_Log[WeekIndex],30)=0,"",SUMIFS(T_SelfStock_Log[Self_Qty],T_SelfStock_Log[Part Name],$A24,T_SelfStock_Log[WeekIndex],30))</f>
        <v/>
      </c>
      <c r="AF24" s="12">
        <f>IF(COUNTIFS(T_SelfStock_Log[Part Name],$A24,T_SelfStock_Log[WeekIndex],31)=0,"",SUMIFS(T_SelfStock_Log[Self_Qty],T_SelfStock_Log[Part Name],$A24,T_SelfStock_Log[WeekIndex],31))</f>
        <v/>
      </c>
      <c r="AG24" s="12">
        <f>IF(COUNTIFS(T_SelfStock_Log[Part Name],$A24,T_SelfStock_Log[WeekIndex],32)=0,"",SUMIFS(T_SelfStock_Log[Self_Qty],T_SelfStock_Log[Part Name],$A24,T_SelfStock_Log[WeekIndex],32))</f>
        <v/>
      </c>
      <c r="AH24" s="12">
        <f>IF(COUNTIFS(T_SelfStock_Log[Part Name],$A24,T_SelfStock_Log[WeekIndex],33)=0,"",SUMIFS(T_SelfStock_Log[Self_Qty],T_SelfStock_Log[Part Name],$A24,T_SelfStock_Log[WeekIndex],33))</f>
        <v/>
      </c>
      <c r="AI24" s="12">
        <f>IF(COUNTIFS(T_SelfStock_Log[Part Name],$A24,T_SelfStock_Log[WeekIndex],34)=0,"",SUMIFS(T_SelfStock_Log[Self_Qty],T_SelfStock_Log[Part Name],$A24,T_SelfStock_Log[WeekIndex],34))</f>
        <v/>
      </c>
      <c r="AJ24" s="12">
        <f>IF(COUNTIFS(T_SelfStock_Log[Part Name],$A24,T_SelfStock_Log[WeekIndex],35)=0,"",SUMIFS(T_SelfStock_Log[Self_Qty],T_SelfStock_Log[Part Name],$A24,T_SelfStock_Log[WeekIndex],35))</f>
        <v/>
      </c>
      <c r="AK24" s="12">
        <f>IF(COUNTIFS(T_SelfStock_Log[Part Name],$A24,T_SelfStock_Log[WeekIndex],36)=0,"",SUMIFS(T_SelfStock_Log[Self_Qty],T_SelfStock_Log[Part Name],$A24,T_SelfStock_Log[WeekIndex],36))</f>
        <v/>
      </c>
      <c r="AL24" s="12">
        <f>IF(COUNTIFS(T_SelfStock_Log[Part Name],$A24,T_SelfStock_Log[WeekIndex],37)=0,"",SUMIFS(T_SelfStock_Log[Self_Qty],T_SelfStock_Log[Part Name],$A24,T_SelfStock_Log[WeekIndex],37))</f>
        <v/>
      </c>
      <c r="AM24" s="12">
        <f>IF(COUNTIFS(T_SelfStock_Log[Part Name],$A24,T_SelfStock_Log[WeekIndex],38)=0,"",SUMIFS(T_SelfStock_Log[Self_Qty],T_SelfStock_Log[Part Name],$A24,T_SelfStock_Log[WeekIndex],38))</f>
        <v/>
      </c>
      <c r="AN24" s="12">
        <f>IF(COUNTIFS(T_SelfStock_Log[Part Name],$A24,T_SelfStock_Log[WeekIndex],39)=0,"",SUMIFS(T_SelfStock_Log[Self_Qty],T_SelfStock_Log[Part Name],$A24,T_SelfStock_Log[WeekIndex],39))</f>
        <v/>
      </c>
      <c r="AO24" s="12">
        <f>IF(COUNTIFS(T_SelfStock_Log[Part Name],$A24,T_SelfStock_Log[WeekIndex],40)=0,"",SUMIFS(T_SelfStock_Log[Self_Qty],T_SelfStock_Log[Part Name],$A24,T_SelfStock_Log[WeekIndex],40))</f>
        <v/>
      </c>
      <c r="AP24" s="12">
        <f>IF(COUNTIFS(T_SelfStock_Log[Part Name],$A24,T_SelfStock_Log[WeekIndex],41)=0,"",SUMIFS(T_SelfStock_Log[Self_Qty],T_SelfStock_Log[Part Name],$A24,T_SelfStock_Log[WeekIndex],41))</f>
        <v/>
      </c>
      <c r="AQ24" s="12">
        <f>IF(COUNTIFS(T_SelfStock_Log[Part Name],$A24,T_SelfStock_Log[WeekIndex],42)=0,"",SUMIFS(T_SelfStock_Log[Self_Qty],T_SelfStock_Log[Part Name],$A24,T_SelfStock_Log[WeekIndex],42))</f>
        <v/>
      </c>
      <c r="AR24" s="12">
        <f>IF(COUNTIFS(T_SelfStock_Log[Part Name],$A24,T_SelfStock_Log[WeekIndex],43)=0,"",SUMIFS(T_SelfStock_Log[Self_Qty],T_SelfStock_Log[Part Name],$A24,T_SelfStock_Log[WeekIndex],43))</f>
        <v/>
      </c>
      <c r="AS24" s="12">
        <f>IF(COUNTIFS(T_SelfStock_Log[Part Name],$A24,T_SelfStock_Log[WeekIndex],44)=0,"",SUMIFS(T_SelfStock_Log[Self_Qty],T_SelfStock_Log[Part Name],$A24,T_SelfStock_Log[WeekIndex],44))</f>
        <v/>
      </c>
      <c r="AT24" s="12">
        <f>IF(COUNTIFS(T_SelfStock_Log[Part Name],$A24,T_SelfStock_Log[WeekIndex],45)=0,"",SUMIFS(T_SelfStock_Log[Self_Qty],T_SelfStock_Log[Part Name],$A24,T_SelfStock_Log[WeekIndex],45))</f>
        <v/>
      </c>
      <c r="AU24" s="12">
        <f>IF(COUNTIFS(T_SelfStock_Log[Part Name],$A24,T_SelfStock_Log[WeekIndex],46)=0,"",SUMIFS(T_SelfStock_Log[Self_Qty],T_SelfStock_Log[Part Name],$A24,T_SelfStock_Log[WeekIndex],46))</f>
        <v/>
      </c>
      <c r="AV24" s="12">
        <f>IF(COUNTIFS(T_SelfStock_Log[Part Name],$A24,T_SelfStock_Log[WeekIndex],47)=0,"",SUMIFS(T_SelfStock_Log[Self_Qty],T_SelfStock_Log[Part Name],$A24,T_SelfStock_Log[WeekIndex],47))</f>
        <v/>
      </c>
      <c r="AW24" s="12">
        <f>IF(COUNTIFS(T_SelfStock_Log[Part Name],$A24,T_SelfStock_Log[WeekIndex],48)=0,"",SUMIFS(T_SelfStock_Log[Self_Qty],T_SelfStock_Log[Part Name],$A24,T_SelfStock_Log[WeekIndex],48))</f>
        <v/>
      </c>
      <c r="AX24" s="12">
        <f>IF(COUNTIFS(T_SelfStock_Log[Part Name],$A24,T_SelfStock_Log[WeekIndex],49)=0,"",SUMIFS(T_SelfStock_Log[Self_Qty],T_SelfStock_Log[Part Name],$A24,T_SelfStock_Log[WeekIndex],49))</f>
        <v/>
      </c>
      <c r="AY24" s="12">
        <f>IF(COUNTIFS(T_SelfStock_Log[Part Name],$A24,T_SelfStock_Log[WeekIndex],50)=0,"",SUMIFS(T_SelfStock_Log[Self_Qty],T_SelfStock_Log[Part Name],$A24,T_SelfStock_Log[WeekIndex],50))</f>
        <v/>
      </c>
      <c r="AZ24" s="12">
        <f>IF(COUNTIFS(T_SelfStock_Log[Part Name],$A24,T_SelfStock_Log[WeekIndex],51)=0,"",SUMIFS(T_SelfStock_Log[Self_Qty],T_SelfStock_Log[Part Name],$A24,T_SelfStock_Log[WeekIndex],51))</f>
        <v/>
      </c>
      <c r="BA24" s="12">
        <f>IF(COUNTIFS(T_SelfStock_Log[Part Name],$A24,T_SelfStock_Log[WeekIndex],52)=0,"",SUMIFS(T_SelfStock_Log[Self_Qty],T_SelfStock_Log[Part Name],$A24,T_SelfStock_Log[WeekIndex],52))</f>
        <v/>
      </c>
      <c r="BB24" s="12">
        <f>IF(COUNTIFS(T_SelfStock_Log[Part Name],$A24,T_SelfStock_Log[WeekIndex],53)=0,"",SUMIFS(T_SelfStock_Log[Self_Qty],T_SelfStock_Log[Part Name],$A24,T_SelfStock_Log[WeekIndex],53))</f>
        <v/>
      </c>
      <c r="BC24" s="12">
        <f>IF(COUNTIFS(T_SelfStock_Log[Part Name],$A24,T_SelfStock_Log[WeekIndex],54)=0,"",SUMIFS(T_SelfStock_Log[Self_Qty],T_SelfStock_Log[Part Name],$A24,T_SelfStock_Log[WeekIndex],54))</f>
        <v/>
      </c>
      <c r="BD24" s="12">
        <f>IF(COUNTIFS(T_SelfStock_Log[Part Name],$A24,T_SelfStock_Log[WeekIndex],55)=0,"",SUMIFS(T_SelfStock_Log[Self_Qty],T_SelfStock_Log[Part Name],$A24,T_SelfStock_Log[WeekIndex],55))</f>
        <v/>
      </c>
      <c r="BE24" s="12">
        <f>IF(COUNTIFS(T_SelfStock_Log[Part Name],$A24,T_SelfStock_Log[WeekIndex],56)=0,"",SUMIFS(T_SelfStock_Log[Self_Qty],T_SelfStock_Log[Part Name],$A24,T_SelfStock_Log[WeekIndex],56))</f>
        <v/>
      </c>
      <c r="BF24" s="12">
        <f>IF(COUNTIFS(T_SelfStock_Log[Part Name],$A24,T_SelfStock_Log[WeekIndex],57)=0,"",SUMIFS(T_SelfStock_Log[Self_Qty],T_SelfStock_Log[Part Name],$A24,T_SelfStock_Log[WeekIndex],57))</f>
        <v/>
      </c>
      <c r="BG24" s="12">
        <f>IF(COUNTIFS(T_SelfStock_Log[Part Name],$A24,T_SelfStock_Log[WeekIndex],58)=0,"",SUMIFS(T_SelfStock_Log[Self_Qty],T_SelfStock_Log[Part Name],$A24,T_SelfStock_Log[WeekIndex],58))</f>
        <v/>
      </c>
      <c r="BH24" s="12">
        <f>IF(COUNTIFS(T_SelfStock_Log[Part Name],$A24,T_SelfStock_Log[WeekIndex],59)=0,"",SUMIFS(T_SelfStock_Log[Self_Qty],T_SelfStock_Log[Part Name],$A24,T_SelfStock_Log[WeekIndex],59))</f>
        <v/>
      </c>
      <c r="BI24" s="12">
        <f>IF(COUNTIFS(T_SelfStock_Log[Part Name],$A24,T_SelfStock_Log[WeekIndex],60)=0,"",SUMIFS(T_SelfStock_Log[Self_Qty],T_SelfStock_Log[Part Name],$A24,T_SelfStock_Log[WeekIndex],60))</f>
        <v/>
      </c>
      <c r="BJ24" s="12">
        <f>IF(COUNTIFS(T_SelfStock_Log[Part Name],$A24,T_SelfStock_Log[WeekIndex],61)=0,"",SUMIFS(T_SelfStock_Log[Self_Qty],T_SelfStock_Log[Part Name],$A24,T_SelfStock_Log[WeekIndex],61))</f>
        <v/>
      </c>
      <c r="BK24" s="12">
        <f>IF(COUNTIFS(T_SelfStock_Log[Part Name],$A24,T_SelfStock_Log[WeekIndex],62)=0,"",SUMIFS(T_SelfStock_Log[Self_Qty],T_SelfStock_Log[Part Name],$A24,T_SelfStock_Log[WeekIndex],62))</f>
        <v/>
      </c>
      <c r="BL24" s="12">
        <f>IF(COUNTIFS(T_SelfStock_Log[Part Name],$A24,T_SelfStock_Log[WeekIndex],63)=0,"",SUMIFS(T_SelfStock_Log[Self_Qty],T_SelfStock_Log[Part Name],$A24,T_SelfStock_Log[WeekIndex],63))</f>
        <v/>
      </c>
      <c r="BM24" s="12">
        <f>IF(COUNTIFS(T_SelfStock_Log[Part Name],$A24,T_SelfStock_Log[WeekIndex],64)=0,"",SUMIFS(T_SelfStock_Log[Self_Qty],T_SelfStock_Log[Part Name],$A24,T_SelfStock_Log[WeekIndex],64))</f>
        <v/>
      </c>
      <c r="BN24" s="12">
        <f>IF(COUNTIFS(T_SelfStock_Log[Part Name],$A24,T_SelfStock_Log[WeekIndex],65)=0,"",SUMIFS(T_SelfStock_Log[Self_Qty],T_SelfStock_Log[Part Name],$A24,T_SelfStock_Log[WeekIndex],65))</f>
        <v/>
      </c>
      <c r="BO24" s="12">
        <f>IF(COUNTIFS(T_SelfStock_Log[Part Name],$A24,T_SelfStock_Log[WeekIndex],66)=0,"",SUMIFS(T_SelfStock_Log[Self_Qty],T_SelfStock_Log[Part Name],$A24,T_SelfStock_Log[WeekIndex],66))</f>
        <v/>
      </c>
      <c r="BP24" s="12">
        <f>IF(COUNTIFS(T_SelfStock_Log[Part Name],$A24,T_SelfStock_Log[WeekIndex],67)=0,"",SUMIFS(T_SelfStock_Log[Self_Qty],T_SelfStock_Log[Part Name],$A24,T_SelfStock_Log[WeekIndex],67))</f>
        <v/>
      </c>
      <c r="BQ24" s="12">
        <f>IF(COUNTIFS(T_SelfStock_Log[Part Name],$A24,T_SelfStock_Log[WeekIndex],68)=0,"",SUMIFS(T_SelfStock_Log[Self_Qty],T_SelfStock_Log[Part Name],$A24,T_SelfStock_Log[WeekIndex],68))</f>
        <v/>
      </c>
      <c r="BR24" s="12">
        <f>IF(COUNTIFS(T_SelfStock_Log[Part Name],$A24,T_SelfStock_Log[WeekIndex],69)=0,"",SUMIFS(T_SelfStock_Log[Self_Qty],T_SelfStock_Log[Part Name],$A24,T_SelfStock_Log[WeekIndex],69))</f>
        <v/>
      </c>
      <c r="BS24" s="12">
        <f>IF(COUNTIFS(T_SelfStock_Log[Part Name],$A24,T_SelfStock_Log[WeekIndex],70)=0,"",SUMIFS(T_SelfStock_Log[Self_Qty],T_SelfStock_Log[Part Name],$A24,T_SelfStock_Log[WeekIndex],70))</f>
        <v/>
      </c>
      <c r="BT24" s="12">
        <f>IF(COUNTIFS(T_SelfStock_Log[Part Name],$A24,T_SelfStock_Log[WeekIndex],71)=0,"",SUMIFS(T_SelfStock_Log[Self_Qty],T_SelfStock_Log[Part Name],$A24,T_SelfStock_Log[WeekIndex],71))</f>
        <v/>
      </c>
      <c r="BU24" s="12">
        <f>IF(COUNTIFS(T_SelfStock_Log[Part Name],$A24,T_SelfStock_Log[WeekIndex],72)=0,"",SUMIFS(T_SelfStock_Log[Self_Qty],T_SelfStock_Log[Part Name],$A24,T_SelfStock_Log[WeekIndex],72))</f>
        <v/>
      </c>
      <c r="BV24" s="12">
        <f>IF(COUNTIFS(T_SelfStock_Log[Part Name],$A24,T_SelfStock_Log[WeekIndex],73)=0,"",SUMIFS(T_SelfStock_Log[Self_Qty],T_SelfStock_Log[Part Name],$A24,T_SelfStock_Log[WeekIndex],73))</f>
        <v/>
      </c>
      <c r="BW24" s="12">
        <f>IF(COUNTIFS(T_SelfStock_Log[Part Name],$A24,T_SelfStock_Log[WeekIndex],74)=0,"",SUMIFS(T_SelfStock_Log[Self_Qty],T_SelfStock_Log[Part Name],$A24,T_SelfStock_Log[WeekIndex],74))</f>
        <v/>
      </c>
      <c r="BX24" s="12">
        <f>IF(COUNTIFS(T_SelfStock_Log[Part Name],$A24,T_SelfStock_Log[WeekIndex],75)=0,"",SUMIFS(T_SelfStock_Log[Self_Qty],T_SelfStock_Log[Part Name],$A24,T_SelfStock_Log[WeekIndex],75))</f>
        <v/>
      </c>
      <c r="BY24" s="12">
        <f>IF(COUNTIFS(T_SelfStock_Log[Part Name],$A24,T_SelfStock_Log[WeekIndex],76)=0,"",SUMIFS(T_SelfStock_Log[Self_Qty],T_SelfStock_Log[Part Name],$A24,T_SelfStock_Log[WeekIndex],76))</f>
        <v/>
      </c>
      <c r="BZ24" s="12">
        <f>IF(COUNTIFS(T_SelfStock_Log[Part Name],$A24,T_SelfStock_Log[WeekIndex],77)=0,"",SUMIFS(T_SelfStock_Log[Self_Qty],T_SelfStock_Log[Part Name],$A24,T_SelfStock_Log[WeekIndex],77))</f>
        <v/>
      </c>
      <c r="CA24" s="12">
        <f>IF(COUNTIFS(T_SelfStock_Log[Part Name],$A24,T_SelfStock_Log[WeekIndex],78)=0,"",SUMIFS(T_SelfStock_Log[Self_Qty],T_SelfStock_Log[Part Name],$A24,T_SelfStock_Log[WeekIndex],78))</f>
        <v/>
      </c>
      <c r="CB24" s="12">
        <f>IF(COUNTIFS(T_SelfStock_Log[Part Name],$A24,T_SelfStock_Log[WeekIndex],79)=0,"",SUMIFS(T_SelfStock_Log[Self_Qty],T_SelfStock_Log[Part Name],$A24,T_SelfStock_Log[WeekIndex],79))</f>
        <v/>
      </c>
      <c r="CC24" s="12">
        <f>IF(COUNTIFS(T_SelfStock_Log[Part Name],$A24,T_SelfStock_Log[WeekIndex],80)=0,"",SUMIFS(T_SelfStock_Log[Self_Qty],T_SelfStock_Log[Part Name],$A24,T_SelfStock_Log[WeekIndex],80))</f>
        <v/>
      </c>
      <c r="CD24" s="12">
        <f>IF(COUNTIFS(T_SelfStock_Log[Part Name],$A24,T_SelfStock_Log[WeekIndex],81)=0,"",SUMIFS(T_SelfStock_Log[Self_Qty],T_SelfStock_Log[Part Name],$A24,T_SelfStock_Log[WeekIndex],81))</f>
        <v/>
      </c>
      <c r="CE24" s="12">
        <f>IF(COUNTIFS(T_SelfStock_Log[Part Name],$A24,T_SelfStock_Log[WeekIndex],82)=0,"",SUMIFS(T_SelfStock_Log[Self_Qty],T_SelfStock_Log[Part Name],$A24,T_SelfStock_Log[WeekIndex],82))</f>
        <v/>
      </c>
      <c r="CF24" s="12">
        <f>IF(COUNTIFS(T_SelfStock_Log[Part Name],$A24,T_SelfStock_Log[WeekIndex],83)=0,"",SUMIFS(T_SelfStock_Log[Self_Qty],T_SelfStock_Log[Part Name],$A24,T_SelfStock_Log[WeekIndex],83))</f>
        <v/>
      </c>
      <c r="CG24" s="12">
        <f>IF(COUNTIFS(T_SelfStock_Log[Part Name],$A24,T_SelfStock_Log[WeekIndex],84)=0,"",SUMIFS(T_SelfStock_Log[Self_Qty],T_SelfStock_Log[Part Name],$A24,T_SelfStock_Log[WeekIndex],84))</f>
        <v/>
      </c>
      <c r="CH24" s="12">
        <f>IF(COUNTIFS(T_SelfStock_Log[Part Name],$A24,T_SelfStock_Log[WeekIndex],85)=0,"",SUMIFS(T_SelfStock_Log[Self_Qty],T_SelfStock_Log[Part Name],$A24,T_SelfStock_Log[WeekIndex],85))</f>
        <v/>
      </c>
      <c r="CI24" s="12">
        <f>IF(COUNTIFS(T_SelfStock_Log[Part Name],$A24,T_SelfStock_Log[WeekIndex],86)=0,"",SUMIFS(T_SelfStock_Log[Self_Qty],T_SelfStock_Log[Part Name],$A24,T_SelfStock_Log[WeekIndex],86))</f>
        <v/>
      </c>
      <c r="CJ24" s="12">
        <f>IF(COUNTIFS(T_SelfStock_Log[Part Name],$A24,T_SelfStock_Log[WeekIndex],87)=0,"",SUMIFS(T_SelfStock_Log[Self_Qty],T_SelfStock_Log[Part Name],$A24,T_SelfStock_Log[WeekIndex],87))</f>
        <v/>
      </c>
      <c r="CK24" s="12">
        <f>IF(COUNTIFS(T_SelfStock_Log[Part Name],$A24,T_SelfStock_Log[WeekIndex],88)=0,"",SUMIFS(T_SelfStock_Log[Self_Qty],T_SelfStock_Log[Part Name],$A24,T_SelfStock_Log[WeekIndex],88))</f>
        <v/>
      </c>
      <c r="CL24" s="12">
        <f>IF(COUNTIFS(T_SelfStock_Log[Part Name],$A24,T_SelfStock_Log[WeekIndex],89)=0,"",SUMIFS(T_SelfStock_Log[Self_Qty],T_SelfStock_Log[Part Name],$A24,T_SelfStock_Log[WeekIndex],89))</f>
        <v/>
      </c>
      <c r="CM24" s="12">
        <f>IF(COUNTIFS(T_SelfStock_Log[Part Name],$A24,T_SelfStock_Log[WeekIndex],90)=0,"",SUMIFS(T_SelfStock_Log[Self_Qty],T_SelfStock_Log[Part Name],$A24,T_SelfStock_Log[WeekIndex],90))</f>
        <v/>
      </c>
      <c r="CN24" s="12">
        <f>IF(COUNTIFS(T_SelfStock_Log[Part Name],$A24,T_SelfStock_Log[WeekIndex],91)=0,"",SUMIFS(T_SelfStock_Log[Self_Qty],T_SelfStock_Log[Part Name],$A24,T_SelfStock_Log[WeekIndex],91))</f>
        <v/>
      </c>
      <c r="CO24" s="12">
        <f>IF(COUNTIFS(T_SelfStock_Log[Part Name],$A24,T_SelfStock_Log[WeekIndex],92)=0,"",SUMIFS(T_SelfStock_Log[Self_Qty],T_SelfStock_Log[Part Name],$A24,T_SelfStock_Log[WeekIndex],92))</f>
        <v/>
      </c>
      <c r="CP24" s="12">
        <f>IF(COUNTIFS(T_SelfStock_Log[Part Name],$A24,T_SelfStock_Log[WeekIndex],93)=0,"",SUMIFS(T_SelfStock_Log[Self_Qty],T_SelfStock_Log[Part Name],$A24,T_SelfStock_Log[WeekIndex],93))</f>
        <v/>
      </c>
      <c r="CQ24" s="12">
        <f>IF(COUNTIFS(T_SelfStock_Log[Part Name],$A24,T_SelfStock_Log[WeekIndex],94)=0,"",SUMIFS(T_SelfStock_Log[Self_Qty],T_SelfStock_Log[Part Name],$A24,T_SelfStock_Log[WeekIndex],94))</f>
        <v/>
      </c>
      <c r="CR24" s="12">
        <f>IF(COUNTIFS(T_SelfStock_Log[Part Name],$A24,T_SelfStock_Log[WeekIndex],95)=0,"",SUMIFS(T_SelfStock_Log[Self_Qty],T_SelfStock_Log[Part Name],$A24,T_SelfStock_Log[WeekIndex],95))</f>
        <v/>
      </c>
      <c r="CS24" s="12">
        <f>IF(COUNTIFS(T_SelfStock_Log[Part Name],$A24,T_SelfStock_Log[WeekIndex],96)=0,"",SUMIFS(T_SelfStock_Log[Self_Qty],T_SelfStock_Log[Part Name],$A24,T_SelfStock_Log[WeekIndex],96))</f>
        <v/>
      </c>
      <c r="CT24" s="12">
        <f>IF(COUNTIFS(T_SelfStock_Log[Part Name],$A24,T_SelfStock_Log[WeekIndex],97)=0,"",SUMIFS(T_SelfStock_Log[Self_Qty],T_SelfStock_Log[Part Name],$A24,T_SelfStock_Log[WeekIndex],97))</f>
        <v/>
      </c>
      <c r="CU24" s="12">
        <f>IF(COUNTIFS(T_SelfStock_Log[Part Name],$A24,T_SelfStock_Log[WeekIndex],98)=0,"",SUMIFS(T_SelfStock_Log[Self_Qty],T_SelfStock_Log[Part Name],$A24,T_SelfStock_Log[WeekIndex],98))</f>
        <v/>
      </c>
      <c r="CV24" s="12">
        <f>IF(COUNTIFS(T_SelfStock_Log[Part Name],$A24,T_SelfStock_Log[WeekIndex],99)=0,"",SUMIFS(T_SelfStock_Log[Self_Qty],T_SelfStock_Log[Part Name],$A24,T_SelfStock_Log[WeekIndex],99))</f>
        <v/>
      </c>
      <c r="CW24" s="12">
        <f>IF(COUNTIFS(T_SelfStock_Log[Part Name],$A24,T_SelfStock_Log[WeekIndex],100)=0,"",SUMIFS(T_SelfStock_Log[Self_Qty],T_SelfStock_Log[Part Name],$A24,T_SelfStock_Log[WeekIndex],100))</f>
        <v/>
      </c>
      <c r="CX24" s="12">
        <f>IF(COUNTIFS(T_SelfStock_Log[Part Name],$A24,T_SelfStock_Log[WeekIndex],101)=0,"",SUMIFS(T_SelfStock_Log[Self_Qty],T_SelfStock_Log[Part Name],$A24,T_SelfStock_Log[WeekIndex],101))</f>
        <v/>
      </c>
      <c r="CY24" s="12">
        <f>IF(COUNTIFS(T_SelfStock_Log[Part Name],$A24,T_SelfStock_Log[WeekIndex],102)=0,"",SUMIFS(T_SelfStock_Log[Self_Qty],T_SelfStock_Log[Part Name],$A24,T_SelfStock_Log[WeekIndex],102))</f>
        <v/>
      </c>
      <c r="CZ24" s="12">
        <f>IF(COUNTIFS(T_SelfStock_Log[Part Name],$A24,T_SelfStock_Log[WeekIndex],103)=0,"",SUMIFS(T_SelfStock_Log[Self_Qty],T_SelfStock_Log[Part Name],$A24,T_SelfStock_Log[WeekIndex],103))</f>
        <v/>
      </c>
      <c r="DA24" s="12">
        <f>IF(COUNTIFS(T_SelfStock_Log[Part Name],$A24,T_SelfStock_Log[WeekIndex],104)=0,"",SUMIFS(T_SelfStock_Log[Self_Qty],T_SelfStock_Log[Part Name],$A24,T_SelfStock_Log[WeekIndex],104))</f>
        <v/>
      </c>
    </row>
    <row r="25">
      <c r="A25" s="13" t="inlineStr">
        <is>
          <t>CHEM-1240</t>
        </is>
      </c>
      <c r="B25" s="13">
        <f>IF(COUNTIFS(T_SelfStock_Log[Part Name],$A25,T_SelfStock_Log[WeekIndex],1)=0,"",SUMIFS(T_SelfStock_Log[Self_Qty],T_SelfStock_Log[Part Name],$A25,T_SelfStock_Log[WeekIndex],1))</f>
        <v/>
      </c>
      <c r="C25" s="13">
        <f>IF(COUNTIFS(T_SelfStock_Log[Part Name],$A25,T_SelfStock_Log[WeekIndex],2)=0,"",SUMIFS(T_SelfStock_Log[Self_Qty],T_SelfStock_Log[Part Name],$A25,T_SelfStock_Log[WeekIndex],2))</f>
        <v/>
      </c>
      <c r="D25" s="13">
        <f>IF(COUNTIFS(T_SelfStock_Log[Part Name],$A25,T_SelfStock_Log[WeekIndex],3)=0,"",SUMIFS(T_SelfStock_Log[Self_Qty],T_SelfStock_Log[Part Name],$A25,T_SelfStock_Log[WeekIndex],3))</f>
        <v/>
      </c>
      <c r="E25" s="13">
        <f>IF(COUNTIFS(T_SelfStock_Log[Part Name],$A25,T_SelfStock_Log[WeekIndex],4)=0,"",SUMIFS(T_SelfStock_Log[Self_Qty],T_SelfStock_Log[Part Name],$A25,T_SelfStock_Log[WeekIndex],4))</f>
        <v/>
      </c>
      <c r="F25" s="13">
        <f>IF(COUNTIFS(T_SelfStock_Log[Part Name],$A25,T_SelfStock_Log[WeekIndex],5)=0,"",SUMIFS(T_SelfStock_Log[Self_Qty],T_SelfStock_Log[Part Name],$A25,T_SelfStock_Log[WeekIndex],5))</f>
        <v/>
      </c>
      <c r="G25" s="13">
        <f>IF(COUNTIFS(T_SelfStock_Log[Part Name],$A25,T_SelfStock_Log[WeekIndex],6)=0,"",SUMIFS(T_SelfStock_Log[Self_Qty],T_SelfStock_Log[Part Name],$A25,T_SelfStock_Log[WeekIndex],6))</f>
        <v/>
      </c>
      <c r="H25" s="13">
        <f>IF(COUNTIFS(T_SelfStock_Log[Part Name],$A25,T_SelfStock_Log[WeekIndex],7)=0,"",SUMIFS(T_SelfStock_Log[Self_Qty],T_SelfStock_Log[Part Name],$A25,T_SelfStock_Log[WeekIndex],7))</f>
        <v/>
      </c>
      <c r="I25" s="13">
        <f>IF(COUNTIFS(T_SelfStock_Log[Part Name],$A25,T_SelfStock_Log[WeekIndex],8)=0,"",SUMIFS(T_SelfStock_Log[Self_Qty],T_SelfStock_Log[Part Name],$A25,T_SelfStock_Log[WeekIndex],8))</f>
        <v/>
      </c>
      <c r="J25" s="13">
        <f>IF(COUNTIFS(T_SelfStock_Log[Part Name],$A25,T_SelfStock_Log[WeekIndex],9)=0,"",SUMIFS(T_SelfStock_Log[Self_Qty],T_SelfStock_Log[Part Name],$A25,T_SelfStock_Log[WeekIndex],9))</f>
        <v/>
      </c>
      <c r="K25" s="13">
        <f>IF(COUNTIFS(T_SelfStock_Log[Part Name],$A25,T_SelfStock_Log[WeekIndex],10)=0,"",SUMIFS(T_SelfStock_Log[Self_Qty],T_SelfStock_Log[Part Name],$A25,T_SelfStock_Log[WeekIndex],10))</f>
        <v/>
      </c>
      <c r="L25" s="13">
        <f>IF(COUNTIFS(T_SelfStock_Log[Part Name],$A25,T_SelfStock_Log[WeekIndex],11)=0,"",SUMIFS(T_SelfStock_Log[Self_Qty],T_SelfStock_Log[Part Name],$A25,T_SelfStock_Log[WeekIndex],11))</f>
        <v/>
      </c>
      <c r="M25" s="13">
        <f>IF(COUNTIFS(T_SelfStock_Log[Part Name],$A25,T_SelfStock_Log[WeekIndex],12)=0,"",SUMIFS(T_SelfStock_Log[Self_Qty],T_SelfStock_Log[Part Name],$A25,T_SelfStock_Log[WeekIndex],12))</f>
        <v/>
      </c>
      <c r="N25" s="13">
        <f>IF(COUNTIFS(T_SelfStock_Log[Part Name],$A25,T_SelfStock_Log[WeekIndex],13)=0,"",SUMIFS(T_SelfStock_Log[Self_Qty],T_SelfStock_Log[Part Name],$A25,T_SelfStock_Log[WeekIndex],13))</f>
        <v/>
      </c>
      <c r="O25" s="13">
        <f>IF(COUNTIFS(T_SelfStock_Log[Part Name],$A25,T_SelfStock_Log[WeekIndex],14)=0,"",SUMIFS(T_SelfStock_Log[Self_Qty],T_SelfStock_Log[Part Name],$A25,T_SelfStock_Log[WeekIndex],14))</f>
        <v/>
      </c>
      <c r="P25" s="13">
        <f>IF(COUNTIFS(T_SelfStock_Log[Part Name],$A25,T_SelfStock_Log[WeekIndex],15)=0,"",SUMIFS(T_SelfStock_Log[Self_Qty],T_SelfStock_Log[Part Name],$A25,T_SelfStock_Log[WeekIndex],15))</f>
        <v/>
      </c>
      <c r="Q25" s="13">
        <f>IF(COUNTIFS(T_SelfStock_Log[Part Name],$A25,T_SelfStock_Log[WeekIndex],16)=0,"",SUMIFS(T_SelfStock_Log[Self_Qty],T_SelfStock_Log[Part Name],$A25,T_SelfStock_Log[WeekIndex],16))</f>
        <v/>
      </c>
      <c r="R25" s="13">
        <f>IF(COUNTIFS(T_SelfStock_Log[Part Name],$A25,T_SelfStock_Log[WeekIndex],17)=0,"",SUMIFS(T_SelfStock_Log[Self_Qty],T_SelfStock_Log[Part Name],$A25,T_SelfStock_Log[WeekIndex],17))</f>
        <v/>
      </c>
      <c r="S25" s="13">
        <f>IF(COUNTIFS(T_SelfStock_Log[Part Name],$A25,T_SelfStock_Log[WeekIndex],18)=0,"",SUMIFS(T_SelfStock_Log[Self_Qty],T_SelfStock_Log[Part Name],$A25,T_SelfStock_Log[WeekIndex],18))</f>
        <v/>
      </c>
      <c r="T25" s="13">
        <f>IF(COUNTIFS(T_SelfStock_Log[Part Name],$A25,T_SelfStock_Log[WeekIndex],19)=0,"",SUMIFS(T_SelfStock_Log[Self_Qty],T_SelfStock_Log[Part Name],$A25,T_SelfStock_Log[WeekIndex],19))</f>
        <v/>
      </c>
      <c r="U25" s="13">
        <f>IF(COUNTIFS(T_SelfStock_Log[Part Name],$A25,T_SelfStock_Log[WeekIndex],20)=0,"",SUMIFS(T_SelfStock_Log[Self_Qty],T_SelfStock_Log[Part Name],$A25,T_SelfStock_Log[WeekIndex],20))</f>
        <v/>
      </c>
      <c r="V25" s="13">
        <f>IF(COUNTIFS(T_SelfStock_Log[Part Name],$A25,T_SelfStock_Log[WeekIndex],21)=0,"",SUMIFS(T_SelfStock_Log[Self_Qty],T_SelfStock_Log[Part Name],$A25,T_SelfStock_Log[WeekIndex],21))</f>
        <v/>
      </c>
      <c r="W25" s="13">
        <f>IF(COUNTIFS(T_SelfStock_Log[Part Name],$A25,T_SelfStock_Log[WeekIndex],22)=0,"",SUMIFS(T_SelfStock_Log[Self_Qty],T_SelfStock_Log[Part Name],$A25,T_SelfStock_Log[WeekIndex],22))</f>
        <v/>
      </c>
      <c r="X25" s="13">
        <f>IF(COUNTIFS(T_SelfStock_Log[Part Name],$A25,T_SelfStock_Log[WeekIndex],23)=0,"",SUMIFS(T_SelfStock_Log[Self_Qty],T_SelfStock_Log[Part Name],$A25,T_SelfStock_Log[WeekIndex],23))</f>
        <v/>
      </c>
      <c r="Y25" s="13">
        <f>IF(COUNTIFS(T_SelfStock_Log[Part Name],$A25,T_SelfStock_Log[WeekIndex],24)=0,"",SUMIFS(T_SelfStock_Log[Self_Qty],T_SelfStock_Log[Part Name],$A25,T_SelfStock_Log[WeekIndex],24))</f>
        <v/>
      </c>
      <c r="Z25" s="13">
        <f>IF(COUNTIFS(T_SelfStock_Log[Part Name],$A25,T_SelfStock_Log[WeekIndex],25)=0,"",SUMIFS(T_SelfStock_Log[Self_Qty],T_SelfStock_Log[Part Name],$A25,T_SelfStock_Log[WeekIndex],25))</f>
        <v/>
      </c>
      <c r="AA25" s="13">
        <f>IF(COUNTIFS(T_SelfStock_Log[Part Name],$A25,T_SelfStock_Log[WeekIndex],26)=0,"",SUMIFS(T_SelfStock_Log[Self_Qty],T_SelfStock_Log[Part Name],$A25,T_SelfStock_Log[WeekIndex],26))</f>
        <v/>
      </c>
      <c r="AB25" s="13">
        <f>IF(COUNTIFS(T_SelfStock_Log[Part Name],$A25,T_SelfStock_Log[WeekIndex],27)=0,"",SUMIFS(T_SelfStock_Log[Self_Qty],T_SelfStock_Log[Part Name],$A25,T_SelfStock_Log[WeekIndex],27))</f>
        <v/>
      </c>
      <c r="AC25" s="13">
        <f>IF(COUNTIFS(T_SelfStock_Log[Part Name],$A25,T_SelfStock_Log[WeekIndex],28)=0,"",SUMIFS(T_SelfStock_Log[Self_Qty],T_SelfStock_Log[Part Name],$A25,T_SelfStock_Log[WeekIndex],28))</f>
        <v/>
      </c>
      <c r="AD25" s="13">
        <f>IF(COUNTIFS(T_SelfStock_Log[Part Name],$A25,T_SelfStock_Log[WeekIndex],29)=0,"",SUMIFS(T_SelfStock_Log[Self_Qty],T_SelfStock_Log[Part Name],$A25,T_SelfStock_Log[WeekIndex],29))</f>
        <v/>
      </c>
      <c r="AE25" s="13">
        <f>IF(COUNTIFS(T_SelfStock_Log[Part Name],$A25,T_SelfStock_Log[WeekIndex],30)=0,"",SUMIFS(T_SelfStock_Log[Self_Qty],T_SelfStock_Log[Part Name],$A25,T_SelfStock_Log[WeekIndex],30))</f>
        <v/>
      </c>
      <c r="AF25" s="13">
        <f>IF(COUNTIFS(T_SelfStock_Log[Part Name],$A25,T_SelfStock_Log[WeekIndex],31)=0,"",SUMIFS(T_SelfStock_Log[Self_Qty],T_SelfStock_Log[Part Name],$A25,T_SelfStock_Log[WeekIndex],31))</f>
        <v/>
      </c>
      <c r="AG25" s="13">
        <f>IF(COUNTIFS(T_SelfStock_Log[Part Name],$A25,T_SelfStock_Log[WeekIndex],32)=0,"",SUMIFS(T_SelfStock_Log[Self_Qty],T_SelfStock_Log[Part Name],$A25,T_SelfStock_Log[WeekIndex],32))</f>
        <v/>
      </c>
      <c r="AH25" s="13">
        <f>IF(COUNTIFS(T_SelfStock_Log[Part Name],$A25,T_SelfStock_Log[WeekIndex],33)=0,"",SUMIFS(T_SelfStock_Log[Self_Qty],T_SelfStock_Log[Part Name],$A25,T_SelfStock_Log[WeekIndex],33))</f>
        <v/>
      </c>
      <c r="AI25" s="13">
        <f>IF(COUNTIFS(T_SelfStock_Log[Part Name],$A25,T_SelfStock_Log[WeekIndex],34)=0,"",SUMIFS(T_SelfStock_Log[Self_Qty],T_SelfStock_Log[Part Name],$A25,T_SelfStock_Log[WeekIndex],34))</f>
        <v/>
      </c>
      <c r="AJ25" s="13">
        <f>IF(COUNTIFS(T_SelfStock_Log[Part Name],$A25,T_SelfStock_Log[WeekIndex],35)=0,"",SUMIFS(T_SelfStock_Log[Self_Qty],T_SelfStock_Log[Part Name],$A25,T_SelfStock_Log[WeekIndex],35))</f>
        <v/>
      </c>
      <c r="AK25" s="13">
        <f>IF(COUNTIFS(T_SelfStock_Log[Part Name],$A25,T_SelfStock_Log[WeekIndex],36)=0,"",SUMIFS(T_SelfStock_Log[Self_Qty],T_SelfStock_Log[Part Name],$A25,T_SelfStock_Log[WeekIndex],36))</f>
        <v/>
      </c>
      <c r="AL25" s="13">
        <f>IF(COUNTIFS(T_SelfStock_Log[Part Name],$A25,T_SelfStock_Log[WeekIndex],37)=0,"",SUMIFS(T_SelfStock_Log[Self_Qty],T_SelfStock_Log[Part Name],$A25,T_SelfStock_Log[WeekIndex],37))</f>
        <v/>
      </c>
      <c r="AM25" s="13">
        <f>IF(COUNTIFS(T_SelfStock_Log[Part Name],$A25,T_SelfStock_Log[WeekIndex],38)=0,"",SUMIFS(T_SelfStock_Log[Self_Qty],T_SelfStock_Log[Part Name],$A25,T_SelfStock_Log[WeekIndex],38))</f>
        <v/>
      </c>
      <c r="AN25" s="13">
        <f>IF(COUNTIFS(T_SelfStock_Log[Part Name],$A25,T_SelfStock_Log[WeekIndex],39)=0,"",SUMIFS(T_SelfStock_Log[Self_Qty],T_SelfStock_Log[Part Name],$A25,T_SelfStock_Log[WeekIndex],39))</f>
        <v/>
      </c>
      <c r="AO25" s="13">
        <f>IF(COUNTIFS(T_SelfStock_Log[Part Name],$A25,T_SelfStock_Log[WeekIndex],40)=0,"",SUMIFS(T_SelfStock_Log[Self_Qty],T_SelfStock_Log[Part Name],$A25,T_SelfStock_Log[WeekIndex],40))</f>
        <v/>
      </c>
      <c r="AP25" s="13">
        <f>IF(COUNTIFS(T_SelfStock_Log[Part Name],$A25,T_SelfStock_Log[WeekIndex],41)=0,"",SUMIFS(T_SelfStock_Log[Self_Qty],T_SelfStock_Log[Part Name],$A25,T_SelfStock_Log[WeekIndex],41))</f>
        <v/>
      </c>
      <c r="AQ25" s="13">
        <f>IF(COUNTIFS(T_SelfStock_Log[Part Name],$A25,T_SelfStock_Log[WeekIndex],42)=0,"",SUMIFS(T_SelfStock_Log[Self_Qty],T_SelfStock_Log[Part Name],$A25,T_SelfStock_Log[WeekIndex],42))</f>
        <v/>
      </c>
      <c r="AR25" s="13">
        <f>IF(COUNTIFS(T_SelfStock_Log[Part Name],$A25,T_SelfStock_Log[WeekIndex],43)=0,"",SUMIFS(T_SelfStock_Log[Self_Qty],T_SelfStock_Log[Part Name],$A25,T_SelfStock_Log[WeekIndex],43))</f>
        <v/>
      </c>
      <c r="AS25" s="13">
        <f>IF(COUNTIFS(T_SelfStock_Log[Part Name],$A25,T_SelfStock_Log[WeekIndex],44)=0,"",SUMIFS(T_SelfStock_Log[Self_Qty],T_SelfStock_Log[Part Name],$A25,T_SelfStock_Log[WeekIndex],44))</f>
        <v/>
      </c>
      <c r="AT25" s="13">
        <f>IF(COUNTIFS(T_SelfStock_Log[Part Name],$A25,T_SelfStock_Log[WeekIndex],45)=0,"",SUMIFS(T_SelfStock_Log[Self_Qty],T_SelfStock_Log[Part Name],$A25,T_SelfStock_Log[WeekIndex],45))</f>
        <v/>
      </c>
      <c r="AU25" s="13">
        <f>IF(COUNTIFS(T_SelfStock_Log[Part Name],$A25,T_SelfStock_Log[WeekIndex],46)=0,"",SUMIFS(T_SelfStock_Log[Self_Qty],T_SelfStock_Log[Part Name],$A25,T_SelfStock_Log[WeekIndex],46))</f>
        <v/>
      </c>
      <c r="AV25" s="13">
        <f>IF(COUNTIFS(T_SelfStock_Log[Part Name],$A25,T_SelfStock_Log[WeekIndex],47)=0,"",SUMIFS(T_SelfStock_Log[Self_Qty],T_SelfStock_Log[Part Name],$A25,T_SelfStock_Log[WeekIndex],47))</f>
        <v/>
      </c>
      <c r="AW25" s="13">
        <f>IF(COUNTIFS(T_SelfStock_Log[Part Name],$A25,T_SelfStock_Log[WeekIndex],48)=0,"",SUMIFS(T_SelfStock_Log[Self_Qty],T_SelfStock_Log[Part Name],$A25,T_SelfStock_Log[WeekIndex],48))</f>
        <v/>
      </c>
      <c r="AX25" s="13">
        <f>IF(COUNTIFS(T_SelfStock_Log[Part Name],$A25,T_SelfStock_Log[WeekIndex],49)=0,"",SUMIFS(T_SelfStock_Log[Self_Qty],T_SelfStock_Log[Part Name],$A25,T_SelfStock_Log[WeekIndex],49))</f>
        <v/>
      </c>
      <c r="AY25" s="13">
        <f>IF(COUNTIFS(T_SelfStock_Log[Part Name],$A25,T_SelfStock_Log[WeekIndex],50)=0,"",SUMIFS(T_SelfStock_Log[Self_Qty],T_SelfStock_Log[Part Name],$A25,T_SelfStock_Log[WeekIndex],50))</f>
        <v/>
      </c>
      <c r="AZ25" s="13">
        <f>IF(COUNTIFS(T_SelfStock_Log[Part Name],$A25,T_SelfStock_Log[WeekIndex],51)=0,"",SUMIFS(T_SelfStock_Log[Self_Qty],T_SelfStock_Log[Part Name],$A25,T_SelfStock_Log[WeekIndex],51))</f>
        <v/>
      </c>
      <c r="BA25" s="13">
        <f>IF(COUNTIFS(T_SelfStock_Log[Part Name],$A25,T_SelfStock_Log[WeekIndex],52)=0,"",SUMIFS(T_SelfStock_Log[Self_Qty],T_SelfStock_Log[Part Name],$A25,T_SelfStock_Log[WeekIndex],52))</f>
        <v/>
      </c>
      <c r="BB25" s="13">
        <f>IF(COUNTIFS(T_SelfStock_Log[Part Name],$A25,T_SelfStock_Log[WeekIndex],53)=0,"",SUMIFS(T_SelfStock_Log[Self_Qty],T_SelfStock_Log[Part Name],$A25,T_SelfStock_Log[WeekIndex],53))</f>
        <v/>
      </c>
      <c r="BC25" s="13">
        <f>IF(COUNTIFS(T_SelfStock_Log[Part Name],$A25,T_SelfStock_Log[WeekIndex],54)=0,"",SUMIFS(T_SelfStock_Log[Self_Qty],T_SelfStock_Log[Part Name],$A25,T_SelfStock_Log[WeekIndex],54))</f>
        <v/>
      </c>
      <c r="BD25" s="13">
        <f>IF(COUNTIFS(T_SelfStock_Log[Part Name],$A25,T_SelfStock_Log[WeekIndex],55)=0,"",SUMIFS(T_SelfStock_Log[Self_Qty],T_SelfStock_Log[Part Name],$A25,T_SelfStock_Log[WeekIndex],55))</f>
        <v/>
      </c>
      <c r="BE25" s="13">
        <f>IF(COUNTIFS(T_SelfStock_Log[Part Name],$A25,T_SelfStock_Log[WeekIndex],56)=0,"",SUMIFS(T_SelfStock_Log[Self_Qty],T_SelfStock_Log[Part Name],$A25,T_SelfStock_Log[WeekIndex],56))</f>
        <v/>
      </c>
      <c r="BF25" s="13">
        <f>IF(COUNTIFS(T_SelfStock_Log[Part Name],$A25,T_SelfStock_Log[WeekIndex],57)=0,"",SUMIFS(T_SelfStock_Log[Self_Qty],T_SelfStock_Log[Part Name],$A25,T_SelfStock_Log[WeekIndex],57))</f>
        <v/>
      </c>
      <c r="BG25" s="13">
        <f>IF(COUNTIFS(T_SelfStock_Log[Part Name],$A25,T_SelfStock_Log[WeekIndex],58)=0,"",SUMIFS(T_SelfStock_Log[Self_Qty],T_SelfStock_Log[Part Name],$A25,T_SelfStock_Log[WeekIndex],58))</f>
        <v/>
      </c>
      <c r="BH25" s="13">
        <f>IF(COUNTIFS(T_SelfStock_Log[Part Name],$A25,T_SelfStock_Log[WeekIndex],59)=0,"",SUMIFS(T_SelfStock_Log[Self_Qty],T_SelfStock_Log[Part Name],$A25,T_SelfStock_Log[WeekIndex],59))</f>
        <v/>
      </c>
      <c r="BI25" s="13">
        <f>IF(COUNTIFS(T_SelfStock_Log[Part Name],$A25,T_SelfStock_Log[WeekIndex],60)=0,"",SUMIFS(T_SelfStock_Log[Self_Qty],T_SelfStock_Log[Part Name],$A25,T_SelfStock_Log[WeekIndex],60))</f>
        <v/>
      </c>
      <c r="BJ25" s="13">
        <f>IF(COUNTIFS(T_SelfStock_Log[Part Name],$A25,T_SelfStock_Log[WeekIndex],61)=0,"",SUMIFS(T_SelfStock_Log[Self_Qty],T_SelfStock_Log[Part Name],$A25,T_SelfStock_Log[WeekIndex],61))</f>
        <v/>
      </c>
      <c r="BK25" s="13">
        <f>IF(COUNTIFS(T_SelfStock_Log[Part Name],$A25,T_SelfStock_Log[WeekIndex],62)=0,"",SUMIFS(T_SelfStock_Log[Self_Qty],T_SelfStock_Log[Part Name],$A25,T_SelfStock_Log[WeekIndex],62))</f>
        <v/>
      </c>
      <c r="BL25" s="13">
        <f>IF(COUNTIFS(T_SelfStock_Log[Part Name],$A25,T_SelfStock_Log[WeekIndex],63)=0,"",SUMIFS(T_SelfStock_Log[Self_Qty],T_SelfStock_Log[Part Name],$A25,T_SelfStock_Log[WeekIndex],63))</f>
        <v/>
      </c>
      <c r="BM25" s="13">
        <f>IF(COUNTIFS(T_SelfStock_Log[Part Name],$A25,T_SelfStock_Log[WeekIndex],64)=0,"",SUMIFS(T_SelfStock_Log[Self_Qty],T_SelfStock_Log[Part Name],$A25,T_SelfStock_Log[WeekIndex],64))</f>
        <v/>
      </c>
      <c r="BN25" s="13">
        <f>IF(COUNTIFS(T_SelfStock_Log[Part Name],$A25,T_SelfStock_Log[WeekIndex],65)=0,"",SUMIFS(T_SelfStock_Log[Self_Qty],T_SelfStock_Log[Part Name],$A25,T_SelfStock_Log[WeekIndex],65))</f>
        <v/>
      </c>
      <c r="BO25" s="13">
        <f>IF(COUNTIFS(T_SelfStock_Log[Part Name],$A25,T_SelfStock_Log[WeekIndex],66)=0,"",SUMIFS(T_SelfStock_Log[Self_Qty],T_SelfStock_Log[Part Name],$A25,T_SelfStock_Log[WeekIndex],66))</f>
        <v/>
      </c>
      <c r="BP25" s="13">
        <f>IF(COUNTIFS(T_SelfStock_Log[Part Name],$A25,T_SelfStock_Log[WeekIndex],67)=0,"",SUMIFS(T_SelfStock_Log[Self_Qty],T_SelfStock_Log[Part Name],$A25,T_SelfStock_Log[WeekIndex],67))</f>
        <v/>
      </c>
      <c r="BQ25" s="13">
        <f>IF(COUNTIFS(T_SelfStock_Log[Part Name],$A25,T_SelfStock_Log[WeekIndex],68)=0,"",SUMIFS(T_SelfStock_Log[Self_Qty],T_SelfStock_Log[Part Name],$A25,T_SelfStock_Log[WeekIndex],68))</f>
        <v/>
      </c>
      <c r="BR25" s="13">
        <f>IF(COUNTIFS(T_SelfStock_Log[Part Name],$A25,T_SelfStock_Log[WeekIndex],69)=0,"",SUMIFS(T_SelfStock_Log[Self_Qty],T_SelfStock_Log[Part Name],$A25,T_SelfStock_Log[WeekIndex],69))</f>
        <v/>
      </c>
      <c r="BS25" s="13">
        <f>IF(COUNTIFS(T_SelfStock_Log[Part Name],$A25,T_SelfStock_Log[WeekIndex],70)=0,"",SUMIFS(T_SelfStock_Log[Self_Qty],T_SelfStock_Log[Part Name],$A25,T_SelfStock_Log[WeekIndex],70))</f>
        <v/>
      </c>
      <c r="BT25" s="13">
        <f>IF(COUNTIFS(T_SelfStock_Log[Part Name],$A25,T_SelfStock_Log[WeekIndex],71)=0,"",SUMIFS(T_SelfStock_Log[Self_Qty],T_SelfStock_Log[Part Name],$A25,T_SelfStock_Log[WeekIndex],71))</f>
        <v/>
      </c>
      <c r="BU25" s="13">
        <f>IF(COUNTIFS(T_SelfStock_Log[Part Name],$A25,T_SelfStock_Log[WeekIndex],72)=0,"",SUMIFS(T_SelfStock_Log[Self_Qty],T_SelfStock_Log[Part Name],$A25,T_SelfStock_Log[WeekIndex],72))</f>
        <v/>
      </c>
      <c r="BV25" s="13">
        <f>IF(COUNTIFS(T_SelfStock_Log[Part Name],$A25,T_SelfStock_Log[WeekIndex],73)=0,"",SUMIFS(T_SelfStock_Log[Self_Qty],T_SelfStock_Log[Part Name],$A25,T_SelfStock_Log[WeekIndex],73))</f>
        <v/>
      </c>
      <c r="BW25" s="13">
        <f>IF(COUNTIFS(T_SelfStock_Log[Part Name],$A25,T_SelfStock_Log[WeekIndex],74)=0,"",SUMIFS(T_SelfStock_Log[Self_Qty],T_SelfStock_Log[Part Name],$A25,T_SelfStock_Log[WeekIndex],74))</f>
        <v/>
      </c>
      <c r="BX25" s="13">
        <f>IF(COUNTIFS(T_SelfStock_Log[Part Name],$A25,T_SelfStock_Log[WeekIndex],75)=0,"",SUMIFS(T_SelfStock_Log[Self_Qty],T_SelfStock_Log[Part Name],$A25,T_SelfStock_Log[WeekIndex],75))</f>
        <v/>
      </c>
      <c r="BY25" s="13">
        <f>IF(COUNTIFS(T_SelfStock_Log[Part Name],$A25,T_SelfStock_Log[WeekIndex],76)=0,"",SUMIFS(T_SelfStock_Log[Self_Qty],T_SelfStock_Log[Part Name],$A25,T_SelfStock_Log[WeekIndex],76))</f>
        <v/>
      </c>
      <c r="BZ25" s="13">
        <f>IF(COUNTIFS(T_SelfStock_Log[Part Name],$A25,T_SelfStock_Log[WeekIndex],77)=0,"",SUMIFS(T_SelfStock_Log[Self_Qty],T_SelfStock_Log[Part Name],$A25,T_SelfStock_Log[WeekIndex],77))</f>
        <v/>
      </c>
      <c r="CA25" s="13">
        <f>IF(COUNTIFS(T_SelfStock_Log[Part Name],$A25,T_SelfStock_Log[WeekIndex],78)=0,"",SUMIFS(T_SelfStock_Log[Self_Qty],T_SelfStock_Log[Part Name],$A25,T_SelfStock_Log[WeekIndex],78))</f>
        <v/>
      </c>
      <c r="CB25" s="13">
        <f>IF(COUNTIFS(T_SelfStock_Log[Part Name],$A25,T_SelfStock_Log[WeekIndex],79)=0,"",SUMIFS(T_SelfStock_Log[Self_Qty],T_SelfStock_Log[Part Name],$A25,T_SelfStock_Log[WeekIndex],79))</f>
        <v/>
      </c>
      <c r="CC25" s="13">
        <f>IF(COUNTIFS(T_SelfStock_Log[Part Name],$A25,T_SelfStock_Log[WeekIndex],80)=0,"",SUMIFS(T_SelfStock_Log[Self_Qty],T_SelfStock_Log[Part Name],$A25,T_SelfStock_Log[WeekIndex],80))</f>
        <v/>
      </c>
      <c r="CD25" s="13">
        <f>IF(COUNTIFS(T_SelfStock_Log[Part Name],$A25,T_SelfStock_Log[WeekIndex],81)=0,"",SUMIFS(T_SelfStock_Log[Self_Qty],T_SelfStock_Log[Part Name],$A25,T_SelfStock_Log[WeekIndex],81))</f>
        <v/>
      </c>
      <c r="CE25" s="13">
        <f>IF(COUNTIFS(T_SelfStock_Log[Part Name],$A25,T_SelfStock_Log[WeekIndex],82)=0,"",SUMIFS(T_SelfStock_Log[Self_Qty],T_SelfStock_Log[Part Name],$A25,T_SelfStock_Log[WeekIndex],82))</f>
        <v/>
      </c>
      <c r="CF25" s="13">
        <f>IF(COUNTIFS(T_SelfStock_Log[Part Name],$A25,T_SelfStock_Log[WeekIndex],83)=0,"",SUMIFS(T_SelfStock_Log[Self_Qty],T_SelfStock_Log[Part Name],$A25,T_SelfStock_Log[WeekIndex],83))</f>
        <v/>
      </c>
      <c r="CG25" s="13">
        <f>IF(COUNTIFS(T_SelfStock_Log[Part Name],$A25,T_SelfStock_Log[WeekIndex],84)=0,"",SUMIFS(T_SelfStock_Log[Self_Qty],T_SelfStock_Log[Part Name],$A25,T_SelfStock_Log[WeekIndex],84))</f>
        <v/>
      </c>
      <c r="CH25" s="13">
        <f>IF(COUNTIFS(T_SelfStock_Log[Part Name],$A25,T_SelfStock_Log[WeekIndex],85)=0,"",SUMIFS(T_SelfStock_Log[Self_Qty],T_SelfStock_Log[Part Name],$A25,T_SelfStock_Log[WeekIndex],85))</f>
        <v/>
      </c>
      <c r="CI25" s="13">
        <f>IF(COUNTIFS(T_SelfStock_Log[Part Name],$A25,T_SelfStock_Log[WeekIndex],86)=0,"",SUMIFS(T_SelfStock_Log[Self_Qty],T_SelfStock_Log[Part Name],$A25,T_SelfStock_Log[WeekIndex],86))</f>
        <v/>
      </c>
      <c r="CJ25" s="13">
        <f>IF(COUNTIFS(T_SelfStock_Log[Part Name],$A25,T_SelfStock_Log[WeekIndex],87)=0,"",SUMIFS(T_SelfStock_Log[Self_Qty],T_SelfStock_Log[Part Name],$A25,T_SelfStock_Log[WeekIndex],87))</f>
        <v/>
      </c>
      <c r="CK25" s="13">
        <f>IF(COUNTIFS(T_SelfStock_Log[Part Name],$A25,T_SelfStock_Log[WeekIndex],88)=0,"",SUMIFS(T_SelfStock_Log[Self_Qty],T_SelfStock_Log[Part Name],$A25,T_SelfStock_Log[WeekIndex],88))</f>
        <v/>
      </c>
      <c r="CL25" s="13">
        <f>IF(COUNTIFS(T_SelfStock_Log[Part Name],$A25,T_SelfStock_Log[WeekIndex],89)=0,"",SUMIFS(T_SelfStock_Log[Self_Qty],T_SelfStock_Log[Part Name],$A25,T_SelfStock_Log[WeekIndex],89))</f>
        <v/>
      </c>
      <c r="CM25" s="13">
        <f>IF(COUNTIFS(T_SelfStock_Log[Part Name],$A25,T_SelfStock_Log[WeekIndex],90)=0,"",SUMIFS(T_SelfStock_Log[Self_Qty],T_SelfStock_Log[Part Name],$A25,T_SelfStock_Log[WeekIndex],90))</f>
        <v/>
      </c>
      <c r="CN25" s="13">
        <f>IF(COUNTIFS(T_SelfStock_Log[Part Name],$A25,T_SelfStock_Log[WeekIndex],91)=0,"",SUMIFS(T_SelfStock_Log[Self_Qty],T_SelfStock_Log[Part Name],$A25,T_SelfStock_Log[WeekIndex],91))</f>
        <v/>
      </c>
      <c r="CO25" s="13">
        <f>IF(COUNTIFS(T_SelfStock_Log[Part Name],$A25,T_SelfStock_Log[WeekIndex],92)=0,"",SUMIFS(T_SelfStock_Log[Self_Qty],T_SelfStock_Log[Part Name],$A25,T_SelfStock_Log[WeekIndex],92))</f>
        <v/>
      </c>
      <c r="CP25" s="13">
        <f>IF(COUNTIFS(T_SelfStock_Log[Part Name],$A25,T_SelfStock_Log[WeekIndex],93)=0,"",SUMIFS(T_SelfStock_Log[Self_Qty],T_SelfStock_Log[Part Name],$A25,T_SelfStock_Log[WeekIndex],93))</f>
        <v/>
      </c>
      <c r="CQ25" s="13">
        <f>IF(COUNTIFS(T_SelfStock_Log[Part Name],$A25,T_SelfStock_Log[WeekIndex],94)=0,"",SUMIFS(T_SelfStock_Log[Self_Qty],T_SelfStock_Log[Part Name],$A25,T_SelfStock_Log[WeekIndex],94))</f>
        <v/>
      </c>
      <c r="CR25" s="13">
        <f>IF(COUNTIFS(T_SelfStock_Log[Part Name],$A25,T_SelfStock_Log[WeekIndex],95)=0,"",SUMIFS(T_SelfStock_Log[Self_Qty],T_SelfStock_Log[Part Name],$A25,T_SelfStock_Log[WeekIndex],95))</f>
        <v/>
      </c>
      <c r="CS25" s="13">
        <f>IF(COUNTIFS(T_SelfStock_Log[Part Name],$A25,T_SelfStock_Log[WeekIndex],96)=0,"",SUMIFS(T_SelfStock_Log[Self_Qty],T_SelfStock_Log[Part Name],$A25,T_SelfStock_Log[WeekIndex],96))</f>
        <v/>
      </c>
      <c r="CT25" s="13">
        <f>IF(COUNTIFS(T_SelfStock_Log[Part Name],$A25,T_SelfStock_Log[WeekIndex],97)=0,"",SUMIFS(T_SelfStock_Log[Self_Qty],T_SelfStock_Log[Part Name],$A25,T_SelfStock_Log[WeekIndex],97))</f>
        <v/>
      </c>
      <c r="CU25" s="13">
        <f>IF(COUNTIFS(T_SelfStock_Log[Part Name],$A25,T_SelfStock_Log[WeekIndex],98)=0,"",SUMIFS(T_SelfStock_Log[Self_Qty],T_SelfStock_Log[Part Name],$A25,T_SelfStock_Log[WeekIndex],98))</f>
        <v/>
      </c>
      <c r="CV25" s="13">
        <f>IF(COUNTIFS(T_SelfStock_Log[Part Name],$A25,T_SelfStock_Log[WeekIndex],99)=0,"",SUMIFS(T_SelfStock_Log[Self_Qty],T_SelfStock_Log[Part Name],$A25,T_SelfStock_Log[WeekIndex],99))</f>
        <v/>
      </c>
      <c r="CW25" s="13">
        <f>IF(COUNTIFS(T_SelfStock_Log[Part Name],$A25,T_SelfStock_Log[WeekIndex],100)=0,"",SUMIFS(T_SelfStock_Log[Self_Qty],T_SelfStock_Log[Part Name],$A25,T_SelfStock_Log[WeekIndex],100))</f>
        <v/>
      </c>
      <c r="CX25" s="13">
        <f>IF(COUNTIFS(T_SelfStock_Log[Part Name],$A25,T_SelfStock_Log[WeekIndex],101)=0,"",SUMIFS(T_SelfStock_Log[Self_Qty],T_SelfStock_Log[Part Name],$A25,T_SelfStock_Log[WeekIndex],101))</f>
        <v/>
      </c>
      <c r="CY25" s="13">
        <f>IF(COUNTIFS(T_SelfStock_Log[Part Name],$A25,T_SelfStock_Log[WeekIndex],102)=0,"",SUMIFS(T_SelfStock_Log[Self_Qty],T_SelfStock_Log[Part Name],$A25,T_SelfStock_Log[WeekIndex],102))</f>
        <v/>
      </c>
      <c r="CZ25" s="13">
        <f>IF(COUNTIFS(T_SelfStock_Log[Part Name],$A25,T_SelfStock_Log[WeekIndex],103)=0,"",SUMIFS(T_SelfStock_Log[Self_Qty],T_SelfStock_Log[Part Name],$A25,T_SelfStock_Log[WeekIndex],103))</f>
        <v/>
      </c>
      <c r="DA25" s="13">
        <f>IF(COUNTIFS(T_SelfStock_Log[Part Name],$A25,T_SelfStock_Log[WeekIndex],104)=0,"",SUMIFS(T_SelfStock_Log[Self_Qty],T_SelfStock_Log[Part Name],$A25,T_SelfStock_Log[WeekIndex],104))</f>
        <v/>
      </c>
    </row>
    <row r="26">
      <c r="A26" s="12" t="inlineStr">
        <is>
          <t>0JN</t>
        </is>
      </c>
      <c r="B26" s="12">
        <f>IF(COUNTIFS(T_SelfStock_Log[Part Name],$A26,T_SelfStock_Log[WeekIndex],1)=0,"",SUMIFS(T_SelfStock_Log[Self_Qty],T_SelfStock_Log[Part Name],$A26,T_SelfStock_Log[WeekIndex],1))</f>
        <v/>
      </c>
      <c r="C26" s="12">
        <f>IF(COUNTIFS(T_SelfStock_Log[Part Name],$A26,T_SelfStock_Log[WeekIndex],2)=0,"",SUMIFS(T_SelfStock_Log[Self_Qty],T_SelfStock_Log[Part Name],$A26,T_SelfStock_Log[WeekIndex],2))</f>
        <v/>
      </c>
      <c r="D26" s="12">
        <f>IF(COUNTIFS(T_SelfStock_Log[Part Name],$A26,T_SelfStock_Log[WeekIndex],3)=0,"",SUMIFS(T_SelfStock_Log[Self_Qty],T_SelfStock_Log[Part Name],$A26,T_SelfStock_Log[WeekIndex],3))</f>
        <v/>
      </c>
      <c r="E26" s="12">
        <f>IF(COUNTIFS(T_SelfStock_Log[Part Name],$A26,T_SelfStock_Log[WeekIndex],4)=0,"",SUMIFS(T_SelfStock_Log[Self_Qty],T_SelfStock_Log[Part Name],$A26,T_SelfStock_Log[WeekIndex],4))</f>
        <v/>
      </c>
      <c r="F26" s="12">
        <f>IF(COUNTIFS(T_SelfStock_Log[Part Name],$A26,T_SelfStock_Log[WeekIndex],5)=0,"",SUMIFS(T_SelfStock_Log[Self_Qty],T_SelfStock_Log[Part Name],$A26,T_SelfStock_Log[WeekIndex],5))</f>
        <v/>
      </c>
      <c r="G26" s="12">
        <f>IF(COUNTIFS(T_SelfStock_Log[Part Name],$A26,T_SelfStock_Log[WeekIndex],6)=0,"",SUMIFS(T_SelfStock_Log[Self_Qty],T_SelfStock_Log[Part Name],$A26,T_SelfStock_Log[WeekIndex],6))</f>
        <v/>
      </c>
      <c r="H26" s="12">
        <f>IF(COUNTIFS(T_SelfStock_Log[Part Name],$A26,T_SelfStock_Log[WeekIndex],7)=0,"",SUMIFS(T_SelfStock_Log[Self_Qty],T_SelfStock_Log[Part Name],$A26,T_SelfStock_Log[WeekIndex],7))</f>
        <v/>
      </c>
      <c r="I26" s="12">
        <f>IF(COUNTIFS(T_SelfStock_Log[Part Name],$A26,T_SelfStock_Log[WeekIndex],8)=0,"",SUMIFS(T_SelfStock_Log[Self_Qty],T_SelfStock_Log[Part Name],$A26,T_SelfStock_Log[WeekIndex],8))</f>
        <v/>
      </c>
      <c r="J26" s="12">
        <f>IF(COUNTIFS(T_SelfStock_Log[Part Name],$A26,T_SelfStock_Log[WeekIndex],9)=0,"",SUMIFS(T_SelfStock_Log[Self_Qty],T_SelfStock_Log[Part Name],$A26,T_SelfStock_Log[WeekIndex],9))</f>
        <v/>
      </c>
      <c r="K26" s="12">
        <f>IF(COUNTIFS(T_SelfStock_Log[Part Name],$A26,T_SelfStock_Log[WeekIndex],10)=0,"",SUMIFS(T_SelfStock_Log[Self_Qty],T_SelfStock_Log[Part Name],$A26,T_SelfStock_Log[WeekIndex],10))</f>
        <v/>
      </c>
      <c r="L26" s="12">
        <f>IF(COUNTIFS(T_SelfStock_Log[Part Name],$A26,T_SelfStock_Log[WeekIndex],11)=0,"",SUMIFS(T_SelfStock_Log[Self_Qty],T_SelfStock_Log[Part Name],$A26,T_SelfStock_Log[WeekIndex],11))</f>
        <v/>
      </c>
      <c r="M26" s="12">
        <f>IF(COUNTIFS(T_SelfStock_Log[Part Name],$A26,T_SelfStock_Log[WeekIndex],12)=0,"",SUMIFS(T_SelfStock_Log[Self_Qty],T_SelfStock_Log[Part Name],$A26,T_SelfStock_Log[WeekIndex],12))</f>
        <v/>
      </c>
      <c r="N26" s="12">
        <f>IF(COUNTIFS(T_SelfStock_Log[Part Name],$A26,T_SelfStock_Log[WeekIndex],13)=0,"",SUMIFS(T_SelfStock_Log[Self_Qty],T_SelfStock_Log[Part Name],$A26,T_SelfStock_Log[WeekIndex],13))</f>
        <v/>
      </c>
      <c r="O26" s="12">
        <f>IF(COUNTIFS(T_SelfStock_Log[Part Name],$A26,T_SelfStock_Log[WeekIndex],14)=0,"",SUMIFS(T_SelfStock_Log[Self_Qty],T_SelfStock_Log[Part Name],$A26,T_SelfStock_Log[WeekIndex],14))</f>
        <v/>
      </c>
      <c r="P26" s="12">
        <f>IF(COUNTIFS(T_SelfStock_Log[Part Name],$A26,T_SelfStock_Log[WeekIndex],15)=0,"",SUMIFS(T_SelfStock_Log[Self_Qty],T_SelfStock_Log[Part Name],$A26,T_SelfStock_Log[WeekIndex],15))</f>
        <v/>
      </c>
      <c r="Q26" s="12">
        <f>IF(COUNTIFS(T_SelfStock_Log[Part Name],$A26,T_SelfStock_Log[WeekIndex],16)=0,"",SUMIFS(T_SelfStock_Log[Self_Qty],T_SelfStock_Log[Part Name],$A26,T_SelfStock_Log[WeekIndex],16))</f>
        <v/>
      </c>
      <c r="R26" s="12">
        <f>IF(COUNTIFS(T_SelfStock_Log[Part Name],$A26,T_SelfStock_Log[WeekIndex],17)=0,"",SUMIFS(T_SelfStock_Log[Self_Qty],T_SelfStock_Log[Part Name],$A26,T_SelfStock_Log[WeekIndex],17))</f>
        <v/>
      </c>
      <c r="S26" s="12">
        <f>IF(COUNTIFS(T_SelfStock_Log[Part Name],$A26,T_SelfStock_Log[WeekIndex],18)=0,"",SUMIFS(T_SelfStock_Log[Self_Qty],T_SelfStock_Log[Part Name],$A26,T_SelfStock_Log[WeekIndex],18))</f>
        <v/>
      </c>
      <c r="T26" s="12">
        <f>IF(COUNTIFS(T_SelfStock_Log[Part Name],$A26,T_SelfStock_Log[WeekIndex],19)=0,"",SUMIFS(T_SelfStock_Log[Self_Qty],T_SelfStock_Log[Part Name],$A26,T_SelfStock_Log[WeekIndex],19))</f>
        <v/>
      </c>
      <c r="U26" s="12">
        <f>IF(COUNTIFS(T_SelfStock_Log[Part Name],$A26,T_SelfStock_Log[WeekIndex],20)=0,"",SUMIFS(T_SelfStock_Log[Self_Qty],T_SelfStock_Log[Part Name],$A26,T_SelfStock_Log[WeekIndex],20))</f>
        <v/>
      </c>
      <c r="V26" s="12">
        <f>IF(COUNTIFS(T_SelfStock_Log[Part Name],$A26,T_SelfStock_Log[WeekIndex],21)=0,"",SUMIFS(T_SelfStock_Log[Self_Qty],T_SelfStock_Log[Part Name],$A26,T_SelfStock_Log[WeekIndex],21))</f>
        <v/>
      </c>
      <c r="W26" s="12">
        <f>IF(COUNTIFS(T_SelfStock_Log[Part Name],$A26,T_SelfStock_Log[WeekIndex],22)=0,"",SUMIFS(T_SelfStock_Log[Self_Qty],T_SelfStock_Log[Part Name],$A26,T_SelfStock_Log[WeekIndex],22))</f>
        <v/>
      </c>
      <c r="X26" s="12">
        <f>IF(COUNTIFS(T_SelfStock_Log[Part Name],$A26,T_SelfStock_Log[WeekIndex],23)=0,"",SUMIFS(T_SelfStock_Log[Self_Qty],T_SelfStock_Log[Part Name],$A26,T_SelfStock_Log[WeekIndex],23))</f>
        <v/>
      </c>
      <c r="Y26" s="12">
        <f>IF(COUNTIFS(T_SelfStock_Log[Part Name],$A26,T_SelfStock_Log[WeekIndex],24)=0,"",SUMIFS(T_SelfStock_Log[Self_Qty],T_SelfStock_Log[Part Name],$A26,T_SelfStock_Log[WeekIndex],24))</f>
        <v/>
      </c>
      <c r="Z26" s="12">
        <f>IF(COUNTIFS(T_SelfStock_Log[Part Name],$A26,T_SelfStock_Log[WeekIndex],25)=0,"",SUMIFS(T_SelfStock_Log[Self_Qty],T_SelfStock_Log[Part Name],$A26,T_SelfStock_Log[WeekIndex],25))</f>
        <v/>
      </c>
      <c r="AA26" s="12">
        <f>IF(COUNTIFS(T_SelfStock_Log[Part Name],$A26,T_SelfStock_Log[WeekIndex],26)=0,"",SUMIFS(T_SelfStock_Log[Self_Qty],T_SelfStock_Log[Part Name],$A26,T_SelfStock_Log[WeekIndex],26))</f>
        <v/>
      </c>
      <c r="AB26" s="12">
        <f>IF(COUNTIFS(T_SelfStock_Log[Part Name],$A26,T_SelfStock_Log[WeekIndex],27)=0,"",SUMIFS(T_SelfStock_Log[Self_Qty],T_SelfStock_Log[Part Name],$A26,T_SelfStock_Log[WeekIndex],27))</f>
        <v/>
      </c>
      <c r="AC26" s="12">
        <f>IF(COUNTIFS(T_SelfStock_Log[Part Name],$A26,T_SelfStock_Log[WeekIndex],28)=0,"",SUMIFS(T_SelfStock_Log[Self_Qty],T_SelfStock_Log[Part Name],$A26,T_SelfStock_Log[WeekIndex],28))</f>
        <v/>
      </c>
      <c r="AD26" s="12">
        <f>IF(COUNTIFS(T_SelfStock_Log[Part Name],$A26,T_SelfStock_Log[WeekIndex],29)=0,"",SUMIFS(T_SelfStock_Log[Self_Qty],T_SelfStock_Log[Part Name],$A26,T_SelfStock_Log[WeekIndex],29))</f>
        <v/>
      </c>
      <c r="AE26" s="12">
        <f>IF(COUNTIFS(T_SelfStock_Log[Part Name],$A26,T_SelfStock_Log[WeekIndex],30)=0,"",SUMIFS(T_SelfStock_Log[Self_Qty],T_SelfStock_Log[Part Name],$A26,T_SelfStock_Log[WeekIndex],30))</f>
        <v/>
      </c>
      <c r="AF26" s="12">
        <f>IF(COUNTIFS(T_SelfStock_Log[Part Name],$A26,T_SelfStock_Log[WeekIndex],31)=0,"",SUMIFS(T_SelfStock_Log[Self_Qty],T_SelfStock_Log[Part Name],$A26,T_SelfStock_Log[WeekIndex],31))</f>
        <v/>
      </c>
      <c r="AG26" s="12">
        <f>IF(COUNTIFS(T_SelfStock_Log[Part Name],$A26,T_SelfStock_Log[WeekIndex],32)=0,"",SUMIFS(T_SelfStock_Log[Self_Qty],T_SelfStock_Log[Part Name],$A26,T_SelfStock_Log[WeekIndex],32))</f>
        <v/>
      </c>
      <c r="AH26" s="12">
        <f>IF(COUNTIFS(T_SelfStock_Log[Part Name],$A26,T_SelfStock_Log[WeekIndex],33)=0,"",SUMIFS(T_SelfStock_Log[Self_Qty],T_SelfStock_Log[Part Name],$A26,T_SelfStock_Log[WeekIndex],33))</f>
        <v/>
      </c>
      <c r="AI26" s="12">
        <f>IF(COUNTIFS(T_SelfStock_Log[Part Name],$A26,T_SelfStock_Log[WeekIndex],34)=0,"",SUMIFS(T_SelfStock_Log[Self_Qty],T_SelfStock_Log[Part Name],$A26,T_SelfStock_Log[WeekIndex],34))</f>
        <v/>
      </c>
      <c r="AJ26" s="12">
        <f>IF(COUNTIFS(T_SelfStock_Log[Part Name],$A26,T_SelfStock_Log[WeekIndex],35)=0,"",SUMIFS(T_SelfStock_Log[Self_Qty],T_SelfStock_Log[Part Name],$A26,T_SelfStock_Log[WeekIndex],35))</f>
        <v/>
      </c>
      <c r="AK26" s="12">
        <f>IF(COUNTIFS(T_SelfStock_Log[Part Name],$A26,T_SelfStock_Log[WeekIndex],36)=0,"",SUMIFS(T_SelfStock_Log[Self_Qty],T_SelfStock_Log[Part Name],$A26,T_SelfStock_Log[WeekIndex],36))</f>
        <v/>
      </c>
      <c r="AL26" s="12">
        <f>IF(COUNTIFS(T_SelfStock_Log[Part Name],$A26,T_SelfStock_Log[WeekIndex],37)=0,"",SUMIFS(T_SelfStock_Log[Self_Qty],T_SelfStock_Log[Part Name],$A26,T_SelfStock_Log[WeekIndex],37))</f>
        <v/>
      </c>
      <c r="AM26" s="12">
        <f>IF(COUNTIFS(T_SelfStock_Log[Part Name],$A26,T_SelfStock_Log[WeekIndex],38)=0,"",SUMIFS(T_SelfStock_Log[Self_Qty],T_SelfStock_Log[Part Name],$A26,T_SelfStock_Log[WeekIndex],38))</f>
        <v/>
      </c>
      <c r="AN26" s="12">
        <f>IF(COUNTIFS(T_SelfStock_Log[Part Name],$A26,T_SelfStock_Log[WeekIndex],39)=0,"",SUMIFS(T_SelfStock_Log[Self_Qty],T_SelfStock_Log[Part Name],$A26,T_SelfStock_Log[WeekIndex],39))</f>
        <v/>
      </c>
      <c r="AO26" s="12">
        <f>IF(COUNTIFS(T_SelfStock_Log[Part Name],$A26,T_SelfStock_Log[WeekIndex],40)=0,"",SUMIFS(T_SelfStock_Log[Self_Qty],T_SelfStock_Log[Part Name],$A26,T_SelfStock_Log[WeekIndex],40))</f>
        <v/>
      </c>
      <c r="AP26" s="12">
        <f>IF(COUNTIFS(T_SelfStock_Log[Part Name],$A26,T_SelfStock_Log[WeekIndex],41)=0,"",SUMIFS(T_SelfStock_Log[Self_Qty],T_SelfStock_Log[Part Name],$A26,T_SelfStock_Log[WeekIndex],41))</f>
        <v/>
      </c>
      <c r="AQ26" s="12">
        <f>IF(COUNTIFS(T_SelfStock_Log[Part Name],$A26,T_SelfStock_Log[WeekIndex],42)=0,"",SUMIFS(T_SelfStock_Log[Self_Qty],T_SelfStock_Log[Part Name],$A26,T_SelfStock_Log[WeekIndex],42))</f>
        <v/>
      </c>
      <c r="AR26" s="12">
        <f>IF(COUNTIFS(T_SelfStock_Log[Part Name],$A26,T_SelfStock_Log[WeekIndex],43)=0,"",SUMIFS(T_SelfStock_Log[Self_Qty],T_SelfStock_Log[Part Name],$A26,T_SelfStock_Log[WeekIndex],43))</f>
        <v/>
      </c>
      <c r="AS26" s="12">
        <f>IF(COUNTIFS(T_SelfStock_Log[Part Name],$A26,T_SelfStock_Log[WeekIndex],44)=0,"",SUMIFS(T_SelfStock_Log[Self_Qty],T_SelfStock_Log[Part Name],$A26,T_SelfStock_Log[WeekIndex],44))</f>
        <v/>
      </c>
      <c r="AT26" s="12">
        <f>IF(COUNTIFS(T_SelfStock_Log[Part Name],$A26,T_SelfStock_Log[WeekIndex],45)=0,"",SUMIFS(T_SelfStock_Log[Self_Qty],T_SelfStock_Log[Part Name],$A26,T_SelfStock_Log[WeekIndex],45))</f>
        <v/>
      </c>
      <c r="AU26" s="12">
        <f>IF(COUNTIFS(T_SelfStock_Log[Part Name],$A26,T_SelfStock_Log[WeekIndex],46)=0,"",SUMIFS(T_SelfStock_Log[Self_Qty],T_SelfStock_Log[Part Name],$A26,T_SelfStock_Log[WeekIndex],46))</f>
        <v/>
      </c>
      <c r="AV26" s="12">
        <f>IF(COUNTIFS(T_SelfStock_Log[Part Name],$A26,T_SelfStock_Log[WeekIndex],47)=0,"",SUMIFS(T_SelfStock_Log[Self_Qty],T_SelfStock_Log[Part Name],$A26,T_SelfStock_Log[WeekIndex],47))</f>
        <v/>
      </c>
      <c r="AW26" s="12">
        <f>IF(COUNTIFS(T_SelfStock_Log[Part Name],$A26,T_SelfStock_Log[WeekIndex],48)=0,"",SUMIFS(T_SelfStock_Log[Self_Qty],T_SelfStock_Log[Part Name],$A26,T_SelfStock_Log[WeekIndex],48))</f>
        <v/>
      </c>
      <c r="AX26" s="12">
        <f>IF(COUNTIFS(T_SelfStock_Log[Part Name],$A26,T_SelfStock_Log[WeekIndex],49)=0,"",SUMIFS(T_SelfStock_Log[Self_Qty],T_SelfStock_Log[Part Name],$A26,T_SelfStock_Log[WeekIndex],49))</f>
        <v/>
      </c>
      <c r="AY26" s="12">
        <f>IF(COUNTIFS(T_SelfStock_Log[Part Name],$A26,T_SelfStock_Log[WeekIndex],50)=0,"",SUMIFS(T_SelfStock_Log[Self_Qty],T_SelfStock_Log[Part Name],$A26,T_SelfStock_Log[WeekIndex],50))</f>
        <v/>
      </c>
      <c r="AZ26" s="12">
        <f>IF(COUNTIFS(T_SelfStock_Log[Part Name],$A26,T_SelfStock_Log[WeekIndex],51)=0,"",SUMIFS(T_SelfStock_Log[Self_Qty],T_SelfStock_Log[Part Name],$A26,T_SelfStock_Log[WeekIndex],51))</f>
        <v/>
      </c>
      <c r="BA26" s="12">
        <f>IF(COUNTIFS(T_SelfStock_Log[Part Name],$A26,T_SelfStock_Log[WeekIndex],52)=0,"",SUMIFS(T_SelfStock_Log[Self_Qty],T_SelfStock_Log[Part Name],$A26,T_SelfStock_Log[WeekIndex],52))</f>
        <v/>
      </c>
      <c r="BB26" s="12">
        <f>IF(COUNTIFS(T_SelfStock_Log[Part Name],$A26,T_SelfStock_Log[WeekIndex],53)=0,"",SUMIFS(T_SelfStock_Log[Self_Qty],T_SelfStock_Log[Part Name],$A26,T_SelfStock_Log[WeekIndex],53))</f>
        <v/>
      </c>
      <c r="BC26" s="12">
        <f>IF(COUNTIFS(T_SelfStock_Log[Part Name],$A26,T_SelfStock_Log[WeekIndex],54)=0,"",SUMIFS(T_SelfStock_Log[Self_Qty],T_SelfStock_Log[Part Name],$A26,T_SelfStock_Log[WeekIndex],54))</f>
        <v/>
      </c>
      <c r="BD26" s="12">
        <f>IF(COUNTIFS(T_SelfStock_Log[Part Name],$A26,T_SelfStock_Log[WeekIndex],55)=0,"",SUMIFS(T_SelfStock_Log[Self_Qty],T_SelfStock_Log[Part Name],$A26,T_SelfStock_Log[WeekIndex],55))</f>
        <v/>
      </c>
      <c r="BE26" s="12">
        <f>IF(COUNTIFS(T_SelfStock_Log[Part Name],$A26,T_SelfStock_Log[WeekIndex],56)=0,"",SUMIFS(T_SelfStock_Log[Self_Qty],T_SelfStock_Log[Part Name],$A26,T_SelfStock_Log[WeekIndex],56))</f>
        <v/>
      </c>
      <c r="BF26" s="12">
        <f>IF(COUNTIFS(T_SelfStock_Log[Part Name],$A26,T_SelfStock_Log[WeekIndex],57)=0,"",SUMIFS(T_SelfStock_Log[Self_Qty],T_SelfStock_Log[Part Name],$A26,T_SelfStock_Log[WeekIndex],57))</f>
        <v/>
      </c>
      <c r="BG26" s="12">
        <f>IF(COUNTIFS(T_SelfStock_Log[Part Name],$A26,T_SelfStock_Log[WeekIndex],58)=0,"",SUMIFS(T_SelfStock_Log[Self_Qty],T_SelfStock_Log[Part Name],$A26,T_SelfStock_Log[WeekIndex],58))</f>
        <v/>
      </c>
      <c r="BH26" s="12">
        <f>IF(COUNTIFS(T_SelfStock_Log[Part Name],$A26,T_SelfStock_Log[WeekIndex],59)=0,"",SUMIFS(T_SelfStock_Log[Self_Qty],T_SelfStock_Log[Part Name],$A26,T_SelfStock_Log[WeekIndex],59))</f>
        <v/>
      </c>
      <c r="BI26" s="12">
        <f>IF(COUNTIFS(T_SelfStock_Log[Part Name],$A26,T_SelfStock_Log[WeekIndex],60)=0,"",SUMIFS(T_SelfStock_Log[Self_Qty],T_SelfStock_Log[Part Name],$A26,T_SelfStock_Log[WeekIndex],60))</f>
        <v/>
      </c>
      <c r="BJ26" s="12">
        <f>IF(COUNTIFS(T_SelfStock_Log[Part Name],$A26,T_SelfStock_Log[WeekIndex],61)=0,"",SUMIFS(T_SelfStock_Log[Self_Qty],T_SelfStock_Log[Part Name],$A26,T_SelfStock_Log[WeekIndex],61))</f>
        <v/>
      </c>
      <c r="BK26" s="12">
        <f>IF(COUNTIFS(T_SelfStock_Log[Part Name],$A26,T_SelfStock_Log[WeekIndex],62)=0,"",SUMIFS(T_SelfStock_Log[Self_Qty],T_SelfStock_Log[Part Name],$A26,T_SelfStock_Log[WeekIndex],62))</f>
        <v/>
      </c>
      <c r="BL26" s="12">
        <f>IF(COUNTIFS(T_SelfStock_Log[Part Name],$A26,T_SelfStock_Log[WeekIndex],63)=0,"",SUMIFS(T_SelfStock_Log[Self_Qty],T_SelfStock_Log[Part Name],$A26,T_SelfStock_Log[WeekIndex],63))</f>
        <v/>
      </c>
      <c r="BM26" s="12">
        <f>IF(COUNTIFS(T_SelfStock_Log[Part Name],$A26,T_SelfStock_Log[WeekIndex],64)=0,"",SUMIFS(T_SelfStock_Log[Self_Qty],T_SelfStock_Log[Part Name],$A26,T_SelfStock_Log[WeekIndex],64))</f>
        <v/>
      </c>
      <c r="BN26" s="12">
        <f>IF(COUNTIFS(T_SelfStock_Log[Part Name],$A26,T_SelfStock_Log[WeekIndex],65)=0,"",SUMIFS(T_SelfStock_Log[Self_Qty],T_SelfStock_Log[Part Name],$A26,T_SelfStock_Log[WeekIndex],65))</f>
        <v/>
      </c>
      <c r="BO26" s="12">
        <f>IF(COUNTIFS(T_SelfStock_Log[Part Name],$A26,T_SelfStock_Log[WeekIndex],66)=0,"",SUMIFS(T_SelfStock_Log[Self_Qty],T_SelfStock_Log[Part Name],$A26,T_SelfStock_Log[WeekIndex],66))</f>
        <v/>
      </c>
      <c r="BP26" s="12">
        <f>IF(COUNTIFS(T_SelfStock_Log[Part Name],$A26,T_SelfStock_Log[WeekIndex],67)=0,"",SUMIFS(T_SelfStock_Log[Self_Qty],T_SelfStock_Log[Part Name],$A26,T_SelfStock_Log[WeekIndex],67))</f>
        <v/>
      </c>
      <c r="BQ26" s="12">
        <f>IF(COUNTIFS(T_SelfStock_Log[Part Name],$A26,T_SelfStock_Log[WeekIndex],68)=0,"",SUMIFS(T_SelfStock_Log[Self_Qty],T_SelfStock_Log[Part Name],$A26,T_SelfStock_Log[WeekIndex],68))</f>
        <v/>
      </c>
      <c r="BR26" s="12">
        <f>IF(COUNTIFS(T_SelfStock_Log[Part Name],$A26,T_SelfStock_Log[WeekIndex],69)=0,"",SUMIFS(T_SelfStock_Log[Self_Qty],T_SelfStock_Log[Part Name],$A26,T_SelfStock_Log[WeekIndex],69))</f>
        <v/>
      </c>
      <c r="BS26" s="12">
        <f>IF(COUNTIFS(T_SelfStock_Log[Part Name],$A26,T_SelfStock_Log[WeekIndex],70)=0,"",SUMIFS(T_SelfStock_Log[Self_Qty],T_SelfStock_Log[Part Name],$A26,T_SelfStock_Log[WeekIndex],70))</f>
        <v/>
      </c>
      <c r="BT26" s="12">
        <f>IF(COUNTIFS(T_SelfStock_Log[Part Name],$A26,T_SelfStock_Log[WeekIndex],71)=0,"",SUMIFS(T_SelfStock_Log[Self_Qty],T_SelfStock_Log[Part Name],$A26,T_SelfStock_Log[WeekIndex],71))</f>
        <v/>
      </c>
      <c r="BU26" s="12">
        <f>IF(COUNTIFS(T_SelfStock_Log[Part Name],$A26,T_SelfStock_Log[WeekIndex],72)=0,"",SUMIFS(T_SelfStock_Log[Self_Qty],T_SelfStock_Log[Part Name],$A26,T_SelfStock_Log[WeekIndex],72))</f>
        <v/>
      </c>
      <c r="BV26" s="12">
        <f>IF(COUNTIFS(T_SelfStock_Log[Part Name],$A26,T_SelfStock_Log[WeekIndex],73)=0,"",SUMIFS(T_SelfStock_Log[Self_Qty],T_SelfStock_Log[Part Name],$A26,T_SelfStock_Log[WeekIndex],73))</f>
        <v/>
      </c>
      <c r="BW26" s="12">
        <f>IF(COUNTIFS(T_SelfStock_Log[Part Name],$A26,T_SelfStock_Log[WeekIndex],74)=0,"",SUMIFS(T_SelfStock_Log[Self_Qty],T_SelfStock_Log[Part Name],$A26,T_SelfStock_Log[WeekIndex],74))</f>
        <v/>
      </c>
      <c r="BX26" s="12">
        <f>IF(COUNTIFS(T_SelfStock_Log[Part Name],$A26,T_SelfStock_Log[WeekIndex],75)=0,"",SUMIFS(T_SelfStock_Log[Self_Qty],T_SelfStock_Log[Part Name],$A26,T_SelfStock_Log[WeekIndex],75))</f>
        <v/>
      </c>
      <c r="BY26" s="12">
        <f>IF(COUNTIFS(T_SelfStock_Log[Part Name],$A26,T_SelfStock_Log[WeekIndex],76)=0,"",SUMIFS(T_SelfStock_Log[Self_Qty],T_SelfStock_Log[Part Name],$A26,T_SelfStock_Log[WeekIndex],76))</f>
        <v/>
      </c>
      <c r="BZ26" s="12">
        <f>IF(COUNTIFS(T_SelfStock_Log[Part Name],$A26,T_SelfStock_Log[WeekIndex],77)=0,"",SUMIFS(T_SelfStock_Log[Self_Qty],T_SelfStock_Log[Part Name],$A26,T_SelfStock_Log[WeekIndex],77))</f>
        <v/>
      </c>
      <c r="CA26" s="12">
        <f>IF(COUNTIFS(T_SelfStock_Log[Part Name],$A26,T_SelfStock_Log[WeekIndex],78)=0,"",SUMIFS(T_SelfStock_Log[Self_Qty],T_SelfStock_Log[Part Name],$A26,T_SelfStock_Log[WeekIndex],78))</f>
        <v/>
      </c>
      <c r="CB26" s="12">
        <f>IF(COUNTIFS(T_SelfStock_Log[Part Name],$A26,T_SelfStock_Log[WeekIndex],79)=0,"",SUMIFS(T_SelfStock_Log[Self_Qty],T_SelfStock_Log[Part Name],$A26,T_SelfStock_Log[WeekIndex],79))</f>
        <v/>
      </c>
      <c r="CC26" s="12">
        <f>IF(COUNTIFS(T_SelfStock_Log[Part Name],$A26,T_SelfStock_Log[WeekIndex],80)=0,"",SUMIFS(T_SelfStock_Log[Self_Qty],T_SelfStock_Log[Part Name],$A26,T_SelfStock_Log[WeekIndex],80))</f>
        <v/>
      </c>
      <c r="CD26" s="12">
        <f>IF(COUNTIFS(T_SelfStock_Log[Part Name],$A26,T_SelfStock_Log[WeekIndex],81)=0,"",SUMIFS(T_SelfStock_Log[Self_Qty],T_SelfStock_Log[Part Name],$A26,T_SelfStock_Log[WeekIndex],81))</f>
        <v/>
      </c>
      <c r="CE26" s="12">
        <f>IF(COUNTIFS(T_SelfStock_Log[Part Name],$A26,T_SelfStock_Log[WeekIndex],82)=0,"",SUMIFS(T_SelfStock_Log[Self_Qty],T_SelfStock_Log[Part Name],$A26,T_SelfStock_Log[WeekIndex],82))</f>
        <v/>
      </c>
      <c r="CF26" s="12">
        <f>IF(COUNTIFS(T_SelfStock_Log[Part Name],$A26,T_SelfStock_Log[WeekIndex],83)=0,"",SUMIFS(T_SelfStock_Log[Self_Qty],T_SelfStock_Log[Part Name],$A26,T_SelfStock_Log[WeekIndex],83))</f>
        <v/>
      </c>
      <c r="CG26" s="12">
        <f>IF(COUNTIFS(T_SelfStock_Log[Part Name],$A26,T_SelfStock_Log[WeekIndex],84)=0,"",SUMIFS(T_SelfStock_Log[Self_Qty],T_SelfStock_Log[Part Name],$A26,T_SelfStock_Log[WeekIndex],84))</f>
        <v/>
      </c>
      <c r="CH26" s="12">
        <f>IF(COUNTIFS(T_SelfStock_Log[Part Name],$A26,T_SelfStock_Log[WeekIndex],85)=0,"",SUMIFS(T_SelfStock_Log[Self_Qty],T_SelfStock_Log[Part Name],$A26,T_SelfStock_Log[WeekIndex],85))</f>
        <v/>
      </c>
      <c r="CI26" s="12">
        <f>IF(COUNTIFS(T_SelfStock_Log[Part Name],$A26,T_SelfStock_Log[WeekIndex],86)=0,"",SUMIFS(T_SelfStock_Log[Self_Qty],T_SelfStock_Log[Part Name],$A26,T_SelfStock_Log[WeekIndex],86))</f>
        <v/>
      </c>
      <c r="CJ26" s="12">
        <f>IF(COUNTIFS(T_SelfStock_Log[Part Name],$A26,T_SelfStock_Log[WeekIndex],87)=0,"",SUMIFS(T_SelfStock_Log[Self_Qty],T_SelfStock_Log[Part Name],$A26,T_SelfStock_Log[WeekIndex],87))</f>
        <v/>
      </c>
      <c r="CK26" s="12">
        <f>IF(COUNTIFS(T_SelfStock_Log[Part Name],$A26,T_SelfStock_Log[WeekIndex],88)=0,"",SUMIFS(T_SelfStock_Log[Self_Qty],T_SelfStock_Log[Part Name],$A26,T_SelfStock_Log[WeekIndex],88))</f>
        <v/>
      </c>
      <c r="CL26" s="12">
        <f>IF(COUNTIFS(T_SelfStock_Log[Part Name],$A26,T_SelfStock_Log[WeekIndex],89)=0,"",SUMIFS(T_SelfStock_Log[Self_Qty],T_SelfStock_Log[Part Name],$A26,T_SelfStock_Log[WeekIndex],89))</f>
        <v/>
      </c>
      <c r="CM26" s="12">
        <f>IF(COUNTIFS(T_SelfStock_Log[Part Name],$A26,T_SelfStock_Log[WeekIndex],90)=0,"",SUMIFS(T_SelfStock_Log[Self_Qty],T_SelfStock_Log[Part Name],$A26,T_SelfStock_Log[WeekIndex],90))</f>
        <v/>
      </c>
      <c r="CN26" s="12">
        <f>IF(COUNTIFS(T_SelfStock_Log[Part Name],$A26,T_SelfStock_Log[WeekIndex],91)=0,"",SUMIFS(T_SelfStock_Log[Self_Qty],T_SelfStock_Log[Part Name],$A26,T_SelfStock_Log[WeekIndex],91))</f>
        <v/>
      </c>
      <c r="CO26" s="12">
        <f>IF(COUNTIFS(T_SelfStock_Log[Part Name],$A26,T_SelfStock_Log[WeekIndex],92)=0,"",SUMIFS(T_SelfStock_Log[Self_Qty],T_SelfStock_Log[Part Name],$A26,T_SelfStock_Log[WeekIndex],92))</f>
        <v/>
      </c>
      <c r="CP26" s="12">
        <f>IF(COUNTIFS(T_SelfStock_Log[Part Name],$A26,T_SelfStock_Log[WeekIndex],93)=0,"",SUMIFS(T_SelfStock_Log[Self_Qty],T_SelfStock_Log[Part Name],$A26,T_SelfStock_Log[WeekIndex],93))</f>
        <v/>
      </c>
      <c r="CQ26" s="12">
        <f>IF(COUNTIFS(T_SelfStock_Log[Part Name],$A26,T_SelfStock_Log[WeekIndex],94)=0,"",SUMIFS(T_SelfStock_Log[Self_Qty],T_SelfStock_Log[Part Name],$A26,T_SelfStock_Log[WeekIndex],94))</f>
        <v/>
      </c>
      <c r="CR26" s="12">
        <f>IF(COUNTIFS(T_SelfStock_Log[Part Name],$A26,T_SelfStock_Log[WeekIndex],95)=0,"",SUMIFS(T_SelfStock_Log[Self_Qty],T_SelfStock_Log[Part Name],$A26,T_SelfStock_Log[WeekIndex],95))</f>
        <v/>
      </c>
      <c r="CS26" s="12">
        <f>IF(COUNTIFS(T_SelfStock_Log[Part Name],$A26,T_SelfStock_Log[WeekIndex],96)=0,"",SUMIFS(T_SelfStock_Log[Self_Qty],T_SelfStock_Log[Part Name],$A26,T_SelfStock_Log[WeekIndex],96))</f>
        <v/>
      </c>
      <c r="CT26" s="12">
        <f>IF(COUNTIFS(T_SelfStock_Log[Part Name],$A26,T_SelfStock_Log[WeekIndex],97)=0,"",SUMIFS(T_SelfStock_Log[Self_Qty],T_SelfStock_Log[Part Name],$A26,T_SelfStock_Log[WeekIndex],97))</f>
        <v/>
      </c>
      <c r="CU26" s="12">
        <f>IF(COUNTIFS(T_SelfStock_Log[Part Name],$A26,T_SelfStock_Log[WeekIndex],98)=0,"",SUMIFS(T_SelfStock_Log[Self_Qty],T_SelfStock_Log[Part Name],$A26,T_SelfStock_Log[WeekIndex],98))</f>
        <v/>
      </c>
      <c r="CV26" s="12">
        <f>IF(COUNTIFS(T_SelfStock_Log[Part Name],$A26,T_SelfStock_Log[WeekIndex],99)=0,"",SUMIFS(T_SelfStock_Log[Self_Qty],T_SelfStock_Log[Part Name],$A26,T_SelfStock_Log[WeekIndex],99))</f>
        <v/>
      </c>
      <c r="CW26" s="12">
        <f>IF(COUNTIFS(T_SelfStock_Log[Part Name],$A26,T_SelfStock_Log[WeekIndex],100)=0,"",SUMIFS(T_SelfStock_Log[Self_Qty],T_SelfStock_Log[Part Name],$A26,T_SelfStock_Log[WeekIndex],100))</f>
        <v/>
      </c>
      <c r="CX26" s="12">
        <f>IF(COUNTIFS(T_SelfStock_Log[Part Name],$A26,T_SelfStock_Log[WeekIndex],101)=0,"",SUMIFS(T_SelfStock_Log[Self_Qty],T_SelfStock_Log[Part Name],$A26,T_SelfStock_Log[WeekIndex],101))</f>
        <v/>
      </c>
      <c r="CY26" s="12">
        <f>IF(COUNTIFS(T_SelfStock_Log[Part Name],$A26,T_SelfStock_Log[WeekIndex],102)=0,"",SUMIFS(T_SelfStock_Log[Self_Qty],T_SelfStock_Log[Part Name],$A26,T_SelfStock_Log[WeekIndex],102))</f>
        <v/>
      </c>
      <c r="CZ26" s="12">
        <f>IF(COUNTIFS(T_SelfStock_Log[Part Name],$A26,T_SelfStock_Log[WeekIndex],103)=0,"",SUMIFS(T_SelfStock_Log[Self_Qty],T_SelfStock_Log[Part Name],$A26,T_SelfStock_Log[WeekIndex],103))</f>
        <v/>
      </c>
      <c r="DA26" s="12">
        <f>IF(COUNTIFS(T_SelfStock_Log[Part Name],$A26,T_SelfStock_Log[WeekIndex],104)=0,"",SUMIFS(T_SelfStock_Log[Self_Qty],T_SelfStock_Log[Part Name],$A26,T_SelfStock_Log[WeekIndex],104))</f>
        <v/>
      </c>
    </row>
    <row r="27">
      <c r="A27" s="13" t="inlineStr">
        <is>
          <t>CHEM-1760</t>
        </is>
      </c>
      <c r="B27" s="13">
        <f>IF(COUNTIFS(T_SelfStock_Log[Part Name],$A27,T_SelfStock_Log[WeekIndex],1)=0,"",SUMIFS(T_SelfStock_Log[Self_Qty],T_SelfStock_Log[Part Name],$A27,T_SelfStock_Log[WeekIndex],1))</f>
        <v/>
      </c>
      <c r="C27" s="13">
        <f>IF(COUNTIFS(T_SelfStock_Log[Part Name],$A27,T_SelfStock_Log[WeekIndex],2)=0,"",SUMIFS(T_SelfStock_Log[Self_Qty],T_SelfStock_Log[Part Name],$A27,T_SelfStock_Log[WeekIndex],2))</f>
        <v/>
      </c>
      <c r="D27" s="13">
        <f>IF(COUNTIFS(T_SelfStock_Log[Part Name],$A27,T_SelfStock_Log[WeekIndex],3)=0,"",SUMIFS(T_SelfStock_Log[Self_Qty],T_SelfStock_Log[Part Name],$A27,T_SelfStock_Log[WeekIndex],3))</f>
        <v/>
      </c>
      <c r="E27" s="13">
        <f>IF(COUNTIFS(T_SelfStock_Log[Part Name],$A27,T_SelfStock_Log[WeekIndex],4)=0,"",SUMIFS(T_SelfStock_Log[Self_Qty],T_SelfStock_Log[Part Name],$A27,T_SelfStock_Log[WeekIndex],4))</f>
        <v/>
      </c>
      <c r="F27" s="13">
        <f>IF(COUNTIFS(T_SelfStock_Log[Part Name],$A27,T_SelfStock_Log[WeekIndex],5)=0,"",SUMIFS(T_SelfStock_Log[Self_Qty],T_SelfStock_Log[Part Name],$A27,T_SelfStock_Log[WeekIndex],5))</f>
        <v/>
      </c>
      <c r="G27" s="13">
        <f>IF(COUNTIFS(T_SelfStock_Log[Part Name],$A27,T_SelfStock_Log[WeekIndex],6)=0,"",SUMIFS(T_SelfStock_Log[Self_Qty],T_SelfStock_Log[Part Name],$A27,T_SelfStock_Log[WeekIndex],6))</f>
        <v/>
      </c>
      <c r="H27" s="13">
        <f>IF(COUNTIFS(T_SelfStock_Log[Part Name],$A27,T_SelfStock_Log[WeekIndex],7)=0,"",SUMIFS(T_SelfStock_Log[Self_Qty],T_SelfStock_Log[Part Name],$A27,T_SelfStock_Log[WeekIndex],7))</f>
        <v/>
      </c>
      <c r="I27" s="13">
        <f>IF(COUNTIFS(T_SelfStock_Log[Part Name],$A27,T_SelfStock_Log[WeekIndex],8)=0,"",SUMIFS(T_SelfStock_Log[Self_Qty],T_SelfStock_Log[Part Name],$A27,T_SelfStock_Log[WeekIndex],8))</f>
        <v/>
      </c>
      <c r="J27" s="13">
        <f>IF(COUNTIFS(T_SelfStock_Log[Part Name],$A27,T_SelfStock_Log[WeekIndex],9)=0,"",SUMIFS(T_SelfStock_Log[Self_Qty],T_SelfStock_Log[Part Name],$A27,T_SelfStock_Log[WeekIndex],9))</f>
        <v/>
      </c>
      <c r="K27" s="13">
        <f>IF(COUNTIFS(T_SelfStock_Log[Part Name],$A27,T_SelfStock_Log[WeekIndex],10)=0,"",SUMIFS(T_SelfStock_Log[Self_Qty],T_SelfStock_Log[Part Name],$A27,T_SelfStock_Log[WeekIndex],10))</f>
        <v/>
      </c>
      <c r="L27" s="13">
        <f>IF(COUNTIFS(T_SelfStock_Log[Part Name],$A27,T_SelfStock_Log[WeekIndex],11)=0,"",SUMIFS(T_SelfStock_Log[Self_Qty],T_SelfStock_Log[Part Name],$A27,T_SelfStock_Log[WeekIndex],11))</f>
        <v/>
      </c>
      <c r="M27" s="13">
        <f>IF(COUNTIFS(T_SelfStock_Log[Part Name],$A27,T_SelfStock_Log[WeekIndex],12)=0,"",SUMIFS(T_SelfStock_Log[Self_Qty],T_SelfStock_Log[Part Name],$A27,T_SelfStock_Log[WeekIndex],12))</f>
        <v/>
      </c>
      <c r="N27" s="13">
        <f>IF(COUNTIFS(T_SelfStock_Log[Part Name],$A27,T_SelfStock_Log[WeekIndex],13)=0,"",SUMIFS(T_SelfStock_Log[Self_Qty],T_SelfStock_Log[Part Name],$A27,T_SelfStock_Log[WeekIndex],13))</f>
        <v/>
      </c>
      <c r="O27" s="13">
        <f>IF(COUNTIFS(T_SelfStock_Log[Part Name],$A27,T_SelfStock_Log[WeekIndex],14)=0,"",SUMIFS(T_SelfStock_Log[Self_Qty],T_SelfStock_Log[Part Name],$A27,T_SelfStock_Log[WeekIndex],14))</f>
        <v/>
      </c>
      <c r="P27" s="13">
        <f>IF(COUNTIFS(T_SelfStock_Log[Part Name],$A27,T_SelfStock_Log[WeekIndex],15)=0,"",SUMIFS(T_SelfStock_Log[Self_Qty],T_SelfStock_Log[Part Name],$A27,T_SelfStock_Log[WeekIndex],15))</f>
        <v/>
      </c>
      <c r="Q27" s="13">
        <f>IF(COUNTIFS(T_SelfStock_Log[Part Name],$A27,T_SelfStock_Log[WeekIndex],16)=0,"",SUMIFS(T_SelfStock_Log[Self_Qty],T_SelfStock_Log[Part Name],$A27,T_SelfStock_Log[WeekIndex],16))</f>
        <v/>
      </c>
      <c r="R27" s="13">
        <f>IF(COUNTIFS(T_SelfStock_Log[Part Name],$A27,T_SelfStock_Log[WeekIndex],17)=0,"",SUMIFS(T_SelfStock_Log[Self_Qty],T_SelfStock_Log[Part Name],$A27,T_SelfStock_Log[WeekIndex],17))</f>
        <v/>
      </c>
      <c r="S27" s="13">
        <f>IF(COUNTIFS(T_SelfStock_Log[Part Name],$A27,T_SelfStock_Log[WeekIndex],18)=0,"",SUMIFS(T_SelfStock_Log[Self_Qty],T_SelfStock_Log[Part Name],$A27,T_SelfStock_Log[WeekIndex],18))</f>
        <v/>
      </c>
      <c r="T27" s="13">
        <f>IF(COUNTIFS(T_SelfStock_Log[Part Name],$A27,T_SelfStock_Log[WeekIndex],19)=0,"",SUMIFS(T_SelfStock_Log[Self_Qty],T_SelfStock_Log[Part Name],$A27,T_SelfStock_Log[WeekIndex],19))</f>
        <v/>
      </c>
      <c r="U27" s="13">
        <f>IF(COUNTIFS(T_SelfStock_Log[Part Name],$A27,T_SelfStock_Log[WeekIndex],20)=0,"",SUMIFS(T_SelfStock_Log[Self_Qty],T_SelfStock_Log[Part Name],$A27,T_SelfStock_Log[WeekIndex],20))</f>
        <v/>
      </c>
      <c r="V27" s="13">
        <f>IF(COUNTIFS(T_SelfStock_Log[Part Name],$A27,T_SelfStock_Log[WeekIndex],21)=0,"",SUMIFS(T_SelfStock_Log[Self_Qty],T_SelfStock_Log[Part Name],$A27,T_SelfStock_Log[WeekIndex],21))</f>
        <v/>
      </c>
      <c r="W27" s="13">
        <f>IF(COUNTIFS(T_SelfStock_Log[Part Name],$A27,T_SelfStock_Log[WeekIndex],22)=0,"",SUMIFS(T_SelfStock_Log[Self_Qty],T_SelfStock_Log[Part Name],$A27,T_SelfStock_Log[WeekIndex],22))</f>
        <v/>
      </c>
      <c r="X27" s="13">
        <f>IF(COUNTIFS(T_SelfStock_Log[Part Name],$A27,T_SelfStock_Log[WeekIndex],23)=0,"",SUMIFS(T_SelfStock_Log[Self_Qty],T_SelfStock_Log[Part Name],$A27,T_SelfStock_Log[WeekIndex],23))</f>
        <v/>
      </c>
      <c r="Y27" s="13">
        <f>IF(COUNTIFS(T_SelfStock_Log[Part Name],$A27,T_SelfStock_Log[WeekIndex],24)=0,"",SUMIFS(T_SelfStock_Log[Self_Qty],T_SelfStock_Log[Part Name],$A27,T_SelfStock_Log[WeekIndex],24))</f>
        <v/>
      </c>
      <c r="Z27" s="13">
        <f>IF(COUNTIFS(T_SelfStock_Log[Part Name],$A27,T_SelfStock_Log[WeekIndex],25)=0,"",SUMIFS(T_SelfStock_Log[Self_Qty],T_SelfStock_Log[Part Name],$A27,T_SelfStock_Log[WeekIndex],25))</f>
        <v/>
      </c>
      <c r="AA27" s="13">
        <f>IF(COUNTIFS(T_SelfStock_Log[Part Name],$A27,T_SelfStock_Log[WeekIndex],26)=0,"",SUMIFS(T_SelfStock_Log[Self_Qty],T_SelfStock_Log[Part Name],$A27,T_SelfStock_Log[WeekIndex],26))</f>
        <v/>
      </c>
      <c r="AB27" s="13">
        <f>IF(COUNTIFS(T_SelfStock_Log[Part Name],$A27,T_SelfStock_Log[WeekIndex],27)=0,"",SUMIFS(T_SelfStock_Log[Self_Qty],T_SelfStock_Log[Part Name],$A27,T_SelfStock_Log[WeekIndex],27))</f>
        <v/>
      </c>
      <c r="AC27" s="13">
        <f>IF(COUNTIFS(T_SelfStock_Log[Part Name],$A27,T_SelfStock_Log[WeekIndex],28)=0,"",SUMIFS(T_SelfStock_Log[Self_Qty],T_SelfStock_Log[Part Name],$A27,T_SelfStock_Log[WeekIndex],28))</f>
        <v/>
      </c>
      <c r="AD27" s="13">
        <f>IF(COUNTIFS(T_SelfStock_Log[Part Name],$A27,T_SelfStock_Log[WeekIndex],29)=0,"",SUMIFS(T_SelfStock_Log[Self_Qty],T_SelfStock_Log[Part Name],$A27,T_SelfStock_Log[WeekIndex],29))</f>
        <v/>
      </c>
      <c r="AE27" s="13">
        <f>IF(COUNTIFS(T_SelfStock_Log[Part Name],$A27,T_SelfStock_Log[WeekIndex],30)=0,"",SUMIFS(T_SelfStock_Log[Self_Qty],T_SelfStock_Log[Part Name],$A27,T_SelfStock_Log[WeekIndex],30))</f>
        <v/>
      </c>
      <c r="AF27" s="13">
        <f>IF(COUNTIFS(T_SelfStock_Log[Part Name],$A27,T_SelfStock_Log[WeekIndex],31)=0,"",SUMIFS(T_SelfStock_Log[Self_Qty],T_SelfStock_Log[Part Name],$A27,T_SelfStock_Log[WeekIndex],31))</f>
        <v/>
      </c>
      <c r="AG27" s="13">
        <f>IF(COUNTIFS(T_SelfStock_Log[Part Name],$A27,T_SelfStock_Log[WeekIndex],32)=0,"",SUMIFS(T_SelfStock_Log[Self_Qty],T_SelfStock_Log[Part Name],$A27,T_SelfStock_Log[WeekIndex],32))</f>
        <v/>
      </c>
      <c r="AH27" s="13">
        <f>IF(COUNTIFS(T_SelfStock_Log[Part Name],$A27,T_SelfStock_Log[WeekIndex],33)=0,"",SUMIFS(T_SelfStock_Log[Self_Qty],T_SelfStock_Log[Part Name],$A27,T_SelfStock_Log[WeekIndex],33))</f>
        <v/>
      </c>
      <c r="AI27" s="13">
        <f>IF(COUNTIFS(T_SelfStock_Log[Part Name],$A27,T_SelfStock_Log[WeekIndex],34)=0,"",SUMIFS(T_SelfStock_Log[Self_Qty],T_SelfStock_Log[Part Name],$A27,T_SelfStock_Log[WeekIndex],34))</f>
        <v/>
      </c>
      <c r="AJ27" s="13">
        <f>IF(COUNTIFS(T_SelfStock_Log[Part Name],$A27,T_SelfStock_Log[WeekIndex],35)=0,"",SUMIFS(T_SelfStock_Log[Self_Qty],T_SelfStock_Log[Part Name],$A27,T_SelfStock_Log[WeekIndex],35))</f>
        <v/>
      </c>
      <c r="AK27" s="13">
        <f>IF(COUNTIFS(T_SelfStock_Log[Part Name],$A27,T_SelfStock_Log[WeekIndex],36)=0,"",SUMIFS(T_SelfStock_Log[Self_Qty],T_SelfStock_Log[Part Name],$A27,T_SelfStock_Log[WeekIndex],36))</f>
        <v/>
      </c>
      <c r="AL27" s="13">
        <f>IF(COUNTIFS(T_SelfStock_Log[Part Name],$A27,T_SelfStock_Log[WeekIndex],37)=0,"",SUMIFS(T_SelfStock_Log[Self_Qty],T_SelfStock_Log[Part Name],$A27,T_SelfStock_Log[WeekIndex],37))</f>
        <v/>
      </c>
      <c r="AM27" s="13">
        <f>IF(COUNTIFS(T_SelfStock_Log[Part Name],$A27,T_SelfStock_Log[WeekIndex],38)=0,"",SUMIFS(T_SelfStock_Log[Self_Qty],T_SelfStock_Log[Part Name],$A27,T_SelfStock_Log[WeekIndex],38))</f>
        <v/>
      </c>
      <c r="AN27" s="13">
        <f>IF(COUNTIFS(T_SelfStock_Log[Part Name],$A27,T_SelfStock_Log[WeekIndex],39)=0,"",SUMIFS(T_SelfStock_Log[Self_Qty],T_SelfStock_Log[Part Name],$A27,T_SelfStock_Log[WeekIndex],39))</f>
        <v/>
      </c>
      <c r="AO27" s="13">
        <f>IF(COUNTIFS(T_SelfStock_Log[Part Name],$A27,T_SelfStock_Log[WeekIndex],40)=0,"",SUMIFS(T_SelfStock_Log[Self_Qty],T_SelfStock_Log[Part Name],$A27,T_SelfStock_Log[WeekIndex],40))</f>
        <v/>
      </c>
      <c r="AP27" s="13">
        <f>IF(COUNTIFS(T_SelfStock_Log[Part Name],$A27,T_SelfStock_Log[WeekIndex],41)=0,"",SUMIFS(T_SelfStock_Log[Self_Qty],T_SelfStock_Log[Part Name],$A27,T_SelfStock_Log[WeekIndex],41))</f>
        <v/>
      </c>
      <c r="AQ27" s="13">
        <f>IF(COUNTIFS(T_SelfStock_Log[Part Name],$A27,T_SelfStock_Log[WeekIndex],42)=0,"",SUMIFS(T_SelfStock_Log[Self_Qty],T_SelfStock_Log[Part Name],$A27,T_SelfStock_Log[WeekIndex],42))</f>
        <v/>
      </c>
      <c r="AR27" s="13">
        <f>IF(COUNTIFS(T_SelfStock_Log[Part Name],$A27,T_SelfStock_Log[WeekIndex],43)=0,"",SUMIFS(T_SelfStock_Log[Self_Qty],T_SelfStock_Log[Part Name],$A27,T_SelfStock_Log[WeekIndex],43))</f>
        <v/>
      </c>
      <c r="AS27" s="13">
        <f>IF(COUNTIFS(T_SelfStock_Log[Part Name],$A27,T_SelfStock_Log[WeekIndex],44)=0,"",SUMIFS(T_SelfStock_Log[Self_Qty],T_SelfStock_Log[Part Name],$A27,T_SelfStock_Log[WeekIndex],44))</f>
        <v/>
      </c>
      <c r="AT27" s="13">
        <f>IF(COUNTIFS(T_SelfStock_Log[Part Name],$A27,T_SelfStock_Log[WeekIndex],45)=0,"",SUMIFS(T_SelfStock_Log[Self_Qty],T_SelfStock_Log[Part Name],$A27,T_SelfStock_Log[WeekIndex],45))</f>
        <v/>
      </c>
      <c r="AU27" s="13">
        <f>IF(COUNTIFS(T_SelfStock_Log[Part Name],$A27,T_SelfStock_Log[WeekIndex],46)=0,"",SUMIFS(T_SelfStock_Log[Self_Qty],T_SelfStock_Log[Part Name],$A27,T_SelfStock_Log[WeekIndex],46))</f>
        <v/>
      </c>
      <c r="AV27" s="13">
        <f>IF(COUNTIFS(T_SelfStock_Log[Part Name],$A27,T_SelfStock_Log[WeekIndex],47)=0,"",SUMIFS(T_SelfStock_Log[Self_Qty],T_SelfStock_Log[Part Name],$A27,T_SelfStock_Log[WeekIndex],47))</f>
        <v/>
      </c>
      <c r="AW27" s="13">
        <f>IF(COUNTIFS(T_SelfStock_Log[Part Name],$A27,T_SelfStock_Log[WeekIndex],48)=0,"",SUMIFS(T_SelfStock_Log[Self_Qty],T_SelfStock_Log[Part Name],$A27,T_SelfStock_Log[WeekIndex],48))</f>
        <v/>
      </c>
      <c r="AX27" s="13">
        <f>IF(COUNTIFS(T_SelfStock_Log[Part Name],$A27,T_SelfStock_Log[WeekIndex],49)=0,"",SUMIFS(T_SelfStock_Log[Self_Qty],T_SelfStock_Log[Part Name],$A27,T_SelfStock_Log[WeekIndex],49))</f>
        <v/>
      </c>
      <c r="AY27" s="13">
        <f>IF(COUNTIFS(T_SelfStock_Log[Part Name],$A27,T_SelfStock_Log[WeekIndex],50)=0,"",SUMIFS(T_SelfStock_Log[Self_Qty],T_SelfStock_Log[Part Name],$A27,T_SelfStock_Log[WeekIndex],50))</f>
        <v/>
      </c>
      <c r="AZ27" s="13">
        <f>IF(COUNTIFS(T_SelfStock_Log[Part Name],$A27,T_SelfStock_Log[WeekIndex],51)=0,"",SUMIFS(T_SelfStock_Log[Self_Qty],T_SelfStock_Log[Part Name],$A27,T_SelfStock_Log[WeekIndex],51))</f>
        <v/>
      </c>
      <c r="BA27" s="13">
        <f>IF(COUNTIFS(T_SelfStock_Log[Part Name],$A27,T_SelfStock_Log[WeekIndex],52)=0,"",SUMIFS(T_SelfStock_Log[Self_Qty],T_SelfStock_Log[Part Name],$A27,T_SelfStock_Log[WeekIndex],52))</f>
        <v/>
      </c>
      <c r="BB27" s="13">
        <f>IF(COUNTIFS(T_SelfStock_Log[Part Name],$A27,T_SelfStock_Log[WeekIndex],53)=0,"",SUMIFS(T_SelfStock_Log[Self_Qty],T_SelfStock_Log[Part Name],$A27,T_SelfStock_Log[WeekIndex],53))</f>
        <v/>
      </c>
      <c r="BC27" s="13">
        <f>IF(COUNTIFS(T_SelfStock_Log[Part Name],$A27,T_SelfStock_Log[WeekIndex],54)=0,"",SUMIFS(T_SelfStock_Log[Self_Qty],T_SelfStock_Log[Part Name],$A27,T_SelfStock_Log[WeekIndex],54))</f>
        <v/>
      </c>
      <c r="BD27" s="13">
        <f>IF(COUNTIFS(T_SelfStock_Log[Part Name],$A27,T_SelfStock_Log[WeekIndex],55)=0,"",SUMIFS(T_SelfStock_Log[Self_Qty],T_SelfStock_Log[Part Name],$A27,T_SelfStock_Log[WeekIndex],55))</f>
        <v/>
      </c>
      <c r="BE27" s="13">
        <f>IF(COUNTIFS(T_SelfStock_Log[Part Name],$A27,T_SelfStock_Log[WeekIndex],56)=0,"",SUMIFS(T_SelfStock_Log[Self_Qty],T_SelfStock_Log[Part Name],$A27,T_SelfStock_Log[WeekIndex],56))</f>
        <v/>
      </c>
      <c r="BF27" s="13">
        <f>IF(COUNTIFS(T_SelfStock_Log[Part Name],$A27,T_SelfStock_Log[WeekIndex],57)=0,"",SUMIFS(T_SelfStock_Log[Self_Qty],T_SelfStock_Log[Part Name],$A27,T_SelfStock_Log[WeekIndex],57))</f>
        <v/>
      </c>
      <c r="BG27" s="13">
        <f>IF(COUNTIFS(T_SelfStock_Log[Part Name],$A27,T_SelfStock_Log[WeekIndex],58)=0,"",SUMIFS(T_SelfStock_Log[Self_Qty],T_SelfStock_Log[Part Name],$A27,T_SelfStock_Log[WeekIndex],58))</f>
        <v/>
      </c>
      <c r="BH27" s="13">
        <f>IF(COUNTIFS(T_SelfStock_Log[Part Name],$A27,T_SelfStock_Log[WeekIndex],59)=0,"",SUMIFS(T_SelfStock_Log[Self_Qty],T_SelfStock_Log[Part Name],$A27,T_SelfStock_Log[WeekIndex],59))</f>
        <v/>
      </c>
      <c r="BI27" s="13">
        <f>IF(COUNTIFS(T_SelfStock_Log[Part Name],$A27,T_SelfStock_Log[WeekIndex],60)=0,"",SUMIFS(T_SelfStock_Log[Self_Qty],T_SelfStock_Log[Part Name],$A27,T_SelfStock_Log[WeekIndex],60))</f>
        <v/>
      </c>
      <c r="BJ27" s="13">
        <f>IF(COUNTIFS(T_SelfStock_Log[Part Name],$A27,T_SelfStock_Log[WeekIndex],61)=0,"",SUMIFS(T_SelfStock_Log[Self_Qty],T_SelfStock_Log[Part Name],$A27,T_SelfStock_Log[WeekIndex],61))</f>
        <v/>
      </c>
      <c r="BK27" s="13">
        <f>IF(COUNTIFS(T_SelfStock_Log[Part Name],$A27,T_SelfStock_Log[WeekIndex],62)=0,"",SUMIFS(T_SelfStock_Log[Self_Qty],T_SelfStock_Log[Part Name],$A27,T_SelfStock_Log[WeekIndex],62))</f>
        <v/>
      </c>
      <c r="BL27" s="13">
        <f>IF(COUNTIFS(T_SelfStock_Log[Part Name],$A27,T_SelfStock_Log[WeekIndex],63)=0,"",SUMIFS(T_SelfStock_Log[Self_Qty],T_SelfStock_Log[Part Name],$A27,T_SelfStock_Log[WeekIndex],63))</f>
        <v/>
      </c>
      <c r="BM27" s="13">
        <f>IF(COUNTIFS(T_SelfStock_Log[Part Name],$A27,T_SelfStock_Log[WeekIndex],64)=0,"",SUMIFS(T_SelfStock_Log[Self_Qty],T_SelfStock_Log[Part Name],$A27,T_SelfStock_Log[WeekIndex],64))</f>
        <v/>
      </c>
      <c r="BN27" s="13">
        <f>IF(COUNTIFS(T_SelfStock_Log[Part Name],$A27,T_SelfStock_Log[WeekIndex],65)=0,"",SUMIFS(T_SelfStock_Log[Self_Qty],T_SelfStock_Log[Part Name],$A27,T_SelfStock_Log[WeekIndex],65))</f>
        <v/>
      </c>
      <c r="BO27" s="13">
        <f>IF(COUNTIFS(T_SelfStock_Log[Part Name],$A27,T_SelfStock_Log[WeekIndex],66)=0,"",SUMIFS(T_SelfStock_Log[Self_Qty],T_SelfStock_Log[Part Name],$A27,T_SelfStock_Log[WeekIndex],66))</f>
        <v/>
      </c>
      <c r="BP27" s="13">
        <f>IF(COUNTIFS(T_SelfStock_Log[Part Name],$A27,T_SelfStock_Log[WeekIndex],67)=0,"",SUMIFS(T_SelfStock_Log[Self_Qty],T_SelfStock_Log[Part Name],$A27,T_SelfStock_Log[WeekIndex],67))</f>
        <v/>
      </c>
      <c r="BQ27" s="13">
        <f>IF(COUNTIFS(T_SelfStock_Log[Part Name],$A27,T_SelfStock_Log[WeekIndex],68)=0,"",SUMIFS(T_SelfStock_Log[Self_Qty],T_SelfStock_Log[Part Name],$A27,T_SelfStock_Log[WeekIndex],68))</f>
        <v/>
      </c>
      <c r="BR27" s="13">
        <f>IF(COUNTIFS(T_SelfStock_Log[Part Name],$A27,T_SelfStock_Log[WeekIndex],69)=0,"",SUMIFS(T_SelfStock_Log[Self_Qty],T_SelfStock_Log[Part Name],$A27,T_SelfStock_Log[WeekIndex],69))</f>
        <v/>
      </c>
      <c r="BS27" s="13">
        <f>IF(COUNTIFS(T_SelfStock_Log[Part Name],$A27,T_SelfStock_Log[WeekIndex],70)=0,"",SUMIFS(T_SelfStock_Log[Self_Qty],T_SelfStock_Log[Part Name],$A27,T_SelfStock_Log[WeekIndex],70))</f>
        <v/>
      </c>
      <c r="BT27" s="13">
        <f>IF(COUNTIFS(T_SelfStock_Log[Part Name],$A27,T_SelfStock_Log[WeekIndex],71)=0,"",SUMIFS(T_SelfStock_Log[Self_Qty],T_SelfStock_Log[Part Name],$A27,T_SelfStock_Log[WeekIndex],71))</f>
        <v/>
      </c>
      <c r="BU27" s="13">
        <f>IF(COUNTIFS(T_SelfStock_Log[Part Name],$A27,T_SelfStock_Log[WeekIndex],72)=0,"",SUMIFS(T_SelfStock_Log[Self_Qty],T_SelfStock_Log[Part Name],$A27,T_SelfStock_Log[WeekIndex],72))</f>
        <v/>
      </c>
      <c r="BV27" s="13">
        <f>IF(COUNTIFS(T_SelfStock_Log[Part Name],$A27,T_SelfStock_Log[WeekIndex],73)=0,"",SUMIFS(T_SelfStock_Log[Self_Qty],T_SelfStock_Log[Part Name],$A27,T_SelfStock_Log[WeekIndex],73))</f>
        <v/>
      </c>
      <c r="BW27" s="13">
        <f>IF(COUNTIFS(T_SelfStock_Log[Part Name],$A27,T_SelfStock_Log[WeekIndex],74)=0,"",SUMIFS(T_SelfStock_Log[Self_Qty],T_SelfStock_Log[Part Name],$A27,T_SelfStock_Log[WeekIndex],74))</f>
        <v/>
      </c>
      <c r="BX27" s="13">
        <f>IF(COUNTIFS(T_SelfStock_Log[Part Name],$A27,T_SelfStock_Log[WeekIndex],75)=0,"",SUMIFS(T_SelfStock_Log[Self_Qty],T_SelfStock_Log[Part Name],$A27,T_SelfStock_Log[WeekIndex],75))</f>
        <v/>
      </c>
      <c r="BY27" s="13">
        <f>IF(COUNTIFS(T_SelfStock_Log[Part Name],$A27,T_SelfStock_Log[WeekIndex],76)=0,"",SUMIFS(T_SelfStock_Log[Self_Qty],T_SelfStock_Log[Part Name],$A27,T_SelfStock_Log[WeekIndex],76))</f>
        <v/>
      </c>
      <c r="BZ27" s="13">
        <f>IF(COUNTIFS(T_SelfStock_Log[Part Name],$A27,T_SelfStock_Log[WeekIndex],77)=0,"",SUMIFS(T_SelfStock_Log[Self_Qty],T_SelfStock_Log[Part Name],$A27,T_SelfStock_Log[WeekIndex],77))</f>
        <v/>
      </c>
      <c r="CA27" s="13">
        <f>IF(COUNTIFS(T_SelfStock_Log[Part Name],$A27,T_SelfStock_Log[WeekIndex],78)=0,"",SUMIFS(T_SelfStock_Log[Self_Qty],T_SelfStock_Log[Part Name],$A27,T_SelfStock_Log[WeekIndex],78))</f>
        <v/>
      </c>
      <c r="CB27" s="13">
        <f>IF(COUNTIFS(T_SelfStock_Log[Part Name],$A27,T_SelfStock_Log[WeekIndex],79)=0,"",SUMIFS(T_SelfStock_Log[Self_Qty],T_SelfStock_Log[Part Name],$A27,T_SelfStock_Log[WeekIndex],79))</f>
        <v/>
      </c>
      <c r="CC27" s="13">
        <f>IF(COUNTIFS(T_SelfStock_Log[Part Name],$A27,T_SelfStock_Log[WeekIndex],80)=0,"",SUMIFS(T_SelfStock_Log[Self_Qty],T_SelfStock_Log[Part Name],$A27,T_SelfStock_Log[WeekIndex],80))</f>
        <v/>
      </c>
      <c r="CD27" s="13">
        <f>IF(COUNTIFS(T_SelfStock_Log[Part Name],$A27,T_SelfStock_Log[WeekIndex],81)=0,"",SUMIFS(T_SelfStock_Log[Self_Qty],T_SelfStock_Log[Part Name],$A27,T_SelfStock_Log[WeekIndex],81))</f>
        <v/>
      </c>
      <c r="CE27" s="13">
        <f>IF(COUNTIFS(T_SelfStock_Log[Part Name],$A27,T_SelfStock_Log[WeekIndex],82)=0,"",SUMIFS(T_SelfStock_Log[Self_Qty],T_SelfStock_Log[Part Name],$A27,T_SelfStock_Log[WeekIndex],82))</f>
        <v/>
      </c>
      <c r="CF27" s="13">
        <f>IF(COUNTIFS(T_SelfStock_Log[Part Name],$A27,T_SelfStock_Log[WeekIndex],83)=0,"",SUMIFS(T_SelfStock_Log[Self_Qty],T_SelfStock_Log[Part Name],$A27,T_SelfStock_Log[WeekIndex],83))</f>
        <v/>
      </c>
      <c r="CG27" s="13">
        <f>IF(COUNTIFS(T_SelfStock_Log[Part Name],$A27,T_SelfStock_Log[WeekIndex],84)=0,"",SUMIFS(T_SelfStock_Log[Self_Qty],T_SelfStock_Log[Part Name],$A27,T_SelfStock_Log[WeekIndex],84))</f>
        <v/>
      </c>
      <c r="CH27" s="13">
        <f>IF(COUNTIFS(T_SelfStock_Log[Part Name],$A27,T_SelfStock_Log[WeekIndex],85)=0,"",SUMIFS(T_SelfStock_Log[Self_Qty],T_SelfStock_Log[Part Name],$A27,T_SelfStock_Log[WeekIndex],85))</f>
        <v/>
      </c>
      <c r="CI27" s="13">
        <f>IF(COUNTIFS(T_SelfStock_Log[Part Name],$A27,T_SelfStock_Log[WeekIndex],86)=0,"",SUMIFS(T_SelfStock_Log[Self_Qty],T_SelfStock_Log[Part Name],$A27,T_SelfStock_Log[WeekIndex],86))</f>
        <v/>
      </c>
      <c r="CJ27" s="13">
        <f>IF(COUNTIFS(T_SelfStock_Log[Part Name],$A27,T_SelfStock_Log[WeekIndex],87)=0,"",SUMIFS(T_SelfStock_Log[Self_Qty],T_SelfStock_Log[Part Name],$A27,T_SelfStock_Log[WeekIndex],87))</f>
        <v/>
      </c>
      <c r="CK27" s="13">
        <f>IF(COUNTIFS(T_SelfStock_Log[Part Name],$A27,T_SelfStock_Log[WeekIndex],88)=0,"",SUMIFS(T_SelfStock_Log[Self_Qty],T_SelfStock_Log[Part Name],$A27,T_SelfStock_Log[WeekIndex],88))</f>
        <v/>
      </c>
      <c r="CL27" s="13">
        <f>IF(COUNTIFS(T_SelfStock_Log[Part Name],$A27,T_SelfStock_Log[WeekIndex],89)=0,"",SUMIFS(T_SelfStock_Log[Self_Qty],T_SelfStock_Log[Part Name],$A27,T_SelfStock_Log[WeekIndex],89))</f>
        <v/>
      </c>
      <c r="CM27" s="13">
        <f>IF(COUNTIFS(T_SelfStock_Log[Part Name],$A27,T_SelfStock_Log[WeekIndex],90)=0,"",SUMIFS(T_SelfStock_Log[Self_Qty],T_SelfStock_Log[Part Name],$A27,T_SelfStock_Log[WeekIndex],90))</f>
        <v/>
      </c>
      <c r="CN27" s="13">
        <f>IF(COUNTIFS(T_SelfStock_Log[Part Name],$A27,T_SelfStock_Log[WeekIndex],91)=0,"",SUMIFS(T_SelfStock_Log[Self_Qty],T_SelfStock_Log[Part Name],$A27,T_SelfStock_Log[WeekIndex],91))</f>
        <v/>
      </c>
      <c r="CO27" s="13">
        <f>IF(COUNTIFS(T_SelfStock_Log[Part Name],$A27,T_SelfStock_Log[WeekIndex],92)=0,"",SUMIFS(T_SelfStock_Log[Self_Qty],T_SelfStock_Log[Part Name],$A27,T_SelfStock_Log[WeekIndex],92))</f>
        <v/>
      </c>
      <c r="CP27" s="13">
        <f>IF(COUNTIFS(T_SelfStock_Log[Part Name],$A27,T_SelfStock_Log[WeekIndex],93)=0,"",SUMIFS(T_SelfStock_Log[Self_Qty],T_SelfStock_Log[Part Name],$A27,T_SelfStock_Log[WeekIndex],93))</f>
        <v/>
      </c>
      <c r="CQ27" s="13">
        <f>IF(COUNTIFS(T_SelfStock_Log[Part Name],$A27,T_SelfStock_Log[WeekIndex],94)=0,"",SUMIFS(T_SelfStock_Log[Self_Qty],T_SelfStock_Log[Part Name],$A27,T_SelfStock_Log[WeekIndex],94))</f>
        <v/>
      </c>
      <c r="CR27" s="13">
        <f>IF(COUNTIFS(T_SelfStock_Log[Part Name],$A27,T_SelfStock_Log[WeekIndex],95)=0,"",SUMIFS(T_SelfStock_Log[Self_Qty],T_SelfStock_Log[Part Name],$A27,T_SelfStock_Log[WeekIndex],95))</f>
        <v/>
      </c>
      <c r="CS27" s="13">
        <f>IF(COUNTIFS(T_SelfStock_Log[Part Name],$A27,T_SelfStock_Log[WeekIndex],96)=0,"",SUMIFS(T_SelfStock_Log[Self_Qty],T_SelfStock_Log[Part Name],$A27,T_SelfStock_Log[WeekIndex],96))</f>
        <v/>
      </c>
      <c r="CT27" s="13">
        <f>IF(COUNTIFS(T_SelfStock_Log[Part Name],$A27,T_SelfStock_Log[WeekIndex],97)=0,"",SUMIFS(T_SelfStock_Log[Self_Qty],T_SelfStock_Log[Part Name],$A27,T_SelfStock_Log[WeekIndex],97))</f>
        <v/>
      </c>
      <c r="CU27" s="13">
        <f>IF(COUNTIFS(T_SelfStock_Log[Part Name],$A27,T_SelfStock_Log[WeekIndex],98)=0,"",SUMIFS(T_SelfStock_Log[Self_Qty],T_SelfStock_Log[Part Name],$A27,T_SelfStock_Log[WeekIndex],98))</f>
        <v/>
      </c>
      <c r="CV27" s="13">
        <f>IF(COUNTIFS(T_SelfStock_Log[Part Name],$A27,T_SelfStock_Log[WeekIndex],99)=0,"",SUMIFS(T_SelfStock_Log[Self_Qty],T_SelfStock_Log[Part Name],$A27,T_SelfStock_Log[WeekIndex],99))</f>
        <v/>
      </c>
      <c r="CW27" s="13">
        <f>IF(COUNTIFS(T_SelfStock_Log[Part Name],$A27,T_SelfStock_Log[WeekIndex],100)=0,"",SUMIFS(T_SelfStock_Log[Self_Qty],T_SelfStock_Log[Part Name],$A27,T_SelfStock_Log[WeekIndex],100))</f>
        <v/>
      </c>
      <c r="CX27" s="13">
        <f>IF(COUNTIFS(T_SelfStock_Log[Part Name],$A27,T_SelfStock_Log[WeekIndex],101)=0,"",SUMIFS(T_SelfStock_Log[Self_Qty],T_SelfStock_Log[Part Name],$A27,T_SelfStock_Log[WeekIndex],101))</f>
        <v/>
      </c>
      <c r="CY27" s="13">
        <f>IF(COUNTIFS(T_SelfStock_Log[Part Name],$A27,T_SelfStock_Log[WeekIndex],102)=0,"",SUMIFS(T_SelfStock_Log[Self_Qty],T_SelfStock_Log[Part Name],$A27,T_SelfStock_Log[WeekIndex],102))</f>
        <v/>
      </c>
      <c r="CZ27" s="13">
        <f>IF(COUNTIFS(T_SelfStock_Log[Part Name],$A27,T_SelfStock_Log[WeekIndex],103)=0,"",SUMIFS(T_SelfStock_Log[Self_Qty],T_SelfStock_Log[Part Name],$A27,T_SelfStock_Log[WeekIndex],103))</f>
        <v/>
      </c>
      <c r="DA27" s="13">
        <f>IF(COUNTIFS(T_SelfStock_Log[Part Name],$A27,T_SelfStock_Log[WeekIndex],104)=0,"",SUMIFS(T_SelfStock_Log[Self_Qty],T_SelfStock_Log[Part Name],$A27,T_SelfStock_Log[WeekIndex],104))</f>
        <v/>
      </c>
    </row>
    <row r="28">
      <c r="A28" s="12" t="inlineStr">
        <is>
          <t>Original Towel</t>
        </is>
      </c>
      <c r="B28" s="12">
        <f>IF(COUNTIFS(T_SelfStock_Log[Part Name],$A28,T_SelfStock_Log[WeekIndex],1)=0,"",SUMIFS(T_SelfStock_Log[Self_Qty],T_SelfStock_Log[Part Name],$A28,T_SelfStock_Log[WeekIndex],1))</f>
        <v/>
      </c>
      <c r="C28" s="12">
        <f>IF(COUNTIFS(T_SelfStock_Log[Part Name],$A28,T_SelfStock_Log[WeekIndex],2)=0,"",SUMIFS(T_SelfStock_Log[Self_Qty],T_SelfStock_Log[Part Name],$A28,T_SelfStock_Log[WeekIndex],2))</f>
        <v/>
      </c>
      <c r="D28" s="12">
        <f>IF(COUNTIFS(T_SelfStock_Log[Part Name],$A28,T_SelfStock_Log[WeekIndex],3)=0,"",SUMIFS(T_SelfStock_Log[Self_Qty],T_SelfStock_Log[Part Name],$A28,T_SelfStock_Log[WeekIndex],3))</f>
        <v/>
      </c>
      <c r="E28" s="12">
        <f>IF(COUNTIFS(T_SelfStock_Log[Part Name],$A28,T_SelfStock_Log[WeekIndex],4)=0,"",SUMIFS(T_SelfStock_Log[Self_Qty],T_SelfStock_Log[Part Name],$A28,T_SelfStock_Log[WeekIndex],4))</f>
        <v/>
      </c>
      <c r="F28" s="12">
        <f>IF(COUNTIFS(T_SelfStock_Log[Part Name],$A28,T_SelfStock_Log[WeekIndex],5)=0,"",SUMIFS(T_SelfStock_Log[Self_Qty],T_SelfStock_Log[Part Name],$A28,T_SelfStock_Log[WeekIndex],5))</f>
        <v/>
      </c>
      <c r="G28" s="12">
        <f>IF(COUNTIFS(T_SelfStock_Log[Part Name],$A28,T_SelfStock_Log[WeekIndex],6)=0,"",SUMIFS(T_SelfStock_Log[Self_Qty],T_SelfStock_Log[Part Name],$A28,T_SelfStock_Log[WeekIndex],6))</f>
        <v/>
      </c>
      <c r="H28" s="12">
        <f>IF(COUNTIFS(T_SelfStock_Log[Part Name],$A28,T_SelfStock_Log[WeekIndex],7)=0,"",SUMIFS(T_SelfStock_Log[Self_Qty],T_SelfStock_Log[Part Name],$A28,T_SelfStock_Log[WeekIndex],7))</f>
        <v/>
      </c>
      <c r="I28" s="12">
        <f>IF(COUNTIFS(T_SelfStock_Log[Part Name],$A28,T_SelfStock_Log[WeekIndex],8)=0,"",SUMIFS(T_SelfStock_Log[Self_Qty],T_SelfStock_Log[Part Name],$A28,T_SelfStock_Log[WeekIndex],8))</f>
        <v/>
      </c>
      <c r="J28" s="12">
        <f>IF(COUNTIFS(T_SelfStock_Log[Part Name],$A28,T_SelfStock_Log[WeekIndex],9)=0,"",SUMIFS(T_SelfStock_Log[Self_Qty],T_SelfStock_Log[Part Name],$A28,T_SelfStock_Log[WeekIndex],9))</f>
        <v/>
      </c>
      <c r="K28" s="12">
        <f>IF(COUNTIFS(T_SelfStock_Log[Part Name],$A28,T_SelfStock_Log[WeekIndex],10)=0,"",SUMIFS(T_SelfStock_Log[Self_Qty],T_SelfStock_Log[Part Name],$A28,T_SelfStock_Log[WeekIndex],10))</f>
        <v/>
      </c>
      <c r="L28" s="12">
        <f>IF(COUNTIFS(T_SelfStock_Log[Part Name],$A28,T_SelfStock_Log[WeekIndex],11)=0,"",SUMIFS(T_SelfStock_Log[Self_Qty],T_SelfStock_Log[Part Name],$A28,T_SelfStock_Log[WeekIndex],11))</f>
        <v/>
      </c>
      <c r="M28" s="12">
        <f>IF(COUNTIFS(T_SelfStock_Log[Part Name],$A28,T_SelfStock_Log[WeekIndex],12)=0,"",SUMIFS(T_SelfStock_Log[Self_Qty],T_SelfStock_Log[Part Name],$A28,T_SelfStock_Log[WeekIndex],12))</f>
        <v/>
      </c>
      <c r="N28" s="12">
        <f>IF(COUNTIFS(T_SelfStock_Log[Part Name],$A28,T_SelfStock_Log[WeekIndex],13)=0,"",SUMIFS(T_SelfStock_Log[Self_Qty],T_SelfStock_Log[Part Name],$A28,T_SelfStock_Log[WeekIndex],13))</f>
        <v/>
      </c>
      <c r="O28" s="12">
        <f>IF(COUNTIFS(T_SelfStock_Log[Part Name],$A28,T_SelfStock_Log[WeekIndex],14)=0,"",SUMIFS(T_SelfStock_Log[Self_Qty],T_SelfStock_Log[Part Name],$A28,T_SelfStock_Log[WeekIndex],14))</f>
        <v/>
      </c>
      <c r="P28" s="12">
        <f>IF(COUNTIFS(T_SelfStock_Log[Part Name],$A28,T_SelfStock_Log[WeekIndex],15)=0,"",SUMIFS(T_SelfStock_Log[Self_Qty],T_SelfStock_Log[Part Name],$A28,T_SelfStock_Log[WeekIndex],15))</f>
        <v/>
      </c>
      <c r="Q28" s="12">
        <f>IF(COUNTIFS(T_SelfStock_Log[Part Name],$A28,T_SelfStock_Log[WeekIndex],16)=0,"",SUMIFS(T_SelfStock_Log[Self_Qty],T_SelfStock_Log[Part Name],$A28,T_SelfStock_Log[WeekIndex],16))</f>
        <v/>
      </c>
      <c r="R28" s="12">
        <f>IF(COUNTIFS(T_SelfStock_Log[Part Name],$A28,T_SelfStock_Log[WeekIndex],17)=0,"",SUMIFS(T_SelfStock_Log[Self_Qty],T_SelfStock_Log[Part Name],$A28,T_SelfStock_Log[WeekIndex],17))</f>
        <v/>
      </c>
      <c r="S28" s="12">
        <f>IF(COUNTIFS(T_SelfStock_Log[Part Name],$A28,T_SelfStock_Log[WeekIndex],18)=0,"",SUMIFS(T_SelfStock_Log[Self_Qty],T_SelfStock_Log[Part Name],$A28,T_SelfStock_Log[WeekIndex],18))</f>
        <v/>
      </c>
      <c r="T28" s="12">
        <f>IF(COUNTIFS(T_SelfStock_Log[Part Name],$A28,T_SelfStock_Log[WeekIndex],19)=0,"",SUMIFS(T_SelfStock_Log[Self_Qty],T_SelfStock_Log[Part Name],$A28,T_SelfStock_Log[WeekIndex],19))</f>
        <v/>
      </c>
      <c r="U28" s="12">
        <f>IF(COUNTIFS(T_SelfStock_Log[Part Name],$A28,T_SelfStock_Log[WeekIndex],20)=0,"",SUMIFS(T_SelfStock_Log[Self_Qty],T_SelfStock_Log[Part Name],$A28,T_SelfStock_Log[WeekIndex],20))</f>
        <v/>
      </c>
      <c r="V28" s="12">
        <f>IF(COUNTIFS(T_SelfStock_Log[Part Name],$A28,T_SelfStock_Log[WeekIndex],21)=0,"",SUMIFS(T_SelfStock_Log[Self_Qty],T_SelfStock_Log[Part Name],$A28,T_SelfStock_Log[WeekIndex],21))</f>
        <v/>
      </c>
      <c r="W28" s="12">
        <f>IF(COUNTIFS(T_SelfStock_Log[Part Name],$A28,T_SelfStock_Log[WeekIndex],22)=0,"",SUMIFS(T_SelfStock_Log[Self_Qty],T_SelfStock_Log[Part Name],$A28,T_SelfStock_Log[WeekIndex],22))</f>
        <v/>
      </c>
      <c r="X28" s="12">
        <f>IF(COUNTIFS(T_SelfStock_Log[Part Name],$A28,T_SelfStock_Log[WeekIndex],23)=0,"",SUMIFS(T_SelfStock_Log[Self_Qty],T_SelfStock_Log[Part Name],$A28,T_SelfStock_Log[WeekIndex],23))</f>
        <v/>
      </c>
      <c r="Y28" s="12">
        <f>IF(COUNTIFS(T_SelfStock_Log[Part Name],$A28,T_SelfStock_Log[WeekIndex],24)=0,"",SUMIFS(T_SelfStock_Log[Self_Qty],T_SelfStock_Log[Part Name],$A28,T_SelfStock_Log[WeekIndex],24))</f>
        <v/>
      </c>
      <c r="Z28" s="12">
        <f>IF(COUNTIFS(T_SelfStock_Log[Part Name],$A28,T_SelfStock_Log[WeekIndex],25)=0,"",SUMIFS(T_SelfStock_Log[Self_Qty],T_SelfStock_Log[Part Name],$A28,T_SelfStock_Log[WeekIndex],25))</f>
        <v/>
      </c>
      <c r="AA28" s="12">
        <f>IF(COUNTIFS(T_SelfStock_Log[Part Name],$A28,T_SelfStock_Log[WeekIndex],26)=0,"",SUMIFS(T_SelfStock_Log[Self_Qty],T_SelfStock_Log[Part Name],$A28,T_SelfStock_Log[WeekIndex],26))</f>
        <v/>
      </c>
      <c r="AB28" s="12">
        <f>IF(COUNTIFS(T_SelfStock_Log[Part Name],$A28,T_SelfStock_Log[WeekIndex],27)=0,"",SUMIFS(T_SelfStock_Log[Self_Qty],T_SelfStock_Log[Part Name],$A28,T_SelfStock_Log[WeekIndex],27))</f>
        <v/>
      </c>
      <c r="AC28" s="12">
        <f>IF(COUNTIFS(T_SelfStock_Log[Part Name],$A28,T_SelfStock_Log[WeekIndex],28)=0,"",SUMIFS(T_SelfStock_Log[Self_Qty],T_SelfStock_Log[Part Name],$A28,T_SelfStock_Log[WeekIndex],28))</f>
        <v/>
      </c>
      <c r="AD28" s="12">
        <f>IF(COUNTIFS(T_SelfStock_Log[Part Name],$A28,T_SelfStock_Log[WeekIndex],29)=0,"",SUMIFS(T_SelfStock_Log[Self_Qty],T_SelfStock_Log[Part Name],$A28,T_SelfStock_Log[WeekIndex],29))</f>
        <v/>
      </c>
      <c r="AE28" s="12">
        <f>IF(COUNTIFS(T_SelfStock_Log[Part Name],$A28,T_SelfStock_Log[WeekIndex],30)=0,"",SUMIFS(T_SelfStock_Log[Self_Qty],T_SelfStock_Log[Part Name],$A28,T_SelfStock_Log[WeekIndex],30))</f>
        <v/>
      </c>
      <c r="AF28" s="12">
        <f>IF(COUNTIFS(T_SelfStock_Log[Part Name],$A28,T_SelfStock_Log[WeekIndex],31)=0,"",SUMIFS(T_SelfStock_Log[Self_Qty],T_SelfStock_Log[Part Name],$A28,T_SelfStock_Log[WeekIndex],31))</f>
        <v/>
      </c>
      <c r="AG28" s="12">
        <f>IF(COUNTIFS(T_SelfStock_Log[Part Name],$A28,T_SelfStock_Log[WeekIndex],32)=0,"",SUMIFS(T_SelfStock_Log[Self_Qty],T_SelfStock_Log[Part Name],$A28,T_SelfStock_Log[WeekIndex],32))</f>
        <v/>
      </c>
      <c r="AH28" s="12">
        <f>IF(COUNTIFS(T_SelfStock_Log[Part Name],$A28,T_SelfStock_Log[WeekIndex],33)=0,"",SUMIFS(T_SelfStock_Log[Self_Qty],T_SelfStock_Log[Part Name],$A28,T_SelfStock_Log[WeekIndex],33))</f>
        <v/>
      </c>
      <c r="AI28" s="12">
        <f>IF(COUNTIFS(T_SelfStock_Log[Part Name],$A28,T_SelfStock_Log[WeekIndex],34)=0,"",SUMIFS(T_SelfStock_Log[Self_Qty],T_SelfStock_Log[Part Name],$A28,T_SelfStock_Log[WeekIndex],34))</f>
        <v/>
      </c>
      <c r="AJ28" s="12">
        <f>IF(COUNTIFS(T_SelfStock_Log[Part Name],$A28,T_SelfStock_Log[WeekIndex],35)=0,"",SUMIFS(T_SelfStock_Log[Self_Qty],T_SelfStock_Log[Part Name],$A28,T_SelfStock_Log[WeekIndex],35))</f>
        <v/>
      </c>
      <c r="AK28" s="12">
        <f>IF(COUNTIFS(T_SelfStock_Log[Part Name],$A28,T_SelfStock_Log[WeekIndex],36)=0,"",SUMIFS(T_SelfStock_Log[Self_Qty],T_SelfStock_Log[Part Name],$A28,T_SelfStock_Log[WeekIndex],36))</f>
        <v/>
      </c>
      <c r="AL28" s="12">
        <f>IF(COUNTIFS(T_SelfStock_Log[Part Name],$A28,T_SelfStock_Log[WeekIndex],37)=0,"",SUMIFS(T_SelfStock_Log[Self_Qty],T_SelfStock_Log[Part Name],$A28,T_SelfStock_Log[WeekIndex],37))</f>
        <v/>
      </c>
      <c r="AM28" s="12">
        <f>IF(COUNTIFS(T_SelfStock_Log[Part Name],$A28,T_SelfStock_Log[WeekIndex],38)=0,"",SUMIFS(T_SelfStock_Log[Self_Qty],T_SelfStock_Log[Part Name],$A28,T_SelfStock_Log[WeekIndex],38))</f>
        <v/>
      </c>
      <c r="AN28" s="12">
        <f>IF(COUNTIFS(T_SelfStock_Log[Part Name],$A28,T_SelfStock_Log[WeekIndex],39)=0,"",SUMIFS(T_SelfStock_Log[Self_Qty],T_SelfStock_Log[Part Name],$A28,T_SelfStock_Log[WeekIndex],39))</f>
        <v/>
      </c>
      <c r="AO28" s="12">
        <f>IF(COUNTIFS(T_SelfStock_Log[Part Name],$A28,T_SelfStock_Log[WeekIndex],40)=0,"",SUMIFS(T_SelfStock_Log[Self_Qty],T_SelfStock_Log[Part Name],$A28,T_SelfStock_Log[WeekIndex],40))</f>
        <v/>
      </c>
      <c r="AP28" s="12">
        <f>IF(COUNTIFS(T_SelfStock_Log[Part Name],$A28,T_SelfStock_Log[WeekIndex],41)=0,"",SUMIFS(T_SelfStock_Log[Self_Qty],T_SelfStock_Log[Part Name],$A28,T_SelfStock_Log[WeekIndex],41))</f>
        <v/>
      </c>
      <c r="AQ28" s="12">
        <f>IF(COUNTIFS(T_SelfStock_Log[Part Name],$A28,T_SelfStock_Log[WeekIndex],42)=0,"",SUMIFS(T_SelfStock_Log[Self_Qty],T_SelfStock_Log[Part Name],$A28,T_SelfStock_Log[WeekIndex],42))</f>
        <v/>
      </c>
      <c r="AR28" s="12">
        <f>IF(COUNTIFS(T_SelfStock_Log[Part Name],$A28,T_SelfStock_Log[WeekIndex],43)=0,"",SUMIFS(T_SelfStock_Log[Self_Qty],T_SelfStock_Log[Part Name],$A28,T_SelfStock_Log[WeekIndex],43))</f>
        <v/>
      </c>
      <c r="AS28" s="12">
        <f>IF(COUNTIFS(T_SelfStock_Log[Part Name],$A28,T_SelfStock_Log[WeekIndex],44)=0,"",SUMIFS(T_SelfStock_Log[Self_Qty],T_SelfStock_Log[Part Name],$A28,T_SelfStock_Log[WeekIndex],44))</f>
        <v/>
      </c>
      <c r="AT28" s="12">
        <f>IF(COUNTIFS(T_SelfStock_Log[Part Name],$A28,T_SelfStock_Log[WeekIndex],45)=0,"",SUMIFS(T_SelfStock_Log[Self_Qty],T_SelfStock_Log[Part Name],$A28,T_SelfStock_Log[WeekIndex],45))</f>
        <v/>
      </c>
      <c r="AU28" s="12">
        <f>IF(COUNTIFS(T_SelfStock_Log[Part Name],$A28,T_SelfStock_Log[WeekIndex],46)=0,"",SUMIFS(T_SelfStock_Log[Self_Qty],T_SelfStock_Log[Part Name],$A28,T_SelfStock_Log[WeekIndex],46))</f>
        <v/>
      </c>
      <c r="AV28" s="12">
        <f>IF(COUNTIFS(T_SelfStock_Log[Part Name],$A28,T_SelfStock_Log[WeekIndex],47)=0,"",SUMIFS(T_SelfStock_Log[Self_Qty],T_SelfStock_Log[Part Name],$A28,T_SelfStock_Log[WeekIndex],47))</f>
        <v/>
      </c>
      <c r="AW28" s="12">
        <f>IF(COUNTIFS(T_SelfStock_Log[Part Name],$A28,T_SelfStock_Log[WeekIndex],48)=0,"",SUMIFS(T_SelfStock_Log[Self_Qty],T_SelfStock_Log[Part Name],$A28,T_SelfStock_Log[WeekIndex],48))</f>
        <v/>
      </c>
      <c r="AX28" s="12">
        <f>IF(COUNTIFS(T_SelfStock_Log[Part Name],$A28,T_SelfStock_Log[WeekIndex],49)=0,"",SUMIFS(T_SelfStock_Log[Self_Qty],T_SelfStock_Log[Part Name],$A28,T_SelfStock_Log[WeekIndex],49))</f>
        <v/>
      </c>
      <c r="AY28" s="12">
        <f>IF(COUNTIFS(T_SelfStock_Log[Part Name],$A28,T_SelfStock_Log[WeekIndex],50)=0,"",SUMIFS(T_SelfStock_Log[Self_Qty],T_SelfStock_Log[Part Name],$A28,T_SelfStock_Log[WeekIndex],50))</f>
        <v/>
      </c>
      <c r="AZ28" s="12">
        <f>IF(COUNTIFS(T_SelfStock_Log[Part Name],$A28,T_SelfStock_Log[WeekIndex],51)=0,"",SUMIFS(T_SelfStock_Log[Self_Qty],T_SelfStock_Log[Part Name],$A28,T_SelfStock_Log[WeekIndex],51))</f>
        <v/>
      </c>
      <c r="BA28" s="12">
        <f>IF(COUNTIFS(T_SelfStock_Log[Part Name],$A28,T_SelfStock_Log[WeekIndex],52)=0,"",SUMIFS(T_SelfStock_Log[Self_Qty],T_SelfStock_Log[Part Name],$A28,T_SelfStock_Log[WeekIndex],52))</f>
        <v/>
      </c>
      <c r="BB28" s="12">
        <f>IF(COUNTIFS(T_SelfStock_Log[Part Name],$A28,T_SelfStock_Log[WeekIndex],53)=0,"",SUMIFS(T_SelfStock_Log[Self_Qty],T_SelfStock_Log[Part Name],$A28,T_SelfStock_Log[WeekIndex],53))</f>
        <v/>
      </c>
      <c r="BC28" s="12">
        <f>IF(COUNTIFS(T_SelfStock_Log[Part Name],$A28,T_SelfStock_Log[WeekIndex],54)=0,"",SUMIFS(T_SelfStock_Log[Self_Qty],T_SelfStock_Log[Part Name],$A28,T_SelfStock_Log[WeekIndex],54))</f>
        <v/>
      </c>
      <c r="BD28" s="12">
        <f>IF(COUNTIFS(T_SelfStock_Log[Part Name],$A28,T_SelfStock_Log[WeekIndex],55)=0,"",SUMIFS(T_SelfStock_Log[Self_Qty],T_SelfStock_Log[Part Name],$A28,T_SelfStock_Log[WeekIndex],55))</f>
        <v/>
      </c>
      <c r="BE28" s="12">
        <f>IF(COUNTIFS(T_SelfStock_Log[Part Name],$A28,T_SelfStock_Log[WeekIndex],56)=0,"",SUMIFS(T_SelfStock_Log[Self_Qty],T_SelfStock_Log[Part Name],$A28,T_SelfStock_Log[WeekIndex],56))</f>
        <v/>
      </c>
      <c r="BF28" s="12">
        <f>IF(COUNTIFS(T_SelfStock_Log[Part Name],$A28,T_SelfStock_Log[WeekIndex],57)=0,"",SUMIFS(T_SelfStock_Log[Self_Qty],T_SelfStock_Log[Part Name],$A28,T_SelfStock_Log[WeekIndex],57))</f>
        <v/>
      </c>
      <c r="BG28" s="12">
        <f>IF(COUNTIFS(T_SelfStock_Log[Part Name],$A28,T_SelfStock_Log[WeekIndex],58)=0,"",SUMIFS(T_SelfStock_Log[Self_Qty],T_SelfStock_Log[Part Name],$A28,T_SelfStock_Log[WeekIndex],58))</f>
        <v/>
      </c>
      <c r="BH28" s="12">
        <f>IF(COUNTIFS(T_SelfStock_Log[Part Name],$A28,T_SelfStock_Log[WeekIndex],59)=0,"",SUMIFS(T_SelfStock_Log[Self_Qty],T_SelfStock_Log[Part Name],$A28,T_SelfStock_Log[WeekIndex],59))</f>
        <v/>
      </c>
      <c r="BI28" s="12">
        <f>IF(COUNTIFS(T_SelfStock_Log[Part Name],$A28,T_SelfStock_Log[WeekIndex],60)=0,"",SUMIFS(T_SelfStock_Log[Self_Qty],T_SelfStock_Log[Part Name],$A28,T_SelfStock_Log[WeekIndex],60))</f>
        <v/>
      </c>
      <c r="BJ28" s="12">
        <f>IF(COUNTIFS(T_SelfStock_Log[Part Name],$A28,T_SelfStock_Log[WeekIndex],61)=0,"",SUMIFS(T_SelfStock_Log[Self_Qty],T_SelfStock_Log[Part Name],$A28,T_SelfStock_Log[WeekIndex],61))</f>
        <v/>
      </c>
      <c r="BK28" s="12">
        <f>IF(COUNTIFS(T_SelfStock_Log[Part Name],$A28,T_SelfStock_Log[WeekIndex],62)=0,"",SUMIFS(T_SelfStock_Log[Self_Qty],T_SelfStock_Log[Part Name],$A28,T_SelfStock_Log[WeekIndex],62))</f>
        <v/>
      </c>
      <c r="BL28" s="12">
        <f>IF(COUNTIFS(T_SelfStock_Log[Part Name],$A28,T_SelfStock_Log[WeekIndex],63)=0,"",SUMIFS(T_SelfStock_Log[Self_Qty],T_SelfStock_Log[Part Name],$A28,T_SelfStock_Log[WeekIndex],63))</f>
        <v/>
      </c>
      <c r="BM28" s="12">
        <f>IF(COUNTIFS(T_SelfStock_Log[Part Name],$A28,T_SelfStock_Log[WeekIndex],64)=0,"",SUMIFS(T_SelfStock_Log[Self_Qty],T_SelfStock_Log[Part Name],$A28,T_SelfStock_Log[WeekIndex],64))</f>
        <v/>
      </c>
      <c r="BN28" s="12">
        <f>IF(COUNTIFS(T_SelfStock_Log[Part Name],$A28,T_SelfStock_Log[WeekIndex],65)=0,"",SUMIFS(T_SelfStock_Log[Self_Qty],T_SelfStock_Log[Part Name],$A28,T_SelfStock_Log[WeekIndex],65))</f>
        <v/>
      </c>
      <c r="BO28" s="12">
        <f>IF(COUNTIFS(T_SelfStock_Log[Part Name],$A28,T_SelfStock_Log[WeekIndex],66)=0,"",SUMIFS(T_SelfStock_Log[Self_Qty],T_SelfStock_Log[Part Name],$A28,T_SelfStock_Log[WeekIndex],66))</f>
        <v/>
      </c>
      <c r="BP28" s="12">
        <f>IF(COUNTIFS(T_SelfStock_Log[Part Name],$A28,T_SelfStock_Log[WeekIndex],67)=0,"",SUMIFS(T_SelfStock_Log[Self_Qty],T_SelfStock_Log[Part Name],$A28,T_SelfStock_Log[WeekIndex],67))</f>
        <v/>
      </c>
      <c r="BQ28" s="12">
        <f>IF(COUNTIFS(T_SelfStock_Log[Part Name],$A28,T_SelfStock_Log[WeekIndex],68)=0,"",SUMIFS(T_SelfStock_Log[Self_Qty],T_SelfStock_Log[Part Name],$A28,T_SelfStock_Log[WeekIndex],68))</f>
        <v/>
      </c>
      <c r="BR28" s="12">
        <f>IF(COUNTIFS(T_SelfStock_Log[Part Name],$A28,T_SelfStock_Log[WeekIndex],69)=0,"",SUMIFS(T_SelfStock_Log[Self_Qty],T_SelfStock_Log[Part Name],$A28,T_SelfStock_Log[WeekIndex],69))</f>
        <v/>
      </c>
      <c r="BS28" s="12">
        <f>IF(COUNTIFS(T_SelfStock_Log[Part Name],$A28,T_SelfStock_Log[WeekIndex],70)=0,"",SUMIFS(T_SelfStock_Log[Self_Qty],T_SelfStock_Log[Part Name],$A28,T_SelfStock_Log[WeekIndex],70))</f>
        <v/>
      </c>
      <c r="BT28" s="12">
        <f>IF(COUNTIFS(T_SelfStock_Log[Part Name],$A28,T_SelfStock_Log[WeekIndex],71)=0,"",SUMIFS(T_SelfStock_Log[Self_Qty],T_SelfStock_Log[Part Name],$A28,T_SelfStock_Log[WeekIndex],71))</f>
        <v/>
      </c>
      <c r="BU28" s="12">
        <f>IF(COUNTIFS(T_SelfStock_Log[Part Name],$A28,T_SelfStock_Log[WeekIndex],72)=0,"",SUMIFS(T_SelfStock_Log[Self_Qty],T_SelfStock_Log[Part Name],$A28,T_SelfStock_Log[WeekIndex],72))</f>
        <v/>
      </c>
      <c r="BV28" s="12">
        <f>IF(COUNTIFS(T_SelfStock_Log[Part Name],$A28,T_SelfStock_Log[WeekIndex],73)=0,"",SUMIFS(T_SelfStock_Log[Self_Qty],T_SelfStock_Log[Part Name],$A28,T_SelfStock_Log[WeekIndex],73))</f>
        <v/>
      </c>
      <c r="BW28" s="12">
        <f>IF(COUNTIFS(T_SelfStock_Log[Part Name],$A28,T_SelfStock_Log[WeekIndex],74)=0,"",SUMIFS(T_SelfStock_Log[Self_Qty],T_SelfStock_Log[Part Name],$A28,T_SelfStock_Log[WeekIndex],74))</f>
        <v/>
      </c>
      <c r="BX28" s="12">
        <f>IF(COUNTIFS(T_SelfStock_Log[Part Name],$A28,T_SelfStock_Log[WeekIndex],75)=0,"",SUMIFS(T_SelfStock_Log[Self_Qty],T_SelfStock_Log[Part Name],$A28,T_SelfStock_Log[WeekIndex],75))</f>
        <v/>
      </c>
      <c r="BY28" s="12">
        <f>IF(COUNTIFS(T_SelfStock_Log[Part Name],$A28,T_SelfStock_Log[WeekIndex],76)=0,"",SUMIFS(T_SelfStock_Log[Self_Qty],T_SelfStock_Log[Part Name],$A28,T_SelfStock_Log[WeekIndex],76))</f>
        <v/>
      </c>
      <c r="BZ28" s="12">
        <f>IF(COUNTIFS(T_SelfStock_Log[Part Name],$A28,T_SelfStock_Log[WeekIndex],77)=0,"",SUMIFS(T_SelfStock_Log[Self_Qty],T_SelfStock_Log[Part Name],$A28,T_SelfStock_Log[WeekIndex],77))</f>
        <v/>
      </c>
      <c r="CA28" s="12">
        <f>IF(COUNTIFS(T_SelfStock_Log[Part Name],$A28,T_SelfStock_Log[WeekIndex],78)=0,"",SUMIFS(T_SelfStock_Log[Self_Qty],T_SelfStock_Log[Part Name],$A28,T_SelfStock_Log[WeekIndex],78))</f>
        <v/>
      </c>
      <c r="CB28" s="12">
        <f>IF(COUNTIFS(T_SelfStock_Log[Part Name],$A28,T_SelfStock_Log[WeekIndex],79)=0,"",SUMIFS(T_SelfStock_Log[Self_Qty],T_SelfStock_Log[Part Name],$A28,T_SelfStock_Log[WeekIndex],79))</f>
        <v/>
      </c>
      <c r="CC28" s="12">
        <f>IF(COUNTIFS(T_SelfStock_Log[Part Name],$A28,T_SelfStock_Log[WeekIndex],80)=0,"",SUMIFS(T_SelfStock_Log[Self_Qty],T_SelfStock_Log[Part Name],$A28,T_SelfStock_Log[WeekIndex],80))</f>
        <v/>
      </c>
      <c r="CD28" s="12">
        <f>IF(COUNTIFS(T_SelfStock_Log[Part Name],$A28,T_SelfStock_Log[WeekIndex],81)=0,"",SUMIFS(T_SelfStock_Log[Self_Qty],T_SelfStock_Log[Part Name],$A28,T_SelfStock_Log[WeekIndex],81))</f>
        <v/>
      </c>
      <c r="CE28" s="12">
        <f>IF(COUNTIFS(T_SelfStock_Log[Part Name],$A28,T_SelfStock_Log[WeekIndex],82)=0,"",SUMIFS(T_SelfStock_Log[Self_Qty],T_SelfStock_Log[Part Name],$A28,T_SelfStock_Log[WeekIndex],82))</f>
        <v/>
      </c>
      <c r="CF28" s="12">
        <f>IF(COUNTIFS(T_SelfStock_Log[Part Name],$A28,T_SelfStock_Log[WeekIndex],83)=0,"",SUMIFS(T_SelfStock_Log[Self_Qty],T_SelfStock_Log[Part Name],$A28,T_SelfStock_Log[WeekIndex],83))</f>
        <v/>
      </c>
      <c r="CG28" s="12">
        <f>IF(COUNTIFS(T_SelfStock_Log[Part Name],$A28,T_SelfStock_Log[WeekIndex],84)=0,"",SUMIFS(T_SelfStock_Log[Self_Qty],T_SelfStock_Log[Part Name],$A28,T_SelfStock_Log[WeekIndex],84))</f>
        <v/>
      </c>
      <c r="CH28" s="12">
        <f>IF(COUNTIFS(T_SelfStock_Log[Part Name],$A28,T_SelfStock_Log[WeekIndex],85)=0,"",SUMIFS(T_SelfStock_Log[Self_Qty],T_SelfStock_Log[Part Name],$A28,T_SelfStock_Log[WeekIndex],85))</f>
        <v/>
      </c>
      <c r="CI28" s="12">
        <f>IF(COUNTIFS(T_SelfStock_Log[Part Name],$A28,T_SelfStock_Log[WeekIndex],86)=0,"",SUMIFS(T_SelfStock_Log[Self_Qty],T_SelfStock_Log[Part Name],$A28,T_SelfStock_Log[WeekIndex],86))</f>
        <v/>
      </c>
      <c r="CJ28" s="12">
        <f>IF(COUNTIFS(T_SelfStock_Log[Part Name],$A28,T_SelfStock_Log[WeekIndex],87)=0,"",SUMIFS(T_SelfStock_Log[Self_Qty],T_SelfStock_Log[Part Name],$A28,T_SelfStock_Log[WeekIndex],87))</f>
        <v/>
      </c>
      <c r="CK28" s="12">
        <f>IF(COUNTIFS(T_SelfStock_Log[Part Name],$A28,T_SelfStock_Log[WeekIndex],88)=0,"",SUMIFS(T_SelfStock_Log[Self_Qty],T_SelfStock_Log[Part Name],$A28,T_SelfStock_Log[WeekIndex],88))</f>
        <v/>
      </c>
      <c r="CL28" s="12">
        <f>IF(COUNTIFS(T_SelfStock_Log[Part Name],$A28,T_SelfStock_Log[WeekIndex],89)=0,"",SUMIFS(T_SelfStock_Log[Self_Qty],T_SelfStock_Log[Part Name],$A28,T_SelfStock_Log[WeekIndex],89))</f>
        <v/>
      </c>
      <c r="CM28" s="12">
        <f>IF(COUNTIFS(T_SelfStock_Log[Part Name],$A28,T_SelfStock_Log[WeekIndex],90)=0,"",SUMIFS(T_SelfStock_Log[Self_Qty],T_SelfStock_Log[Part Name],$A28,T_SelfStock_Log[WeekIndex],90))</f>
        <v/>
      </c>
      <c r="CN28" s="12">
        <f>IF(COUNTIFS(T_SelfStock_Log[Part Name],$A28,T_SelfStock_Log[WeekIndex],91)=0,"",SUMIFS(T_SelfStock_Log[Self_Qty],T_SelfStock_Log[Part Name],$A28,T_SelfStock_Log[WeekIndex],91))</f>
        <v/>
      </c>
      <c r="CO28" s="12">
        <f>IF(COUNTIFS(T_SelfStock_Log[Part Name],$A28,T_SelfStock_Log[WeekIndex],92)=0,"",SUMIFS(T_SelfStock_Log[Self_Qty],T_SelfStock_Log[Part Name],$A28,T_SelfStock_Log[WeekIndex],92))</f>
        <v/>
      </c>
      <c r="CP28" s="12">
        <f>IF(COUNTIFS(T_SelfStock_Log[Part Name],$A28,T_SelfStock_Log[WeekIndex],93)=0,"",SUMIFS(T_SelfStock_Log[Self_Qty],T_SelfStock_Log[Part Name],$A28,T_SelfStock_Log[WeekIndex],93))</f>
        <v/>
      </c>
      <c r="CQ28" s="12">
        <f>IF(COUNTIFS(T_SelfStock_Log[Part Name],$A28,T_SelfStock_Log[WeekIndex],94)=0,"",SUMIFS(T_SelfStock_Log[Self_Qty],T_SelfStock_Log[Part Name],$A28,T_SelfStock_Log[WeekIndex],94))</f>
        <v/>
      </c>
      <c r="CR28" s="12">
        <f>IF(COUNTIFS(T_SelfStock_Log[Part Name],$A28,T_SelfStock_Log[WeekIndex],95)=0,"",SUMIFS(T_SelfStock_Log[Self_Qty],T_SelfStock_Log[Part Name],$A28,T_SelfStock_Log[WeekIndex],95))</f>
        <v/>
      </c>
      <c r="CS28" s="12">
        <f>IF(COUNTIFS(T_SelfStock_Log[Part Name],$A28,T_SelfStock_Log[WeekIndex],96)=0,"",SUMIFS(T_SelfStock_Log[Self_Qty],T_SelfStock_Log[Part Name],$A28,T_SelfStock_Log[WeekIndex],96))</f>
        <v/>
      </c>
      <c r="CT28" s="12">
        <f>IF(COUNTIFS(T_SelfStock_Log[Part Name],$A28,T_SelfStock_Log[WeekIndex],97)=0,"",SUMIFS(T_SelfStock_Log[Self_Qty],T_SelfStock_Log[Part Name],$A28,T_SelfStock_Log[WeekIndex],97))</f>
        <v/>
      </c>
      <c r="CU28" s="12">
        <f>IF(COUNTIFS(T_SelfStock_Log[Part Name],$A28,T_SelfStock_Log[WeekIndex],98)=0,"",SUMIFS(T_SelfStock_Log[Self_Qty],T_SelfStock_Log[Part Name],$A28,T_SelfStock_Log[WeekIndex],98))</f>
        <v/>
      </c>
      <c r="CV28" s="12">
        <f>IF(COUNTIFS(T_SelfStock_Log[Part Name],$A28,T_SelfStock_Log[WeekIndex],99)=0,"",SUMIFS(T_SelfStock_Log[Self_Qty],T_SelfStock_Log[Part Name],$A28,T_SelfStock_Log[WeekIndex],99))</f>
        <v/>
      </c>
      <c r="CW28" s="12">
        <f>IF(COUNTIFS(T_SelfStock_Log[Part Name],$A28,T_SelfStock_Log[WeekIndex],100)=0,"",SUMIFS(T_SelfStock_Log[Self_Qty],T_SelfStock_Log[Part Name],$A28,T_SelfStock_Log[WeekIndex],100))</f>
        <v/>
      </c>
      <c r="CX28" s="12">
        <f>IF(COUNTIFS(T_SelfStock_Log[Part Name],$A28,T_SelfStock_Log[WeekIndex],101)=0,"",SUMIFS(T_SelfStock_Log[Self_Qty],T_SelfStock_Log[Part Name],$A28,T_SelfStock_Log[WeekIndex],101))</f>
        <v/>
      </c>
      <c r="CY28" s="12">
        <f>IF(COUNTIFS(T_SelfStock_Log[Part Name],$A28,T_SelfStock_Log[WeekIndex],102)=0,"",SUMIFS(T_SelfStock_Log[Self_Qty],T_SelfStock_Log[Part Name],$A28,T_SelfStock_Log[WeekIndex],102))</f>
        <v/>
      </c>
      <c r="CZ28" s="12">
        <f>IF(COUNTIFS(T_SelfStock_Log[Part Name],$A28,T_SelfStock_Log[WeekIndex],103)=0,"",SUMIFS(T_SelfStock_Log[Self_Qty],T_SelfStock_Log[Part Name],$A28,T_SelfStock_Log[WeekIndex],103))</f>
        <v/>
      </c>
      <c r="DA28" s="12">
        <f>IF(COUNTIFS(T_SelfStock_Log[Part Name],$A28,T_SelfStock_Log[WeekIndex],104)=0,"",SUMIFS(T_SelfStock_Log[Self_Qty],T_SelfStock_Log[Part Name],$A28,T_SelfStock_Log[WeekIndex],104))</f>
        <v/>
      </c>
    </row>
    <row r="29">
      <c r="A29" s="13" t="inlineStr">
        <is>
          <t>CHEM-1200</t>
        </is>
      </c>
      <c r="B29" s="13">
        <f>IF(COUNTIFS(T_SelfStock_Log[Part Name],$A29,T_SelfStock_Log[WeekIndex],1)=0,"",SUMIFS(T_SelfStock_Log[Self_Qty],T_SelfStock_Log[Part Name],$A29,T_SelfStock_Log[WeekIndex],1))</f>
        <v/>
      </c>
      <c r="C29" s="13">
        <f>IF(COUNTIFS(T_SelfStock_Log[Part Name],$A29,T_SelfStock_Log[WeekIndex],2)=0,"",SUMIFS(T_SelfStock_Log[Self_Qty],T_SelfStock_Log[Part Name],$A29,T_SelfStock_Log[WeekIndex],2))</f>
        <v/>
      </c>
      <c r="D29" s="13">
        <f>IF(COUNTIFS(T_SelfStock_Log[Part Name],$A29,T_SelfStock_Log[WeekIndex],3)=0,"",SUMIFS(T_SelfStock_Log[Self_Qty],T_SelfStock_Log[Part Name],$A29,T_SelfStock_Log[WeekIndex],3))</f>
        <v/>
      </c>
      <c r="E29" s="13">
        <f>IF(COUNTIFS(T_SelfStock_Log[Part Name],$A29,T_SelfStock_Log[WeekIndex],4)=0,"",SUMIFS(T_SelfStock_Log[Self_Qty],T_SelfStock_Log[Part Name],$A29,T_SelfStock_Log[WeekIndex],4))</f>
        <v/>
      </c>
      <c r="F29" s="13">
        <f>IF(COUNTIFS(T_SelfStock_Log[Part Name],$A29,T_SelfStock_Log[WeekIndex],5)=0,"",SUMIFS(T_SelfStock_Log[Self_Qty],T_SelfStock_Log[Part Name],$A29,T_SelfStock_Log[WeekIndex],5))</f>
        <v/>
      </c>
      <c r="G29" s="13">
        <f>IF(COUNTIFS(T_SelfStock_Log[Part Name],$A29,T_SelfStock_Log[WeekIndex],6)=0,"",SUMIFS(T_SelfStock_Log[Self_Qty],T_SelfStock_Log[Part Name],$A29,T_SelfStock_Log[WeekIndex],6))</f>
        <v/>
      </c>
      <c r="H29" s="13">
        <f>IF(COUNTIFS(T_SelfStock_Log[Part Name],$A29,T_SelfStock_Log[WeekIndex],7)=0,"",SUMIFS(T_SelfStock_Log[Self_Qty],T_SelfStock_Log[Part Name],$A29,T_SelfStock_Log[WeekIndex],7))</f>
        <v/>
      </c>
      <c r="I29" s="13">
        <f>IF(COUNTIFS(T_SelfStock_Log[Part Name],$A29,T_SelfStock_Log[WeekIndex],8)=0,"",SUMIFS(T_SelfStock_Log[Self_Qty],T_SelfStock_Log[Part Name],$A29,T_SelfStock_Log[WeekIndex],8))</f>
        <v/>
      </c>
      <c r="J29" s="13">
        <f>IF(COUNTIFS(T_SelfStock_Log[Part Name],$A29,T_SelfStock_Log[WeekIndex],9)=0,"",SUMIFS(T_SelfStock_Log[Self_Qty],T_SelfStock_Log[Part Name],$A29,T_SelfStock_Log[WeekIndex],9))</f>
        <v/>
      </c>
      <c r="K29" s="13">
        <f>IF(COUNTIFS(T_SelfStock_Log[Part Name],$A29,T_SelfStock_Log[WeekIndex],10)=0,"",SUMIFS(T_SelfStock_Log[Self_Qty],T_SelfStock_Log[Part Name],$A29,T_SelfStock_Log[WeekIndex],10))</f>
        <v/>
      </c>
      <c r="L29" s="13">
        <f>IF(COUNTIFS(T_SelfStock_Log[Part Name],$A29,T_SelfStock_Log[WeekIndex],11)=0,"",SUMIFS(T_SelfStock_Log[Self_Qty],T_SelfStock_Log[Part Name],$A29,T_SelfStock_Log[WeekIndex],11))</f>
        <v/>
      </c>
      <c r="M29" s="13">
        <f>IF(COUNTIFS(T_SelfStock_Log[Part Name],$A29,T_SelfStock_Log[WeekIndex],12)=0,"",SUMIFS(T_SelfStock_Log[Self_Qty],T_SelfStock_Log[Part Name],$A29,T_SelfStock_Log[WeekIndex],12))</f>
        <v/>
      </c>
      <c r="N29" s="13">
        <f>IF(COUNTIFS(T_SelfStock_Log[Part Name],$A29,T_SelfStock_Log[WeekIndex],13)=0,"",SUMIFS(T_SelfStock_Log[Self_Qty],T_SelfStock_Log[Part Name],$A29,T_SelfStock_Log[WeekIndex],13))</f>
        <v/>
      </c>
      <c r="O29" s="13">
        <f>IF(COUNTIFS(T_SelfStock_Log[Part Name],$A29,T_SelfStock_Log[WeekIndex],14)=0,"",SUMIFS(T_SelfStock_Log[Self_Qty],T_SelfStock_Log[Part Name],$A29,T_SelfStock_Log[WeekIndex],14))</f>
        <v/>
      </c>
      <c r="P29" s="13">
        <f>IF(COUNTIFS(T_SelfStock_Log[Part Name],$A29,T_SelfStock_Log[WeekIndex],15)=0,"",SUMIFS(T_SelfStock_Log[Self_Qty],T_SelfStock_Log[Part Name],$A29,T_SelfStock_Log[WeekIndex],15))</f>
        <v/>
      </c>
      <c r="Q29" s="13">
        <f>IF(COUNTIFS(T_SelfStock_Log[Part Name],$A29,T_SelfStock_Log[WeekIndex],16)=0,"",SUMIFS(T_SelfStock_Log[Self_Qty],T_SelfStock_Log[Part Name],$A29,T_SelfStock_Log[WeekIndex],16))</f>
        <v/>
      </c>
      <c r="R29" s="13">
        <f>IF(COUNTIFS(T_SelfStock_Log[Part Name],$A29,T_SelfStock_Log[WeekIndex],17)=0,"",SUMIFS(T_SelfStock_Log[Self_Qty],T_SelfStock_Log[Part Name],$A29,T_SelfStock_Log[WeekIndex],17))</f>
        <v/>
      </c>
      <c r="S29" s="13">
        <f>IF(COUNTIFS(T_SelfStock_Log[Part Name],$A29,T_SelfStock_Log[WeekIndex],18)=0,"",SUMIFS(T_SelfStock_Log[Self_Qty],T_SelfStock_Log[Part Name],$A29,T_SelfStock_Log[WeekIndex],18))</f>
        <v/>
      </c>
      <c r="T29" s="13">
        <f>IF(COUNTIFS(T_SelfStock_Log[Part Name],$A29,T_SelfStock_Log[WeekIndex],19)=0,"",SUMIFS(T_SelfStock_Log[Self_Qty],T_SelfStock_Log[Part Name],$A29,T_SelfStock_Log[WeekIndex],19))</f>
        <v/>
      </c>
      <c r="U29" s="13">
        <f>IF(COUNTIFS(T_SelfStock_Log[Part Name],$A29,T_SelfStock_Log[WeekIndex],20)=0,"",SUMIFS(T_SelfStock_Log[Self_Qty],T_SelfStock_Log[Part Name],$A29,T_SelfStock_Log[WeekIndex],20))</f>
        <v/>
      </c>
      <c r="V29" s="13">
        <f>IF(COUNTIFS(T_SelfStock_Log[Part Name],$A29,T_SelfStock_Log[WeekIndex],21)=0,"",SUMIFS(T_SelfStock_Log[Self_Qty],T_SelfStock_Log[Part Name],$A29,T_SelfStock_Log[WeekIndex],21))</f>
        <v/>
      </c>
      <c r="W29" s="13">
        <f>IF(COUNTIFS(T_SelfStock_Log[Part Name],$A29,T_SelfStock_Log[WeekIndex],22)=0,"",SUMIFS(T_SelfStock_Log[Self_Qty],T_SelfStock_Log[Part Name],$A29,T_SelfStock_Log[WeekIndex],22))</f>
        <v/>
      </c>
      <c r="X29" s="13">
        <f>IF(COUNTIFS(T_SelfStock_Log[Part Name],$A29,T_SelfStock_Log[WeekIndex],23)=0,"",SUMIFS(T_SelfStock_Log[Self_Qty],T_SelfStock_Log[Part Name],$A29,T_SelfStock_Log[WeekIndex],23))</f>
        <v/>
      </c>
      <c r="Y29" s="13">
        <f>IF(COUNTIFS(T_SelfStock_Log[Part Name],$A29,T_SelfStock_Log[WeekIndex],24)=0,"",SUMIFS(T_SelfStock_Log[Self_Qty],T_SelfStock_Log[Part Name],$A29,T_SelfStock_Log[WeekIndex],24))</f>
        <v/>
      </c>
      <c r="Z29" s="13">
        <f>IF(COUNTIFS(T_SelfStock_Log[Part Name],$A29,T_SelfStock_Log[WeekIndex],25)=0,"",SUMIFS(T_SelfStock_Log[Self_Qty],T_SelfStock_Log[Part Name],$A29,T_SelfStock_Log[WeekIndex],25))</f>
        <v/>
      </c>
      <c r="AA29" s="13">
        <f>IF(COUNTIFS(T_SelfStock_Log[Part Name],$A29,T_SelfStock_Log[WeekIndex],26)=0,"",SUMIFS(T_SelfStock_Log[Self_Qty],T_SelfStock_Log[Part Name],$A29,T_SelfStock_Log[WeekIndex],26))</f>
        <v/>
      </c>
      <c r="AB29" s="13">
        <f>IF(COUNTIFS(T_SelfStock_Log[Part Name],$A29,T_SelfStock_Log[WeekIndex],27)=0,"",SUMIFS(T_SelfStock_Log[Self_Qty],T_SelfStock_Log[Part Name],$A29,T_SelfStock_Log[WeekIndex],27))</f>
        <v/>
      </c>
      <c r="AC29" s="13">
        <f>IF(COUNTIFS(T_SelfStock_Log[Part Name],$A29,T_SelfStock_Log[WeekIndex],28)=0,"",SUMIFS(T_SelfStock_Log[Self_Qty],T_SelfStock_Log[Part Name],$A29,T_SelfStock_Log[WeekIndex],28))</f>
        <v/>
      </c>
      <c r="AD29" s="13">
        <f>IF(COUNTIFS(T_SelfStock_Log[Part Name],$A29,T_SelfStock_Log[WeekIndex],29)=0,"",SUMIFS(T_SelfStock_Log[Self_Qty],T_SelfStock_Log[Part Name],$A29,T_SelfStock_Log[WeekIndex],29))</f>
        <v/>
      </c>
      <c r="AE29" s="13">
        <f>IF(COUNTIFS(T_SelfStock_Log[Part Name],$A29,T_SelfStock_Log[WeekIndex],30)=0,"",SUMIFS(T_SelfStock_Log[Self_Qty],T_SelfStock_Log[Part Name],$A29,T_SelfStock_Log[WeekIndex],30))</f>
        <v/>
      </c>
      <c r="AF29" s="13">
        <f>IF(COUNTIFS(T_SelfStock_Log[Part Name],$A29,T_SelfStock_Log[WeekIndex],31)=0,"",SUMIFS(T_SelfStock_Log[Self_Qty],T_SelfStock_Log[Part Name],$A29,T_SelfStock_Log[WeekIndex],31))</f>
        <v/>
      </c>
      <c r="AG29" s="13">
        <f>IF(COUNTIFS(T_SelfStock_Log[Part Name],$A29,T_SelfStock_Log[WeekIndex],32)=0,"",SUMIFS(T_SelfStock_Log[Self_Qty],T_SelfStock_Log[Part Name],$A29,T_SelfStock_Log[WeekIndex],32))</f>
        <v/>
      </c>
      <c r="AH29" s="13">
        <f>IF(COUNTIFS(T_SelfStock_Log[Part Name],$A29,T_SelfStock_Log[WeekIndex],33)=0,"",SUMIFS(T_SelfStock_Log[Self_Qty],T_SelfStock_Log[Part Name],$A29,T_SelfStock_Log[WeekIndex],33))</f>
        <v/>
      </c>
      <c r="AI29" s="13">
        <f>IF(COUNTIFS(T_SelfStock_Log[Part Name],$A29,T_SelfStock_Log[WeekIndex],34)=0,"",SUMIFS(T_SelfStock_Log[Self_Qty],T_SelfStock_Log[Part Name],$A29,T_SelfStock_Log[WeekIndex],34))</f>
        <v/>
      </c>
      <c r="AJ29" s="13">
        <f>IF(COUNTIFS(T_SelfStock_Log[Part Name],$A29,T_SelfStock_Log[WeekIndex],35)=0,"",SUMIFS(T_SelfStock_Log[Self_Qty],T_SelfStock_Log[Part Name],$A29,T_SelfStock_Log[WeekIndex],35))</f>
        <v/>
      </c>
      <c r="AK29" s="13">
        <f>IF(COUNTIFS(T_SelfStock_Log[Part Name],$A29,T_SelfStock_Log[WeekIndex],36)=0,"",SUMIFS(T_SelfStock_Log[Self_Qty],T_SelfStock_Log[Part Name],$A29,T_SelfStock_Log[WeekIndex],36))</f>
        <v/>
      </c>
      <c r="AL29" s="13">
        <f>IF(COUNTIFS(T_SelfStock_Log[Part Name],$A29,T_SelfStock_Log[WeekIndex],37)=0,"",SUMIFS(T_SelfStock_Log[Self_Qty],T_SelfStock_Log[Part Name],$A29,T_SelfStock_Log[WeekIndex],37))</f>
        <v/>
      </c>
      <c r="AM29" s="13">
        <f>IF(COUNTIFS(T_SelfStock_Log[Part Name],$A29,T_SelfStock_Log[WeekIndex],38)=0,"",SUMIFS(T_SelfStock_Log[Self_Qty],T_SelfStock_Log[Part Name],$A29,T_SelfStock_Log[WeekIndex],38))</f>
        <v/>
      </c>
      <c r="AN29" s="13">
        <f>IF(COUNTIFS(T_SelfStock_Log[Part Name],$A29,T_SelfStock_Log[WeekIndex],39)=0,"",SUMIFS(T_SelfStock_Log[Self_Qty],T_SelfStock_Log[Part Name],$A29,T_SelfStock_Log[WeekIndex],39))</f>
        <v/>
      </c>
      <c r="AO29" s="13">
        <f>IF(COUNTIFS(T_SelfStock_Log[Part Name],$A29,T_SelfStock_Log[WeekIndex],40)=0,"",SUMIFS(T_SelfStock_Log[Self_Qty],T_SelfStock_Log[Part Name],$A29,T_SelfStock_Log[WeekIndex],40))</f>
        <v/>
      </c>
      <c r="AP29" s="13">
        <f>IF(COUNTIFS(T_SelfStock_Log[Part Name],$A29,T_SelfStock_Log[WeekIndex],41)=0,"",SUMIFS(T_SelfStock_Log[Self_Qty],T_SelfStock_Log[Part Name],$A29,T_SelfStock_Log[WeekIndex],41))</f>
        <v/>
      </c>
      <c r="AQ29" s="13">
        <f>IF(COUNTIFS(T_SelfStock_Log[Part Name],$A29,T_SelfStock_Log[WeekIndex],42)=0,"",SUMIFS(T_SelfStock_Log[Self_Qty],T_SelfStock_Log[Part Name],$A29,T_SelfStock_Log[WeekIndex],42))</f>
        <v/>
      </c>
      <c r="AR29" s="13">
        <f>IF(COUNTIFS(T_SelfStock_Log[Part Name],$A29,T_SelfStock_Log[WeekIndex],43)=0,"",SUMIFS(T_SelfStock_Log[Self_Qty],T_SelfStock_Log[Part Name],$A29,T_SelfStock_Log[WeekIndex],43))</f>
        <v/>
      </c>
      <c r="AS29" s="13">
        <f>IF(COUNTIFS(T_SelfStock_Log[Part Name],$A29,T_SelfStock_Log[WeekIndex],44)=0,"",SUMIFS(T_SelfStock_Log[Self_Qty],T_SelfStock_Log[Part Name],$A29,T_SelfStock_Log[WeekIndex],44))</f>
        <v/>
      </c>
      <c r="AT29" s="13">
        <f>IF(COUNTIFS(T_SelfStock_Log[Part Name],$A29,T_SelfStock_Log[WeekIndex],45)=0,"",SUMIFS(T_SelfStock_Log[Self_Qty],T_SelfStock_Log[Part Name],$A29,T_SelfStock_Log[WeekIndex],45))</f>
        <v/>
      </c>
      <c r="AU29" s="13">
        <f>IF(COUNTIFS(T_SelfStock_Log[Part Name],$A29,T_SelfStock_Log[WeekIndex],46)=0,"",SUMIFS(T_SelfStock_Log[Self_Qty],T_SelfStock_Log[Part Name],$A29,T_SelfStock_Log[WeekIndex],46))</f>
        <v/>
      </c>
      <c r="AV29" s="13">
        <f>IF(COUNTIFS(T_SelfStock_Log[Part Name],$A29,T_SelfStock_Log[WeekIndex],47)=0,"",SUMIFS(T_SelfStock_Log[Self_Qty],T_SelfStock_Log[Part Name],$A29,T_SelfStock_Log[WeekIndex],47))</f>
        <v/>
      </c>
      <c r="AW29" s="13">
        <f>IF(COUNTIFS(T_SelfStock_Log[Part Name],$A29,T_SelfStock_Log[WeekIndex],48)=0,"",SUMIFS(T_SelfStock_Log[Self_Qty],T_SelfStock_Log[Part Name],$A29,T_SelfStock_Log[WeekIndex],48))</f>
        <v/>
      </c>
      <c r="AX29" s="13">
        <f>IF(COUNTIFS(T_SelfStock_Log[Part Name],$A29,T_SelfStock_Log[WeekIndex],49)=0,"",SUMIFS(T_SelfStock_Log[Self_Qty],T_SelfStock_Log[Part Name],$A29,T_SelfStock_Log[WeekIndex],49))</f>
        <v/>
      </c>
      <c r="AY29" s="13">
        <f>IF(COUNTIFS(T_SelfStock_Log[Part Name],$A29,T_SelfStock_Log[WeekIndex],50)=0,"",SUMIFS(T_SelfStock_Log[Self_Qty],T_SelfStock_Log[Part Name],$A29,T_SelfStock_Log[WeekIndex],50))</f>
        <v/>
      </c>
      <c r="AZ29" s="13">
        <f>IF(COUNTIFS(T_SelfStock_Log[Part Name],$A29,T_SelfStock_Log[WeekIndex],51)=0,"",SUMIFS(T_SelfStock_Log[Self_Qty],T_SelfStock_Log[Part Name],$A29,T_SelfStock_Log[WeekIndex],51))</f>
        <v/>
      </c>
      <c r="BA29" s="13">
        <f>IF(COUNTIFS(T_SelfStock_Log[Part Name],$A29,T_SelfStock_Log[WeekIndex],52)=0,"",SUMIFS(T_SelfStock_Log[Self_Qty],T_SelfStock_Log[Part Name],$A29,T_SelfStock_Log[WeekIndex],52))</f>
        <v/>
      </c>
      <c r="BB29" s="13">
        <f>IF(COUNTIFS(T_SelfStock_Log[Part Name],$A29,T_SelfStock_Log[WeekIndex],53)=0,"",SUMIFS(T_SelfStock_Log[Self_Qty],T_SelfStock_Log[Part Name],$A29,T_SelfStock_Log[WeekIndex],53))</f>
        <v/>
      </c>
      <c r="BC29" s="13">
        <f>IF(COUNTIFS(T_SelfStock_Log[Part Name],$A29,T_SelfStock_Log[WeekIndex],54)=0,"",SUMIFS(T_SelfStock_Log[Self_Qty],T_SelfStock_Log[Part Name],$A29,T_SelfStock_Log[WeekIndex],54))</f>
        <v/>
      </c>
      <c r="BD29" s="13">
        <f>IF(COUNTIFS(T_SelfStock_Log[Part Name],$A29,T_SelfStock_Log[WeekIndex],55)=0,"",SUMIFS(T_SelfStock_Log[Self_Qty],T_SelfStock_Log[Part Name],$A29,T_SelfStock_Log[WeekIndex],55))</f>
        <v/>
      </c>
      <c r="BE29" s="13">
        <f>IF(COUNTIFS(T_SelfStock_Log[Part Name],$A29,T_SelfStock_Log[WeekIndex],56)=0,"",SUMIFS(T_SelfStock_Log[Self_Qty],T_SelfStock_Log[Part Name],$A29,T_SelfStock_Log[WeekIndex],56))</f>
        <v/>
      </c>
      <c r="BF29" s="13">
        <f>IF(COUNTIFS(T_SelfStock_Log[Part Name],$A29,T_SelfStock_Log[WeekIndex],57)=0,"",SUMIFS(T_SelfStock_Log[Self_Qty],T_SelfStock_Log[Part Name],$A29,T_SelfStock_Log[WeekIndex],57))</f>
        <v/>
      </c>
      <c r="BG29" s="13">
        <f>IF(COUNTIFS(T_SelfStock_Log[Part Name],$A29,T_SelfStock_Log[WeekIndex],58)=0,"",SUMIFS(T_SelfStock_Log[Self_Qty],T_SelfStock_Log[Part Name],$A29,T_SelfStock_Log[WeekIndex],58))</f>
        <v/>
      </c>
      <c r="BH29" s="13">
        <f>IF(COUNTIFS(T_SelfStock_Log[Part Name],$A29,T_SelfStock_Log[WeekIndex],59)=0,"",SUMIFS(T_SelfStock_Log[Self_Qty],T_SelfStock_Log[Part Name],$A29,T_SelfStock_Log[WeekIndex],59))</f>
        <v/>
      </c>
      <c r="BI29" s="13">
        <f>IF(COUNTIFS(T_SelfStock_Log[Part Name],$A29,T_SelfStock_Log[WeekIndex],60)=0,"",SUMIFS(T_SelfStock_Log[Self_Qty],T_SelfStock_Log[Part Name],$A29,T_SelfStock_Log[WeekIndex],60))</f>
        <v/>
      </c>
      <c r="BJ29" s="13">
        <f>IF(COUNTIFS(T_SelfStock_Log[Part Name],$A29,T_SelfStock_Log[WeekIndex],61)=0,"",SUMIFS(T_SelfStock_Log[Self_Qty],T_SelfStock_Log[Part Name],$A29,T_SelfStock_Log[WeekIndex],61))</f>
        <v/>
      </c>
      <c r="BK29" s="13">
        <f>IF(COUNTIFS(T_SelfStock_Log[Part Name],$A29,T_SelfStock_Log[WeekIndex],62)=0,"",SUMIFS(T_SelfStock_Log[Self_Qty],T_SelfStock_Log[Part Name],$A29,T_SelfStock_Log[WeekIndex],62))</f>
        <v/>
      </c>
      <c r="BL29" s="13">
        <f>IF(COUNTIFS(T_SelfStock_Log[Part Name],$A29,T_SelfStock_Log[WeekIndex],63)=0,"",SUMIFS(T_SelfStock_Log[Self_Qty],T_SelfStock_Log[Part Name],$A29,T_SelfStock_Log[WeekIndex],63))</f>
        <v/>
      </c>
      <c r="BM29" s="13">
        <f>IF(COUNTIFS(T_SelfStock_Log[Part Name],$A29,T_SelfStock_Log[WeekIndex],64)=0,"",SUMIFS(T_SelfStock_Log[Self_Qty],T_SelfStock_Log[Part Name],$A29,T_SelfStock_Log[WeekIndex],64))</f>
        <v/>
      </c>
      <c r="BN29" s="13">
        <f>IF(COUNTIFS(T_SelfStock_Log[Part Name],$A29,T_SelfStock_Log[WeekIndex],65)=0,"",SUMIFS(T_SelfStock_Log[Self_Qty],T_SelfStock_Log[Part Name],$A29,T_SelfStock_Log[WeekIndex],65))</f>
        <v/>
      </c>
      <c r="BO29" s="13">
        <f>IF(COUNTIFS(T_SelfStock_Log[Part Name],$A29,T_SelfStock_Log[WeekIndex],66)=0,"",SUMIFS(T_SelfStock_Log[Self_Qty],T_SelfStock_Log[Part Name],$A29,T_SelfStock_Log[WeekIndex],66))</f>
        <v/>
      </c>
      <c r="BP29" s="13">
        <f>IF(COUNTIFS(T_SelfStock_Log[Part Name],$A29,T_SelfStock_Log[WeekIndex],67)=0,"",SUMIFS(T_SelfStock_Log[Self_Qty],T_SelfStock_Log[Part Name],$A29,T_SelfStock_Log[WeekIndex],67))</f>
        <v/>
      </c>
      <c r="BQ29" s="13">
        <f>IF(COUNTIFS(T_SelfStock_Log[Part Name],$A29,T_SelfStock_Log[WeekIndex],68)=0,"",SUMIFS(T_SelfStock_Log[Self_Qty],T_SelfStock_Log[Part Name],$A29,T_SelfStock_Log[WeekIndex],68))</f>
        <v/>
      </c>
      <c r="BR29" s="13">
        <f>IF(COUNTIFS(T_SelfStock_Log[Part Name],$A29,T_SelfStock_Log[WeekIndex],69)=0,"",SUMIFS(T_SelfStock_Log[Self_Qty],T_SelfStock_Log[Part Name],$A29,T_SelfStock_Log[WeekIndex],69))</f>
        <v/>
      </c>
      <c r="BS29" s="13">
        <f>IF(COUNTIFS(T_SelfStock_Log[Part Name],$A29,T_SelfStock_Log[WeekIndex],70)=0,"",SUMIFS(T_SelfStock_Log[Self_Qty],T_SelfStock_Log[Part Name],$A29,T_SelfStock_Log[WeekIndex],70))</f>
        <v/>
      </c>
      <c r="BT29" s="13">
        <f>IF(COUNTIFS(T_SelfStock_Log[Part Name],$A29,T_SelfStock_Log[WeekIndex],71)=0,"",SUMIFS(T_SelfStock_Log[Self_Qty],T_SelfStock_Log[Part Name],$A29,T_SelfStock_Log[WeekIndex],71))</f>
        <v/>
      </c>
      <c r="BU29" s="13">
        <f>IF(COUNTIFS(T_SelfStock_Log[Part Name],$A29,T_SelfStock_Log[WeekIndex],72)=0,"",SUMIFS(T_SelfStock_Log[Self_Qty],T_SelfStock_Log[Part Name],$A29,T_SelfStock_Log[WeekIndex],72))</f>
        <v/>
      </c>
      <c r="BV29" s="13">
        <f>IF(COUNTIFS(T_SelfStock_Log[Part Name],$A29,T_SelfStock_Log[WeekIndex],73)=0,"",SUMIFS(T_SelfStock_Log[Self_Qty],T_SelfStock_Log[Part Name],$A29,T_SelfStock_Log[WeekIndex],73))</f>
        <v/>
      </c>
      <c r="BW29" s="13">
        <f>IF(COUNTIFS(T_SelfStock_Log[Part Name],$A29,T_SelfStock_Log[WeekIndex],74)=0,"",SUMIFS(T_SelfStock_Log[Self_Qty],T_SelfStock_Log[Part Name],$A29,T_SelfStock_Log[WeekIndex],74))</f>
        <v/>
      </c>
      <c r="BX29" s="13">
        <f>IF(COUNTIFS(T_SelfStock_Log[Part Name],$A29,T_SelfStock_Log[WeekIndex],75)=0,"",SUMIFS(T_SelfStock_Log[Self_Qty],T_SelfStock_Log[Part Name],$A29,T_SelfStock_Log[WeekIndex],75))</f>
        <v/>
      </c>
      <c r="BY29" s="13">
        <f>IF(COUNTIFS(T_SelfStock_Log[Part Name],$A29,T_SelfStock_Log[WeekIndex],76)=0,"",SUMIFS(T_SelfStock_Log[Self_Qty],T_SelfStock_Log[Part Name],$A29,T_SelfStock_Log[WeekIndex],76))</f>
        <v/>
      </c>
      <c r="BZ29" s="13">
        <f>IF(COUNTIFS(T_SelfStock_Log[Part Name],$A29,T_SelfStock_Log[WeekIndex],77)=0,"",SUMIFS(T_SelfStock_Log[Self_Qty],T_SelfStock_Log[Part Name],$A29,T_SelfStock_Log[WeekIndex],77))</f>
        <v/>
      </c>
      <c r="CA29" s="13">
        <f>IF(COUNTIFS(T_SelfStock_Log[Part Name],$A29,T_SelfStock_Log[WeekIndex],78)=0,"",SUMIFS(T_SelfStock_Log[Self_Qty],T_SelfStock_Log[Part Name],$A29,T_SelfStock_Log[WeekIndex],78))</f>
        <v/>
      </c>
      <c r="CB29" s="13">
        <f>IF(COUNTIFS(T_SelfStock_Log[Part Name],$A29,T_SelfStock_Log[WeekIndex],79)=0,"",SUMIFS(T_SelfStock_Log[Self_Qty],T_SelfStock_Log[Part Name],$A29,T_SelfStock_Log[WeekIndex],79))</f>
        <v/>
      </c>
      <c r="CC29" s="13">
        <f>IF(COUNTIFS(T_SelfStock_Log[Part Name],$A29,T_SelfStock_Log[WeekIndex],80)=0,"",SUMIFS(T_SelfStock_Log[Self_Qty],T_SelfStock_Log[Part Name],$A29,T_SelfStock_Log[WeekIndex],80))</f>
        <v/>
      </c>
      <c r="CD29" s="13">
        <f>IF(COUNTIFS(T_SelfStock_Log[Part Name],$A29,T_SelfStock_Log[WeekIndex],81)=0,"",SUMIFS(T_SelfStock_Log[Self_Qty],T_SelfStock_Log[Part Name],$A29,T_SelfStock_Log[WeekIndex],81))</f>
        <v/>
      </c>
      <c r="CE29" s="13">
        <f>IF(COUNTIFS(T_SelfStock_Log[Part Name],$A29,T_SelfStock_Log[WeekIndex],82)=0,"",SUMIFS(T_SelfStock_Log[Self_Qty],T_SelfStock_Log[Part Name],$A29,T_SelfStock_Log[WeekIndex],82))</f>
        <v/>
      </c>
      <c r="CF29" s="13">
        <f>IF(COUNTIFS(T_SelfStock_Log[Part Name],$A29,T_SelfStock_Log[WeekIndex],83)=0,"",SUMIFS(T_SelfStock_Log[Self_Qty],T_SelfStock_Log[Part Name],$A29,T_SelfStock_Log[WeekIndex],83))</f>
        <v/>
      </c>
      <c r="CG29" s="13">
        <f>IF(COUNTIFS(T_SelfStock_Log[Part Name],$A29,T_SelfStock_Log[WeekIndex],84)=0,"",SUMIFS(T_SelfStock_Log[Self_Qty],T_SelfStock_Log[Part Name],$A29,T_SelfStock_Log[WeekIndex],84))</f>
        <v/>
      </c>
      <c r="CH29" s="13">
        <f>IF(COUNTIFS(T_SelfStock_Log[Part Name],$A29,T_SelfStock_Log[WeekIndex],85)=0,"",SUMIFS(T_SelfStock_Log[Self_Qty],T_SelfStock_Log[Part Name],$A29,T_SelfStock_Log[WeekIndex],85))</f>
        <v/>
      </c>
      <c r="CI29" s="13">
        <f>IF(COUNTIFS(T_SelfStock_Log[Part Name],$A29,T_SelfStock_Log[WeekIndex],86)=0,"",SUMIFS(T_SelfStock_Log[Self_Qty],T_SelfStock_Log[Part Name],$A29,T_SelfStock_Log[WeekIndex],86))</f>
        <v/>
      </c>
      <c r="CJ29" s="13">
        <f>IF(COUNTIFS(T_SelfStock_Log[Part Name],$A29,T_SelfStock_Log[WeekIndex],87)=0,"",SUMIFS(T_SelfStock_Log[Self_Qty],T_SelfStock_Log[Part Name],$A29,T_SelfStock_Log[WeekIndex],87))</f>
        <v/>
      </c>
      <c r="CK29" s="13">
        <f>IF(COUNTIFS(T_SelfStock_Log[Part Name],$A29,T_SelfStock_Log[WeekIndex],88)=0,"",SUMIFS(T_SelfStock_Log[Self_Qty],T_SelfStock_Log[Part Name],$A29,T_SelfStock_Log[WeekIndex],88))</f>
        <v/>
      </c>
      <c r="CL29" s="13">
        <f>IF(COUNTIFS(T_SelfStock_Log[Part Name],$A29,T_SelfStock_Log[WeekIndex],89)=0,"",SUMIFS(T_SelfStock_Log[Self_Qty],T_SelfStock_Log[Part Name],$A29,T_SelfStock_Log[WeekIndex],89))</f>
        <v/>
      </c>
      <c r="CM29" s="13">
        <f>IF(COUNTIFS(T_SelfStock_Log[Part Name],$A29,T_SelfStock_Log[WeekIndex],90)=0,"",SUMIFS(T_SelfStock_Log[Self_Qty],T_SelfStock_Log[Part Name],$A29,T_SelfStock_Log[WeekIndex],90))</f>
        <v/>
      </c>
      <c r="CN29" s="13">
        <f>IF(COUNTIFS(T_SelfStock_Log[Part Name],$A29,T_SelfStock_Log[WeekIndex],91)=0,"",SUMIFS(T_SelfStock_Log[Self_Qty],T_SelfStock_Log[Part Name],$A29,T_SelfStock_Log[WeekIndex],91))</f>
        <v/>
      </c>
      <c r="CO29" s="13">
        <f>IF(COUNTIFS(T_SelfStock_Log[Part Name],$A29,T_SelfStock_Log[WeekIndex],92)=0,"",SUMIFS(T_SelfStock_Log[Self_Qty],T_SelfStock_Log[Part Name],$A29,T_SelfStock_Log[WeekIndex],92))</f>
        <v/>
      </c>
      <c r="CP29" s="13">
        <f>IF(COUNTIFS(T_SelfStock_Log[Part Name],$A29,T_SelfStock_Log[WeekIndex],93)=0,"",SUMIFS(T_SelfStock_Log[Self_Qty],T_SelfStock_Log[Part Name],$A29,T_SelfStock_Log[WeekIndex],93))</f>
        <v/>
      </c>
      <c r="CQ29" s="13">
        <f>IF(COUNTIFS(T_SelfStock_Log[Part Name],$A29,T_SelfStock_Log[WeekIndex],94)=0,"",SUMIFS(T_SelfStock_Log[Self_Qty],T_SelfStock_Log[Part Name],$A29,T_SelfStock_Log[WeekIndex],94))</f>
        <v/>
      </c>
      <c r="CR29" s="13">
        <f>IF(COUNTIFS(T_SelfStock_Log[Part Name],$A29,T_SelfStock_Log[WeekIndex],95)=0,"",SUMIFS(T_SelfStock_Log[Self_Qty],T_SelfStock_Log[Part Name],$A29,T_SelfStock_Log[WeekIndex],95))</f>
        <v/>
      </c>
      <c r="CS29" s="13">
        <f>IF(COUNTIFS(T_SelfStock_Log[Part Name],$A29,T_SelfStock_Log[WeekIndex],96)=0,"",SUMIFS(T_SelfStock_Log[Self_Qty],T_SelfStock_Log[Part Name],$A29,T_SelfStock_Log[WeekIndex],96))</f>
        <v/>
      </c>
      <c r="CT29" s="13">
        <f>IF(COUNTIFS(T_SelfStock_Log[Part Name],$A29,T_SelfStock_Log[WeekIndex],97)=0,"",SUMIFS(T_SelfStock_Log[Self_Qty],T_SelfStock_Log[Part Name],$A29,T_SelfStock_Log[WeekIndex],97))</f>
        <v/>
      </c>
      <c r="CU29" s="13">
        <f>IF(COUNTIFS(T_SelfStock_Log[Part Name],$A29,T_SelfStock_Log[WeekIndex],98)=0,"",SUMIFS(T_SelfStock_Log[Self_Qty],T_SelfStock_Log[Part Name],$A29,T_SelfStock_Log[WeekIndex],98))</f>
        <v/>
      </c>
      <c r="CV29" s="13">
        <f>IF(COUNTIFS(T_SelfStock_Log[Part Name],$A29,T_SelfStock_Log[WeekIndex],99)=0,"",SUMIFS(T_SelfStock_Log[Self_Qty],T_SelfStock_Log[Part Name],$A29,T_SelfStock_Log[WeekIndex],99))</f>
        <v/>
      </c>
      <c r="CW29" s="13">
        <f>IF(COUNTIFS(T_SelfStock_Log[Part Name],$A29,T_SelfStock_Log[WeekIndex],100)=0,"",SUMIFS(T_SelfStock_Log[Self_Qty],T_SelfStock_Log[Part Name],$A29,T_SelfStock_Log[WeekIndex],100))</f>
        <v/>
      </c>
      <c r="CX29" s="13">
        <f>IF(COUNTIFS(T_SelfStock_Log[Part Name],$A29,T_SelfStock_Log[WeekIndex],101)=0,"",SUMIFS(T_SelfStock_Log[Self_Qty],T_SelfStock_Log[Part Name],$A29,T_SelfStock_Log[WeekIndex],101))</f>
        <v/>
      </c>
      <c r="CY29" s="13">
        <f>IF(COUNTIFS(T_SelfStock_Log[Part Name],$A29,T_SelfStock_Log[WeekIndex],102)=0,"",SUMIFS(T_SelfStock_Log[Self_Qty],T_SelfStock_Log[Part Name],$A29,T_SelfStock_Log[WeekIndex],102))</f>
        <v/>
      </c>
      <c r="CZ29" s="13">
        <f>IF(COUNTIFS(T_SelfStock_Log[Part Name],$A29,T_SelfStock_Log[WeekIndex],103)=0,"",SUMIFS(T_SelfStock_Log[Self_Qty],T_SelfStock_Log[Part Name],$A29,T_SelfStock_Log[WeekIndex],103))</f>
        <v/>
      </c>
      <c r="DA29" s="13">
        <f>IF(COUNTIFS(T_SelfStock_Log[Part Name],$A29,T_SelfStock_Log[WeekIndex],104)=0,"",SUMIFS(T_SelfStock_Log[Self_Qty],T_SelfStock_Log[Part Name],$A29,T_SelfStock_Log[WeekIndex],104))</f>
        <v/>
      </c>
    </row>
    <row r="30">
      <c r="A30" s="12" t="inlineStr">
        <is>
          <t>CHEM-1830</t>
        </is>
      </c>
      <c r="B30" s="12">
        <f>IF(COUNTIFS(T_SelfStock_Log[Part Name],$A30,T_SelfStock_Log[WeekIndex],1)=0,"",SUMIFS(T_SelfStock_Log[Self_Qty],T_SelfStock_Log[Part Name],$A30,T_SelfStock_Log[WeekIndex],1))</f>
        <v/>
      </c>
      <c r="C30" s="12">
        <f>IF(COUNTIFS(T_SelfStock_Log[Part Name],$A30,T_SelfStock_Log[WeekIndex],2)=0,"",SUMIFS(T_SelfStock_Log[Self_Qty],T_SelfStock_Log[Part Name],$A30,T_SelfStock_Log[WeekIndex],2))</f>
        <v/>
      </c>
      <c r="D30" s="12">
        <f>IF(COUNTIFS(T_SelfStock_Log[Part Name],$A30,T_SelfStock_Log[WeekIndex],3)=0,"",SUMIFS(T_SelfStock_Log[Self_Qty],T_SelfStock_Log[Part Name],$A30,T_SelfStock_Log[WeekIndex],3))</f>
        <v/>
      </c>
      <c r="E30" s="12">
        <f>IF(COUNTIFS(T_SelfStock_Log[Part Name],$A30,T_SelfStock_Log[WeekIndex],4)=0,"",SUMIFS(T_SelfStock_Log[Self_Qty],T_SelfStock_Log[Part Name],$A30,T_SelfStock_Log[WeekIndex],4))</f>
        <v/>
      </c>
      <c r="F30" s="12">
        <f>IF(COUNTIFS(T_SelfStock_Log[Part Name],$A30,T_SelfStock_Log[WeekIndex],5)=0,"",SUMIFS(T_SelfStock_Log[Self_Qty],T_SelfStock_Log[Part Name],$A30,T_SelfStock_Log[WeekIndex],5))</f>
        <v/>
      </c>
      <c r="G30" s="12">
        <f>IF(COUNTIFS(T_SelfStock_Log[Part Name],$A30,T_SelfStock_Log[WeekIndex],6)=0,"",SUMIFS(T_SelfStock_Log[Self_Qty],T_SelfStock_Log[Part Name],$A30,T_SelfStock_Log[WeekIndex],6))</f>
        <v/>
      </c>
      <c r="H30" s="12">
        <f>IF(COUNTIFS(T_SelfStock_Log[Part Name],$A30,T_SelfStock_Log[WeekIndex],7)=0,"",SUMIFS(T_SelfStock_Log[Self_Qty],T_SelfStock_Log[Part Name],$A30,T_SelfStock_Log[WeekIndex],7))</f>
        <v/>
      </c>
      <c r="I30" s="12">
        <f>IF(COUNTIFS(T_SelfStock_Log[Part Name],$A30,T_SelfStock_Log[WeekIndex],8)=0,"",SUMIFS(T_SelfStock_Log[Self_Qty],T_SelfStock_Log[Part Name],$A30,T_SelfStock_Log[WeekIndex],8))</f>
        <v/>
      </c>
      <c r="J30" s="12">
        <f>IF(COUNTIFS(T_SelfStock_Log[Part Name],$A30,T_SelfStock_Log[WeekIndex],9)=0,"",SUMIFS(T_SelfStock_Log[Self_Qty],T_SelfStock_Log[Part Name],$A30,T_SelfStock_Log[WeekIndex],9))</f>
        <v/>
      </c>
      <c r="K30" s="12">
        <f>IF(COUNTIFS(T_SelfStock_Log[Part Name],$A30,T_SelfStock_Log[WeekIndex],10)=0,"",SUMIFS(T_SelfStock_Log[Self_Qty],T_SelfStock_Log[Part Name],$A30,T_SelfStock_Log[WeekIndex],10))</f>
        <v/>
      </c>
      <c r="L30" s="12">
        <f>IF(COUNTIFS(T_SelfStock_Log[Part Name],$A30,T_SelfStock_Log[WeekIndex],11)=0,"",SUMIFS(T_SelfStock_Log[Self_Qty],T_SelfStock_Log[Part Name],$A30,T_SelfStock_Log[WeekIndex],11))</f>
        <v/>
      </c>
      <c r="M30" s="12">
        <f>IF(COUNTIFS(T_SelfStock_Log[Part Name],$A30,T_SelfStock_Log[WeekIndex],12)=0,"",SUMIFS(T_SelfStock_Log[Self_Qty],T_SelfStock_Log[Part Name],$A30,T_SelfStock_Log[WeekIndex],12))</f>
        <v/>
      </c>
      <c r="N30" s="12">
        <f>IF(COUNTIFS(T_SelfStock_Log[Part Name],$A30,T_SelfStock_Log[WeekIndex],13)=0,"",SUMIFS(T_SelfStock_Log[Self_Qty],T_SelfStock_Log[Part Name],$A30,T_SelfStock_Log[WeekIndex],13))</f>
        <v/>
      </c>
      <c r="O30" s="12">
        <f>IF(COUNTIFS(T_SelfStock_Log[Part Name],$A30,T_SelfStock_Log[WeekIndex],14)=0,"",SUMIFS(T_SelfStock_Log[Self_Qty],T_SelfStock_Log[Part Name],$A30,T_SelfStock_Log[WeekIndex],14))</f>
        <v/>
      </c>
      <c r="P30" s="12">
        <f>IF(COUNTIFS(T_SelfStock_Log[Part Name],$A30,T_SelfStock_Log[WeekIndex],15)=0,"",SUMIFS(T_SelfStock_Log[Self_Qty],T_SelfStock_Log[Part Name],$A30,T_SelfStock_Log[WeekIndex],15))</f>
        <v/>
      </c>
      <c r="Q30" s="12">
        <f>IF(COUNTIFS(T_SelfStock_Log[Part Name],$A30,T_SelfStock_Log[WeekIndex],16)=0,"",SUMIFS(T_SelfStock_Log[Self_Qty],T_SelfStock_Log[Part Name],$A30,T_SelfStock_Log[WeekIndex],16))</f>
        <v/>
      </c>
      <c r="R30" s="12">
        <f>IF(COUNTIFS(T_SelfStock_Log[Part Name],$A30,T_SelfStock_Log[WeekIndex],17)=0,"",SUMIFS(T_SelfStock_Log[Self_Qty],T_SelfStock_Log[Part Name],$A30,T_SelfStock_Log[WeekIndex],17))</f>
        <v/>
      </c>
      <c r="S30" s="12">
        <f>IF(COUNTIFS(T_SelfStock_Log[Part Name],$A30,T_SelfStock_Log[WeekIndex],18)=0,"",SUMIFS(T_SelfStock_Log[Self_Qty],T_SelfStock_Log[Part Name],$A30,T_SelfStock_Log[WeekIndex],18))</f>
        <v/>
      </c>
      <c r="T30" s="12">
        <f>IF(COUNTIFS(T_SelfStock_Log[Part Name],$A30,T_SelfStock_Log[WeekIndex],19)=0,"",SUMIFS(T_SelfStock_Log[Self_Qty],T_SelfStock_Log[Part Name],$A30,T_SelfStock_Log[WeekIndex],19))</f>
        <v/>
      </c>
      <c r="U30" s="12">
        <f>IF(COUNTIFS(T_SelfStock_Log[Part Name],$A30,T_SelfStock_Log[WeekIndex],20)=0,"",SUMIFS(T_SelfStock_Log[Self_Qty],T_SelfStock_Log[Part Name],$A30,T_SelfStock_Log[WeekIndex],20))</f>
        <v/>
      </c>
      <c r="V30" s="12">
        <f>IF(COUNTIFS(T_SelfStock_Log[Part Name],$A30,T_SelfStock_Log[WeekIndex],21)=0,"",SUMIFS(T_SelfStock_Log[Self_Qty],T_SelfStock_Log[Part Name],$A30,T_SelfStock_Log[WeekIndex],21))</f>
        <v/>
      </c>
      <c r="W30" s="12">
        <f>IF(COUNTIFS(T_SelfStock_Log[Part Name],$A30,T_SelfStock_Log[WeekIndex],22)=0,"",SUMIFS(T_SelfStock_Log[Self_Qty],T_SelfStock_Log[Part Name],$A30,T_SelfStock_Log[WeekIndex],22))</f>
        <v/>
      </c>
      <c r="X30" s="12">
        <f>IF(COUNTIFS(T_SelfStock_Log[Part Name],$A30,T_SelfStock_Log[WeekIndex],23)=0,"",SUMIFS(T_SelfStock_Log[Self_Qty],T_SelfStock_Log[Part Name],$A30,T_SelfStock_Log[WeekIndex],23))</f>
        <v/>
      </c>
      <c r="Y30" s="12">
        <f>IF(COUNTIFS(T_SelfStock_Log[Part Name],$A30,T_SelfStock_Log[WeekIndex],24)=0,"",SUMIFS(T_SelfStock_Log[Self_Qty],T_SelfStock_Log[Part Name],$A30,T_SelfStock_Log[WeekIndex],24))</f>
        <v/>
      </c>
      <c r="Z30" s="12">
        <f>IF(COUNTIFS(T_SelfStock_Log[Part Name],$A30,T_SelfStock_Log[WeekIndex],25)=0,"",SUMIFS(T_SelfStock_Log[Self_Qty],T_SelfStock_Log[Part Name],$A30,T_SelfStock_Log[WeekIndex],25))</f>
        <v/>
      </c>
      <c r="AA30" s="12">
        <f>IF(COUNTIFS(T_SelfStock_Log[Part Name],$A30,T_SelfStock_Log[WeekIndex],26)=0,"",SUMIFS(T_SelfStock_Log[Self_Qty],T_SelfStock_Log[Part Name],$A30,T_SelfStock_Log[WeekIndex],26))</f>
        <v/>
      </c>
      <c r="AB30" s="12">
        <f>IF(COUNTIFS(T_SelfStock_Log[Part Name],$A30,T_SelfStock_Log[WeekIndex],27)=0,"",SUMIFS(T_SelfStock_Log[Self_Qty],T_SelfStock_Log[Part Name],$A30,T_SelfStock_Log[WeekIndex],27))</f>
        <v/>
      </c>
      <c r="AC30" s="12">
        <f>IF(COUNTIFS(T_SelfStock_Log[Part Name],$A30,T_SelfStock_Log[WeekIndex],28)=0,"",SUMIFS(T_SelfStock_Log[Self_Qty],T_SelfStock_Log[Part Name],$A30,T_SelfStock_Log[WeekIndex],28))</f>
        <v/>
      </c>
      <c r="AD30" s="12">
        <f>IF(COUNTIFS(T_SelfStock_Log[Part Name],$A30,T_SelfStock_Log[WeekIndex],29)=0,"",SUMIFS(T_SelfStock_Log[Self_Qty],T_SelfStock_Log[Part Name],$A30,T_SelfStock_Log[WeekIndex],29))</f>
        <v/>
      </c>
      <c r="AE30" s="12">
        <f>IF(COUNTIFS(T_SelfStock_Log[Part Name],$A30,T_SelfStock_Log[WeekIndex],30)=0,"",SUMIFS(T_SelfStock_Log[Self_Qty],T_SelfStock_Log[Part Name],$A30,T_SelfStock_Log[WeekIndex],30))</f>
        <v/>
      </c>
      <c r="AF30" s="12">
        <f>IF(COUNTIFS(T_SelfStock_Log[Part Name],$A30,T_SelfStock_Log[WeekIndex],31)=0,"",SUMIFS(T_SelfStock_Log[Self_Qty],T_SelfStock_Log[Part Name],$A30,T_SelfStock_Log[WeekIndex],31))</f>
        <v/>
      </c>
      <c r="AG30" s="12">
        <f>IF(COUNTIFS(T_SelfStock_Log[Part Name],$A30,T_SelfStock_Log[WeekIndex],32)=0,"",SUMIFS(T_SelfStock_Log[Self_Qty],T_SelfStock_Log[Part Name],$A30,T_SelfStock_Log[WeekIndex],32))</f>
        <v/>
      </c>
      <c r="AH30" s="12">
        <f>IF(COUNTIFS(T_SelfStock_Log[Part Name],$A30,T_SelfStock_Log[WeekIndex],33)=0,"",SUMIFS(T_SelfStock_Log[Self_Qty],T_SelfStock_Log[Part Name],$A30,T_SelfStock_Log[WeekIndex],33))</f>
        <v/>
      </c>
      <c r="AI30" s="12">
        <f>IF(COUNTIFS(T_SelfStock_Log[Part Name],$A30,T_SelfStock_Log[WeekIndex],34)=0,"",SUMIFS(T_SelfStock_Log[Self_Qty],T_SelfStock_Log[Part Name],$A30,T_SelfStock_Log[WeekIndex],34))</f>
        <v/>
      </c>
      <c r="AJ30" s="12">
        <f>IF(COUNTIFS(T_SelfStock_Log[Part Name],$A30,T_SelfStock_Log[WeekIndex],35)=0,"",SUMIFS(T_SelfStock_Log[Self_Qty],T_SelfStock_Log[Part Name],$A30,T_SelfStock_Log[WeekIndex],35))</f>
        <v/>
      </c>
      <c r="AK30" s="12">
        <f>IF(COUNTIFS(T_SelfStock_Log[Part Name],$A30,T_SelfStock_Log[WeekIndex],36)=0,"",SUMIFS(T_SelfStock_Log[Self_Qty],T_SelfStock_Log[Part Name],$A30,T_SelfStock_Log[WeekIndex],36))</f>
        <v/>
      </c>
      <c r="AL30" s="12">
        <f>IF(COUNTIFS(T_SelfStock_Log[Part Name],$A30,T_SelfStock_Log[WeekIndex],37)=0,"",SUMIFS(T_SelfStock_Log[Self_Qty],T_SelfStock_Log[Part Name],$A30,T_SelfStock_Log[WeekIndex],37))</f>
        <v/>
      </c>
      <c r="AM30" s="12">
        <f>IF(COUNTIFS(T_SelfStock_Log[Part Name],$A30,T_SelfStock_Log[WeekIndex],38)=0,"",SUMIFS(T_SelfStock_Log[Self_Qty],T_SelfStock_Log[Part Name],$A30,T_SelfStock_Log[WeekIndex],38))</f>
        <v/>
      </c>
      <c r="AN30" s="12">
        <f>IF(COUNTIFS(T_SelfStock_Log[Part Name],$A30,T_SelfStock_Log[WeekIndex],39)=0,"",SUMIFS(T_SelfStock_Log[Self_Qty],T_SelfStock_Log[Part Name],$A30,T_SelfStock_Log[WeekIndex],39))</f>
        <v/>
      </c>
      <c r="AO30" s="12">
        <f>IF(COUNTIFS(T_SelfStock_Log[Part Name],$A30,T_SelfStock_Log[WeekIndex],40)=0,"",SUMIFS(T_SelfStock_Log[Self_Qty],T_SelfStock_Log[Part Name],$A30,T_SelfStock_Log[WeekIndex],40))</f>
        <v/>
      </c>
      <c r="AP30" s="12">
        <f>IF(COUNTIFS(T_SelfStock_Log[Part Name],$A30,T_SelfStock_Log[WeekIndex],41)=0,"",SUMIFS(T_SelfStock_Log[Self_Qty],T_SelfStock_Log[Part Name],$A30,T_SelfStock_Log[WeekIndex],41))</f>
        <v/>
      </c>
      <c r="AQ30" s="12">
        <f>IF(COUNTIFS(T_SelfStock_Log[Part Name],$A30,T_SelfStock_Log[WeekIndex],42)=0,"",SUMIFS(T_SelfStock_Log[Self_Qty],T_SelfStock_Log[Part Name],$A30,T_SelfStock_Log[WeekIndex],42))</f>
        <v/>
      </c>
      <c r="AR30" s="12">
        <f>IF(COUNTIFS(T_SelfStock_Log[Part Name],$A30,T_SelfStock_Log[WeekIndex],43)=0,"",SUMIFS(T_SelfStock_Log[Self_Qty],T_SelfStock_Log[Part Name],$A30,T_SelfStock_Log[WeekIndex],43))</f>
        <v/>
      </c>
      <c r="AS30" s="12">
        <f>IF(COUNTIFS(T_SelfStock_Log[Part Name],$A30,T_SelfStock_Log[WeekIndex],44)=0,"",SUMIFS(T_SelfStock_Log[Self_Qty],T_SelfStock_Log[Part Name],$A30,T_SelfStock_Log[WeekIndex],44))</f>
        <v/>
      </c>
      <c r="AT30" s="12">
        <f>IF(COUNTIFS(T_SelfStock_Log[Part Name],$A30,T_SelfStock_Log[WeekIndex],45)=0,"",SUMIFS(T_SelfStock_Log[Self_Qty],T_SelfStock_Log[Part Name],$A30,T_SelfStock_Log[WeekIndex],45))</f>
        <v/>
      </c>
      <c r="AU30" s="12">
        <f>IF(COUNTIFS(T_SelfStock_Log[Part Name],$A30,T_SelfStock_Log[WeekIndex],46)=0,"",SUMIFS(T_SelfStock_Log[Self_Qty],T_SelfStock_Log[Part Name],$A30,T_SelfStock_Log[WeekIndex],46))</f>
        <v/>
      </c>
      <c r="AV30" s="12">
        <f>IF(COUNTIFS(T_SelfStock_Log[Part Name],$A30,T_SelfStock_Log[WeekIndex],47)=0,"",SUMIFS(T_SelfStock_Log[Self_Qty],T_SelfStock_Log[Part Name],$A30,T_SelfStock_Log[WeekIndex],47))</f>
        <v/>
      </c>
      <c r="AW30" s="12">
        <f>IF(COUNTIFS(T_SelfStock_Log[Part Name],$A30,T_SelfStock_Log[WeekIndex],48)=0,"",SUMIFS(T_SelfStock_Log[Self_Qty],T_SelfStock_Log[Part Name],$A30,T_SelfStock_Log[WeekIndex],48))</f>
        <v/>
      </c>
      <c r="AX30" s="12">
        <f>IF(COUNTIFS(T_SelfStock_Log[Part Name],$A30,T_SelfStock_Log[WeekIndex],49)=0,"",SUMIFS(T_SelfStock_Log[Self_Qty],T_SelfStock_Log[Part Name],$A30,T_SelfStock_Log[WeekIndex],49))</f>
        <v/>
      </c>
      <c r="AY30" s="12">
        <f>IF(COUNTIFS(T_SelfStock_Log[Part Name],$A30,T_SelfStock_Log[WeekIndex],50)=0,"",SUMIFS(T_SelfStock_Log[Self_Qty],T_SelfStock_Log[Part Name],$A30,T_SelfStock_Log[WeekIndex],50))</f>
        <v/>
      </c>
      <c r="AZ30" s="12">
        <f>IF(COUNTIFS(T_SelfStock_Log[Part Name],$A30,T_SelfStock_Log[WeekIndex],51)=0,"",SUMIFS(T_SelfStock_Log[Self_Qty],T_SelfStock_Log[Part Name],$A30,T_SelfStock_Log[WeekIndex],51))</f>
        <v/>
      </c>
      <c r="BA30" s="12">
        <f>IF(COUNTIFS(T_SelfStock_Log[Part Name],$A30,T_SelfStock_Log[WeekIndex],52)=0,"",SUMIFS(T_SelfStock_Log[Self_Qty],T_SelfStock_Log[Part Name],$A30,T_SelfStock_Log[WeekIndex],52))</f>
        <v/>
      </c>
      <c r="BB30" s="12">
        <f>IF(COUNTIFS(T_SelfStock_Log[Part Name],$A30,T_SelfStock_Log[WeekIndex],53)=0,"",SUMIFS(T_SelfStock_Log[Self_Qty],T_SelfStock_Log[Part Name],$A30,T_SelfStock_Log[WeekIndex],53))</f>
        <v/>
      </c>
      <c r="BC30" s="12">
        <f>IF(COUNTIFS(T_SelfStock_Log[Part Name],$A30,T_SelfStock_Log[WeekIndex],54)=0,"",SUMIFS(T_SelfStock_Log[Self_Qty],T_SelfStock_Log[Part Name],$A30,T_SelfStock_Log[WeekIndex],54))</f>
        <v/>
      </c>
      <c r="BD30" s="12">
        <f>IF(COUNTIFS(T_SelfStock_Log[Part Name],$A30,T_SelfStock_Log[WeekIndex],55)=0,"",SUMIFS(T_SelfStock_Log[Self_Qty],T_SelfStock_Log[Part Name],$A30,T_SelfStock_Log[WeekIndex],55))</f>
        <v/>
      </c>
      <c r="BE30" s="12">
        <f>IF(COUNTIFS(T_SelfStock_Log[Part Name],$A30,T_SelfStock_Log[WeekIndex],56)=0,"",SUMIFS(T_SelfStock_Log[Self_Qty],T_SelfStock_Log[Part Name],$A30,T_SelfStock_Log[WeekIndex],56))</f>
        <v/>
      </c>
      <c r="BF30" s="12">
        <f>IF(COUNTIFS(T_SelfStock_Log[Part Name],$A30,T_SelfStock_Log[WeekIndex],57)=0,"",SUMIFS(T_SelfStock_Log[Self_Qty],T_SelfStock_Log[Part Name],$A30,T_SelfStock_Log[WeekIndex],57))</f>
        <v/>
      </c>
      <c r="BG30" s="12">
        <f>IF(COUNTIFS(T_SelfStock_Log[Part Name],$A30,T_SelfStock_Log[WeekIndex],58)=0,"",SUMIFS(T_SelfStock_Log[Self_Qty],T_SelfStock_Log[Part Name],$A30,T_SelfStock_Log[WeekIndex],58))</f>
        <v/>
      </c>
      <c r="BH30" s="12">
        <f>IF(COUNTIFS(T_SelfStock_Log[Part Name],$A30,T_SelfStock_Log[WeekIndex],59)=0,"",SUMIFS(T_SelfStock_Log[Self_Qty],T_SelfStock_Log[Part Name],$A30,T_SelfStock_Log[WeekIndex],59))</f>
        <v/>
      </c>
      <c r="BI30" s="12">
        <f>IF(COUNTIFS(T_SelfStock_Log[Part Name],$A30,T_SelfStock_Log[WeekIndex],60)=0,"",SUMIFS(T_SelfStock_Log[Self_Qty],T_SelfStock_Log[Part Name],$A30,T_SelfStock_Log[WeekIndex],60))</f>
        <v/>
      </c>
      <c r="BJ30" s="12">
        <f>IF(COUNTIFS(T_SelfStock_Log[Part Name],$A30,T_SelfStock_Log[WeekIndex],61)=0,"",SUMIFS(T_SelfStock_Log[Self_Qty],T_SelfStock_Log[Part Name],$A30,T_SelfStock_Log[WeekIndex],61))</f>
        <v/>
      </c>
      <c r="BK30" s="12">
        <f>IF(COUNTIFS(T_SelfStock_Log[Part Name],$A30,T_SelfStock_Log[WeekIndex],62)=0,"",SUMIFS(T_SelfStock_Log[Self_Qty],T_SelfStock_Log[Part Name],$A30,T_SelfStock_Log[WeekIndex],62))</f>
        <v/>
      </c>
      <c r="BL30" s="12">
        <f>IF(COUNTIFS(T_SelfStock_Log[Part Name],$A30,T_SelfStock_Log[WeekIndex],63)=0,"",SUMIFS(T_SelfStock_Log[Self_Qty],T_SelfStock_Log[Part Name],$A30,T_SelfStock_Log[WeekIndex],63))</f>
        <v/>
      </c>
      <c r="BM30" s="12">
        <f>IF(COUNTIFS(T_SelfStock_Log[Part Name],$A30,T_SelfStock_Log[WeekIndex],64)=0,"",SUMIFS(T_SelfStock_Log[Self_Qty],T_SelfStock_Log[Part Name],$A30,T_SelfStock_Log[WeekIndex],64))</f>
        <v/>
      </c>
      <c r="BN30" s="12">
        <f>IF(COUNTIFS(T_SelfStock_Log[Part Name],$A30,T_SelfStock_Log[WeekIndex],65)=0,"",SUMIFS(T_SelfStock_Log[Self_Qty],T_SelfStock_Log[Part Name],$A30,T_SelfStock_Log[WeekIndex],65))</f>
        <v/>
      </c>
      <c r="BO30" s="12">
        <f>IF(COUNTIFS(T_SelfStock_Log[Part Name],$A30,T_SelfStock_Log[WeekIndex],66)=0,"",SUMIFS(T_SelfStock_Log[Self_Qty],T_SelfStock_Log[Part Name],$A30,T_SelfStock_Log[WeekIndex],66))</f>
        <v/>
      </c>
      <c r="BP30" s="12">
        <f>IF(COUNTIFS(T_SelfStock_Log[Part Name],$A30,T_SelfStock_Log[WeekIndex],67)=0,"",SUMIFS(T_SelfStock_Log[Self_Qty],T_SelfStock_Log[Part Name],$A30,T_SelfStock_Log[WeekIndex],67))</f>
        <v/>
      </c>
      <c r="BQ30" s="12">
        <f>IF(COUNTIFS(T_SelfStock_Log[Part Name],$A30,T_SelfStock_Log[WeekIndex],68)=0,"",SUMIFS(T_SelfStock_Log[Self_Qty],T_SelfStock_Log[Part Name],$A30,T_SelfStock_Log[WeekIndex],68))</f>
        <v/>
      </c>
      <c r="BR30" s="12">
        <f>IF(COUNTIFS(T_SelfStock_Log[Part Name],$A30,T_SelfStock_Log[WeekIndex],69)=0,"",SUMIFS(T_SelfStock_Log[Self_Qty],T_SelfStock_Log[Part Name],$A30,T_SelfStock_Log[WeekIndex],69))</f>
        <v/>
      </c>
      <c r="BS30" s="12">
        <f>IF(COUNTIFS(T_SelfStock_Log[Part Name],$A30,T_SelfStock_Log[WeekIndex],70)=0,"",SUMIFS(T_SelfStock_Log[Self_Qty],T_SelfStock_Log[Part Name],$A30,T_SelfStock_Log[WeekIndex],70))</f>
        <v/>
      </c>
      <c r="BT30" s="12">
        <f>IF(COUNTIFS(T_SelfStock_Log[Part Name],$A30,T_SelfStock_Log[WeekIndex],71)=0,"",SUMIFS(T_SelfStock_Log[Self_Qty],T_SelfStock_Log[Part Name],$A30,T_SelfStock_Log[WeekIndex],71))</f>
        <v/>
      </c>
      <c r="BU30" s="12">
        <f>IF(COUNTIFS(T_SelfStock_Log[Part Name],$A30,T_SelfStock_Log[WeekIndex],72)=0,"",SUMIFS(T_SelfStock_Log[Self_Qty],T_SelfStock_Log[Part Name],$A30,T_SelfStock_Log[WeekIndex],72))</f>
        <v/>
      </c>
      <c r="BV30" s="12">
        <f>IF(COUNTIFS(T_SelfStock_Log[Part Name],$A30,T_SelfStock_Log[WeekIndex],73)=0,"",SUMIFS(T_SelfStock_Log[Self_Qty],T_SelfStock_Log[Part Name],$A30,T_SelfStock_Log[WeekIndex],73))</f>
        <v/>
      </c>
      <c r="BW30" s="12">
        <f>IF(COUNTIFS(T_SelfStock_Log[Part Name],$A30,T_SelfStock_Log[WeekIndex],74)=0,"",SUMIFS(T_SelfStock_Log[Self_Qty],T_SelfStock_Log[Part Name],$A30,T_SelfStock_Log[WeekIndex],74))</f>
        <v/>
      </c>
      <c r="BX30" s="12">
        <f>IF(COUNTIFS(T_SelfStock_Log[Part Name],$A30,T_SelfStock_Log[WeekIndex],75)=0,"",SUMIFS(T_SelfStock_Log[Self_Qty],T_SelfStock_Log[Part Name],$A30,T_SelfStock_Log[WeekIndex],75))</f>
        <v/>
      </c>
      <c r="BY30" s="12">
        <f>IF(COUNTIFS(T_SelfStock_Log[Part Name],$A30,T_SelfStock_Log[WeekIndex],76)=0,"",SUMIFS(T_SelfStock_Log[Self_Qty],T_SelfStock_Log[Part Name],$A30,T_SelfStock_Log[WeekIndex],76))</f>
        <v/>
      </c>
      <c r="BZ30" s="12">
        <f>IF(COUNTIFS(T_SelfStock_Log[Part Name],$A30,T_SelfStock_Log[WeekIndex],77)=0,"",SUMIFS(T_SelfStock_Log[Self_Qty],T_SelfStock_Log[Part Name],$A30,T_SelfStock_Log[WeekIndex],77))</f>
        <v/>
      </c>
      <c r="CA30" s="12">
        <f>IF(COUNTIFS(T_SelfStock_Log[Part Name],$A30,T_SelfStock_Log[WeekIndex],78)=0,"",SUMIFS(T_SelfStock_Log[Self_Qty],T_SelfStock_Log[Part Name],$A30,T_SelfStock_Log[WeekIndex],78))</f>
        <v/>
      </c>
      <c r="CB30" s="12">
        <f>IF(COUNTIFS(T_SelfStock_Log[Part Name],$A30,T_SelfStock_Log[WeekIndex],79)=0,"",SUMIFS(T_SelfStock_Log[Self_Qty],T_SelfStock_Log[Part Name],$A30,T_SelfStock_Log[WeekIndex],79))</f>
        <v/>
      </c>
      <c r="CC30" s="12">
        <f>IF(COUNTIFS(T_SelfStock_Log[Part Name],$A30,T_SelfStock_Log[WeekIndex],80)=0,"",SUMIFS(T_SelfStock_Log[Self_Qty],T_SelfStock_Log[Part Name],$A30,T_SelfStock_Log[WeekIndex],80))</f>
        <v/>
      </c>
      <c r="CD30" s="12">
        <f>IF(COUNTIFS(T_SelfStock_Log[Part Name],$A30,T_SelfStock_Log[WeekIndex],81)=0,"",SUMIFS(T_SelfStock_Log[Self_Qty],T_SelfStock_Log[Part Name],$A30,T_SelfStock_Log[WeekIndex],81))</f>
        <v/>
      </c>
      <c r="CE30" s="12">
        <f>IF(COUNTIFS(T_SelfStock_Log[Part Name],$A30,T_SelfStock_Log[WeekIndex],82)=0,"",SUMIFS(T_SelfStock_Log[Self_Qty],T_SelfStock_Log[Part Name],$A30,T_SelfStock_Log[WeekIndex],82))</f>
        <v/>
      </c>
      <c r="CF30" s="12">
        <f>IF(COUNTIFS(T_SelfStock_Log[Part Name],$A30,T_SelfStock_Log[WeekIndex],83)=0,"",SUMIFS(T_SelfStock_Log[Self_Qty],T_SelfStock_Log[Part Name],$A30,T_SelfStock_Log[WeekIndex],83))</f>
        <v/>
      </c>
      <c r="CG30" s="12">
        <f>IF(COUNTIFS(T_SelfStock_Log[Part Name],$A30,T_SelfStock_Log[WeekIndex],84)=0,"",SUMIFS(T_SelfStock_Log[Self_Qty],T_SelfStock_Log[Part Name],$A30,T_SelfStock_Log[WeekIndex],84))</f>
        <v/>
      </c>
      <c r="CH30" s="12">
        <f>IF(COUNTIFS(T_SelfStock_Log[Part Name],$A30,T_SelfStock_Log[WeekIndex],85)=0,"",SUMIFS(T_SelfStock_Log[Self_Qty],T_SelfStock_Log[Part Name],$A30,T_SelfStock_Log[WeekIndex],85))</f>
        <v/>
      </c>
      <c r="CI30" s="12">
        <f>IF(COUNTIFS(T_SelfStock_Log[Part Name],$A30,T_SelfStock_Log[WeekIndex],86)=0,"",SUMIFS(T_SelfStock_Log[Self_Qty],T_SelfStock_Log[Part Name],$A30,T_SelfStock_Log[WeekIndex],86))</f>
        <v/>
      </c>
      <c r="CJ30" s="12">
        <f>IF(COUNTIFS(T_SelfStock_Log[Part Name],$A30,T_SelfStock_Log[WeekIndex],87)=0,"",SUMIFS(T_SelfStock_Log[Self_Qty],T_SelfStock_Log[Part Name],$A30,T_SelfStock_Log[WeekIndex],87))</f>
        <v/>
      </c>
      <c r="CK30" s="12">
        <f>IF(COUNTIFS(T_SelfStock_Log[Part Name],$A30,T_SelfStock_Log[WeekIndex],88)=0,"",SUMIFS(T_SelfStock_Log[Self_Qty],T_SelfStock_Log[Part Name],$A30,T_SelfStock_Log[WeekIndex],88))</f>
        <v/>
      </c>
      <c r="CL30" s="12">
        <f>IF(COUNTIFS(T_SelfStock_Log[Part Name],$A30,T_SelfStock_Log[WeekIndex],89)=0,"",SUMIFS(T_SelfStock_Log[Self_Qty],T_SelfStock_Log[Part Name],$A30,T_SelfStock_Log[WeekIndex],89))</f>
        <v/>
      </c>
      <c r="CM30" s="12">
        <f>IF(COUNTIFS(T_SelfStock_Log[Part Name],$A30,T_SelfStock_Log[WeekIndex],90)=0,"",SUMIFS(T_SelfStock_Log[Self_Qty],T_SelfStock_Log[Part Name],$A30,T_SelfStock_Log[WeekIndex],90))</f>
        <v/>
      </c>
      <c r="CN30" s="12">
        <f>IF(COUNTIFS(T_SelfStock_Log[Part Name],$A30,T_SelfStock_Log[WeekIndex],91)=0,"",SUMIFS(T_SelfStock_Log[Self_Qty],T_SelfStock_Log[Part Name],$A30,T_SelfStock_Log[WeekIndex],91))</f>
        <v/>
      </c>
      <c r="CO30" s="12">
        <f>IF(COUNTIFS(T_SelfStock_Log[Part Name],$A30,T_SelfStock_Log[WeekIndex],92)=0,"",SUMIFS(T_SelfStock_Log[Self_Qty],T_SelfStock_Log[Part Name],$A30,T_SelfStock_Log[WeekIndex],92))</f>
        <v/>
      </c>
      <c r="CP30" s="12">
        <f>IF(COUNTIFS(T_SelfStock_Log[Part Name],$A30,T_SelfStock_Log[WeekIndex],93)=0,"",SUMIFS(T_SelfStock_Log[Self_Qty],T_SelfStock_Log[Part Name],$A30,T_SelfStock_Log[WeekIndex],93))</f>
        <v/>
      </c>
      <c r="CQ30" s="12">
        <f>IF(COUNTIFS(T_SelfStock_Log[Part Name],$A30,T_SelfStock_Log[WeekIndex],94)=0,"",SUMIFS(T_SelfStock_Log[Self_Qty],T_SelfStock_Log[Part Name],$A30,T_SelfStock_Log[WeekIndex],94))</f>
        <v/>
      </c>
      <c r="CR30" s="12">
        <f>IF(COUNTIFS(T_SelfStock_Log[Part Name],$A30,T_SelfStock_Log[WeekIndex],95)=0,"",SUMIFS(T_SelfStock_Log[Self_Qty],T_SelfStock_Log[Part Name],$A30,T_SelfStock_Log[WeekIndex],95))</f>
        <v/>
      </c>
      <c r="CS30" s="12">
        <f>IF(COUNTIFS(T_SelfStock_Log[Part Name],$A30,T_SelfStock_Log[WeekIndex],96)=0,"",SUMIFS(T_SelfStock_Log[Self_Qty],T_SelfStock_Log[Part Name],$A30,T_SelfStock_Log[WeekIndex],96))</f>
        <v/>
      </c>
      <c r="CT30" s="12">
        <f>IF(COUNTIFS(T_SelfStock_Log[Part Name],$A30,T_SelfStock_Log[WeekIndex],97)=0,"",SUMIFS(T_SelfStock_Log[Self_Qty],T_SelfStock_Log[Part Name],$A30,T_SelfStock_Log[WeekIndex],97))</f>
        <v/>
      </c>
      <c r="CU30" s="12">
        <f>IF(COUNTIFS(T_SelfStock_Log[Part Name],$A30,T_SelfStock_Log[WeekIndex],98)=0,"",SUMIFS(T_SelfStock_Log[Self_Qty],T_SelfStock_Log[Part Name],$A30,T_SelfStock_Log[WeekIndex],98))</f>
        <v/>
      </c>
      <c r="CV30" s="12">
        <f>IF(COUNTIFS(T_SelfStock_Log[Part Name],$A30,T_SelfStock_Log[WeekIndex],99)=0,"",SUMIFS(T_SelfStock_Log[Self_Qty],T_SelfStock_Log[Part Name],$A30,T_SelfStock_Log[WeekIndex],99))</f>
        <v/>
      </c>
      <c r="CW30" s="12">
        <f>IF(COUNTIFS(T_SelfStock_Log[Part Name],$A30,T_SelfStock_Log[WeekIndex],100)=0,"",SUMIFS(T_SelfStock_Log[Self_Qty],T_SelfStock_Log[Part Name],$A30,T_SelfStock_Log[WeekIndex],100))</f>
        <v/>
      </c>
      <c r="CX30" s="12">
        <f>IF(COUNTIFS(T_SelfStock_Log[Part Name],$A30,T_SelfStock_Log[WeekIndex],101)=0,"",SUMIFS(T_SelfStock_Log[Self_Qty],T_SelfStock_Log[Part Name],$A30,T_SelfStock_Log[WeekIndex],101))</f>
        <v/>
      </c>
      <c r="CY30" s="12">
        <f>IF(COUNTIFS(T_SelfStock_Log[Part Name],$A30,T_SelfStock_Log[WeekIndex],102)=0,"",SUMIFS(T_SelfStock_Log[Self_Qty],T_SelfStock_Log[Part Name],$A30,T_SelfStock_Log[WeekIndex],102))</f>
        <v/>
      </c>
      <c r="CZ30" s="12">
        <f>IF(COUNTIFS(T_SelfStock_Log[Part Name],$A30,T_SelfStock_Log[WeekIndex],103)=0,"",SUMIFS(T_SelfStock_Log[Self_Qty],T_SelfStock_Log[Part Name],$A30,T_SelfStock_Log[WeekIndex],103))</f>
        <v/>
      </c>
      <c r="DA30" s="12">
        <f>IF(COUNTIFS(T_SelfStock_Log[Part Name],$A30,T_SelfStock_Log[WeekIndex],104)=0,"",SUMIFS(T_SelfStock_Log[Self_Qty],T_SelfStock_Log[Part Name],$A30,T_SelfStock_Log[WeekIndex],104))</f>
        <v/>
      </c>
    </row>
    <row r="31">
      <c r="A31" s="13" t="inlineStr">
        <is>
          <t>CHEM-1680</t>
        </is>
      </c>
      <c r="B31" s="13">
        <f>IF(COUNTIFS(T_SelfStock_Log[Part Name],$A31,T_SelfStock_Log[WeekIndex],1)=0,"",SUMIFS(T_SelfStock_Log[Self_Qty],T_SelfStock_Log[Part Name],$A31,T_SelfStock_Log[WeekIndex],1))</f>
        <v/>
      </c>
      <c r="C31" s="13">
        <f>IF(COUNTIFS(T_SelfStock_Log[Part Name],$A31,T_SelfStock_Log[WeekIndex],2)=0,"",SUMIFS(T_SelfStock_Log[Self_Qty],T_SelfStock_Log[Part Name],$A31,T_SelfStock_Log[WeekIndex],2))</f>
        <v/>
      </c>
      <c r="D31" s="13">
        <f>IF(COUNTIFS(T_SelfStock_Log[Part Name],$A31,T_SelfStock_Log[WeekIndex],3)=0,"",SUMIFS(T_SelfStock_Log[Self_Qty],T_SelfStock_Log[Part Name],$A31,T_SelfStock_Log[WeekIndex],3))</f>
        <v/>
      </c>
      <c r="E31" s="13">
        <f>IF(COUNTIFS(T_SelfStock_Log[Part Name],$A31,T_SelfStock_Log[WeekIndex],4)=0,"",SUMIFS(T_SelfStock_Log[Self_Qty],T_SelfStock_Log[Part Name],$A31,T_SelfStock_Log[WeekIndex],4))</f>
        <v/>
      </c>
      <c r="F31" s="13">
        <f>IF(COUNTIFS(T_SelfStock_Log[Part Name],$A31,T_SelfStock_Log[WeekIndex],5)=0,"",SUMIFS(T_SelfStock_Log[Self_Qty],T_SelfStock_Log[Part Name],$A31,T_SelfStock_Log[WeekIndex],5))</f>
        <v/>
      </c>
      <c r="G31" s="13">
        <f>IF(COUNTIFS(T_SelfStock_Log[Part Name],$A31,T_SelfStock_Log[WeekIndex],6)=0,"",SUMIFS(T_SelfStock_Log[Self_Qty],T_SelfStock_Log[Part Name],$A31,T_SelfStock_Log[WeekIndex],6))</f>
        <v/>
      </c>
      <c r="H31" s="13">
        <f>IF(COUNTIFS(T_SelfStock_Log[Part Name],$A31,T_SelfStock_Log[WeekIndex],7)=0,"",SUMIFS(T_SelfStock_Log[Self_Qty],T_SelfStock_Log[Part Name],$A31,T_SelfStock_Log[WeekIndex],7))</f>
        <v/>
      </c>
      <c r="I31" s="13">
        <f>IF(COUNTIFS(T_SelfStock_Log[Part Name],$A31,T_SelfStock_Log[WeekIndex],8)=0,"",SUMIFS(T_SelfStock_Log[Self_Qty],T_SelfStock_Log[Part Name],$A31,T_SelfStock_Log[WeekIndex],8))</f>
        <v/>
      </c>
      <c r="J31" s="13">
        <f>IF(COUNTIFS(T_SelfStock_Log[Part Name],$A31,T_SelfStock_Log[WeekIndex],9)=0,"",SUMIFS(T_SelfStock_Log[Self_Qty],T_SelfStock_Log[Part Name],$A31,T_SelfStock_Log[WeekIndex],9))</f>
        <v/>
      </c>
      <c r="K31" s="13">
        <f>IF(COUNTIFS(T_SelfStock_Log[Part Name],$A31,T_SelfStock_Log[WeekIndex],10)=0,"",SUMIFS(T_SelfStock_Log[Self_Qty],T_SelfStock_Log[Part Name],$A31,T_SelfStock_Log[WeekIndex],10))</f>
        <v/>
      </c>
      <c r="L31" s="13">
        <f>IF(COUNTIFS(T_SelfStock_Log[Part Name],$A31,T_SelfStock_Log[WeekIndex],11)=0,"",SUMIFS(T_SelfStock_Log[Self_Qty],T_SelfStock_Log[Part Name],$A31,T_SelfStock_Log[WeekIndex],11))</f>
        <v/>
      </c>
      <c r="M31" s="13">
        <f>IF(COUNTIFS(T_SelfStock_Log[Part Name],$A31,T_SelfStock_Log[WeekIndex],12)=0,"",SUMIFS(T_SelfStock_Log[Self_Qty],T_SelfStock_Log[Part Name],$A31,T_SelfStock_Log[WeekIndex],12))</f>
        <v/>
      </c>
      <c r="N31" s="13">
        <f>IF(COUNTIFS(T_SelfStock_Log[Part Name],$A31,T_SelfStock_Log[WeekIndex],13)=0,"",SUMIFS(T_SelfStock_Log[Self_Qty],T_SelfStock_Log[Part Name],$A31,T_SelfStock_Log[WeekIndex],13))</f>
        <v/>
      </c>
      <c r="O31" s="13">
        <f>IF(COUNTIFS(T_SelfStock_Log[Part Name],$A31,T_SelfStock_Log[WeekIndex],14)=0,"",SUMIFS(T_SelfStock_Log[Self_Qty],T_SelfStock_Log[Part Name],$A31,T_SelfStock_Log[WeekIndex],14))</f>
        <v/>
      </c>
      <c r="P31" s="13">
        <f>IF(COUNTIFS(T_SelfStock_Log[Part Name],$A31,T_SelfStock_Log[WeekIndex],15)=0,"",SUMIFS(T_SelfStock_Log[Self_Qty],T_SelfStock_Log[Part Name],$A31,T_SelfStock_Log[WeekIndex],15))</f>
        <v/>
      </c>
      <c r="Q31" s="13">
        <f>IF(COUNTIFS(T_SelfStock_Log[Part Name],$A31,T_SelfStock_Log[WeekIndex],16)=0,"",SUMIFS(T_SelfStock_Log[Self_Qty],T_SelfStock_Log[Part Name],$A31,T_SelfStock_Log[WeekIndex],16))</f>
        <v/>
      </c>
      <c r="R31" s="13">
        <f>IF(COUNTIFS(T_SelfStock_Log[Part Name],$A31,T_SelfStock_Log[WeekIndex],17)=0,"",SUMIFS(T_SelfStock_Log[Self_Qty],T_SelfStock_Log[Part Name],$A31,T_SelfStock_Log[WeekIndex],17))</f>
        <v/>
      </c>
      <c r="S31" s="13">
        <f>IF(COUNTIFS(T_SelfStock_Log[Part Name],$A31,T_SelfStock_Log[WeekIndex],18)=0,"",SUMIFS(T_SelfStock_Log[Self_Qty],T_SelfStock_Log[Part Name],$A31,T_SelfStock_Log[WeekIndex],18))</f>
        <v/>
      </c>
      <c r="T31" s="13">
        <f>IF(COUNTIFS(T_SelfStock_Log[Part Name],$A31,T_SelfStock_Log[WeekIndex],19)=0,"",SUMIFS(T_SelfStock_Log[Self_Qty],T_SelfStock_Log[Part Name],$A31,T_SelfStock_Log[WeekIndex],19))</f>
        <v/>
      </c>
      <c r="U31" s="13">
        <f>IF(COUNTIFS(T_SelfStock_Log[Part Name],$A31,T_SelfStock_Log[WeekIndex],20)=0,"",SUMIFS(T_SelfStock_Log[Self_Qty],T_SelfStock_Log[Part Name],$A31,T_SelfStock_Log[WeekIndex],20))</f>
        <v/>
      </c>
      <c r="V31" s="13">
        <f>IF(COUNTIFS(T_SelfStock_Log[Part Name],$A31,T_SelfStock_Log[WeekIndex],21)=0,"",SUMIFS(T_SelfStock_Log[Self_Qty],T_SelfStock_Log[Part Name],$A31,T_SelfStock_Log[WeekIndex],21))</f>
        <v/>
      </c>
      <c r="W31" s="13">
        <f>IF(COUNTIFS(T_SelfStock_Log[Part Name],$A31,T_SelfStock_Log[WeekIndex],22)=0,"",SUMIFS(T_SelfStock_Log[Self_Qty],T_SelfStock_Log[Part Name],$A31,T_SelfStock_Log[WeekIndex],22))</f>
        <v/>
      </c>
      <c r="X31" s="13">
        <f>IF(COUNTIFS(T_SelfStock_Log[Part Name],$A31,T_SelfStock_Log[WeekIndex],23)=0,"",SUMIFS(T_SelfStock_Log[Self_Qty],T_SelfStock_Log[Part Name],$A31,T_SelfStock_Log[WeekIndex],23))</f>
        <v/>
      </c>
      <c r="Y31" s="13">
        <f>IF(COUNTIFS(T_SelfStock_Log[Part Name],$A31,T_SelfStock_Log[WeekIndex],24)=0,"",SUMIFS(T_SelfStock_Log[Self_Qty],T_SelfStock_Log[Part Name],$A31,T_SelfStock_Log[WeekIndex],24))</f>
        <v/>
      </c>
      <c r="Z31" s="13">
        <f>IF(COUNTIFS(T_SelfStock_Log[Part Name],$A31,T_SelfStock_Log[WeekIndex],25)=0,"",SUMIFS(T_SelfStock_Log[Self_Qty],T_SelfStock_Log[Part Name],$A31,T_SelfStock_Log[WeekIndex],25))</f>
        <v/>
      </c>
      <c r="AA31" s="13">
        <f>IF(COUNTIFS(T_SelfStock_Log[Part Name],$A31,T_SelfStock_Log[WeekIndex],26)=0,"",SUMIFS(T_SelfStock_Log[Self_Qty],T_SelfStock_Log[Part Name],$A31,T_SelfStock_Log[WeekIndex],26))</f>
        <v/>
      </c>
      <c r="AB31" s="13">
        <f>IF(COUNTIFS(T_SelfStock_Log[Part Name],$A31,T_SelfStock_Log[WeekIndex],27)=0,"",SUMIFS(T_SelfStock_Log[Self_Qty],T_SelfStock_Log[Part Name],$A31,T_SelfStock_Log[WeekIndex],27))</f>
        <v/>
      </c>
      <c r="AC31" s="13">
        <f>IF(COUNTIFS(T_SelfStock_Log[Part Name],$A31,T_SelfStock_Log[WeekIndex],28)=0,"",SUMIFS(T_SelfStock_Log[Self_Qty],T_SelfStock_Log[Part Name],$A31,T_SelfStock_Log[WeekIndex],28))</f>
        <v/>
      </c>
      <c r="AD31" s="13">
        <f>IF(COUNTIFS(T_SelfStock_Log[Part Name],$A31,T_SelfStock_Log[WeekIndex],29)=0,"",SUMIFS(T_SelfStock_Log[Self_Qty],T_SelfStock_Log[Part Name],$A31,T_SelfStock_Log[WeekIndex],29))</f>
        <v/>
      </c>
      <c r="AE31" s="13">
        <f>IF(COUNTIFS(T_SelfStock_Log[Part Name],$A31,T_SelfStock_Log[WeekIndex],30)=0,"",SUMIFS(T_SelfStock_Log[Self_Qty],T_SelfStock_Log[Part Name],$A31,T_SelfStock_Log[WeekIndex],30))</f>
        <v/>
      </c>
      <c r="AF31" s="13">
        <f>IF(COUNTIFS(T_SelfStock_Log[Part Name],$A31,T_SelfStock_Log[WeekIndex],31)=0,"",SUMIFS(T_SelfStock_Log[Self_Qty],T_SelfStock_Log[Part Name],$A31,T_SelfStock_Log[WeekIndex],31))</f>
        <v/>
      </c>
      <c r="AG31" s="13">
        <f>IF(COUNTIFS(T_SelfStock_Log[Part Name],$A31,T_SelfStock_Log[WeekIndex],32)=0,"",SUMIFS(T_SelfStock_Log[Self_Qty],T_SelfStock_Log[Part Name],$A31,T_SelfStock_Log[WeekIndex],32))</f>
        <v/>
      </c>
      <c r="AH31" s="13">
        <f>IF(COUNTIFS(T_SelfStock_Log[Part Name],$A31,T_SelfStock_Log[WeekIndex],33)=0,"",SUMIFS(T_SelfStock_Log[Self_Qty],T_SelfStock_Log[Part Name],$A31,T_SelfStock_Log[WeekIndex],33))</f>
        <v/>
      </c>
      <c r="AI31" s="13">
        <f>IF(COUNTIFS(T_SelfStock_Log[Part Name],$A31,T_SelfStock_Log[WeekIndex],34)=0,"",SUMIFS(T_SelfStock_Log[Self_Qty],T_SelfStock_Log[Part Name],$A31,T_SelfStock_Log[WeekIndex],34))</f>
        <v/>
      </c>
      <c r="AJ31" s="13">
        <f>IF(COUNTIFS(T_SelfStock_Log[Part Name],$A31,T_SelfStock_Log[WeekIndex],35)=0,"",SUMIFS(T_SelfStock_Log[Self_Qty],T_SelfStock_Log[Part Name],$A31,T_SelfStock_Log[WeekIndex],35))</f>
        <v/>
      </c>
      <c r="AK31" s="13">
        <f>IF(COUNTIFS(T_SelfStock_Log[Part Name],$A31,T_SelfStock_Log[WeekIndex],36)=0,"",SUMIFS(T_SelfStock_Log[Self_Qty],T_SelfStock_Log[Part Name],$A31,T_SelfStock_Log[WeekIndex],36))</f>
        <v/>
      </c>
      <c r="AL31" s="13">
        <f>IF(COUNTIFS(T_SelfStock_Log[Part Name],$A31,T_SelfStock_Log[WeekIndex],37)=0,"",SUMIFS(T_SelfStock_Log[Self_Qty],T_SelfStock_Log[Part Name],$A31,T_SelfStock_Log[WeekIndex],37))</f>
        <v/>
      </c>
      <c r="AM31" s="13">
        <f>IF(COUNTIFS(T_SelfStock_Log[Part Name],$A31,T_SelfStock_Log[WeekIndex],38)=0,"",SUMIFS(T_SelfStock_Log[Self_Qty],T_SelfStock_Log[Part Name],$A31,T_SelfStock_Log[WeekIndex],38))</f>
        <v/>
      </c>
      <c r="AN31" s="13">
        <f>IF(COUNTIFS(T_SelfStock_Log[Part Name],$A31,T_SelfStock_Log[WeekIndex],39)=0,"",SUMIFS(T_SelfStock_Log[Self_Qty],T_SelfStock_Log[Part Name],$A31,T_SelfStock_Log[WeekIndex],39))</f>
        <v/>
      </c>
      <c r="AO31" s="13">
        <f>IF(COUNTIFS(T_SelfStock_Log[Part Name],$A31,T_SelfStock_Log[WeekIndex],40)=0,"",SUMIFS(T_SelfStock_Log[Self_Qty],T_SelfStock_Log[Part Name],$A31,T_SelfStock_Log[WeekIndex],40))</f>
        <v/>
      </c>
      <c r="AP31" s="13">
        <f>IF(COUNTIFS(T_SelfStock_Log[Part Name],$A31,T_SelfStock_Log[WeekIndex],41)=0,"",SUMIFS(T_SelfStock_Log[Self_Qty],T_SelfStock_Log[Part Name],$A31,T_SelfStock_Log[WeekIndex],41))</f>
        <v/>
      </c>
      <c r="AQ31" s="13">
        <f>IF(COUNTIFS(T_SelfStock_Log[Part Name],$A31,T_SelfStock_Log[WeekIndex],42)=0,"",SUMIFS(T_SelfStock_Log[Self_Qty],T_SelfStock_Log[Part Name],$A31,T_SelfStock_Log[WeekIndex],42))</f>
        <v/>
      </c>
      <c r="AR31" s="13">
        <f>IF(COUNTIFS(T_SelfStock_Log[Part Name],$A31,T_SelfStock_Log[WeekIndex],43)=0,"",SUMIFS(T_SelfStock_Log[Self_Qty],T_SelfStock_Log[Part Name],$A31,T_SelfStock_Log[WeekIndex],43))</f>
        <v/>
      </c>
      <c r="AS31" s="13">
        <f>IF(COUNTIFS(T_SelfStock_Log[Part Name],$A31,T_SelfStock_Log[WeekIndex],44)=0,"",SUMIFS(T_SelfStock_Log[Self_Qty],T_SelfStock_Log[Part Name],$A31,T_SelfStock_Log[WeekIndex],44))</f>
        <v/>
      </c>
      <c r="AT31" s="13">
        <f>IF(COUNTIFS(T_SelfStock_Log[Part Name],$A31,T_SelfStock_Log[WeekIndex],45)=0,"",SUMIFS(T_SelfStock_Log[Self_Qty],T_SelfStock_Log[Part Name],$A31,T_SelfStock_Log[WeekIndex],45))</f>
        <v/>
      </c>
      <c r="AU31" s="13">
        <f>IF(COUNTIFS(T_SelfStock_Log[Part Name],$A31,T_SelfStock_Log[WeekIndex],46)=0,"",SUMIFS(T_SelfStock_Log[Self_Qty],T_SelfStock_Log[Part Name],$A31,T_SelfStock_Log[WeekIndex],46))</f>
        <v/>
      </c>
      <c r="AV31" s="13">
        <f>IF(COUNTIFS(T_SelfStock_Log[Part Name],$A31,T_SelfStock_Log[WeekIndex],47)=0,"",SUMIFS(T_SelfStock_Log[Self_Qty],T_SelfStock_Log[Part Name],$A31,T_SelfStock_Log[WeekIndex],47))</f>
        <v/>
      </c>
      <c r="AW31" s="13">
        <f>IF(COUNTIFS(T_SelfStock_Log[Part Name],$A31,T_SelfStock_Log[WeekIndex],48)=0,"",SUMIFS(T_SelfStock_Log[Self_Qty],T_SelfStock_Log[Part Name],$A31,T_SelfStock_Log[WeekIndex],48))</f>
        <v/>
      </c>
      <c r="AX31" s="13">
        <f>IF(COUNTIFS(T_SelfStock_Log[Part Name],$A31,T_SelfStock_Log[WeekIndex],49)=0,"",SUMIFS(T_SelfStock_Log[Self_Qty],T_SelfStock_Log[Part Name],$A31,T_SelfStock_Log[WeekIndex],49))</f>
        <v/>
      </c>
      <c r="AY31" s="13">
        <f>IF(COUNTIFS(T_SelfStock_Log[Part Name],$A31,T_SelfStock_Log[WeekIndex],50)=0,"",SUMIFS(T_SelfStock_Log[Self_Qty],T_SelfStock_Log[Part Name],$A31,T_SelfStock_Log[WeekIndex],50))</f>
        <v/>
      </c>
      <c r="AZ31" s="13">
        <f>IF(COUNTIFS(T_SelfStock_Log[Part Name],$A31,T_SelfStock_Log[WeekIndex],51)=0,"",SUMIFS(T_SelfStock_Log[Self_Qty],T_SelfStock_Log[Part Name],$A31,T_SelfStock_Log[WeekIndex],51))</f>
        <v/>
      </c>
      <c r="BA31" s="13">
        <f>IF(COUNTIFS(T_SelfStock_Log[Part Name],$A31,T_SelfStock_Log[WeekIndex],52)=0,"",SUMIFS(T_SelfStock_Log[Self_Qty],T_SelfStock_Log[Part Name],$A31,T_SelfStock_Log[WeekIndex],52))</f>
        <v/>
      </c>
      <c r="BB31" s="13">
        <f>IF(COUNTIFS(T_SelfStock_Log[Part Name],$A31,T_SelfStock_Log[WeekIndex],53)=0,"",SUMIFS(T_SelfStock_Log[Self_Qty],T_SelfStock_Log[Part Name],$A31,T_SelfStock_Log[WeekIndex],53))</f>
        <v/>
      </c>
      <c r="BC31" s="13">
        <f>IF(COUNTIFS(T_SelfStock_Log[Part Name],$A31,T_SelfStock_Log[WeekIndex],54)=0,"",SUMIFS(T_SelfStock_Log[Self_Qty],T_SelfStock_Log[Part Name],$A31,T_SelfStock_Log[WeekIndex],54))</f>
        <v/>
      </c>
      <c r="BD31" s="13">
        <f>IF(COUNTIFS(T_SelfStock_Log[Part Name],$A31,T_SelfStock_Log[WeekIndex],55)=0,"",SUMIFS(T_SelfStock_Log[Self_Qty],T_SelfStock_Log[Part Name],$A31,T_SelfStock_Log[WeekIndex],55))</f>
        <v/>
      </c>
      <c r="BE31" s="13">
        <f>IF(COUNTIFS(T_SelfStock_Log[Part Name],$A31,T_SelfStock_Log[WeekIndex],56)=0,"",SUMIFS(T_SelfStock_Log[Self_Qty],T_SelfStock_Log[Part Name],$A31,T_SelfStock_Log[WeekIndex],56))</f>
        <v/>
      </c>
      <c r="BF31" s="13">
        <f>IF(COUNTIFS(T_SelfStock_Log[Part Name],$A31,T_SelfStock_Log[WeekIndex],57)=0,"",SUMIFS(T_SelfStock_Log[Self_Qty],T_SelfStock_Log[Part Name],$A31,T_SelfStock_Log[WeekIndex],57))</f>
        <v/>
      </c>
      <c r="BG31" s="13">
        <f>IF(COUNTIFS(T_SelfStock_Log[Part Name],$A31,T_SelfStock_Log[WeekIndex],58)=0,"",SUMIFS(T_SelfStock_Log[Self_Qty],T_SelfStock_Log[Part Name],$A31,T_SelfStock_Log[WeekIndex],58))</f>
        <v/>
      </c>
      <c r="BH31" s="13">
        <f>IF(COUNTIFS(T_SelfStock_Log[Part Name],$A31,T_SelfStock_Log[WeekIndex],59)=0,"",SUMIFS(T_SelfStock_Log[Self_Qty],T_SelfStock_Log[Part Name],$A31,T_SelfStock_Log[WeekIndex],59))</f>
        <v/>
      </c>
      <c r="BI31" s="13">
        <f>IF(COUNTIFS(T_SelfStock_Log[Part Name],$A31,T_SelfStock_Log[WeekIndex],60)=0,"",SUMIFS(T_SelfStock_Log[Self_Qty],T_SelfStock_Log[Part Name],$A31,T_SelfStock_Log[WeekIndex],60))</f>
        <v/>
      </c>
      <c r="BJ31" s="13">
        <f>IF(COUNTIFS(T_SelfStock_Log[Part Name],$A31,T_SelfStock_Log[WeekIndex],61)=0,"",SUMIFS(T_SelfStock_Log[Self_Qty],T_SelfStock_Log[Part Name],$A31,T_SelfStock_Log[WeekIndex],61))</f>
        <v/>
      </c>
      <c r="BK31" s="13">
        <f>IF(COUNTIFS(T_SelfStock_Log[Part Name],$A31,T_SelfStock_Log[WeekIndex],62)=0,"",SUMIFS(T_SelfStock_Log[Self_Qty],T_SelfStock_Log[Part Name],$A31,T_SelfStock_Log[WeekIndex],62))</f>
        <v/>
      </c>
      <c r="BL31" s="13">
        <f>IF(COUNTIFS(T_SelfStock_Log[Part Name],$A31,T_SelfStock_Log[WeekIndex],63)=0,"",SUMIFS(T_SelfStock_Log[Self_Qty],T_SelfStock_Log[Part Name],$A31,T_SelfStock_Log[WeekIndex],63))</f>
        <v/>
      </c>
      <c r="BM31" s="13">
        <f>IF(COUNTIFS(T_SelfStock_Log[Part Name],$A31,T_SelfStock_Log[WeekIndex],64)=0,"",SUMIFS(T_SelfStock_Log[Self_Qty],T_SelfStock_Log[Part Name],$A31,T_SelfStock_Log[WeekIndex],64))</f>
        <v/>
      </c>
      <c r="BN31" s="13">
        <f>IF(COUNTIFS(T_SelfStock_Log[Part Name],$A31,T_SelfStock_Log[WeekIndex],65)=0,"",SUMIFS(T_SelfStock_Log[Self_Qty],T_SelfStock_Log[Part Name],$A31,T_SelfStock_Log[WeekIndex],65))</f>
        <v/>
      </c>
      <c r="BO31" s="13">
        <f>IF(COUNTIFS(T_SelfStock_Log[Part Name],$A31,T_SelfStock_Log[WeekIndex],66)=0,"",SUMIFS(T_SelfStock_Log[Self_Qty],T_SelfStock_Log[Part Name],$A31,T_SelfStock_Log[WeekIndex],66))</f>
        <v/>
      </c>
      <c r="BP31" s="13">
        <f>IF(COUNTIFS(T_SelfStock_Log[Part Name],$A31,T_SelfStock_Log[WeekIndex],67)=0,"",SUMIFS(T_SelfStock_Log[Self_Qty],T_SelfStock_Log[Part Name],$A31,T_SelfStock_Log[WeekIndex],67))</f>
        <v/>
      </c>
      <c r="BQ31" s="13">
        <f>IF(COUNTIFS(T_SelfStock_Log[Part Name],$A31,T_SelfStock_Log[WeekIndex],68)=0,"",SUMIFS(T_SelfStock_Log[Self_Qty],T_SelfStock_Log[Part Name],$A31,T_SelfStock_Log[WeekIndex],68))</f>
        <v/>
      </c>
      <c r="BR31" s="13">
        <f>IF(COUNTIFS(T_SelfStock_Log[Part Name],$A31,T_SelfStock_Log[WeekIndex],69)=0,"",SUMIFS(T_SelfStock_Log[Self_Qty],T_SelfStock_Log[Part Name],$A31,T_SelfStock_Log[WeekIndex],69))</f>
        <v/>
      </c>
      <c r="BS31" s="13">
        <f>IF(COUNTIFS(T_SelfStock_Log[Part Name],$A31,T_SelfStock_Log[WeekIndex],70)=0,"",SUMIFS(T_SelfStock_Log[Self_Qty],T_SelfStock_Log[Part Name],$A31,T_SelfStock_Log[WeekIndex],70))</f>
        <v/>
      </c>
      <c r="BT31" s="13">
        <f>IF(COUNTIFS(T_SelfStock_Log[Part Name],$A31,T_SelfStock_Log[WeekIndex],71)=0,"",SUMIFS(T_SelfStock_Log[Self_Qty],T_SelfStock_Log[Part Name],$A31,T_SelfStock_Log[WeekIndex],71))</f>
        <v/>
      </c>
      <c r="BU31" s="13">
        <f>IF(COUNTIFS(T_SelfStock_Log[Part Name],$A31,T_SelfStock_Log[WeekIndex],72)=0,"",SUMIFS(T_SelfStock_Log[Self_Qty],T_SelfStock_Log[Part Name],$A31,T_SelfStock_Log[WeekIndex],72))</f>
        <v/>
      </c>
      <c r="BV31" s="13">
        <f>IF(COUNTIFS(T_SelfStock_Log[Part Name],$A31,T_SelfStock_Log[WeekIndex],73)=0,"",SUMIFS(T_SelfStock_Log[Self_Qty],T_SelfStock_Log[Part Name],$A31,T_SelfStock_Log[WeekIndex],73))</f>
        <v/>
      </c>
      <c r="BW31" s="13">
        <f>IF(COUNTIFS(T_SelfStock_Log[Part Name],$A31,T_SelfStock_Log[WeekIndex],74)=0,"",SUMIFS(T_SelfStock_Log[Self_Qty],T_SelfStock_Log[Part Name],$A31,T_SelfStock_Log[WeekIndex],74))</f>
        <v/>
      </c>
      <c r="BX31" s="13">
        <f>IF(COUNTIFS(T_SelfStock_Log[Part Name],$A31,T_SelfStock_Log[WeekIndex],75)=0,"",SUMIFS(T_SelfStock_Log[Self_Qty],T_SelfStock_Log[Part Name],$A31,T_SelfStock_Log[WeekIndex],75))</f>
        <v/>
      </c>
      <c r="BY31" s="13">
        <f>IF(COUNTIFS(T_SelfStock_Log[Part Name],$A31,T_SelfStock_Log[WeekIndex],76)=0,"",SUMIFS(T_SelfStock_Log[Self_Qty],T_SelfStock_Log[Part Name],$A31,T_SelfStock_Log[WeekIndex],76))</f>
        <v/>
      </c>
      <c r="BZ31" s="13">
        <f>IF(COUNTIFS(T_SelfStock_Log[Part Name],$A31,T_SelfStock_Log[WeekIndex],77)=0,"",SUMIFS(T_SelfStock_Log[Self_Qty],T_SelfStock_Log[Part Name],$A31,T_SelfStock_Log[WeekIndex],77))</f>
        <v/>
      </c>
      <c r="CA31" s="13">
        <f>IF(COUNTIFS(T_SelfStock_Log[Part Name],$A31,T_SelfStock_Log[WeekIndex],78)=0,"",SUMIFS(T_SelfStock_Log[Self_Qty],T_SelfStock_Log[Part Name],$A31,T_SelfStock_Log[WeekIndex],78))</f>
        <v/>
      </c>
      <c r="CB31" s="13">
        <f>IF(COUNTIFS(T_SelfStock_Log[Part Name],$A31,T_SelfStock_Log[WeekIndex],79)=0,"",SUMIFS(T_SelfStock_Log[Self_Qty],T_SelfStock_Log[Part Name],$A31,T_SelfStock_Log[WeekIndex],79))</f>
        <v/>
      </c>
      <c r="CC31" s="13">
        <f>IF(COUNTIFS(T_SelfStock_Log[Part Name],$A31,T_SelfStock_Log[WeekIndex],80)=0,"",SUMIFS(T_SelfStock_Log[Self_Qty],T_SelfStock_Log[Part Name],$A31,T_SelfStock_Log[WeekIndex],80))</f>
        <v/>
      </c>
      <c r="CD31" s="13">
        <f>IF(COUNTIFS(T_SelfStock_Log[Part Name],$A31,T_SelfStock_Log[WeekIndex],81)=0,"",SUMIFS(T_SelfStock_Log[Self_Qty],T_SelfStock_Log[Part Name],$A31,T_SelfStock_Log[WeekIndex],81))</f>
        <v/>
      </c>
      <c r="CE31" s="13">
        <f>IF(COUNTIFS(T_SelfStock_Log[Part Name],$A31,T_SelfStock_Log[WeekIndex],82)=0,"",SUMIFS(T_SelfStock_Log[Self_Qty],T_SelfStock_Log[Part Name],$A31,T_SelfStock_Log[WeekIndex],82))</f>
        <v/>
      </c>
      <c r="CF31" s="13">
        <f>IF(COUNTIFS(T_SelfStock_Log[Part Name],$A31,T_SelfStock_Log[WeekIndex],83)=0,"",SUMIFS(T_SelfStock_Log[Self_Qty],T_SelfStock_Log[Part Name],$A31,T_SelfStock_Log[WeekIndex],83))</f>
        <v/>
      </c>
      <c r="CG31" s="13">
        <f>IF(COUNTIFS(T_SelfStock_Log[Part Name],$A31,T_SelfStock_Log[WeekIndex],84)=0,"",SUMIFS(T_SelfStock_Log[Self_Qty],T_SelfStock_Log[Part Name],$A31,T_SelfStock_Log[WeekIndex],84))</f>
        <v/>
      </c>
      <c r="CH31" s="13">
        <f>IF(COUNTIFS(T_SelfStock_Log[Part Name],$A31,T_SelfStock_Log[WeekIndex],85)=0,"",SUMIFS(T_SelfStock_Log[Self_Qty],T_SelfStock_Log[Part Name],$A31,T_SelfStock_Log[WeekIndex],85))</f>
        <v/>
      </c>
      <c r="CI31" s="13">
        <f>IF(COUNTIFS(T_SelfStock_Log[Part Name],$A31,T_SelfStock_Log[WeekIndex],86)=0,"",SUMIFS(T_SelfStock_Log[Self_Qty],T_SelfStock_Log[Part Name],$A31,T_SelfStock_Log[WeekIndex],86))</f>
        <v/>
      </c>
      <c r="CJ31" s="13">
        <f>IF(COUNTIFS(T_SelfStock_Log[Part Name],$A31,T_SelfStock_Log[WeekIndex],87)=0,"",SUMIFS(T_SelfStock_Log[Self_Qty],T_SelfStock_Log[Part Name],$A31,T_SelfStock_Log[WeekIndex],87))</f>
        <v/>
      </c>
      <c r="CK31" s="13">
        <f>IF(COUNTIFS(T_SelfStock_Log[Part Name],$A31,T_SelfStock_Log[WeekIndex],88)=0,"",SUMIFS(T_SelfStock_Log[Self_Qty],T_SelfStock_Log[Part Name],$A31,T_SelfStock_Log[WeekIndex],88))</f>
        <v/>
      </c>
      <c r="CL31" s="13">
        <f>IF(COUNTIFS(T_SelfStock_Log[Part Name],$A31,T_SelfStock_Log[WeekIndex],89)=0,"",SUMIFS(T_SelfStock_Log[Self_Qty],T_SelfStock_Log[Part Name],$A31,T_SelfStock_Log[WeekIndex],89))</f>
        <v/>
      </c>
      <c r="CM31" s="13">
        <f>IF(COUNTIFS(T_SelfStock_Log[Part Name],$A31,T_SelfStock_Log[WeekIndex],90)=0,"",SUMIFS(T_SelfStock_Log[Self_Qty],T_SelfStock_Log[Part Name],$A31,T_SelfStock_Log[WeekIndex],90))</f>
        <v/>
      </c>
      <c r="CN31" s="13">
        <f>IF(COUNTIFS(T_SelfStock_Log[Part Name],$A31,T_SelfStock_Log[WeekIndex],91)=0,"",SUMIFS(T_SelfStock_Log[Self_Qty],T_SelfStock_Log[Part Name],$A31,T_SelfStock_Log[WeekIndex],91))</f>
        <v/>
      </c>
      <c r="CO31" s="13">
        <f>IF(COUNTIFS(T_SelfStock_Log[Part Name],$A31,T_SelfStock_Log[WeekIndex],92)=0,"",SUMIFS(T_SelfStock_Log[Self_Qty],T_SelfStock_Log[Part Name],$A31,T_SelfStock_Log[WeekIndex],92))</f>
        <v/>
      </c>
      <c r="CP31" s="13">
        <f>IF(COUNTIFS(T_SelfStock_Log[Part Name],$A31,T_SelfStock_Log[WeekIndex],93)=0,"",SUMIFS(T_SelfStock_Log[Self_Qty],T_SelfStock_Log[Part Name],$A31,T_SelfStock_Log[WeekIndex],93))</f>
        <v/>
      </c>
      <c r="CQ31" s="13">
        <f>IF(COUNTIFS(T_SelfStock_Log[Part Name],$A31,T_SelfStock_Log[WeekIndex],94)=0,"",SUMIFS(T_SelfStock_Log[Self_Qty],T_SelfStock_Log[Part Name],$A31,T_SelfStock_Log[WeekIndex],94))</f>
        <v/>
      </c>
      <c r="CR31" s="13">
        <f>IF(COUNTIFS(T_SelfStock_Log[Part Name],$A31,T_SelfStock_Log[WeekIndex],95)=0,"",SUMIFS(T_SelfStock_Log[Self_Qty],T_SelfStock_Log[Part Name],$A31,T_SelfStock_Log[WeekIndex],95))</f>
        <v/>
      </c>
      <c r="CS31" s="13">
        <f>IF(COUNTIFS(T_SelfStock_Log[Part Name],$A31,T_SelfStock_Log[WeekIndex],96)=0,"",SUMIFS(T_SelfStock_Log[Self_Qty],T_SelfStock_Log[Part Name],$A31,T_SelfStock_Log[WeekIndex],96))</f>
        <v/>
      </c>
      <c r="CT31" s="13">
        <f>IF(COUNTIFS(T_SelfStock_Log[Part Name],$A31,T_SelfStock_Log[WeekIndex],97)=0,"",SUMIFS(T_SelfStock_Log[Self_Qty],T_SelfStock_Log[Part Name],$A31,T_SelfStock_Log[WeekIndex],97))</f>
        <v/>
      </c>
      <c r="CU31" s="13">
        <f>IF(COUNTIFS(T_SelfStock_Log[Part Name],$A31,T_SelfStock_Log[WeekIndex],98)=0,"",SUMIFS(T_SelfStock_Log[Self_Qty],T_SelfStock_Log[Part Name],$A31,T_SelfStock_Log[WeekIndex],98))</f>
        <v/>
      </c>
      <c r="CV31" s="13">
        <f>IF(COUNTIFS(T_SelfStock_Log[Part Name],$A31,T_SelfStock_Log[WeekIndex],99)=0,"",SUMIFS(T_SelfStock_Log[Self_Qty],T_SelfStock_Log[Part Name],$A31,T_SelfStock_Log[WeekIndex],99))</f>
        <v/>
      </c>
      <c r="CW31" s="13">
        <f>IF(COUNTIFS(T_SelfStock_Log[Part Name],$A31,T_SelfStock_Log[WeekIndex],100)=0,"",SUMIFS(T_SelfStock_Log[Self_Qty],T_SelfStock_Log[Part Name],$A31,T_SelfStock_Log[WeekIndex],100))</f>
        <v/>
      </c>
      <c r="CX31" s="13">
        <f>IF(COUNTIFS(T_SelfStock_Log[Part Name],$A31,T_SelfStock_Log[WeekIndex],101)=0,"",SUMIFS(T_SelfStock_Log[Self_Qty],T_SelfStock_Log[Part Name],$A31,T_SelfStock_Log[WeekIndex],101))</f>
        <v/>
      </c>
      <c r="CY31" s="13">
        <f>IF(COUNTIFS(T_SelfStock_Log[Part Name],$A31,T_SelfStock_Log[WeekIndex],102)=0,"",SUMIFS(T_SelfStock_Log[Self_Qty],T_SelfStock_Log[Part Name],$A31,T_SelfStock_Log[WeekIndex],102))</f>
        <v/>
      </c>
      <c r="CZ31" s="13">
        <f>IF(COUNTIFS(T_SelfStock_Log[Part Name],$A31,T_SelfStock_Log[WeekIndex],103)=0,"",SUMIFS(T_SelfStock_Log[Self_Qty],T_SelfStock_Log[Part Name],$A31,T_SelfStock_Log[WeekIndex],103))</f>
        <v/>
      </c>
      <c r="DA31" s="13">
        <f>IF(COUNTIFS(T_SelfStock_Log[Part Name],$A31,T_SelfStock_Log[WeekIndex],104)=0,"",SUMIFS(T_SelfStock_Log[Self_Qty],T_SelfStock_Log[Part Name],$A31,T_SelfStock_Log[WeekIndex],104))</f>
        <v/>
      </c>
    </row>
    <row r="32">
      <c r="A32" s="12" t="inlineStr">
        <is>
          <t>CHEM-1820</t>
        </is>
      </c>
      <c r="B32" s="12">
        <f>IF(COUNTIFS(T_SelfStock_Log[Part Name],$A32,T_SelfStock_Log[WeekIndex],1)=0,"",SUMIFS(T_SelfStock_Log[Self_Qty],T_SelfStock_Log[Part Name],$A32,T_SelfStock_Log[WeekIndex],1))</f>
        <v/>
      </c>
      <c r="C32" s="12">
        <f>IF(COUNTIFS(T_SelfStock_Log[Part Name],$A32,T_SelfStock_Log[WeekIndex],2)=0,"",SUMIFS(T_SelfStock_Log[Self_Qty],T_SelfStock_Log[Part Name],$A32,T_SelfStock_Log[WeekIndex],2))</f>
        <v/>
      </c>
      <c r="D32" s="12">
        <f>IF(COUNTIFS(T_SelfStock_Log[Part Name],$A32,T_SelfStock_Log[WeekIndex],3)=0,"",SUMIFS(T_SelfStock_Log[Self_Qty],T_SelfStock_Log[Part Name],$A32,T_SelfStock_Log[WeekIndex],3))</f>
        <v/>
      </c>
      <c r="E32" s="12">
        <f>IF(COUNTIFS(T_SelfStock_Log[Part Name],$A32,T_SelfStock_Log[WeekIndex],4)=0,"",SUMIFS(T_SelfStock_Log[Self_Qty],T_SelfStock_Log[Part Name],$A32,T_SelfStock_Log[WeekIndex],4))</f>
        <v/>
      </c>
      <c r="F32" s="12">
        <f>IF(COUNTIFS(T_SelfStock_Log[Part Name],$A32,T_SelfStock_Log[WeekIndex],5)=0,"",SUMIFS(T_SelfStock_Log[Self_Qty],T_SelfStock_Log[Part Name],$A32,T_SelfStock_Log[WeekIndex],5))</f>
        <v/>
      </c>
      <c r="G32" s="12">
        <f>IF(COUNTIFS(T_SelfStock_Log[Part Name],$A32,T_SelfStock_Log[WeekIndex],6)=0,"",SUMIFS(T_SelfStock_Log[Self_Qty],T_SelfStock_Log[Part Name],$A32,T_SelfStock_Log[WeekIndex],6))</f>
        <v/>
      </c>
      <c r="H32" s="12">
        <f>IF(COUNTIFS(T_SelfStock_Log[Part Name],$A32,T_SelfStock_Log[WeekIndex],7)=0,"",SUMIFS(T_SelfStock_Log[Self_Qty],T_SelfStock_Log[Part Name],$A32,T_SelfStock_Log[WeekIndex],7))</f>
        <v/>
      </c>
      <c r="I32" s="12">
        <f>IF(COUNTIFS(T_SelfStock_Log[Part Name],$A32,T_SelfStock_Log[WeekIndex],8)=0,"",SUMIFS(T_SelfStock_Log[Self_Qty],T_SelfStock_Log[Part Name],$A32,T_SelfStock_Log[WeekIndex],8))</f>
        <v/>
      </c>
      <c r="J32" s="12">
        <f>IF(COUNTIFS(T_SelfStock_Log[Part Name],$A32,T_SelfStock_Log[WeekIndex],9)=0,"",SUMIFS(T_SelfStock_Log[Self_Qty],T_SelfStock_Log[Part Name],$A32,T_SelfStock_Log[WeekIndex],9))</f>
        <v/>
      </c>
      <c r="K32" s="12">
        <f>IF(COUNTIFS(T_SelfStock_Log[Part Name],$A32,T_SelfStock_Log[WeekIndex],10)=0,"",SUMIFS(T_SelfStock_Log[Self_Qty],T_SelfStock_Log[Part Name],$A32,T_SelfStock_Log[WeekIndex],10))</f>
        <v/>
      </c>
      <c r="L32" s="12">
        <f>IF(COUNTIFS(T_SelfStock_Log[Part Name],$A32,T_SelfStock_Log[WeekIndex],11)=0,"",SUMIFS(T_SelfStock_Log[Self_Qty],T_SelfStock_Log[Part Name],$A32,T_SelfStock_Log[WeekIndex],11))</f>
        <v/>
      </c>
      <c r="M32" s="12">
        <f>IF(COUNTIFS(T_SelfStock_Log[Part Name],$A32,T_SelfStock_Log[WeekIndex],12)=0,"",SUMIFS(T_SelfStock_Log[Self_Qty],T_SelfStock_Log[Part Name],$A32,T_SelfStock_Log[WeekIndex],12))</f>
        <v/>
      </c>
      <c r="N32" s="12">
        <f>IF(COUNTIFS(T_SelfStock_Log[Part Name],$A32,T_SelfStock_Log[WeekIndex],13)=0,"",SUMIFS(T_SelfStock_Log[Self_Qty],T_SelfStock_Log[Part Name],$A32,T_SelfStock_Log[WeekIndex],13))</f>
        <v/>
      </c>
      <c r="O32" s="12">
        <f>IF(COUNTIFS(T_SelfStock_Log[Part Name],$A32,T_SelfStock_Log[WeekIndex],14)=0,"",SUMIFS(T_SelfStock_Log[Self_Qty],T_SelfStock_Log[Part Name],$A32,T_SelfStock_Log[WeekIndex],14))</f>
        <v/>
      </c>
      <c r="P32" s="12">
        <f>IF(COUNTIFS(T_SelfStock_Log[Part Name],$A32,T_SelfStock_Log[WeekIndex],15)=0,"",SUMIFS(T_SelfStock_Log[Self_Qty],T_SelfStock_Log[Part Name],$A32,T_SelfStock_Log[WeekIndex],15))</f>
        <v/>
      </c>
      <c r="Q32" s="12">
        <f>IF(COUNTIFS(T_SelfStock_Log[Part Name],$A32,T_SelfStock_Log[WeekIndex],16)=0,"",SUMIFS(T_SelfStock_Log[Self_Qty],T_SelfStock_Log[Part Name],$A32,T_SelfStock_Log[WeekIndex],16))</f>
        <v/>
      </c>
      <c r="R32" s="12">
        <f>IF(COUNTIFS(T_SelfStock_Log[Part Name],$A32,T_SelfStock_Log[WeekIndex],17)=0,"",SUMIFS(T_SelfStock_Log[Self_Qty],T_SelfStock_Log[Part Name],$A32,T_SelfStock_Log[WeekIndex],17))</f>
        <v/>
      </c>
      <c r="S32" s="12">
        <f>IF(COUNTIFS(T_SelfStock_Log[Part Name],$A32,T_SelfStock_Log[WeekIndex],18)=0,"",SUMIFS(T_SelfStock_Log[Self_Qty],T_SelfStock_Log[Part Name],$A32,T_SelfStock_Log[WeekIndex],18))</f>
        <v/>
      </c>
      <c r="T32" s="12">
        <f>IF(COUNTIFS(T_SelfStock_Log[Part Name],$A32,T_SelfStock_Log[WeekIndex],19)=0,"",SUMIFS(T_SelfStock_Log[Self_Qty],T_SelfStock_Log[Part Name],$A32,T_SelfStock_Log[WeekIndex],19))</f>
        <v/>
      </c>
      <c r="U32" s="12">
        <f>IF(COUNTIFS(T_SelfStock_Log[Part Name],$A32,T_SelfStock_Log[WeekIndex],20)=0,"",SUMIFS(T_SelfStock_Log[Self_Qty],T_SelfStock_Log[Part Name],$A32,T_SelfStock_Log[WeekIndex],20))</f>
        <v/>
      </c>
      <c r="V32" s="12">
        <f>IF(COUNTIFS(T_SelfStock_Log[Part Name],$A32,T_SelfStock_Log[WeekIndex],21)=0,"",SUMIFS(T_SelfStock_Log[Self_Qty],T_SelfStock_Log[Part Name],$A32,T_SelfStock_Log[WeekIndex],21))</f>
        <v/>
      </c>
      <c r="W32" s="12">
        <f>IF(COUNTIFS(T_SelfStock_Log[Part Name],$A32,T_SelfStock_Log[WeekIndex],22)=0,"",SUMIFS(T_SelfStock_Log[Self_Qty],T_SelfStock_Log[Part Name],$A32,T_SelfStock_Log[WeekIndex],22))</f>
        <v/>
      </c>
      <c r="X32" s="12">
        <f>IF(COUNTIFS(T_SelfStock_Log[Part Name],$A32,T_SelfStock_Log[WeekIndex],23)=0,"",SUMIFS(T_SelfStock_Log[Self_Qty],T_SelfStock_Log[Part Name],$A32,T_SelfStock_Log[WeekIndex],23))</f>
        <v/>
      </c>
      <c r="Y32" s="12">
        <f>IF(COUNTIFS(T_SelfStock_Log[Part Name],$A32,T_SelfStock_Log[WeekIndex],24)=0,"",SUMIFS(T_SelfStock_Log[Self_Qty],T_SelfStock_Log[Part Name],$A32,T_SelfStock_Log[WeekIndex],24))</f>
        <v/>
      </c>
      <c r="Z32" s="12">
        <f>IF(COUNTIFS(T_SelfStock_Log[Part Name],$A32,T_SelfStock_Log[WeekIndex],25)=0,"",SUMIFS(T_SelfStock_Log[Self_Qty],T_SelfStock_Log[Part Name],$A32,T_SelfStock_Log[WeekIndex],25))</f>
        <v/>
      </c>
      <c r="AA32" s="12">
        <f>IF(COUNTIFS(T_SelfStock_Log[Part Name],$A32,T_SelfStock_Log[WeekIndex],26)=0,"",SUMIFS(T_SelfStock_Log[Self_Qty],T_SelfStock_Log[Part Name],$A32,T_SelfStock_Log[WeekIndex],26))</f>
        <v/>
      </c>
      <c r="AB32" s="12">
        <f>IF(COUNTIFS(T_SelfStock_Log[Part Name],$A32,T_SelfStock_Log[WeekIndex],27)=0,"",SUMIFS(T_SelfStock_Log[Self_Qty],T_SelfStock_Log[Part Name],$A32,T_SelfStock_Log[WeekIndex],27))</f>
        <v/>
      </c>
      <c r="AC32" s="12">
        <f>IF(COUNTIFS(T_SelfStock_Log[Part Name],$A32,T_SelfStock_Log[WeekIndex],28)=0,"",SUMIFS(T_SelfStock_Log[Self_Qty],T_SelfStock_Log[Part Name],$A32,T_SelfStock_Log[WeekIndex],28))</f>
        <v/>
      </c>
      <c r="AD32" s="12">
        <f>IF(COUNTIFS(T_SelfStock_Log[Part Name],$A32,T_SelfStock_Log[WeekIndex],29)=0,"",SUMIFS(T_SelfStock_Log[Self_Qty],T_SelfStock_Log[Part Name],$A32,T_SelfStock_Log[WeekIndex],29))</f>
        <v/>
      </c>
      <c r="AE32" s="12">
        <f>IF(COUNTIFS(T_SelfStock_Log[Part Name],$A32,T_SelfStock_Log[WeekIndex],30)=0,"",SUMIFS(T_SelfStock_Log[Self_Qty],T_SelfStock_Log[Part Name],$A32,T_SelfStock_Log[WeekIndex],30))</f>
        <v/>
      </c>
      <c r="AF32" s="12">
        <f>IF(COUNTIFS(T_SelfStock_Log[Part Name],$A32,T_SelfStock_Log[WeekIndex],31)=0,"",SUMIFS(T_SelfStock_Log[Self_Qty],T_SelfStock_Log[Part Name],$A32,T_SelfStock_Log[WeekIndex],31))</f>
        <v/>
      </c>
      <c r="AG32" s="12">
        <f>IF(COUNTIFS(T_SelfStock_Log[Part Name],$A32,T_SelfStock_Log[WeekIndex],32)=0,"",SUMIFS(T_SelfStock_Log[Self_Qty],T_SelfStock_Log[Part Name],$A32,T_SelfStock_Log[WeekIndex],32))</f>
        <v/>
      </c>
      <c r="AH32" s="12">
        <f>IF(COUNTIFS(T_SelfStock_Log[Part Name],$A32,T_SelfStock_Log[WeekIndex],33)=0,"",SUMIFS(T_SelfStock_Log[Self_Qty],T_SelfStock_Log[Part Name],$A32,T_SelfStock_Log[WeekIndex],33))</f>
        <v/>
      </c>
      <c r="AI32" s="12">
        <f>IF(COUNTIFS(T_SelfStock_Log[Part Name],$A32,T_SelfStock_Log[WeekIndex],34)=0,"",SUMIFS(T_SelfStock_Log[Self_Qty],T_SelfStock_Log[Part Name],$A32,T_SelfStock_Log[WeekIndex],34))</f>
        <v/>
      </c>
      <c r="AJ32" s="12">
        <f>IF(COUNTIFS(T_SelfStock_Log[Part Name],$A32,T_SelfStock_Log[WeekIndex],35)=0,"",SUMIFS(T_SelfStock_Log[Self_Qty],T_SelfStock_Log[Part Name],$A32,T_SelfStock_Log[WeekIndex],35))</f>
        <v/>
      </c>
      <c r="AK32" s="12">
        <f>IF(COUNTIFS(T_SelfStock_Log[Part Name],$A32,T_SelfStock_Log[WeekIndex],36)=0,"",SUMIFS(T_SelfStock_Log[Self_Qty],T_SelfStock_Log[Part Name],$A32,T_SelfStock_Log[WeekIndex],36))</f>
        <v/>
      </c>
      <c r="AL32" s="12">
        <f>IF(COUNTIFS(T_SelfStock_Log[Part Name],$A32,T_SelfStock_Log[WeekIndex],37)=0,"",SUMIFS(T_SelfStock_Log[Self_Qty],T_SelfStock_Log[Part Name],$A32,T_SelfStock_Log[WeekIndex],37))</f>
        <v/>
      </c>
      <c r="AM32" s="12">
        <f>IF(COUNTIFS(T_SelfStock_Log[Part Name],$A32,T_SelfStock_Log[WeekIndex],38)=0,"",SUMIFS(T_SelfStock_Log[Self_Qty],T_SelfStock_Log[Part Name],$A32,T_SelfStock_Log[WeekIndex],38))</f>
        <v/>
      </c>
      <c r="AN32" s="12">
        <f>IF(COUNTIFS(T_SelfStock_Log[Part Name],$A32,T_SelfStock_Log[WeekIndex],39)=0,"",SUMIFS(T_SelfStock_Log[Self_Qty],T_SelfStock_Log[Part Name],$A32,T_SelfStock_Log[WeekIndex],39))</f>
        <v/>
      </c>
      <c r="AO32" s="12">
        <f>IF(COUNTIFS(T_SelfStock_Log[Part Name],$A32,T_SelfStock_Log[WeekIndex],40)=0,"",SUMIFS(T_SelfStock_Log[Self_Qty],T_SelfStock_Log[Part Name],$A32,T_SelfStock_Log[WeekIndex],40))</f>
        <v/>
      </c>
      <c r="AP32" s="12">
        <f>IF(COUNTIFS(T_SelfStock_Log[Part Name],$A32,T_SelfStock_Log[WeekIndex],41)=0,"",SUMIFS(T_SelfStock_Log[Self_Qty],T_SelfStock_Log[Part Name],$A32,T_SelfStock_Log[WeekIndex],41))</f>
        <v/>
      </c>
      <c r="AQ32" s="12">
        <f>IF(COUNTIFS(T_SelfStock_Log[Part Name],$A32,T_SelfStock_Log[WeekIndex],42)=0,"",SUMIFS(T_SelfStock_Log[Self_Qty],T_SelfStock_Log[Part Name],$A32,T_SelfStock_Log[WeekIndex],42))</f>
        <v/>
      </c>
      <c r="AR32" s="12">
        <f>IF(COUNTIFS(T_SelfStock_Log[Part Name],$A32,T_SelfStock_Log[WeekIndex],43)=0,"",SUMIFS(T_SelfStock_Log[Self_Qty],T_SelfStock_Log[Part Name],$A32,T_SelfStock_Log[WeekIndex],43))</f>
        <v/>
      </c>
      <c r="AS32" s="12">
        <f>IF(COUNTIFS(T_SelfStock_Log[Part Name],$A32,T_SelfStock_Log[WeekIndex],44)=0,"",SUMIFS(T_SelfStock_Log[Self_Qty],T_SelfStock_Log[Part Name],$A32,T_SelfStock_Log[WeekIndex],44))</f>
        <v/>
      </c>
      <c r="AT32" s="12">
        <f>IF(COUNTIFS(T_SelfStock_Log[Part Name],$A32,T_SelfStock_Log[WeekIndex],45)=0,"",SUMIFS(T_SelfStock_Log[Self_Qty],T_SelfStock_Log[Part Name],$A32,T_SelfStock_Log[WeekIndex],45))</f>
        <v/>
      </c>
      <c r="AU32" s="12">
        <f>IF(COUNTIFS(T_SelfStock_Log[Part Name],$A32,T_SelfStock_Log[WeekIndex],46)=0,"",SUMIFS(T_SelfStock_Log[Self_Qty],T_SelfStock_Log[Part Name],$A32,T_SelfStock_Log[WeekIndex],46))</f>
        <v/>
      </c>
      <c r="AV32" s="12">
        <f>IF(COUNTIFS(T_SelfStock_Log[Part Name],$A32,T_SelfStock_Log[WeekIndex],47)=0,"",SUMIFS(T_SelfStock_Log[Self_Qty],T_SelfStock_Log[Part Name],$A32,T_SelfStock_Log[WeekIndex],47))</f>
        <v/>
      </c>
      <c r="AW32" s="12">
        <f>IF(COUNTIFS(T_SelfStock_Log[Part Name],$A32,T_SelfStock_Log[WeekIndex],48)=0,"",SUMIFS(T_SelfStock_Log[Self_Qty],T_SelfStock_Log[Part Name],$A32,T_SelfStock_Log[WeekIndex],48))</f>
        <v/>
      </c>
      <c r="AX32" s="12">
        <f>IF(COUNTIFS(T_SelfStock_Log[Part Name],$A32,T_SelfStock_Log[WeekIndex],49)=0,"",SUMIFS(T_SelfStock_Log[Self_Qty],T_SelfStock_Log[Part Name],$A32,T_SelfStock_Log[WeekIndex],49))</f>
        <v/>
      </c>
      <c r="AY32" s="12">
        <f>IF(COUNTIFS(T_SelfStock_Log[Part Name],$A32,T_SelfStock_Log[WeekIndex],50)=0,"",SUMIFS(T_SelfStock_Log[Self_Qty],T_SelfStock_Log[Part Name],$A32,T_SelfStock_Log[WeekIndex],50))</f>
        <v/>
      </c>
      <c r="AZ32" s="12">
        <f>IF(COUNTIFS(T_SelfStock_Log[Part Name],$A32,T_SelfStock_Log[WeekIndex],51)=0,"",SUMIFS(T_SelfStock_Log[Self_Qty],T_SelfStock_Log[Part Name],$A32,T_SelfStock_Log[WeekIndex],51))</f>
        <v/>
      </c>
      <c r="BA32" s="12">
        <f>IF(COUNTIFS(T_SelfStock_Log[Part Name],$A32,T_SelfStock_Log[WeekIndex],52)=0,"",SUMIFS(T_SelfStock_Log[Self_Qty],T_SelfStock_Log[Part Name],$A32,T_SelfStock_Log[WeekIndex],52))</f>
        <v/>
      </c>
      <c r="BB32" s="12">
        <f>IF(COUNTIFS(T_SelfStock_Log[Part Name],$A32,T_SelfStock_Log[WeekIndex],53)=0,"",SUMIFS(T_SelfStock_Log[Self_Qty],T_SelfStock_Log[Part Name],$A32,T_SelfStock_Log[WeekIndex],53))</f>
        <v/>
      </c>
      <c r="BC32" s="12">
        <f>IF(COUNTIFS(T_SelfStock_Log[Part Name],$A32,T_SelfStock_Log[WeekIndex],54)=0,"",SUMIFS(T_SelfStock_Log[Self_Qty],T_SelfStock_Log[Part Name],$A32,T_SelfStock_Log[WeekIndex],54))</f>
        <v/>
      </c>
      <c r="BD32" s="12">
        <f>IF(COUNTIFS(T_SelfStock_Log[Part Name],$A32,T_SelfStock_Log[WeekIndex],55)=0,"",SUMIFS(T_SelfStock_Log[Self_Qty],T_SelfStock_Log[Part Name],$A32,T_SelfStock_Log[WeekIndex],55))</f>
        <v/>
      </c>
      <c r="BE32" s="12">
        <f>IF(COUNTIFS(T_SelfStock_Log[Part Name],$A32,T_SelfStock_Log[WeekIndex],56)=0,"",SUMIFS(T_SelfStock_Log[Self_Qty],T_SelfStock_Log[Part Name],$A32,T_SelfStock_Log[WeekIndex],56))</f>
        <v/>
      </c>
      <c r="BF32" s="12">
        <f>IF(COUNTIFS(T_SelfStock_Log[Part Name],$A32,T_SelfStock_Log[WeekIndex],57)=0,"",SUMIFS(T_SelfStock_Log[Self_Qty],T_SelfStock_Log[Part Name],$A32,T_SelfStock_Log[WeekIndex],57))</f>
        <v/>
      </c>
      <c r="BG32" s="12">
        <f>IF(COUNTIFS(T_SelfStock_Log[Part Name],$A32,T_SelfStock_Log[WeekIndex],58)=0,"",SUMIFS(T_SelfStock_Log[Self_Qty],T_SelfStock_Log[Part Name],$A32,T_SelfStock_Log[WeekIndex],58))</f>
        <v/>
      </c>
      <c r="BH32" s="12">
        <f>IF(COUNTIFS(T_SelfStock_Log[Part Name],$A32,T_SelfStock_Log[WeekIndex],59)=0,"",SUMIFS(T_SelfStock_Log[Self_Qty],T_SelfStock_Log[Part Name],$A32,T_SelfStock_Log[WeekIndex],59))</f>
        <v/>
      </c>
      <c r="BI32" s="12">
        <f>IF(COUNTIFS(T_SelfStock_Log[Part Name],$A32,T_SelfStock_Log[WeekIndex],60)=0,"",SUMIFS(T_SelfStock_Log[Self_Qty],T_SelfStock_Log[Part Name],$A32,T_SelfStock_Log[WeekIndex],60))</f>
        <v/>
      </c>
      <c r="BJ32" s="12">
        <f>IF(COUNTIFS(T_SelfStock_Log[Part Name],$A32,T_SelfStock_Log[WeekIndex],61)=0,"",SUMIFS(T_SelfStock_Log[Self_Qty],T_SelfStock_Log[Part Name],$A32,T_SelfStock_Log[WeekIndex],61))</f>
        <v/>
      </c>
      <c r="BK32" s="12">
        <f>IF(COUNTIFS(T_SelfStock_Log[Part Name],$A32,T_SelfStock_Log[WeekIndex],62)=0,"",SUMIFS(T_SelfStock_Log[Self_Qty],T_SelfStock_Log[Part Name],$A32,T_SelfStock_Log[WeekIndex],62))</f>
        <v/>
      </c>
      <c r="BL32" s="12">
        <f>IF(COUNTIFS(T_SelfStock_Log[Part Name],$A32,T_SelfStock_Log[WeekIndex],63)=0,"",SUMIFS(T_SelfStock_Log[Self_Qty],T_SelfStock_Log[Part Name],$A32,T_SelfStock_Log[WeekIndex],63))</f>
        <v/>
      </c>
      <c r="BM32" s="12">
        <f>IF(COUNTIFS(T_SelfStock_Log[Part Name],$A32,T_SelfStock_Log[WeekIndex],64)=0,"",SUMIFS(T_SelfStock_Log[Self_Qty],T_SelfStock_Log[Part Name],$A32,T_SelfStock_Log[WeekIndex],64))</f>
        <v/>
      </c>
      <c r="BN32" s="12">
        <f>IF(COUNTIFS(T_SelfStock_Log[Part Name],$A32,T_SelfStock_Log[WeekIndex],65)=0,"",SUMIFS(T_SelfStock_Log[Self_Qty],T_SelfStock_Log[Part Name],$A32,T_SelfStock_Log[WeekIndex],65))</f>
        <v/>
      </c>
      <c r="BO32" s="12">
        <f>IF(COUNTIFS(T_SelfStock_Log[Part Name],$A32,T_SelfStock_Log[WeekIndex],66)=0,"",SUMIFS(T_SelfStock_Log[Self_Qty],T_SelfStock_Log[Part Name],$A32,T_SelfStock_Log[WeekIndex],66))</f>
        <v/>
      </c>
      <c r="BP32" s="12">
        <f>IF(COUNTIFS(T_SelfStock_Log[Part Name],$A32,T_SelfStock_Log[WeekIndex],67)=0,"",SUMIFS(T_SelfStock_Log[Self_Qty],T_SelfStock_Log[Part Name],$A32,T_SelfStock_Log[WeekIndex],67))</f>
        <v/>
      </c>
      <c r="BQ32" s="12">
        <f>IF(COUNTIFS(T_SelfStock_Log[Part Name],$A32,T_SelfStock_Log[WeekIndex],68)=0,"",SUMIFS(T_SelfStock_Log[Self_Qty],T_SelfStock_Log[Part Name],$A32,T_SelfStock_Log[WeekIndex],68))</f>
        <v/>
      </c>
      <c r="BR32" s="12">
        <f>IF(COUNTIFS(T_SelfStock_Log[Part Name],$A32,T_SelfStock_Log[WeekIndex],69)=0,"",SUMIFS(T_SelfStock_Log[Self_Qty],T_SelfStock_Log[Part Name],$A32,T_SelfStock_Log[WeekIndex],69))</f>
        <v/>
      </c>
      <c r="BS32" s="12">
        <f>IF(COUNTIFS(T_SelfStock_Log[Part Name],$A32,T_SelfStock_Log[WeekIndex],70)=0,"",SUMIFS(T_SelfStock_Log[Self_Qty],T_SelfStock_Log[Part Name],$A32,T_SelfStock_Log[WeekIndex],70))</f>
        <v/>
      </c>
      <c r="BT32" s="12">
        <f>IF(COUNTIFS(T_SelfStock_Log[Part Name],$A32,T_SelfStock_Log[WeekIndex],71)=0,"",SUMIFS(T_SelfStock_Log[Self_Qty],T_SelfStock_Log[Part Name],$A32,T_SelfStock_Log[WeekIndex],71))</f>
        <v/>
      </c>
      <c r="BU32" s="12">
        <f>IF(COUNTIFS(T_SelfStock_Log[Part Name],$A32,T_SelfStock_Log[WeekIndex],72)=0,"",SUMIFS(T_SelfStock_Log[Self_Qty],T_SelfStock_Log[Part Name],$A32,T_SelfStock_Log[WeekIndex],72))</f>
        <v/>
      </c>
      <c r="BV32" s="12">
        <f>IF(COUNTIFS(T_SelfStock_Log[Part Name],$A32,T_SelfStock_Log[WeekIndex],73)=0,"",SUMIFS(T_SelfStock_Log[Self_Qty],T_SelfStock_Log[Part Name],$A32,T_SelfStock_Log[WeekIndex],73))</f>
        <v/>
      </c>
      <c r="BW32" s="12">
        <f>IF(COUNTIFS(T_SelfStock_Log[Part Name],$A32,T_SelfStock_Log[WeekIndex],74)=0,"",SUMIFS(T_SelfStock_Log[Self_Qty],T_SelfStock_Log[Part Name],$A32,T_SelfStock_Log[WeekIndex],74))</f>
        <v/>
      </c>
      <c r="BX32" s="12">
        <f>IF(COUNTIFS(T_SelfStock_Log[Part Name],$A32,T_SelfStock_Log[WeekIndex],75)=0,"",SUMIFS(T_SelfStock_Log[Self_Qty],T_SelfStock_Log[Part Name],$A32,T_SelfStock_Log[WeekIndex],75))</f>
        <v/>
      </c>
      <c r="BY32" s="12">
        <f>IF(COUNTIFS(T_SelfStock_Log[Part Name],$A32,T_SelfStock_Log[WeekIndex],76)=0,"",SUMIFS(T_SelfStock_Log[Self_Qty],T_SelfStock_Log[Part Name],$A32,T_SelfStock_Log[WeekIndex],76))</f>
        <v/>
      </c>
      <c r="BZ32" s="12">
        <f>IF(COUNTIFS(T_SelfStock_Log[Part Name],$A32,T_SelfStock_Log[WeekIndex],77)=0,"",SUMIFS(T_SelfStock_Log[Self_Qty],T_SelfStock_Log[Part Name],$A32,T_SelfStock_Log[WeekIndex],77))</f>
        <v/>
      </c>
      <c r="CA32" s="12">
        <f>IF(COUNTIFS(T_SelfStock_Log[Part Name],$A32,T_SelfStock_Log[WeekIndex],78)=0,"",SUMIFS(T_SelfStock_Log[Self_Qty],T_SelfStock_Log[Part Name],$A32,T_SelfStock_Log[WeekIndex],78))</f>
        <v/>
      </c>
      <c r="CB32" s="12">
        <f>IF(COUNTIFS(T_SelfStock_Log[Part Name],$A32,T_SelfStock_Log[WeekIndex],79)=0,"",SUMIFS(T_SelfStock_Log[Self_Qty],T_SelfStock_Log[Part Name],$A32,T_SelfStock_Log[WeekIndex],79))</f>
        <v/>
      </c>
      <c r="CC32" s="12">
        <f>IF(COUNTIFS(T_SelfStock_Log[Part Name],$A32,T_SelfStock_Log[WeekIndex],80)=0,"",SUMIFS(T_SelfStock_Log[Self_Qty],T_SelfStock_Log[Part Name],$A32,T_SelfStock_Log[WeekIndex],80))</f>
        <v/>
      </c>
      <c r="CD32" s="12">
        <f>IF(COUNTIFS(T_SelfStock_Log[Part Name],$A32,T_SelfStock_Log[WeekIndex],81)=0,"",SUMIFS(T_SelfStock_Log[Self_Qty],T_SelfStock_Log[Part Name],$A32,T_SelfStock_Log[WeekIndex],81))</f>
        <v/>
      </c>
      <c r="CE32" s="12">
        <f>IF(COUNTIFS(T_SelfStock_Log[Part Name],$A32,T_SelfStock_Log[WeekIndex],82)=0,"",SUMIFS(T_SelfStock_Log[Self_Qty],T_SelfStock_Log[Part Name],$A32,T_SelfStock_Log[WeekIndex],82))</f>
        <v/>
      </c>
      <c r="CF32" s="12">
        <f>IF(COUNTIFS(T_SelfStock_Log[Part Name],$A32,T_SelfStock_Log[WeekIndex],83)=0,"",SUMIFS(T_SelfStock_Log[Self_Qty],T_SelfStock_Log[Part Name],$A32,T_SelfStock_Log[WeekIndex],83))</f>
        <v/>
      </c>
      <c r="CG32" s="12">
        <f>IF(COUNTIFS(T_SelfStock_Log[Part Name],$A32,T_SelfStock_Log[WeekIndex],84)=0,"",SUMIFS(T_SelfStock_Log[Self_Qty],T_SelfStock_Log[Part Name],$A32,T_SelfStock_Log[WeekIndex],84))</f>
        <v/>
      </c>
      <c r="CH32" s="12">
        <f>IF(COUNTIFS(T_SelfStock_Log[Part Name],$A32,T_SelfStock_Log[WeekIndex],85)=0,"",SUMIFS(T_SelfStock_Log[Self_Qty],T_SelfStock_Log[Part Name],$A32,T_SelfStock_Log[WeekIndex],85))</f>
        <v/>
      </c>
      <c r="CI32" s="12">
        <f>IF(COUNTIFS(T_SelfStock_Log[Part Name],$A32,T_SelfStock_Log[WeekIndex],86)=0,"",SUMIFS(T_SelfStock_Log[Self_Qty],T_SelfStock_Log[Part Name],$A32,T_SelfStock_Log[WeekIndex],86))</f>
        <v/>
      </c>
      <c r="CJ32" s="12">
        <f>IF(COUNTIFS(T_SelfStock_Log[Part Name],$A32,T_SelfStock_Log[WeekIndex],87)=0,"",SUMIFS(T_SelfStock_Log[Self_Qty],T_SelfStock_Log[Part Name],$A32,T_SelfStock_Log[WeekIndex],87))</f>
        <v/>
      </c>
      <c r="CK32" s="12">
        <f>IF(COUNTIFS(T_SelfStock_Log[Part Name],$A32,T_SelfStock_Log[WeekIndex],88)=0,"",SUMIFS(T_SelfStock_Log[Self_Qty],T_SelfStock_Log[Part Name],$A32,T_SelfStock_Log[WeekIndex],88))</f>
        <v/>
      </c>
      <c r="CL32" s="12">
        <f>IF(COUNTIFS(T_SelfStock_Log[Part Name],$A32,T_SelfStock_Log[WeekIndex],89)=0,"",SUMIFS(T_SelfStock_Log[Self_Qty],T_SelfStock_Log[Part Name],$A32,T_SelfStock_Log[WeekIndex],89))</f>
        <v/>
      </c>
      <c r="CM32" s="12">
        <f>IF(COUNTIFS(T_SelfStock_Log[Part Name],$A32,T_SelfStock_Log[WeekIndex],90)=0,"",SUMIFS(T_SelfStock_Log[Self_Qty],T_SelfStock_Log[Part Name],$A32,T_SelfStock_Log[WeekIndex],90))</f>
        <v/>
      </c>
      <c r="CN32" s="12">
        <f>IF(COUNTIFS(T_SelfStock_Log[Part Name],$A32,T_SelfStock_Log[WeekIndex],91)=0,"",SUMIFS(T_SelfStock_Log[Self_Qty],T_SelfStock_Log[Part Name],$A32,T_SelfStock_Log[WeekIndex],91))</f>
        <v/>
      </c>
      <c r="CO32" s="12">
        <f>IF(COUNTIFS(T_SelfStock_Log[Part Name],$A32,T_SelfStock_Log[WeekIndex],92)=0,"",SUMIFS(T_SelfStock_Log[Self_Qty],T_SelfStock_Log[Part Name],$A32,T_SelfStock_Log[WeekIndex],92))</f>
        <v/>
      </c>
      <c r="CP32" s="12">
        <f>IF(COUNTIFS(T_SelfStock_Log[Part Name],$A32,T_SelfStock_Log[WeekIndex],93)=0,"",SUMIFS(T_SelfStock_Log[Self_Qty],T_SelfStock_Log[Part Name],$A32,T_SelfStock_Log[WeekIndex],93))</f>
        <v/>
      </c>
      <c r="CQ32" s="12">
        <f>IF(COUNTIFS(T_SelfStock_Log[Part Name],$A32,T_SelfStock_Log[WeekIndex],94)=0,"",SUMIFS(T_SelfStock_Log[Self_Qty],T_SelfStock_Log[Part Name],$A32,T_SelfStock_Log[WeekIndex],94))</f>
        <v/>
      </c>
      <c r="CR32" s="12">
        <f>IF(COUNTIFS(T_SelfStock_Log[Part Name],$A32,T_SelfStock_Log[WeekIndex],95)=0,"",SUMIFS(T_SelfStock_Log[Self_Qty],T_SelfStock_Log[Part Name],$A32,T_SelfStock_Log[WeekIndex],95))</f>
        <v/>
      </c>
      <c r="CS32" s="12">
        <f>IF(COUNTIFS(T_SelfStock_Log[Part Name],$A32,T_SelfStock_Log[WeekIndex],96)=0,"",SUMIFS(T_SelfStock_Log[Self_Qty],T_SelfStock_Log[Part Name],$A32,T_SelfStock_Log[WeekIndex],96))</f>
        <v/>
      </c>
      <c r="CT32" s="12">
        <f>IF(COUNTIFS(T_SelfStock_Log[Part Name],$A32,T_SelfStock_Log[WeekIndex],97)=0,"",SUMIFS(T_SelfStock_Log[Self_Qty],T_SelfStock_Log[Part Name],$A32,T_SelfStock_Log[WeekIndex],97))</f>
        <v/>
      </c>
      <c r="CU32" s="12">
        <f>IF(COUNTIFS(T_SelfStock_Log[Part Name],$A32,T_SelfStock_Log[WeekIndex],98)=0,"",SUMIFS(T_SelfStock_Log[Self_Qty],T_SelfStock_Log[Part Name],$A32,T_SelfStock_Log[WeekIndex],98))</f>
        <v/>
      </c>
      <c r="CV32" s="12">
        <f>IF(COUNTIFS(T_SelfStock_Log[Part Name],$A32,T_SelfStock_Log[WeekIndex],99)=0,"",SUMIFS(T_SelfStock_Log[Self_Qty],T_SelfStock_Log[Part Name],$A32,T_SelfStock_Log[WeekIndex],99))</f>
        <v/>
      </c>
      <c r="CW32" s="12">
        <f>IF(COUNTIFS(T_SelfStock_Log[Part Name],$A32,T_SelfStock_Log[WeekIndex],100)=0,"",SUMIFS(T_SelfStock_Log[Self_Qty],T_SelfStock_Log[Part Name],$A32,T_SelfStock_Log[WeekIndex],100))</f>
        <v/>
      </c>
      <c r="CX32" s="12">
        <f>IF(COUNTIFS(T_SelfStock_Log[Part Name],$A32,T_SelfStock_Log[WeekIndex],101)=0,"",SUMIFS(T_SelfStock_Log[Self_Qty],T_SelfStock_Log[Part Name],$A32,T_SelfStock_Log[WeekIndex],101))</f>
        <v/>
      </c>
      <c r="CY32" s="12">
        <f>IF(COUNTIFS(T_SelfStock_Log[Part Name],$A32,T_SelfStock_Log[WeekIndex],102)=0,"",SUMIFS(T_SelfStock_Log[Self_Qty],T_SelfStock_Log[Part Name],$A32,T_SelfStock_Log[WeekIndex],102))</f>
        <v/>
      </c>
      <c r="CZ32" s="12">
        <f>IF(COUNTIFS(T_SelfStock_Log[Part Name],$A32,T_SelfStock_Log[WeekIndex],103)=0,"",SUMIFS(T_SelfStock_Log[Self_Qty],T_SelfStock_Log[Part Name],$A32,T_SelfStock_Log[WeekIndex],103))</f>
        <v/>
      </c>
      <c r="DA32" s="12">
        <f>IF(COUNTIFS(T_SelfStock_Log[Part Name],$A32,T_SelfStock_Log[WeekIndex],104)=0,"",SUMIFS(T_SelfStock_Log[Self_Qty],T_SelfStock_Log[Part Name],$A32,T_SelfStock_Log[WeekIndex],104))</f>
        <v/>
      </c>
    </row>
    <row r="33">
      <c r="A33" s="13" t="inlineStr">
        <is>
          <t>CHEM-1840</t>
        </is>
      </c>
      <c r="B33" s="13">
        <f>IF(COUNTIFS(T_SelfStock_Log[Part Name],$A33,T_SelfStock_Log[WeekIndex],1)=0,"",SUMIFS(T_SelfStock_Log[Self_Qty],T_SelfStock_Log[Part Name],$A33,T_SelfStock_Log[WeekIndex],1))</f>
        <v/>
      </c>
      <c r="C33" s="13">
        <f>IF(COUNTIFS(T_SelfStock_Log[Part Name],$A33,T_SelfStock_Log[WeekIndex],2)=0,"",SUMIFS(T_SelfStock_Log[Self_Qty],T_SelfStock_Log[Part Name],$A33,T_SelfStock_Log[WeekIndex],2))</f>
        <v/>
      </c>
      <c r="D33" s="13">
        <f>IF(COUNTIFS(T_SelfStock_Log[Part Name],$A33,T_SelfStock_Log[WeekIndex],3)=0,"",SUMIFS(T_SelfStock_Log[Self_Qty],T_SelfStock_Log[Part Name],$A33,T_SelfStock_Log[WeekIndex],3))</f>
        <v/>
      </c>
      <c r="E33" s="13">
        <f>IF(COUNTIFS(T_SelfStock_Log[Part Name],$A33,T_SelfStock_Log[WeekIndex],4)=0,"",SUMIFS(T_SelfStock_Log[Self_Qty],T_SelfStock_Log[Part Name],$A33,T_SelfStock_Log[WeekIndex],4))</f>
        <v/>
      </c>
      <c r="F33" s="13">
        <f>IF(COUNTIFS(T_SelfStock_Log[Part Name],$A33,T_SelfStock_Log[WeekIndex],5)=0,"",SUMIFS(T_SelfStock_Log[Self_Qty],T_SelfStock_Log[Part Name],$A33,T_SelfStock_Log[WeekIndex],5))</f>
        <v/>
      </c>
      <c r="G33" s="13">
        <f>IF(COUNTIFS(T_SelfStock_Log[Part Name],$A33,T_SelfStock_Log[WeekIndex],6)=0,"",SUMIFS(T_SelfStock_Log[Self_Qty],T_SelfStock_Log[Part Name],$A33,T_SelfStock_Log[WeekIndex],6))</f>
        <v/>
      </c>
      <c r="H33" s="13">
        <f>IF(COUNTIFS(T_SelfStock_Log[Part Name],$A33,T_SelfStock_Log[WeekIndex],7)=0,"",SUMIFS(T_SelfStock_Log[Self_Qty],T_SelfStock_Log[Part Name],$A33,T_SelfStock_Log[WeekIndex],7))</f>
        <v/>
      </c>
      <c r="I33" s="13">
        <f>IF(COUNTIFS(T_SelfStock_Log[Part Name],$A33,T_SelfStock_Log[WeekIndex],8)=0,"",SUMIFS(T_SelfStock_Log[Self_Qty],T_SelfStock_Log[Part Name],$A33,T_SelfStock_Log[WeekIndex],8))</f>
        <v/>
      </c>
      <c r="J33" s="13">
        <f>IF(COUNTIFS(T_SelfStock_Log[Part Name],$A33,T_SelfStock_Log[WeekIndex],9)=0,"",SUMIFS(T_SelfStock_Log[Self_Qty],T_SelfStock_Log[Part Name],$A33,T_SelfStock_Log[WeekIndex],9))</f>
        <v/>
      </c>
      <c r="K33" s="13">
        <f>IF(COUNTIFS(T_SelfStock_Log[Part Name],$A33,T_SelfStock_Log[WeekIndex],10)=0,"",SUMIFS(T_SelfStock_Log[Self_Qty],T_SelfStock_Log[Part Name],$A33,T_SelfStock_Log[WeekIndex],10))</f>
        <v/>
      </c>
      <c r="L33" s="13">
        <f>IF(COUNTIFS(T_SelfStock_Log[Part Name],$A33,T_SelfStock_Log[WeekIndex],11)=0,"",SUMIFS(T_SelfStock_Log[Self_Qty],T_SelfStock_Log[Part Name],$A33,T_SelfStock_Log[WeekIndex],11))</f>
        <v/>
      </c>
      <c r="M33" s="13">
        <f>IF(COUNTIFS(T_SelfStock_Log[Part Name],$A33,T_SelfStock_Log[WeekIndex],12)=0,"",SUMIFS(T_SelfStock_Log[Self_Qty],T_SelfStock_Log[Part Name],$A33,T_SelfStock_Log[WeekIndex],12))</f>
        <v/>
      </c>
      <c r="N33" s="13">
        <f>IF(COUNTIFS(T_SelfStock_Log[Part Name],$A33,T_SelfStock_Log[WeekIndex],13)=0,"",SUMIFS(T_SelfStock_Log[Self_Qty],T_SelfStock_Log[Part Name],$A33,T_SelfStock_Log[WeekIndex],13))</f>
        <v/>
      </c>
      <c r="O33" s="13">
        <f>IF(COUNTIFS(T_SelfStock_Log[Part Name],$A33,T_SelfStock_Log[WeekIndex],14)=0,"",SUMIFS(T_SelfStock_Log[Self_Qty],T_SelfStock_Log[Part Name],$A33,T_SelfStock_Log[WeekIndex],14))</f>
        <v/>
      </c>
      <c r="P33" s="13">
        <f>IF(COUNTIFS(T_SelfStock_Log[Part Name],$A33,T_SelfStock_Log[WeekIndex],15)=0,"",SUMIFS(T_SelfStock_Log[Self_Qty],T_SelfStock_Log[Part Name],$A33,T_SelfStock_Log[WeekIndex],15))</f>
        <v/>
      </c>
      <c r="Q33" s="13">
        <f>IF(COUNTIFS(T_SelfStock_Log[Part Name],$A33,T_SelfStock_Log[WeekIndex],16)=0,"",SUMIFS(T_SelfStock_Log[Self_Qty],T_SelfStock_Log[Part Name],$A33,T_SelfStock_Log[WeekIndex],16))</f>
        <v/>
      </c>
      <c r="R33" s="13">
        <f>IF(COUNTIFS(T_SelfStock_Log[Part Name],$A33,T_SelfStock_Log[WeekIndex],17)=0,"",SUMIFS(T_SelfStock_Log[Self_Qty],T_SelfStock_Log[Part Name],$A33,T_SelfStock_Log[WeekIndex],17))</f>
        <v/>
      </c>
      <c r="S33" s="13">
        <f>IF(COUNTIFS(T_SelfStock_Log[Part Name],$A33,T_SelfStock_Log[WeekIndex],18)=0,"",SUMIFS(T_SelfStock_Log[Self_Qty],T_SelfStock_Log[Part Name],$A33,T_SelfStock_Log[WeekIndex],18))</f>
        <v/>
      </c>
      <c r="T33" s="13">
        <f>IF(COUNTIFS(T_SelfStock_Log[Part Name],$A33,T_SelfStock_Log[WeekIndex],19)=0,"",SUMIFS(T_SelfStock_Log[Self_Qty],T_SelfStock_Log[Part Name],$A33,T_SelfStock_Log[WeekIndex],19))</f>
        <v/>
      </c>
      <c r="U33" s="13">
        <f>IF(COUNTIFS(T_SelfStock_Log[Part Name],$A33,T_SelfStock_Log[WeekIndex],20)=0,"",SUMIFS(T_SelfStock_Log[Self_Qty],T_SelfStock_Log[Part Name],$A33,T_SelfStock_Log[WeekIndex],20))</f>
        <v/>
      </c>
      <c r="V33" s="13">
        <f>IF(COUNTIFS(T_SelfStock_Log[Part Name],$A33,T_SelfStock_Log[WeekIndex],21)=0,"",SUMIFS(T_SelfStock_Log[Self_Qty],T_SelfStock_Log[Part Name],$A33,T_SelfStock_Log[WeekIndex],21))</f>
        <v/>
      </c>
      <c r="W33" s="13">
        <f>IF(COUNTIFS(T_SelfStock_Log[Part Name],$A33,T_SelfStock_Log[WeekIndex],22)=0,"",SUMIFS(T_SelfStock_Log[Self_Qty],T_SelfStock_Log[Part Name],$A33,T_SelfStock_Log[WeekIndex],22))</f>
        <v/>
      </c>
      <c r="X33" s="13">
        <f>IF(COUNTIFS(T_SelfStock_Log[Part Name],$A33,T_SelfStock_Log[WeekIndex],23)=0,"",SUMIFS(T_SelfStock_Log[Self_Qty],T_SelfStock_Log[Part Name],$A33,T_SelfStock_Log[WeekIndex],23))</f>
        <v/>
      </c>
      <c r="Y33" s="13">
        <f>IF(COUNTIFS(T_SelfStock_Log[Part Name],$A33,T_SelfStock_Log[WeekIndex],24)=0,"",SUMIFS(T_SelfStock_Log[Self_Qty],T_SelfStock_Log[Part Name],$A33,T_SelfStock_Log[WeekIndex],24))</f>
        <v/>
      </c>
      <c r="Z33" s="13">
        <f>IF(COUNTIFS(T_SelfStock_Log[Part Name],$A33,T_SelfStock_Log[WeekIndex],25)=0,"",SUMIFS(T_SelfStock_Log[Self_Qty],T_SelfStock_Log[Part Name],$A33,T_SelfStock_Log[WeekIndex],25))</f>
        <v/>
      </c>
      <c r="AA33" s="13">
        <f>IF(COUNTIFS(T_SelfStock_Log[Part Name],$A33,T_SelfStock_Log[WeekIndex],26)=0,"",SUMIFS(T_SelfStock_Log[Self_Qty],T_SelfStock_Log[Part Name],$A33,T_SelfStock_Log[WeekIndex],26))</f>
        <v/>
      </c>
      <c r="AB33" s="13">
        <f>IF(COUNTIFS(T_SelfStock_Log[Part Name],$A33,T_SelfStock_Log[WeekIndex],27)=0,"",SUMIFS(T_SelfStock_Log[Self_Qty],T_SelfStock_Log[Part Name],$A33,T_SelfStock_Log[WeekIndex],27))</f>
        <v/>
      </c>
      <c r="AC33" s="13">
        <f>IF(COUNTIFS(T_SelfStock_Log[Part Name],$A33,T_SelfStock_Log[WeekIndex],28)=0,"",SUMIFS(T_SelfStock_Log[Self_Qty],T_SelfStock_Log[Part Name],$A33,T_SelfStock_Log[WeekIndex],28))</f>
        <v/>
      </c>
      <c r="AD33" s="13">
        <f>IF(COUNTIFS(T_SelfStock_Log[Part Name],$A33,T_SelfStock_Log[WeekIndex],29)=0,"",SUMIFS(T_SelfStock_Log[Self_Qty],T_SelfStock_Log[Part Name],$A33,T_SelfStock_Log[WeekIndex],29))</f>
        <v/>
      </c>
      <c r="AE33" s="13">
        <f>IF(COUNTIFS(T_SelfStock_Log[Part Name],$A33,T_SelfStock_Log[WeekIndex],30)=0,"",SUMIFS(T_SelfStock_Log[Self_Qty],T_SelfStock_Log[Part Name],$A33,T_SelfStock_Log[WeekIndex],30))</f>
        <v/>
      </c>
      <c r="AF33" s="13">
        <f>IF(COUNTIFS(T_SelfStock_Log[Part Name],$A33,T_SelfStock_Log[WeekIndex],31)=0,"",SUMIFS(T_SelfStock_Log[Self_Qty],T_SelfStock_Log[Part Name],$A33,T_SelfStock_Log[WeekIndex],31))</f>
        <v/>
      </c>
      <c r="AG33" s="13">
        <f>IF(COUNTIFS(T_SelfStock_Log[Part Name],$A33,T_SelfStock_Log[WeekIndex],32)=0,"",SUMIFS(T_SelfStock_Log[Self_Qty],T_SelfStock_Log[Part Name],$A33,T_SelfStock_Log[WeekIndex],32))</f>
        <v/>
      </c>
      <c r="AH33" s="13">
        <f>IF(COUNTIFS(T_SelfStock_Log[Part Name],$A33,T_SelfStock_Log[WeekIndex],33)=0,"",SUMIFS(T_SelfStock_Log[Self_Qty],T_SelfStock_Log[Part Name],$A33,T_SelfStock_Log[WeekIndex],33))</f>
        <v/>
      </c>
      <c r="AI33" s="13">
        <f>IF(COUNTIFS(T_SelfStock_Log[Part Name],$A33,T_SelfStock_Log[WeekIndex],34)=0,"",SUMIFS(T_SelfStock_Log[Self_Qty],T_SelfStock_Log[Part Name],$A33,T_SelfStock_Log[WeekIndex],34))</f>
        <v/>
      </c>
      <c r="AJ33" s="13">
        <f>IF(COUNTIFS(T_SelfStock_Log[Part Name],$A33,T_SelfStock_Log[WeekIndex],35)=0,"",SUMIFS(T_SelfStock_Log[Self_Qty],T_SelfStock_Log[Part Name],$A33,T_SelfStock_Log[WeekIndex],35))</f>
        <v/>
      </c>
      <c r="AK33" s="13">
        <f>IF(COUNTIFS(T_SelfStock_Log[Part Name],$A33,T_SelfStock_Log[WeekIndex],36)=0,"",SUMIFS(T_SelfStock_Log[Self_Qty],T_SelfStock_Log[Part Name],$A33,T_SelfStock_Log[WeekIndex],36))</f>
        <v/>
      </c>
      <c r="AL33" s="13">
        <f>IF(COUNTIFS(T_SelfStock_Log[Part Name],$A33,T_SelfStock_Log[WeekIndex],37)=0,"",SUMIFS(T_SelfStock_Log[Self_Qty],T_SelfStock_Log[Part Name],$A33,T_SelfStock_Log[WeekIndex],37))</f>
        <v/>
      </c>
      <c r="AM33" s="13">
        <f>IF(COUNTIFS(T_SelfStock_Log[Part Name],$A33,T_SelfStock_Log[WeekIndex],38)=0,"",SUMIFS(T_SelfStock_Log[Self_Qty],T_SelfStock_Log[Part Name],$A33,T_SelfStock_Log[WeekIndex],38))</f>
        <v/>
      </c>
      <c r="AN33" s="13">
        <f>IF(COUNTIFS(T_SelfStock_Log[Part Name],$A33,T_SelfStock_Log[WeekIndex],39)=0,"",SUMIFS(T_SelfStock_Log[Self_Qty],T_SelfStock_Log[Part Name],$A33,T_SelfStock_Log[WeekIndex],39))</f>
        <v/>
      </c>
      <c r="AO33" s="13">
        <f>IF(COUNTIFS(T_SelfStock_Log[Part Name],$A33,T_SelfStock_Log[WeekIndex],40)=0,"",SUMIFS(T_SelfStock_Log[Self_Qty],T_SelfStock_Log[Part Name],$A33,T_SelfStock_Log[WeekIndex],40))</f>
        <v/>
      </c>
      <c r="AP33" s="13">
        <f>IF(COUNTIFS(T_SelfStock_Log[Part Name],$A33,T_SelfStock_Log[WeekIndex],41)=0,"",SUMIFS(T_SelfStock_Log[Self_Qty],T_SelfStock_Log[Part Name],$A33,T_SelfStock_Log[WeekIndex],41))</f>
        <v/>
      </c>
      <c r="AQ33" s="13">
        <f>IF(COUNTIFS(T_SelfStock_Log[Part Name],$A33,T_SelfStock_Log[WeekIndex],42)=0,"",SUMIFS(T_SelfStock_Log[Self_Qty],T_SelfStock_Log[Part Name],$A33,T_SelfStock_Log[WeekIndex],42))</f>
        <v/>
      </c>
      <c r="AR33" s="13">
        <f>IF(COUNTIFS(T_SelfStock_Log[Part Name],$A33,T_SelfStock_Log[WeekIndex],43)=0,"",SUMIFS(T_SelfStock_Log[Self_Qty],T_SelfStock_Log[Part Name],$A33,T_SelfStock_Log[WeekIndex],43))</f>
        <v/>
      </c>
      <c r="AS33" s="13">
        <f>IF(COUNTIFS(T_SelfStock_Log[Part Name],$A33,T_SelfStock_Log[WeekIndex],44)=0,"",SUMIFS(T_SelfStock_Log[Self_Qty],T_SelfStock_Log[Part Name],$A33,T_SelfStock_Log[WeekIndex],44))</f>
        <v/>
      </c>
      <c r="AT33" s="13">
        <f>IF(COUNTIFS(T_SelfStock_Log[Part Name],$A33,T_SelfStock_Log[WeekIndex],45)=0,"",SUMIFS(T_SelfStock_Log[Self_Qty],T_SelfStock_Log[Part Name],$A33,T_SelfStock_Log[WeekIndex],45))</f>
        <v/>
      </c>
      <c r="AU33" s="13">
        <f>IF(COUNTIFS(T_SelfStock_Log[Part Name],$A33,T_SelfStock_Log[WeekIndex],46)=0,"",SUMIFS(T_SelfStock_Log[Self_Qty],T_SelfStock_Log[Part Name],$A33,T_SelfStock_Log[WeekIndex],46))</f>
        <v/>
      </c>
      <c r="AV33" s="13">
        <f>IF(COUNTIFS(T_SelfStock_Log[Part Name],$A33,T_SelfStock_Log[WeekIndex],47)=0,"",SUMIFS(T_SelfStock_Log[Self_Qty],T_SelfStock_Log[Part Name],$A33,T_SelfStock_Log[WeekIndex],47))</f>
        <v/>
      </c>
      <c r="AW33" s="13">
        <f>IF(COUNTIFS(T_SelfStock_Log[Part Name],$A33,T_SelfStock_Log[WeekIndex],48)=0,"",SUMIFS(T_SelfStock_Log[Self_Qty],T_SelfStock_Log[Part Name],$A33,T_SelfStock_Log[WeekIndex],48))</f>
        <v/>
      </c>
      <c r="AX33" s="13">
        <f>IF(COUNTIFS(T_SelfStock_Log[Part Name],$A33,T_SelfStock_Log[WeekIndex],49)=0,"",SUMIFS(T_SelfStock_Log[Self_Qty],T_SelfStock_Log[Part Name],$A33,T_SelfStock_Log[WeekIndex],49))</f>
        <v/>
      </c>
      <c r="AY33" s="13">
        <f>IF(COUNTIFS(T_SelfStock_Log[Part Name],$A33,T_SelfStock_Log[WeekIndex],50)=0,"",SUMIFS(T_SelfStock_Log[Self_Qty],T_SelfStock_Log[Part Name],$A33,T_SelfStock_Log[WeekIndex],50))</f>
        <v/>
      </c>
      <c r="AZ33" s="13">
        <f>IF(COUNTIFS(T_SelfStock_Log[Part Name],$A33,T_SelfStock_Log[WeekIndex],51)=0,"",SUMIFS(T_SelfStock_Log[Self_Qty],T_SelfStock_Log[Part Name],$A33,T_SelfStock_Log[WeekIndex],51))</f>
        <v/>
      </c>
      <c r="BA33" s="13">
        <f>IF(COUNTIFS(T_SelfStock_Log[Part Name],$A33,T_SelfStock_Log[WeekIndex],52)=0,"",SUMIFS(T_SelfStock_Log[Self_Qty],T_SelfStock_Log[Part Name],$A33,T_SelfStock_Log[WeekIndex],52))</f>
        <v/>
      </c>
      <c r="BB33" s="13">
        <f>IF(COUNTIFS(T_SelfStock_Log[Part Name],$A33,T_SelfStock_Log[WeekIndex],53)=0,"",SUMIFS(T_SelfStock_Log[Self_Qty],T_SelfStock_Log[Part Name],$A33,T_SelfStock_Log[WeekIndex],53))</f>
        <v/>
      </c>
      <c r="BC33" s="13">
        <f>IF(COUNTIFS(T_SelfStock_Log[Part Name],$A33,T_SelfStock_Log[WeekIndex],54)=0,"",SUMIFS(T_SelfStock_Log[Self_Qty],T_SelfStock_Log[Part Name],$A33,T_SelfStock_Log[WeekIndex],54))</f>
        <v/>
      </c>
      <c r="BD33" s="13">
        <f>IF(COUNTIFS(T_SelfStock_Log[Part Name],$A33,T_SelfStock_Log[WeekIndex],55)=0,"",SUMIFS(T_SelfStock_Log[Self_Qty],T_SelfStock_Log[Part Name],$A33,T_SelfStock_Log[WeekIndex],55))</f>
        <v/>
      </c>
      <c r="BE33" s="13">
        <f>IF(COUNTIFS(T_SelfStock_Log[Part Name],$A33,T_SelfStock_Log[WeekIndex],56)=0,"",SUMIFS(T_SelfStock_Log[Self_Qty],T_SelfStock_Log[Part Name],$A33,T_SelfStock_Log[WeekIndex],56))</f>
        <v/>
      </c>
      <c r="BF33" s="13">
        <f>IF(COUNTIFS(T_SelfStock_Log[Part Name],$A33,T_SelfStock_Log[WeekIndex],57)=0,"",SUMIFS(T_SelfStock_Log[Self_Qty],T_SelfStock_Log[Part Name],$A33,T_SelfStock_Log[WeekIndex],57))</f>
        <v/>
      </c>
      <c r="BG33" s="13">
        <f>IF(COUNTIFS(T_SelfStock_Log[Part Name],$A33,T_SelfStock_Log[WeekIndex],58)=0,"",SUMIFS(T_SelfStock_Log[Self_Qty],T_SelfStock_Log[Part Name],$A33,T_SelfStock_Log[WeekIndex],58))</f>
        <v/>
      </c>
      <c r="BH33" s="13">
        <f>IF(COUNTIFS(T_SelfStock_Log[Part Name],$A33,T_SelfStock_Log[WeekIndex],59)=0,"",SUMIFS(T_SelfStock_Log[Self_Qty],T_SelfStock_Log[Part Name],$A33,T_SelfStock_Log[WeekIndex],59))</f>
        <v/>
      </c>
      <c r="BI33" s="13">
        <f>IF(COUNTIFS(T_SelfStock_Log[Part Name],$A33,T_SelfStock_Log[WeekIndex],60)=0,"",SUMIFS(T_SelfStock_Log[Self_Qty],T_SelfStock_Log[Part Name],$A33,T_SelfStock_Log[WeekIndex],60))</f>
        <v/>
      </c>
      <c r="BJ33" s="13">
        <f>IF(COUNTIFS(T_SelfStock_Log[Part Name],$A33,T_SelfStock_Log[WeekIndex],61)=0,"",SUMIFS(T_SelfStock_Log[Self_Qty],T_SelfStock_Log[Part Name],$A33,T_SelfStock_Log[WeekIndex],61))</f>
        <v/>
      </c>
      <c r="BK33" s="13">
        <f>IF(COUNTIFS(T_SelfStock_Log[Part Name],$A33,T_SelfStock_Log[WeekIndex],62)=0,"",SUMIFS(T_SelfStock_Log[Self_Qty],T_SelfStock_Log[Part Name],$A33,T_SelfStock_Log[WeekIndex],62))</f>
        <v/>
      </c>
      <c r="BL33" s="13">
        <f>IF(COUNTIFS(T_SelfStock_Log[Part Name],$A33,T_SelfStock_Log[WeekIndex],63)=0,"",SUMIFS(T_SelfStock_Log[Self_Qty],T_SelfStock_Log[Part Name],$A33,T_SelfStock_Log[WeekIndex],63))</f>
        <v/>
      </c>
      <c r="BM33" s="13">
        <f>IF(COUNTIFS(T_SelfStock_Log[Part Name],$A33,T_SelfStock_Log[WeekIndex],64)=0,"",SUMIFS(T_SelfStock_Log[Self_Qty],T_SelfStock_Log[Part Name],$A33,T_SelfStock_Log[WeekIndex],64))</f>
        <v/>
      </c>
      <c r="BN33" s="13">
        <f>IF(COUNTIFS(T_SelfStock_Log[Part Name],$A33,T_SelfStock_Log[WeekIndex],65)=0,"",SUMIFS(T_SelfStock_Log[Self_Qty],T_SelfStock_Log[Part Name],$A33,T_SelfStock_Log[WeekIndex],65))</f>
        <v/>
      </c>
      <c r="BO33" s="13">
        <f>IF(COUNTIFS(T_SelfStock_Log[Part Name],$A33,T_SelfStock_Log[WeekIndex],66)=0,"",SUMIFS(T_SelfStock_Log[Self_Qty],T_SelfStock_Log[Part Name],$A33,T_SelfStock_Log[WeekIndex],66))</f>
        <v/>
      </c>
      <c r="BP33" s="13">
        <f>IF(COUNTIFS(T_SelfStock_Log[Part Name],$A33,T_SelfStock_Log[WeekIndex],67)=0,"",SUMIFS(T_SelfStock_Log[Self_Qty],T_SelfStock_Log[Part Name],$A33,T_SelfStock_Log[WeekIndex],67))</f>
        <v/>
      </c>
      <c r="BQ33" s="13">
        <f>IF(COUNTIFS(T_SelfStock_Log[Part Name],$A33,T_SelfStock_Log[WeekIndex],68)=0,"",SUMIFS(T_SelfStock_Log[Self_Qty],T_SelfStock_Log[Part Name],$A33,T_SelfStock_Log[WeekIndex],68))</f>
        <v/>
      </c>
      <c r="BR33" s="13">
        <f>IF(COUNTIFS(T_SelfStock_Log[Part Name],$A33,T_SelfStock_Log[WeekIndex],69)=0,"",SUMIFS(T_SelfStock_Log[Self_Qty],T_SelfStock_Log[Part Name],$A33,T_SelfStock_Log[WeekIndex],69))</f>
        <v/>
      </c>
      <c r="BS33" s="13">
        <f>IF(COUNTIFS(T_SelfStock_Log[Part Name],$A33,T_SelfStock_Log[WeekIndex],70)=0,"",SUMIFS(T_SelfStock_Log[Self_Qty],T_SelfStock_Log[Part Name],$A33,T_SelfStock_Log[WeekIndex],70))</f>
        <v/>
      </c>
      <c r="BT33" s="13">
        <f>IF(COUNTIFS(T_SelfStock_Log[Part Name],$A33,T_SelfStock_Log[WeekIndex],71)=0,"",SUMIFS(T_SelfStock_Log[Self_Qty],T_SelfStock_Log[Part Name],$A33,T_SelfStock_Log[WeekIndex],71))</f>
        <v/>
      </c>
      <c r="BU33" s="13">
        <f>IF(COUNTIFS(T_SelfStock_Log[Part Name],$A33,T_SelfStock_Log[WeekIndex],72)=0,"",SUMIFS(T_SelfStock_Log[Self_Qty],T_SelfStock_Log[Part Name],$A33,T_SelfStock_Log[WeekIndex],72))</f>
        <v/>
      </c>
      <c r="BV33" s="13">
        <f>IF(COUNTIFS(T_SelfStock_Log[Part Name],$A33,T_SelfStock_Log[WeekIndex],73)=0,"",SUMIFS(T_SelfStock_Log[Self_Qty],T_SelfStock_Log[Part Name],$A33,T_SelfStock_Log[WeekIndex],73))</f>
        <v/>
      </c>
      <c r="BW33" s="13">
        <f>IF(COUNTIFS(T_SelfStock_Log[Part Name],$A33,T_SelfStock_Log[WeekIndex],74)=0,"",SUMIFS(T_SelfStock_Log[Self_Qty],T_SelfStock_Log[Part Name],$A33,T_SelfStock_Log[WeekIndex],74))</f>
        <v/>
      </c>
      <c r="BX33" s="13">
        <f>IF(COUNTIFS(T_SelfStock_Log[Part Name],$A33,T_SelfStock_Log[WeekIndex],75)=0,"",SUMIFS(T_SelfStock_Log[Self_Qty],T_SelfStock_Log[Part Name],$A33,T_SelfStock_Log[WeekIndex],75))</f>
        <v/>
      </c>
      <c r="BY33" s="13">
        <f>IF(COUNTIFS(T_SelfStock_Log[Part Name],$A33,T_SelfStock_Log[WeekIndex],76)=0,"",SUMIFS(T_SelfStock_Log[Self_Qty],T_SelfStock_Log[Part Name],$A33,T_SelfStock_Log[WeekIndex],76))</f>
        <v/>
      </c>
      <c r="BZ33" s="13">
        <f>IF(COUNTIFS(T_SelfStock_Log[Part Name],$A33,T_SelfStock_Log[WeekIndex],77)=0,"",SUMIFS(T_SelfStock_Log[Self_Qty],T_SelfStock_Log[Part Name],$A33,T_SelfStock_Log[WeekIndex],77))</f>
        <v/>
      </c>
      <c r="CA33" s="13">
        <f>IF(COUNTIFS(T_SelfStock_Log[Part Name],$A33,T_SelfStock_Log[WeekIndex],78)=0,"",SUMIFS(T_SelfStock_Log[Self_Qty],T_SelfStock_Log[Part Name],$A33,T_SelfStock_Log[WeekIndex],78))</f>
        <v/>
      </c>
      <c r="CB33" s="13">
        <f>IF(COUNTIFS(T_SelfStock_Log[Part Name],$A33,T_SelfStock_Log[WeekIndex],79)=0,"",SUMIFS(T_SelfStock_Log[Self_Qty],T_SelfStock_Log[Part Name],$A33,T_SelfStock_Log[WeekIndex],79))</f>
        <v/>
      </c>
      <c r="CC33" s="13">
        <f>IF(COUNTIFS(T_SelfStock_Log[Part Name],$A33,T_SelfStock_Log[WeekIndex],80)=0,"",SUMIFS(T_SelfStock_Log[Self_Qty],T_SelfStock_Log[Part Name],$A33,T_SelfStock_Log[WeekIndex],80))</f>
        <v/>
      </c>
      <c r="CD33" s="13">
        <f>IF(COUNTIFS(T_SelfStock_Log[Part Name],$A33,T_SelfStock_Log[WeekIndex],81)=0,"",SUMIFS(T_SelfStock_Log[Self_Qty],T_SelfStock_Log[Part Name],$A33,T_SelfStock_Log[WeekIndex],81))</f>
        <v/>
      </c>
      <c r="CE33" s="13">
        <f>IF(COUNTIFS(T_SelfStock_Log[Part Name],$A33,T_SelfStock_Log[WeekIndex],82)=0,"",SUMIFS(T_SelfStock_Log[Self_Qty],T_SelfStock_Log[Part Name],$A33,T_SelfStock_Log[WeekIndex],82))</f>
        <v/>
      </c>
      <c r="CF33" s="13">
        <f>IF(COUNTIFS(T_SelfStock_Log[Part Name],$A33,T_SelfStock_Log[WeekIndex],83)=0,"",SUMIFS(T_SelfStock_Log[Self_Qty],T_SelfStock_Log[Part Name],$A33,T_SelfStock_Log[WeekIndex],83))</f>
        <v/>
      </c>
      <c r="CG33" s="13">
        <f>IF(COUNTIFS(T_SelfStock_Log[Part Name],$A33,T_SelfStock_Log[WeekIndex],84)=0,"",SUMIFS(T_SelfStock_Log[Self_Qty],T_SelfStock_Log[Part Name],$A33,T_SelfStock_Log[WeekIndex],84))</f>
        <v/>
      </c>
      <c r="CH33" s="13">
        <f>IF(COUNTIFS(T_SelfStock_Log[Part Name],$A33,T_SelfStock_Log[WeekIndex],85)=0,"",SUMIFS(T_SelfStock_Log[Self_Qty],T_SelfStock_Log[Part Name],$A33,T_SelfStock_Log[WeekIndex],85))</f>
        <v/>
      </c>
      <c r="CI33" s="13">
        <f>IF(COUNTIFS(T_SelfStock_Log[Part Name],$A33,T_SelfStock_Log[WeekIndex],86)=0,"",SUMIFS(T_SelfStock_Log[Self_Qty],T_SelfStock_Log[Part Name],$A33,T_SelfStock_Log[WeekIndex],86))</f>
        <v/>
      </c>
      <c r="CJ33" s="13">
        <f>IF(COUNTIFS(T_SelfStock_Log[Part Name],$A33,T_SelfStock_Log[WeekIndex],87)=0,"",SUMIFS(T_SelfStock_Log[Self_Qty],T_SelfStock_Log[Part Name],$A33,T_SelfStock_Log[WeekIndex],87))</f>
        <v/>
      </c>
      <c r="CK33" s="13">
        <f>IF(COUNTIFS(T_SelfStock_Log[Part Name],$A33,T_SelfStock_Log[WeekIndex],88)=0,"",SUMIFS(T_SelfStock_Log[Self_Qty],T_SelfStock_Log[Part Name],$A33,T_SelfStock_Log[WeekIndex],88))</f>
        <v/>
      </c>
      <c r="CL33" s="13">
        <f>IF(COUNTIFS(T_SelfStock_Log[Part Name],$A33,T_SelfStock_Log[WeekIndex],89)=0,"",SUMIFS(T_SelfStock_Log[Self_Qty],T_SelfStock_Log[Part Name],$A33,T_SelfStock_Log[WeekIndex],89))</f>
        <v/>
      </c>
      <c r="CM33" s="13">
        <f>IF(COUNTIFS(T_SelfStock_Log[Part Name],$A33,T_SelfStock_Log[WeekIndex],90)=0,"",SUMIFS(T_SelfStock_Log[Self_Qty],T_SelfStock_Log[Part Name],$A33,T_SelfStock_Log[WeekIndex],90))</f>
        <v/>
      </c>
      <c r="CN33" s="13">
        <f>IF(COUNTIFS(T_SelfStock_Log[Part Name],$A33,T_SelfStock_Log[WeekIndex],91)=0,"",SUMIFS(T_SelfStock_Log[Self_Qty],T_SelfStock_Log[Part Name],$A33,T_SelfStock_Log[WeekIndex],91))</f>
        <v/>
      </c>
      <c r="CO33" s="13">
        <f>IF(COUNTIFS(T_SelfStock_Log[Part Name],$A33,T_SelfStock_Log[WeekIndex],92)=0,"",SUMIFS(T_SelfStock_Log[Self_Qty],T_SelfStock_Log[Part Name],$A33,T_SelfStock_Log[WeekIndex],92))</f>
        <v/>
      </c>
      <c r="CP33" s="13">
        <f>IF(COUNTIFS(T_SelfStock_Log[Part Name],$A33,T_SelfStock_Log[WeekIndex],93)=0,"",SUMIFS(T_SelfStock_Log[Self_Qty],T_SelfStock_Log[Part Name],$A33,T_SelfStock_Log[WeekIndex],93))</f>
        <v/>
      </c>
      <c r="CQ33" s="13">
        <f>IF(COUNTIFS(T_SelfStock_Log[Part Name],$A33,T_SelfStock_Log[WeekIndex],94)=0,"",SUMIFS(T_SelfStock_Log[Self_Qty],T_SelfStock_Log[Part Name],$A33,T_SelfStock_Log[WeekIndex],94))</f>
        <v/>
      </c>
      <c r="CR33" s="13">
        <f>IF(COUNTIFS(T_SelfStock_Log[Part Name],$A33,T_SelfStock_Log[WeekIndex],95)=0,"",SUMIFS(T_SelfStock_Log[Self_Qty],T_SelfStock_Log[Part Name],$A33,T_SelfStock_Log[WeekIndex],95))</f>
        <v/>
      </c>
      <c r="CS33" s="13">
        <f>IF(COUNTIFS(T_SelfStock_Log[Part Name],$A33,T_SelfStock_Log[WeekIndex],96)=0,"",SUMIFS(T_SelfStock_Log[Self_Qty],T_SelfStock_Log[Part Name],$A33,T_SelfStock_Log[WeekIndex],96))</f>
        <v/>
      </c>
      <c r="CT33" s="13">
        <f>IF(COUNTIFS(T_SelfStock_Log[Part Name],$A33,T_SelfStock_Log[WeekIndex],97)=0,"",SUMIFS(T_SelfStock_Log[Self_Qty],T_SelfStock_Log[Part Name],$A33,T_SelfStock_Log[WeekIndex],97))</f>
        <v/>
      </c>
      <c r="CU33" s="13">
        <f>IF(COUNTIFS(T_SelfStock_Log[Part Name],$A33,T_SelfStock_Log[WeekIndex],98)=0,"",SUMIFS(T_SelfStock_Log[Self_Qty],T_SelfStock_Log[Part Name],$A33,T_SelfStock_Log[WeekIndex],98))</f>
        <v/>
      </c>
      <c r="CV33" s="13">
        <f>IF(COUNTIFS(T_SelfStock_Log[Part Name],$A33,T_SelfStock_Log[WeekIndex],99)=0,"",SUMIFS(T_SelfStock_Log[Self_Qty],T_SelfStock_Log[Part Name],$A33,T_SelfStock_Log[WeekIndex],99))</f>
        <v/>
      </c>
      <c r="CW33" s="13">
        <f>IF(COUNTIFS(T_SelfStock_Log[Part Name],$A33,T_SelfStock_Log[WeekIndex],100)=0,"",SUMIFS(T_SelfStock_Log[Self_Qty],T_SelfStock_Log[Part Name],$A33,T_SelfStock_Log[WeekIndex],100))</f>
        <v/>
      </c>
      <c r="CX33" s="13">
        <f>IF(COUNTIFS(T_SelfStock_Log[Part Name],$A33,T_SelfStock_Log[WeekIndex],101)=0,"",SUMIFS(T_SelfStock_Log[Self_Qty],T_SelfStock_Log[Part Name],$A33,T_SelfStock_Log[WeekIndex],101))</f>
        <v/>
      </c>
      <c r="CY33" s="13">
        <f>IF(COUNTIFS(T_SelfStock_Log[Part Name],$A33,T_SelfStock_Log[WeekIndex],102)=0,"",SUMIFS(T_SelfStock_Log[Self_Qty],T_SelfStock_Log[Part Name],$A33,T_SelfStock_Log[WeekIndex],102))</f>
        <v/>
      </c>
      <c r="CZ33" s="13">
        <f>IF(COUNTIFS(T_SelfStock_Log[Part Name],$A33,T_SelfStock_Log[WeekIndex],103)=0,"",SUMIFS(T_SelfStock_Log[Self_Qty],T_SelfStock_Log[Part Name],$A33,T_SelfStock_Log[WeekIndex],103))</f>
        <v/>
      </c>
      <c r="DA33" s="13">
        <f>IF(COUNTIFS(T_SelfStock_Log[Part Name],$A33,T_SelfStock_Log[WeekIndex],104)=0,"",SUMIFS(T_SelfStock_Log[Self_Qty],T_SelfStock_Log[Part Name],$A33,T_SelfStock_Log[WeekIndex],104))</f>
        <v/>
      </c>
    </row>
    <row r="34">
      <c r="A34" s="12" t="inlineStr">
        <is>
          <t>TDJ</t>
        </is>
      </c>
      <c r="B34" s="12">
        <f>IF(COUNTIFS(T_SelfStock_Log[Part Name],$A34,T_SelfStock_Log[WeekIndex],1)=0,"",SUMIFS(T_SelfStock_Log[Self_Qty],T_SelfStock_Log[Part Name],$A34,T_SelfStock_Log[WeekIndex],1))</f>
        <v/>
      </c>
      <c r="C34" s="12">
        <f>IF(COUNTIFS(T_SelfStock_Log[Part Name],$A34,T_SelfStock_Log[WeekIndex],2)=0,"",SUMIFS(T_SelfStock_Log[Self_Qty],T_SelfStock_Log[Part Name],$A34,T_SelfStock_Log[WeekIndex],2))</f>
        <v/>
      </c>
      <c r="D34" s="12">
        <f>IF(COUNTIFS(T_SelfStock_Log[Part Name],$A34,T_SelfStock_Log[WeekIndex],3)=0,"",SUMIFS(T_SelfStock_Log[Self_Qty],T_SelfStock_Log[Part Name],$A34,T_SelfStock_Log[WeekIndex],3))</f>
        <v/>
      </c>
      <c r="E34" s="12">
        <f>IF(COUNTIFS(T_SelfStock_Log[Part Name],$A34,T_SelfStock_Log[WeekIndex],4)=0,"",SUMIFS(T_SelfStock_Log[Self_Qty],T_SelfStock_Log[Part Name],$A34,T_SelfStock_Log[WeekIndex],4))</f>
        <v/>
      </c>
      <c r="F34" s="12">
        <f>IF(COUNTIFS(T_SelfStock_Log[Part Name],$A34,T_SelfStock_Log[WeekIndex],5)=0,"",SUMIFS(T_SelfStock_Log[Self_Qty],T_SelfStock_Log[Part Name],$A34,T_SelfStock_Log[WeekIndex],5))</f>
        <v/>
      </c>
      <c r="G34" s="12">
        <f>IF(COUNTIFS(T_SelfStock_Log[Part Name],$A34,T_SelfStock_Log[WeekIndex],6)=0,"",SUMIFS(T_SelfStock_Log[Self_Qty],T_SelfStock_Log[Part Name],$A34,T_SelfStock_Log[WeekIndex],6))</f>
        <v/>
      </c>
      <c r="H34" s="12">
        <f>IF(COUNTIFS(T_SelfStock_Log[Part Name],$A34,T_SelfStock_Log[WeekIndex],7)=0,"",SUMIFS(T_SelfStock_Log[Self_Qty],T_SelfStock_Log[Part Name],$A34,T_SelfStock_Log[WeekIndex],7))</f>
        <v/>
      </c>
      <c r="I34" s="12">
        <f>IF(COUNTIFS(T_SelfStock_Log[Part Name],$A34,T_SelfStock_Log[WeekIndex],8)=0,"",SUMIFS(T_SelfStock_Log[Self_Qty],T_SelfStock_Log[Part Name],$A34,T_SelfStock_Log[WeekIndex],8))</f>
        <v/>
      </c>
      <c r="J34" s="12">
        <f>IF(COUNTIFS(T_SelfStock_Log[Part Name],$A34,T_SelfStock_Log[WeekIndex],9)=0,"",SUMIFS(T_SelfStock_Log[Self_Qty],T_SelfStock_Log[Part Name],$A34,T_SelfStock_Log[WeekIndex],9))</f>
        <v/>
      </c>
      <c r="K34" s="12">
        <f>IF(COUNTIFS(T_SelfStock_Log[Part Name],$A34,T_SelfStock_Log[WeekIndex],10)=0,"",SUMIFS(T_SelfStock_Log[Self_Qty],T_SelfStock_Log[Part Name],$A34,T_SelfStock_Log[WeekIndex],10))</f>
        <v/>
      </c>
      <c r="L34" s="12">
        <f>IF(COUNTIFS(T_SelfStock_Log[Part Name],$A34,T_SelfStock_Log[WeekIndex],11)=0,"",SUMIFS(T_SelfStock_Log[Self_Qty],T_SelfStock_Log[Part Name],$A34,T_SelfStock_Log[WeekIndex],11))</f>
        <v/>
      </c>
      <c r="M34" s="12">
        <f>IF(COUNTIFS(T_SelfStock_Log[Part Name],$A34,T_SelfStock_Log[WeekIndex],12)=0,"",SUMIFS(T_SelfStock_Log[Self_Qty],T_SelfStock_Log[Part Name],$A34,T_SelfStock_Log[WeekIndex],12))</f>
        <v/>
      </c>
      <c r="N34" s="12">
        <f>IF(COUNTIFS(T_SelfStock_Log[Part Name],$A34,T_SelfStock_Log[WeekIndex],13)=0,"",SUMIFS(T_SelfStock_Log[Self_Qty],T_SelfStock_Log[Part Name],$A34,T_SelfStock_Log[WeekIndex],13))</f>
        <v/>
      </c>
      <c r="O34" s="12">
        <f>IF(COUNTIFS(T_SelfStock_Log[Part Name],$A34,T_SelfStock_Log[WeekIndex],14)=0,"",SUMIFS(T_SelfStock_Log[Self_Qty],T_SelfStock_Log[Part Name],$A34,T_SelfStock_Log[WeekIndex],14))</f>
        <v/>
      </c>
      <c r="P34" s="12">
        <f>IF(COUNTIFS(T_SelfStock_Log[Part Name],$A34,T_SelfStock_Log[WeekIndex],15)=0,"",SUMIFS(T_SelfStock_Log[Self_Qty],T_SelfStock_Log[Part Name],$A34,T_SelfStock_Log[WeekIndex],15))</f>
        <v/>
      </c>
      <c r="Q34" s="12">
        <f>IF(COUNTIFS(T_SelfStock_Log[Part Name],$A34,T_SelfStock_Log[WeekIndex],16)=0,"",SUMIFS(T_SelfStock_Log[Self_Qty],T_SelfStock_Log[Part Name],$A34,T_SelfStock_Log[WeekIndex],16))</f>
        <v/>
      </c>
      <c r="R34" s="12">
        <f>IF(COUNTIFS(T_SelfStock_Log[Part Name],$A34,T_SelfStock_Log[WeekIndex],17)=0,"",SUMIFS(T_SelfStock_Log[Self_Qty],T_SelfStock_Log[Part Name],$A34,T_SelfStock_Log[WeekIndex],17))</f>
        <v/>
      </c>
      <c r="S34" s="12">
        <f>IF(COUNTIFS(T_SelfStock_Log[Part Name],$A34,T_SelfStock_Log[WeekIndex],18)=0,"",SUMIFS(T_SelfStock_Log[Self_Qty],T_SelfStock_Log[Part Name],$A34,T_SelfStock_Log[WeekIndex],18))</f>
        <v/>
      </c>
      <c r="T34" s="12">
        <f>IF(COUNTIFS(T_SelfStock_Log[Part Name],$A34,T_SelfStock_Log[WeekIndex],19)=0,"",SUMIFS(T_SelfStock_Log[Self_Qty],T_SelfStock_Log[Part Name],$A34,T_SelfStock_Log[WeekIndex],19))</f>
        <v/>
      </c>
      <c r="U34" s="12">
        <f>IF(COUNTIFS(T_SelfStock_Log[Part Name],$A34,T_SelfStock_Log[WeekIndex],20)=0,"",SUMIFS(T_SelfStock_Log[Self_Qty],T_SelfStock_Log[Part Name],$A34,T_SelfStock_Log[WeekIndex],20))</f>
        <v/>
      </c>
      <c r="V34" s="12">
        <f>IF(COUNTIFS(T_SelfStock_Log[Part Name],$A34,T_SelfStock_Log[WeekIndex],21)=0,"",SUMIFS(T_SelfStock_Log[Self_Qty],T_SelfStock_Log[Part Name],$A34,T_SelfStock_Log[WeekIndex],21))</f>
        <v/>
      </c>
      <c r="W34" s="12">
        <f>IF(COUNTIFS(T_SelfStock_Log[Part Name],$A34,T_SelfStock_Log[WeekIndex],22)=0,"",SUMIFS(T_SelfStock_Log[Self_Qty],T_SelfStock_Log[Part Name],$A34,T_SelfStock_Log[WeekIndex],22))</f>
        <v/>
      </c>
      <c r="X34" s="12">
        <f>IF(COUNTIFS(T_SelfStock_Log[Part Name],$A34,T_SelfStock_Log[WeekIndex],23)=0,"",SUMIFS(T_SelfStock_Log[Self_Qty],T_SelfStock_Log[Part Name],$A34,T_SelfStock_Log[WeekIndex],23))</f>
        <v/>
      </c>
      <c r="Y34" s="12">
        <f>IF(COUNTIFS(T_SelfStock_Log[Part Name],$A34,T_SelfStock_Log[WeekIndex],24)=0,"",SUMIFS(T_SelfStock_Log[Self_Qty],T_SelfStock_Log[Part Name],$A34,T_SelfStock_Log[WeekIndex],24))</f>
        <v/>
      </c>
      <c r="Z34" s="12">
        <f>IF(COUNTIFS(T_SelfStock_Log[Part Name],$A34,T_SelfStock_Log[WeekIndex],25)=0,"",SUMIFS(T_SelfStock_Log[Self_Qty],T_SelfStock_Log[Part Name],$A34,T_SelfStock_Log[WeekIndex],25))</f>
        <v/>
      </c>
      <c r="AA34" s="12">
        <f>IF(COUNTIFS(T_SelfStock_Log[Part Name],$A34,T_SelfStock_Log[WeekIndex],26)=0,"",SUMIFS(T_SelfStock_Log[Self_Qty],T_SelfStock_Log[Part Name],$A34,T_SelfStock_Log[WeekIndex],26))</f>
        <v/>
      </c>
      <c r="AB34" s="12">
        <f>IF(COUNTIFS(T_SelfStock_Log[Part Name],$A34,T_SelfStock_Log[WeekIndex],27)=0,"",SUMIFS(T_SelfStock_Log[Self_Qty],T_SelfStock_Log[Part Name],$A34,T_SelfStock_Log[WeekIndex],27))</f>
        <v/>
      </c>
      <c r="AC34" s="12">
        <f>IF(COUNTIFS(T_SelfStock_Log[Part Name],$A34,T_SelfStock_Log[WeekIndex],28)=0,"",SUMIFS(T_SelfStock_Log[Self_Qty],T_SelfStock_Log[Part Name],$A34,T_SelfStock_Log[WeekIndex],28))</f>
        <v/>
      </c>
      <c r="AD34" s="12">
        <f>IF(COUNTIFS(T_SelfStock_Log[Part Name],$A34,T_SelfStock_Log[WeekIndex],29)=0,"",SUMIFS(T_SelfStock_Log[Self_Qty],T_SelfStock_Log[Part Name],$A34,T_SelfStock_Log[WeekIndex],29))</f>
        <v/>
      </c>
      <c r="AE34" s="12">
        <f>IF(COUNTIFS(T_SelfStock_Log[Part Name],$A34,T_SelfStock_Log[WeekIndex],30)=0,"",SUMIFS(T_SelfStock_Log[Self_Qty],T_SelfStock_Log[Part Name],$A34,T_SelfStock_Log[WeekIndex],30))</f>
        <v/>
      </c>
      <c r="AF34" s="12">
        <f>IF(COUNTIFS(T_SelfStock_Log[Part Name],$A34,T_SelfStock_Log[WeekIndex],31)=0,"",SUMIFS(T_SelfStock_Log[Self_Qty],T_SelfStock_Log[Part Name],$A34,T_SelfStock_Log[WeekIndex],31))</f>
        <v/>
      </c>
      <c r="AG34" s="12">
        <f>IF(COUNTIFS(T_SelfStock_Log[Part Name],$A34,T_SelfStock_Log[WeekIndex],32)=0,"",SUMIFS(T_SelfStock_Log[Self_Qty],T_SelfStock_Log[Part Name],$A34,T_SelfStock_Log[WeekIndex],32))</f>
        <v/>
      </c>
      <c r="AH34" s="12">
        <f>IF(COUNTIFS(T_SelfStock_Log[Part Name],$A34,T_SelfStock_Log[WeekIndex],33)=0,"",SUMIFS(T_SelfStock_Log[Self_Qty],T_SelfStock_Log[Part Name],$A34,T_SelfStock_Log[WeekIndex],33))</f>
        <v/>
      </c>
      <c r="AI34" s="12">
        <f>IF(COUNTIFS(T_SelfStock_Log[Part Name],$A34,T_SelfStock_Log[WeekIndex],34)=0,"",SUMIFS(T_SelfStock_Log[Self_Qty],T_SelfStock_Log[Part Name],$A34,T_SelfStock_Log[WeekIndex],34))</f>
        <v/>
      </c>
      <c r="AJ34" s="12">
        <f>IF(COUNTIFS(T_SelfStock_Log[Part Name],$A34,T_SelfStock_Log[WeekIndex],35)=0,"",SUMIFS(T_SelfStock_Log[Self_Qty],T_SelfStock_Log[Part Name],$A34,T_SelfStock_Log[WeekIndex],35))</f>
        <v/>
      </c>
      <c r="AK34" s="12">
        <f>IF(COUNTIFS(T_SelfStock_Log[Part Name],$A34,T_SelfStock_Log[WeekIndex],36)=0,"",SUMIFS(T_SelfStock_Log[Self_Qty],T_SelfStock_Log[Part Name],$A34,T_SelfStock_Log[WeekIndex],36))</f>
        <v/>
      </c>
      <c r="AL34" s="12">
        <f>IF(COUNTIFS(T_SelfStock_Log[Part Name],$A34,T_SelfStock_Log[WeekIndex],37)=0,"",SUMIFS(T_SelfStock_Log[Self_Qty],T_SelfStock_Log[Part Name],$A34,T_SelfStock_Log[WeekIndex],37))</f>
        <v/>
      </c>
      <c r="AM34" s="12">
        <f>IF(COUNTIFS(T_SelfStock_Log[Part Name],$A34,T_SelfStock_Log[WeekIndex],38)=0,"",SUMIFS(T_SelfStock_Log[Self_Qty],T_SelfStock_Log[Part Name],$A34,T_SelfStock_Log[WeekIndex],38))</f>
        <v/>
      </c>
      <c r="AN34" s="12">
        <f>IF(COUNTIFS(T_SelfStock_Log[Part Name],$A34,T_SelfStock_Log[WeekIndex],39)=0,"",SUMIFS(T_SelfStock_Log[Self_Qty],T_SelfStock_Log[Part Name],$A34,T_SelfStock_Log[WeekIndex],39))</f>
        <v/>
      </c>
      <c r="AO34" s="12">
        <f>IF(COUNTIFS(T_SelfStock_Log[Part Name],$A34,T_SelfStock_Log[WeekIndex],40)=0,"",SUMIFS(T_SelfStock_Log[Self_Qty],T_SelfStock_Log[Part Name],$A34,T_SelfStock_Log[WeekIndex],40))</f>
        <v/>
      </c>
      <c r="AP34" s="12">
        <f>IF(COUNTIFS(T_SelfStock_Log[Part Name],$A34,T_SelfStock_Log[WeekIndex],41)=0,"",SUMIFS(T_SelfStock_Log[Self_Qty],T_SelfStock_Log[Part Name],$A34,T_SelfStock_Log[WeekIndex],41))</f>
        <v/>
      </c>
      <c r="AQ34" s="12">
        <f>IF(COUNTIFS(T_SelfStock_Log[Part Name],$A34,T_SelfStock_Log[WeekIndex],42)=0,"",SUMIFS(T_SelfStock_Log[Self_Qty],T_SelfStock_Log[Part Name],$A34,T_SelfStock_Log[WeekIndex],42))</f>
        <v/>
      </c>
      <c r="AR34" s="12">
        <f>IF(COUNTIFS(T_SelfStock_Log[Part Name],$A34,T_SelfStock_Log[WeekIndex],43)=0,"",SUMIFS(T_SelfStock_Log[Self_Qty],T_SelfStock_Log[Part Name],$A34,T_SelfStock_Log[WeekIndex],43))</f>
        <v/>
      </c>
      <c r="AS34" s="12">
        <f>IF(COUNTIFS(T_SelfStock_Log[Part Name],$A34,T_SelfStock_Log[WeekIndex],44)=0,"",SUMIFS(T_SelfStock_Log[Self_Qty],T_SelfStock_Log[Part Name],$A34,T_SelfStock_Log[WeekIndex],44))</f>
        <v/>
      </c>
      <c r="AT34" s="12">
        <f>IF(COUNTIFS(T_SelfStock_Log[Part Name],$A34,T_SelfStock_Log[WeekIndex],45)=0,"",SUMIFS(T_SelfStock_Log[Self_Qty],T_SelfStock_Log[Part Name],$A34,T_SelfStock_Log[WeekIndex],45))</f>
        <v/>
      </c>
      <c r="AU34" s="12">
        <f>IF(COUNTIFS(T_SelfStock_Log[Part Name],$A34,T_SelfStock_Log[WeekIndex],46)=0,"",SUMIFS(T_SelfStock_Log[Self_Qty],T_SelfStock_Log[Part Name],$A34,T_SelfStock_Log[WeekIndex],46))</f>
        <v/>
      </c>
      <c r="AV34" s="12">
        <f>IF(COUNTIFS(T_SelfStock_Log[Part Name],$A34,T_SelfStock_Log[WeekIndex],47)=0,"",SUMIFS(T_SelfStock_Log[Self_Qty],T_SelfStock_Log[Part Name],$A34,T_SelfStock_Log[WeekIndex],47))</f>
        <v/>
      </c>
      <c r="AW34" s="12">
        <f>IF(COUNTIFS(T_SelfStock_Log[Part Name],$A34,T_SelfStock_Log[WeekIndex],48)=0,"",SUMIFS(T_SelfStock_Log[Self_Qty],T_SelfStock_Log[Part Name],$A34,T_SelfStock_Log[WeekIndex],48))</f>
        <v/>
      </c>
      <c r="AX34" s="12">
        <f>IF(COUNTIFS(T_SelfStock_Log[Part Name],$A34,T_SelfStock_Log[WeekIndex],49)=0,"",SUMIFS(T_SelfStock_Log[Self_Qty],T_SelfStock_Log[Part Name],$A34,T_SelfStock_Log[WeekIndex],49))</f>
        <v/>
      </c>
      <c r="AY34" s="12">
        <f>IF(COUNTIFS(T_SelfStock_Log[Part Name],$A34,T_SelfStock_Log[WeekIndex],50)=0,"",SUMIFS(T_SelfStock_Log[Self_Qty],T_SelfStock_Log[Part Name],$A34,T_SelfStock_Log[WeekIndex],50))</f>
        <v/>
      </c>
      <c r="AZ34" s="12">
        <f>IF(COUNTIFS(T_SelfStock_Log[Part Name],$A34,T_SelfStock_Log[WeekIndex],51)=0,"",SUMIFS(T_SelfStock_Log[Self_Qty],T_SelfStock_Log[Part Name],$A34,T_SelfStock_Log[WeekIndex],51))</f>
        <v/>
      </c>
      <c r="BA34" s="12">
        <f>IF(COUNTIFS(T_SelfStock_Log[Part Name],$A34,T_SelfStock_Log[WeekIndex],52)=0,"",SUMIFS(T_SelfStock_Log[Self_Qty],T_SelfStock_Log[Part Name],$A34,T_SelfStock_Log[WeekIndex],52))</f>
        <v/>
      </c>
      <c r="BB34" s="12">
        <f>IF(COUNTIFS(T_SelfStock_Log[Part Name],$A34,T_SelfStock_Log[WeekIndex],53)=0,"",SUMIFS(T_SelfStock_Log[Self_Qty],T_SelfStock_Log[Part Name],$A34,T_SelfStock_Log[WeekIndex],53))</f>
        <v/>
      </c>
      <c r="BC34" s="12">
        <f>IF(COUNTIFS(T_SelfStock_Log[Part Name],$A34,T_SelfStock_Log[WeekIndex],54)=0,"",SUMIFS(T_SelfStock_Log[Self_Qty],T_SelfStock_Log[Part Name],$A34,T_SelfStock_Log[WeekIndex],54))</f>
        <v/>
      </c>
      <c r="BD34" s="12">
        <f>IF(COUNTIFS(T_SelfStock_Log[Part Name],$A34,T_SelfStock_Log[WeekIndex],55)=0,"",SUMIFS(T_SelfStock_Log[Self_Qty],T_SelfStock_Log[Part Name],$A34,T_SelfStock_Log[WeekIndex],55))</f>
        <v/>
      </c>
      <c r="BE34" s="12">
        <f>IF(COUNTIFS(T_SelfStock_Log[Part Name],$A34,T_SelfStock_Log[WeekIndex],56)=0,"",SUMIFS(T_SelfStock_Log[Self_Qty],T_SelfStock_Log[Part Name],$A34,T_SelfStock_Log[WeekIndex],56))</f>
        <v/>
      </c>
      <c r="BF34" s="12">
        <f>IF(COUNTIFS(T_SelfStock_Log[Part Name],$A34,T_SelfStock_Log[WeekIndex],57)=0,"",SUMIFS(T_SelfStock_Log[Self_Qty],T_SelfStock_Log[Part Name],$A34,T_SelfStock_Log[WeekIndex],57))</f>
        <v/>
      </c>
      <c r="BG34" s="12">
        <f>IF(COUNTIFS(T_SelfStock_Log[Part Name],$A34,T_SelfStock_Log[WeekIndex],58)=0,"",SUMIFS(T_SelfStock_Log[Self_Qty],T_SelfStock_Log[Part Name],$A34,T_SelfStock_Log[WeekIndex],58))</f>
        <v/>
      </c>
      <c r="BH34" s="12">
        <f>IF(COUNTIFS(T_SelfStock_Log[Part Name],$A34,T_SelfStock_Log[WeekIndex],59)=0,"",SUMIFS(T_SelfStock_Log[Self_Qty],T_SelfStock_Log[Part Name],$A34,T_SelfStock_Log[WeekIndex],59))</f>
        <v/>
      </c>
      <c r="BI34" s="12">
        <f>IF(COUNTIFS(T_SelfStock_Log[Part Name],$A34,T_SelfStock_Log[WeekIndex],60)=0,"",SUMIFS(T_SelfStock_Log[Self_Qty],T_SelfStock_Log[Part Name],$A34,T_SelfStock_Log[WeekIndex],60))</f>
        <v/>
      </c>
      <c r="BJ34" s="12">
        <f>IF(COUNTIFS(T_SelfStock_Log[Part Name],$A34,T_SelfStock_Log[WeekIndex],61)=0,"",SUMIFS(T_SelfStock_Log[Self_Qty],T_SelfStock_Log[Part Name],$A34,T_SelfStock_Log[WeekIndex],61))</f>
        <v/>
      </c>
      <c r="BK34" s="12">
        <f>IF(COUNTIFS(T_SelfStock_Log[Part Name],$A34,T_SelfStock_Log[WeekIndex],62)=0,"",SUMIFS(T_SelfStock_Log[Self_Qty],T_SelfStock_Log[Part Name],$A34,T_SelfStock_Log[WeekIndex],62))</f>
        <v/>
      </c>
      <c r="BL34" s="12">
        <f>IF(COUNTIFS(T_SelfStock_Log[Part Name],$A34,T_SelfStock_Log[WeekIndex],63)=0,"",SUMIFS(T_SelfStock_Log[Self_Qty],T_SelfStock_Log[Part Name],$A34,T_SelfStock_Log[WeekIndex],63))</f>
        <v/>
      </c>
      <c r="BM34" s="12">
        <f>IF(COUNTIFS(T_SelfStock_Log[Part Name],$A34,T_SelfStock_Log[WeekIndex],64)=0,"",SUMIFS(T_SelfStock_Log[Self_Qty],T_SelfStock_Log[Part Name],$A34,T_SelfStock_Log[WeekIndex],64))</f>
        <v/>
      </c>
      <c r="BN34" s="12">
        <f>IF(COUNTIFS(T_SelfStock_Log[Part Name],$A34,T_SelfStock_Log[WeekIndex],65)=0,"",SUMIFS(T_SelfStock_Log[Self_Qty],T_SelfStock_Log[Part Name],$A34,T_SelfStock_Log[WeekIndex],65))</f>
        <v/>
      </c>
      <c r="BO34" s="12">
        <f>IF(COUNTIFS(T_SelfStock_Log[Part Name],$A34,T_SelfStock_Log[WeekIndex],66)=0,"",SUMIFS(T_SelfStock_Log[Self_Qty],T_SelfStock_Log[Part Name],$A34,T_SelfStock_Log[WeekIndex],66))</f>
        <v/>
      </c>
      <c r="BP34" s="12">
        <f>IF(COUNTIFS(T_SelfStock_Log[Part Name],$A34,T_SelfStock_Log[WeekIndex],67)=0,"",SUMIFS(T_SelfStock_Log[Self_Qty],T_SelfStock_Log[Part Name],$A34,T_SelfStock_Log[WeekIndex],67))</f>
        <v/>
      </c>
      <c r="BQ34" s="12">
        <f>IF(COUNTIFS(T_SelfStock_Log[Part Name],$A34,T_SelfStock_Log[WeekIndex],68)=0,"",SUMIFS(T_SelfStock_Log[Self_Qty],T_SelfStock_Log[Part Name],$A34,T_SelfStock_Log[WeekIndex],68))</f>
        <v/>
      </c>
      <c r="BR34" s="12">
        <f>IF(COUNTIFS(T_SelfStock_Log[Part Name],$A34,T_SelfStock_Log[WeekIndex],69)=0,"",SUMIFS(T_SelfStock_Log[Self_Qty],T_SelfStock_Log[Part Name],$A34,T_SelfStock_Log[WeekIndex],69))</f>
        <v/>
      </c>
      <c r="BS34" s="12">
        <f>IF(COUNTIFS(T_SelfStock_Log[Part Name],$A34,T_SelfStock_Log[WeekIndex],70)=0,"",SUMIFS(T_SelfStock_Log[Self_Qty],T_SelfStock_Log[Part Name],$A34,T_SelfStock_Log[WeekIndex],70))</f>
        <v/>
      </c>
      <c r="BT34" s="12">
        <f>IF(COUNTIFS(T_SelfStock_Log[Part Name],$A34,T_SelfStock_Log[WeekIndex],71)=0,"",SUMIFS(T_SelfStock_Log[Self_Qty],T_SelfStock_Log[Part Name],$A34,T_SelfStock_Log[WeekIndex],71))</f>
        <v/>
      </c>
      <c r="BU34" s="12">
        <f>IF(COUNTIFS(T_SelfStock_Log[Part Name],$A34,T_SelfStock_Log[WeekIndex],72)=0,"",SUMIFS(T_SelfStock_Log[Self_Qty],T_SelfStock_Log[Part Name],$A34,T_SelfStock_Log[WeekIndex],72))</f>
        <v/>
      </c>
      <c r="BV34" s="12">
        <f>IF(COUNTIFS(T_SelfStock_Log[Part Name],$A34,T_SelfStock_Log[WeekIndex],73)=0,"",SUMIFS(T_SelfStock_Log[Self_Qty],T_SelfStock_Log[Part Name],$A34,T_SelfStock_Log[WeekIndex],73))</f>
        <v/>
      </c>
      <c r="BW34" s="12">
        <f>IF(COUNTIFS(T_SelfStock_Log[Part Name],$A34,T_SelfStock_Log[WeekIndex],74)=0,"",SUMIFS(T_SelfStock_Log[Self_Qty],T_SelfStock_Log[Part Name],$A34,T_SelfStock_Log[WeekIndex],74))</f>
        <v/>
      </c>
      <c r="BX34" s="12">
        <f>IF(COUNTIFS(T_SelfStock_Log[Part Name],$A34,T_SelfStock_Log[WeekIndex],75)=0,"",SUMIFS(T_SelfStock_Log[Self_Qty],T_SelfStock_Log[Part Name],$A34,T_SelfStock_Log[WeekIndex],75))</f>
        <v/>
      </c>
      <c r="BY34" s="12">
        <f>IF(COUNTIFS(T_SelfStock_Log[Part Name],$A34,T_SelfStock_Log[WeekIndex],76)=0,"",SUMIFS(T_SelfStock_Log[Self_Qty],T_SelfStock_Log[Part Name],$A34,T_SelfStock_Log[WeekIndex],76))</f>
        <v/>
      </c>
      <c r="BZ34" s="12">
        <f>IF(COUNTIFS(T_SelfStock_Log[Part Name],$A34,T_SelfStock_Log[WeekIndex],77)=0,"",SUMIFS(T_SelfStock_Log[Self_Qty],T_SelfStock_Log[Part Name],$A34,T_SelfStock_Log[WeekIndex],77))</f>
        <v/>
      </c>
      <c r="CA34" s="12">
        <f>IF(COUNTIFS(T_SelfStock_Log[Part Name],$A34,T_SelfStock_Log[WeekIndex],78)=0,"",SUMIFS(T_SelfStock_Log[Self_Qty],T_SelfStock_Log[Part Name],$A34,T_SelfStock_Log[WeekIndex],78))</f>
        <v/>
      </c>
      <c r="CB34" s="12">
        <f>IF(COUNTIFS(T_SelfStock_Log[Part Name],$A34,T_SelfStock_Log[WeekIndex],79)=0,"",SUMIFS(T_SelfStock_Log[Self_Qty],T_SelfStock_Log[Part Name],$A34,T_SelfStock_Log[WeekIndex],79))</f>
        <v/>
      </c>
      <c r="CC34" s="12">
        <f>IF(COUNTIFS(T_SelfStock_Log[Part Name],$A34,T_SelfStock_Log[WeekIndex],80)=0,"",SUMIFS(T_SelfStock_Log[Self_Qty],T_SelfStock_Log[Part Name],$A34,T_SelfStock_Log[WeekIndex],80))</f>
        <v/>
      </c>
      <c r="CD34" s="12">
        <f>IF(COUNTIFS(T_SelfStock_Log[Part Name],$A34,T_SelfStock_Log[WeekIndex],81)=0,"",SUMIFS(T_SelfStock_Log[Self_Qty],T_SelfStock_Log[Part Name],$A34,T_SelfStock_Log[WeekIndex],81))</f>
        <v/>
      </c>
      <c r="CE34" s="12">
        <f>IF(COUNTIFS(T_SelfStock_Log[Part Name],$A34,T_SelfStock_Log[WeekIndex],82)=0,"",SUMIFS(T_SelfStock_Log[Self_Qty],T_SelfStock_Log[Part Name],$A34,T_SelfStock_Log[WeekIndex],82))</f>
        <v/>
      </c>
      <c r="CF34" s="12">
        <f>IF(COUNTIFS(T_SelfStock_Log[Part Name],$A34,T_SelfStock_Log[WeekIndex],83)=0,"",SUMIFS(T_SelfStock_Log[Self_Qty],T_SelfStock_Log[Part Name],$A34,T_SelfStock_Log[WeekIndex],83))</f>
        <v/>
      </c>
      <c r="CG34" s="12">
        <f>IF(COUNTIFS(T_SelfStock_Log[Part Name],$A34,T_SelfStock_Log[WeekIndex],84)=0,"",SUMIFS(T_SelfStock_Log[Self_Qty],T_SelfStock_Log[Part Name],$A34,T_SelfStock_Log[WeekIndex],84))</f>
        <v/>
      </c>
      <c r="CH34" s="12">
        <f>IF(COUNTIFS(T_SelfStock_Log[Part Name],$A34,T_SelfStock_Log[WeekIndex],85)=0,"",SUMIFS(T_SelfStock_Log[Self_Qty],T_SelfStock_Log[Part Name],$A34,T_SelfStock_Log[WeekIndex],85))</f>
        <v/>
      </c>
      <c r="CI34" s="12">
        <f>IF(COUNTIFS(T_SelfStock_Log[Part Name],$A34,T_SelfStock_Log[WeekIndex],86)=0,"",SUMIFS(T_SelfStock_Log[Self_Qty],T_SelfStock_Log[Part Name],$A34,T_SelfStock_Log[WeekIndex],86))</f>
        <v/>
      </c>
      <c r="CJ34" s="12">
        <f>IF(COUNTIFS(T_SelfStock_Log[Part Name],$A34,T_SelfStock_Log[WeekIndex],87)=0,"",SUMIFS(T_SelfStock_Log[Self_Qty],T_SelfStock_Log[Part Name],$A34,T_SelfStock_Log[WeekIndex],87))</f>
        <v/>
      </c>
      <c r="CK34" s="12">
        <f>IF(COUNTIFS(T_SelfStock_Log[Part Name],$A34,T_SelfStock_Log[WeekIndex],88)=0,"",SUMIFS(T_SelfStock_Log[Self_Qty],T_SelfStock_Log[Part Name],$A34,T_SelfStock_Log[WeekIndex],88))</f>
        <v/>
      </c>
      <c r="CL34" s="12">
        <f>IF(COUNTIFS(T_SelfStock_Log[Part Name],$A34,T_SelfStock_Log[WeekIndex],89)=0,"",SUMIFS(T_SelfStock_Log[Self_Qty],T_SelfStock_Log[Part Name],$A34,T_SelfStock_Log[WeekIndex],89))</f>
        <v/>
      </c>
      <c r="CM34" s="12">
        <f>IF(COUNTIFS(T_SelfStock_Log[Part Name],$A34,T_SelfStock_Log[WeekIndex],90)=0,"",SUMIFS(T_SelfStock_Log[Self_Qty],T_SelfStock_Log[Part Name],$A34,T_SelfStock_Log[WeekIndex],90))</f>
        <v/>
      </c>
      <c r="CN34" s="12">
        <f>IF(COUNTIFS(T_SelfStock_Log[Part Name],$A34,T_SelfStock_Log[WeekIndex],91)=0,"",SUMIFS(T_SelfStock_Log[Self_Qty],T_SelfStock_Log[Part Name],$A34,T_SelfStock_Log[WeekIndex],91))</f>
        <v/>
      </c>
      <c r="CO34" s="12">
        <f>IF(COUNTIFS(T_SelfStock_Log[Part Name],$A34,T_SelfStock_Log[WeekIndex],92)=0,"",SUMIFS(T_SelfStock_Log[Self_Qty],T_SelfStock_Log[Part Name],$A34,T_SelfStock_Log[WeekIndex],92))</f>
        <v/>
      </c>
      <c r="CP34" s="12">
        <f>IF(COUNTIFS(T_SelfStock_Log[Part Name],$A34,T_SelfStock_Log[WeekIndex],93)=0,"",SUMIFS(T_SelfStock_Log[Self_Qty],T_SelfStock_Log[Part Name],$A34,T_SelfStock_Log[WeekIndex],93))</f>
        <v/>
      </c>
      <c r="CQ34" s="12">
        <f>IF(COUNTIFS(T_SelfStock_Log[Part Name],$A34,T_SelfStock_Log[WeekIndex],94)=0,"",SUMIFS(T_SelfStock_Log[Self_Qty],T_SelfStock_Log[Part Name],$A34,T_SelfStock_Log[WeekIndex],94))</f>
        <v/>
      </c>
      <c r="CR34" s="12">
        <f>IF(COUNTIFS(T_SelfStock_Log[Part Name],$A34,T_SelfStock_Log[WeekIndex],95)=0,"",SUMIFS(T_SelfStock_Log[Self_Qty],T_SelfStock_Log[Part Name],$A34,T_SelfStock_Log[WeekIndex],95))</f>
        <v/>
      </c>
      <c r="CS34" s="12">
        <f>IF(COUNTIFS(T_SelfStock_Log[Part Name],$A34,T_SelfStock_Log[WeekIndex],96)=0,"",SUMIFS(T_SelfStock_Log[Self_Qty],T_SelfStock_Log[Part Name],$A34,T_SelfStock_Log[WeekIndex],96))</f>
        <v/>
      </c>
      <c r="CT34" s="12">
        <f>IF(COUNTIFS(T_SelfStock_Log[Part Name],$A34,T_SelfStock_Log[WeekIndex],97)=0,"",SUMIFS(T_SelfStock_Log[Self_Qty],T_SelfStock_Log[Part Name],$A34,T_SelfStock_Log[WeekIndex],97))</f>
        <v/>
      </c>
      <c r="CU34" s="12">
        <f>IF(COUNTIFS(T_SelfStock_Log[Part Name],$A34,T_SelfStock_Log[WeekIndex],98)=0,"",SUMIFS(T_SelfStock_Log[Self_Qty],T_SelfStock_Log[Part Name],$A34,T_SelfStock_Log[WeekIndex],98))</f>
        <v/>
      </c>
      <c r="CV34" s="12">
        <f>IF(COUNTIFS(T_SelfStock_Log[Part Name],$A34,T_SelfStock_Log[WeekIndex],99)=0,"",SUMIFS(T_SelfStock_Log[Self_Qty],T_SelfStock_Log[Part Name],$A34,T_SelfStock_Log[WeekIndex],99))</f>
        <v/>
      </c>
      <c r="CW34" s="12">
        <f>IF(COUNTIFS(T_SelfStock_Log[Part Name],$A34,T_SelfStock_Log[WeekIndex],100)=0,"",SUMIFS(T_SelfStock_Log[Self_Qty],T_SelfStock_Log[Part Name],$A34,T_SelfStock_Log[WeekIndex],100))</f>
        <v/>
      </c>
      <c r="CX34" s="12">
        <f>IF(COUNTIFS(T_SelfStock_Log[Part Name],$A34,T_SelfStock_Log[WeekIndex],101)=0,"",SUMIFS(T_SelfStock_Log[Self_Qty],T_SelfStock_Log[Part Name],$A34,T_SelfStock_Log[WeekIndex],101))</f>
        <v/>
      </c>
      <c r="CY34" s="12">
        <f>IF(COUNTIFS(T_SelfStock_Log[Part Name],$A34,T_SelfStock_Log[WeekIndex],102)=0,"",SUMIFS(T_SelfStock_Log[Self_Qty],T_SelfStock_Log[Part Name],$A34,T_SelfStock_Log[WeekIndex],102))</f>
        <v/>
      </c>
      <c r="CZ34" s="12">
        <f>IF(COUNTIFS(T_SelfStock_Log[Part Name],$A34,T_SelfStock_Log[WeekIndex],103)=0,"",SUMIFS(T_SelfStock_Log[Self_Qty],T_SelfStock_Log[Part Name],$A34,T_SelfStock_Log[WeekIndex],103))</f>
        <v/>
      </c>
      <c r="DA34" s="12">
        <f>IF(COUNTIFS(T_SelfStock_Log[Part Name],$A34,T_SelfStock_Log[WeekIndex],104)=0,"",SUMIFS(T_SelfStock_Log[Self_Qty],T_SelfStock_Log[Part Name],$A34,T_SelfStock_Log[WeekIndex],104))</f>
        <v/>
      </c>
    </row>
    <row r="35">
      <c r="A35" s="13" t="inlineStr">
        <is>
          <t>CHEM-1730</t>
        </is>
      </c>
      <c r="B35" s="13">
        <f>IF(COUNTIFS(T_SelfStock_Log[Part Name],$A35,T_SelfStock_Log[WeekIndex],1)=0,"",SUMIFS(T_SelfStock_Log[Self_Qty],T_SelfStock_Log[Part Name],$A35,T_SelfStock_Log[WeekIndex],1))</f>
        <v/>
      </c>
      <c r="C35" s="13">
        <f>IF(COUNTIFS(T_SelfStock_Log[Part Name],$A35,T_SelfStock_Log[WeekIndex],2)=0,"",SUMIFS(T_SelfStock_Log[Self_Qty],T_SelfStock_Log[Part Name],$A35,T_SelfStock_Log[WeekIndex],2))</f>
        <v/>
      </c>
      <c r="D35" s="13">
        <f>IF(COUNTIFS(T_SelfStock_Log[Part Name],$A35,T_SelfStock_Log[WeekIndex],3)=0,"",SUMIFS(T_SelfStock_Log[Self_Qty],T_SelfStock_Log[Part Name],$A35,T_SelfStock_Log[WeekIndex],3))</f>
        <v/>
      </c>
      <c r="E35" s="13">
        <f>IF(COUNTIFS(T_SelfStock_Log[Part Name],$A35,T_SelfStock_Log[WeekIndex],4)=0,"",SUMIFS(T_SelfStock_Log[Self_Qty],T_SelfStock_Log[Part Name],$A35,T_SelfStock_Log[WeekIndex],4))</f>
        <v/>
      </c>
      <c r="F35" s="13">
        <f>IF(COUNTIFS(T_SelfStock_Log[Part Name],$A35,T_SelfStock_Log[WeekIndex],5)=0,"",SUMIFS(T_SelfStock_Log[Self_Qty],T_SelfStock_Log[Part Name],$A35,T_SelfStock_Log[WeekIndex],5))</f>
        <v/>
      </c>
      <c r="G35" s="13">
        <f>IF(COUNTIFS(T_SelfStock_Log[Part Name],$A35,T_SelfStock_Log[WeekIndex],6)=0,"",SUMIFS(T_SelfStock_Log[Self_Qty],T_SelfStock_Log[Part Name],$A35,T_SelfStock_Log[WeekIndex],6))</f>
        <v/>
      </c>
      <c r="H35" s="13">
        <f>IF(COUNTIFS(T_SelfStock_Log[Part Name],$A35,T_SelfStock_Log[WeekIndex],7)=0,"",SUMIFS(T_SelfStock_Log[Self_Qty],T_SelfStock_Log[Part Name],$A35,T_SelfStock_Log[WeekIndex],7))</f>
        <v/>
      </c>
      <c r="I35" s="13">
        <f>IF(COUNTIFS(T_SelfStock_Log[Part Name],$A35,T_SelfStock_Log[WeekIndex],8)=0,"",SUMIFS(T_SelfStock_Log[Self_Qty],T_SelfStock_Log[Part Name],$A35,T_SelfStock_Log[WeekIndex],8))</f>
        <v/>
      </c>
      <c r="J35" s="13">
        <f>IF(COUNTIFS(T_SelfStock_Log[Part Name],$A35,T_SelfStock_Log[WeekIndex],9)=0,"",SUMIFS(T_SelfStock_Log[Self_Qty],T_SelfStock_Log[Part Name],$A35,T_SelfStock_Log[WeekIndex],9))</f>
        <v/>
      </c>
      <c r="K35" s="13">
        <f>IF(COUNTIFS(T_SelfStock_Log[Part Name],$A35,T_SelfStock_Log[WeekIndex],10)=0,"",SUMIFS(T_SelfStock_Log[Self_Qty],T_SelfStock_Log[Part Name],$A35,T_SelfStock_Log[WeekIndex],10))</f>
        <v/>
      </c>
      <c r="L35" s="13">
        <f>IF(COUNTIFS(T_SelfStock_Log[Part Name],$A35,T_SelfStock_Log[WeekIndex],11)=0,"",SUMIFS(T_SelfStock_Log[Self_Qty],T_SelfStock_Log[Part Name],$A35,T_SelfStock_Log[WeekIndex],11))</f>
        <v/>
      </c>
      <c r="M35" s="13">
        <f>IF(COUNTIFS(T_SelfStock_Log[Part Name],$A35,T_SelfStock_Log[WeekIndex],12)=0,"",SUMIFS(T_SelfStock_Log[Self_Qty],T_SelfStock_Log[Part Name],$A35,T_SelfStock_Log[WeekIndex],12))</f>
        <v/>
      </c>
      <c r="N35" s="13">
        <f>IF(COUNTIFS(T_SelfStock_Log[Part Name],$A35,T_SelfStock_Log[WeekIndex],13)=0,"",SUMIFS(T_SelfStock_Log[Self_Qty],T_SelfStock_Log[Part Name],$A35,T_SelfStock_Log[WeekIndex],13))</f>
        <v/>
      </c>
      <c r="O35" s="13">
        <f>IF(COUNTIFS(T_SelfStock_Log[Part Name],$A35,T_SelfStock_Log[WeekIndex],14)=0,"",SUMIFS(T_SelfStock_Log[Self_Qty],T_SelfStock_Log[Part Name],$A35,T_SelfStock_Log[WeekIndex],14))</f>
        <v/>
      </c>
      <c r="P35" s="13">
        <f>IF(COUNTIFS(T_SelfStock_Log[Part Name],$A35,T_SelfStock_Log[WeekIndex],15)=0,"",SUMIFS(T_SelfStock_Log[Self_Qty],T_SelfStock_Log[Part Name],$A35,T_SelfStock_Log[WeekIndex],15))</f>
        <v/>
      </c>
      <c r="Q35" s="13">
        <f>IF(COUNTIFS(T_SelfStock_Log[Part Name],$A35,T_SelfStock_Log[WeekIndex],16)=0,"",SUMIFS(T_SelfStock_Log[Self_Qty],T_SelfStock_Log[Part Name],$A35,T_SelfStock_Log[WeekIndex],16))</f>
        <v/>
      </c>
      <c r="R35" s="13">
        <f>IF(COUNTIFS(T_SelfStock_Log[Part Name],$A35,T_SelfStock_Log[WeekIndex],17)=0,"",SUMIFS(T_SelfStock_Log[Self_Qty],T_SelfStock_Log[Part Name],$A35,T_SelfStock_Log[WeekIndex],17))</f>
        <v/>
      </c>
      <c r="S35" s="13">
        <f>IF(COUNTIFS(T_SelfStock_Log[Part Name],$A35,T_SelfStock_Log[WeekIndex],18)=0,"",SUMIFS(T_SelfStock_Log[Self_Qty],T_SelfStock_Log[Part Name],$A35,T_SelfStock_Log[WeekIndex],18))</f>
        <v/>
      </c>
      <c r="T35" s="13">
        <f>IF(COUNTIFS(T_SelfStock_Log[Part Name],$A35,T_SelfStock_Log[WeekIndex],19)=0,"",SUMIFS(T_SelfStock_Log[Self_Qty],T_SelfStock_Log[Part Name],$A35,T_SelfStock_Log[WeekIndex],19))</f>
        <v/>
      </c>
      <c r="U35" s="13">
        <f>IF(COUNTIFS(T_SelfStock_Log[Part Name],$A35,T_SelfStock_Log[WeekIndex],20)=0,"",SUMIFS(T_SelfStock_Log[Self_Qty],T_SelfStock_Log[Part Name],$A35,T_SelfStock_Log[WeekIndex],20))</f>
        <v/>
      </c>
      <c r="V35" s="13">
        <f>IF(COUNTIFS(T_SelfStock_Log[Part Name],$A35,T_SelfStock_Log[WeekIndex],21)=0,"",SUMIFS(T_SelfStock_Log[Self_Qty],T_SelfStock_Log[Part Name],$A35,T_SelfStock_Log[WeekIndex],21))</f>
        <v/>
      </c>
      <c r="W35" s="13">
        <f>IF(COUNTIFS(T_SelfStock_Log[Part Name],$A35,T_SelfStock_Log[WeekIndex],22)=0,"",SUMIFS(T_SelfStock_Log[Self_Qty],T_SelfStock_Log[Part Name],$A35,T_SelfStock_Log[WeekIndex],22))</f>
        <v/>
      </c>
      <c r="X35" s="13">
        <f>IF(COUNTIFS(T_SelfStock_Log[Part Name],$A35,T_SelfStock_Log[WeekIndex],23)=0,"",SUMIFS(T_SelfStock_Log[Self_Qty],T_SelfStock_Log[Part Name],$A35,T_SelfStock_Log[WeekIndex],23))</f>
        <v/>
      </c>
      <c r="Y35" s="13">
        <f>IF(COUNTIFS(T_SelfStock_Log[Part Name],$A35,T_SelfStock_Log[WeekIndex],24)=0,"",SUMIFS(T_SelfStock_Log[Self_Qty],T_SelfStock_Log[Part Name],$A35,T_SelfStock_Log[WeekIndex],24))</f>
        <v/>
      </c>
      <c r="Z35" s="13">
        <f>IF(COUNTIFS(T_SelfStock_Log[Part Name],$A35,T_SelfStock_Log[WeekIndex],25)=0,"",SUMIFS(T_SelfStock_Log[Self_Qty],T_SelfStock_Log[Part Name],$A35,T_SelfStock_Log[WeekIndex],25))</f>
        <v/>
      </c>
      <c r="AA35" s="13">
        <f>IF(COUNTIFS(T_SelfStock_Log[Part Name],$A35,T_SelfStock_Log[WeekIndex],26)=0,"",SUMIFS(T_SelfStock_Log[Self_Qty],T_SelfStock_Log[Part Name],$A35,T_SelfStock_Log[WeekIndex],26))</f>
        <v/>
      </c>
      <c r="AB35" s="13">
        <f>IF(COUNTIFS(T_SelfStock_Log[Part Name],$A35,T_SelfStock_Log[WeekIndex],27)=0,"",SUMIFS(T_SelfStock_Log[Self_Qty],T_SelfStock_Log[Part Name],$A35,T_SelfStock_Log[WeekIndex],27))</f>
        <v/>
      </c>
      <c r="AC35" s="13">
        <f>IF(COUNTIFS(T_SelfStock_Log[Part Name],$A35,T_SelfStock_Log[WeekIndex],28)=0,"",SUMIFS(T_SelfStock_Log[Self_Qty],T_SelfStock_Log[Part Name],$A35,T_SelfStock_Log[WeekIndex],28))</f>
        <v/>
      </c>
      <c r="AD35" s="13">
        <f>IF(COUNTIFS(T_SelfStock_Log[Part Name],$A35,T_SelfStock_Log[WeekIndex],29)=0,"",SUMIFS(T_SelfStock_Log[Self_Qty],T_SelfStock_Log[Part Name],$A35,T_SelfStock_Log[WeekIndex],29))</f>
        <v/>
      </c>
      <c r="AE35" s="13">
        <f>IF(COUNTIFS(T_SelfStock_Log[Part Name],$A35,T_SelfStock_Log[WeekIndex],30)=0,"",SUMIFS(T_SelfStock_Log[Self_Qty],T_SelfStock_Log[Part Name],$A35,T_SelfStock_Log[WeekIndex],30))</f>
        <v/>
      </c>
      <c r="AF35" s="13">
        <f>IF(COUNTIFS(T_SelfStock_Log[Part Name],$A35,T_SelfStock_Log[WeekIndex],31)=0,"",SUMIFS(T_SelfStock_Log[Self_Qty],T_SelfStock_Log[Part Name],$A35,T_SelfStock_Log[WeekIndex],31))</f>
        <v/>
      </c>
      <c r="AG35" s="13">
        <f>IF(COUNTIFS(T_SelfStock_Log[Part Name],$A35,T_SelfStock_Log[WeekIndex],32)=0,"",SUMIFS(T_SelfStock_Log[Self_Qty],T_SelfStock_Log[Part Name],$A35,T_SelfStock_Log[WeekIndex],32))</f>
        <v/>
      </c>
      <c r="AH35" s="13">
        <f>IF(COUNTIFS(T_SelfStock_Log[Part Name],$A35,T_SelfStock_Log[WeekIndex],33)=0,"",SUMIFS(T_SelfStock_Log[Self_Qty],T_SelfStock_Log[Part Name],$A35,T_SelfStock_Log[WeekIndex],33))</f>
        <v/>
      </c>
      <c r="AI35" s="13">
        <f>IF(COUNTIFS(T_SelfStock_Log[Part Name],$A35,T_SelfStock_Log[WeekIndex],34)=0,"",SUMIFS(T_SelfStock_Log[Self_Qty],T_SelfStock_Log[Part Name],$A35,T_SelfStock_Log[WeekIndex],34))</f>
        <v/>
      </c>
      <c r="AJ35" s="13">
        <f>IF(COUNTIFS(T_SelfStock_Log[Part Name],$A35,T_SelfStock_Log[WeekIndex],35)=0,"",SUMIFS(T_SelfStock_Log[Self_Qty],T_SelfStock_Log[Part Name],$A35,T_SelfStock_Log[WeekIndex],35))</f>
        <v/>
      </c>
      <c r="AK35" s="13">
        <f>IF(COUNTIFS(T_SelfStock_Log[Part Name],$A35,T_SelfStock_Log[WeekIndex],36)=0,"",SUMIFS(T_SelfStock_Log[Self_Qty],T_SelfStock_Log[Part Name],$A35,T_SelfStock_Log[WeekIndex],36))</f>
        <v/>
      </c>
      <c r="AL35" s="13">
        <f>IF(COUNTIFS(T_SelfStock_Log[Part Name],$A35,T_SelfStock_Log[WeekIndex],37)=0,"",SUMIFS(T_SelfStock_Log[Self_Qty],T_SelfStock_Log[Part Name],$A35,T_SelfStock_Log[WeekIndex],37))</f>
        <v/>
      </c>
      <c r="AM35" s="13">
        <f>IF(COUNTIFS(T_SelfStock_Log[Part Name],$A35,T_SelfStock_Log[WeekIndex],38)=0,"",SUMIFS(T_SelfStock_Log[Self_Qty],T_SelfStock_Log[Part Name],$A35,T_SelfStock_Log[WeekIndex],38))</f>
        <v/>
      </c>
      <c r="AN35" s="13">
        <f>IF(COUNTIFS(T_SelfStock_Log[Part Name],$A35,T_SelfStock_Log[WeekIndex],39)=0,"",SUMIFS(T_SelfStock_Log[Self_Qty],T_SelfStock_Log[Part Name],$A35,T_SelfStock_Log[WeekIndex],39))</f>
        <v/>
      </c>
      <c r="AO35" s="13">
        <f>IF(COUNTIFS(T_SelfStock_Log[Part Name],$A35,T_SelfStock_Log[WeekIndex],40)=0,"",SUMIFS(T_SelfStock_Log[Self_Qty],T_SelfStock_Log[Part Name],$A35,T_SelfStock_Log[WeekIndex],40))</f>
        <v/>
      </c>
      <c r="AP35" s="13">
        <f>IF(COUNTIFS(T_SelfStock_Log[Part Name],$A35,T_SelfStock_Log[WeekIndex],41)=0,"",SUMIFS(T_SelfStock_Log[Self_Qty],T_SelfStock_Log[Part Name],$A35,T_SelfStock_Log[WeekIndex],41))</f>
        <v/>
      </c>
      <c r="AQ35" s="13">
        <f>IF(COUNTIFS(T_SelfStock_Log[Part Name],$A35,T_SelfStock_Log[WeekIndex],42)=0,"",SUMIFS(T_SelfStock_Log[Self_Qty],T_SelfStock_Log[Part Name],$A35,T_SelfStock_Log[WeekIndex],42))</f>
        <v/>
      </c>
      <c r="AR35" s="13">
        <f>IF(COUNTIFS(T_SelfStock_Log[Part Name],$A35,T_SelfStock_Log[WeekIndex],43)=0,"",SUMIFS(T_SelfStock_Log[Self_Qty],T_SelfStock_Log[Part Name],$A35,T_SelfStock_Log[WeekIndex],43))</f>
        <v/>
      </c>
      <c r="AS35" s="13">
        <f>IF(COUNTIFS(T_SelfStock_Log[Part Name],$A35,T_SelfStock_Log[WeekIndex],44)=0,"",SUMIFS(T_SelfStock_Log[Self_Qty],T_SelfStock_Log[Part Name],$A35,T_SelfStock_Log[WeekIndex],44))</f>
        <v/>
      </c>
      <c r="AT35" s="13">
        <f>IF(COUNTIFS(T_SelfStock_Log[Part Name],$A35,T_SelfStock_Log[WeekIndex],45)=0,"",SUMIFS(T_SelfStock_Log[Self_Qty],T_SelfStock_Log[Part Name],$A35,T_SelfStock_Log[WeekIndex],45))</f>
        <v/>
      </c>
      <c r="AU35" s="13">
        <f>IF(COUNTIFS(T_SelfStock_Log[Part Name],$A35,T_SelfStock_Log[WeekIndex],46)=0,"",SUMIFS(T_SelfStock_Log[Self_Qty],T_SelfStock_Log[Part Name],$A35,T_SelfStock_Log[WeekIndex],46))</f>
        <v/>
      </c>
      <c r="AV35" s="13">
        <f>IF(COUNTIFS(T_SelfStock_Log[Part Name],$A35,T_SelfStock_Log[WeekIndex],47)=0,"",SUMIFS(T_SelfStock_Log[Self_Qty],T_SelfStock_Log[Part Name],$A35,T_SelfStock_Log[WeekIndex],47))</f>
        <v/>
      </c>
      <c r="AW35" s="13">
        <f>IF(COUNTIFS(T_SelfStock_Log[Part Name],$A35,T_SelfStock_Log[WeekIndex],48)=0,"",SUMIFS(T_SelfStock_Log[Self_Qty],T_SelfStock_Log[Part Name],$A35,T_SelfStock_Log[WeekIndex],48))</f>
        <v/>
      </c>
      <c r="AX35" s="13">
        <f>IF(COUNTIFS(T_SelfStock_Log[Part Name],$A35,T_SelfStock_Log[WeekIndex],49)=0,"",SUMIFS(T_SelfStock_Log[Self_Qty],T_SelfStock_Log[Part Name],$A35,T_SelfStock_Log[WeekIndex],49))</f>
        <v/>
      </c>
      <c r="AY35" s="13">
        <f>IF(COUNTIFS(T_SelfStock_Log[Part Name],$A35,T_SelfStock_Log[WeekIndex],50)=0,"",SUMIFS(T_SelfStock_Log[Self_Qty],T_SelfStock_Log[Part Name],$A35,T_SelfStock_Log[WeekIndex],50))</f>
        <v/>
      </c>
      <c r="AZ35" s="13">
        <f>IF(COUNTIFS(T_SelfStock_Log[Part Name],$A35,T_SelfStock_Log[WeekIndex],51)=0,"",SUMIFS(T_SelfStock_Log[Self_Qty],T_SelfStock_Log[Part Name],$A35,T_SelfStock_Log[WeekIndex],51))</f>
        <v/>
      </c>
      <c r="BA35" s="13">
        <f>IF(COUNTIFS(T_SelfStock_Log[Part Name],$A35,T_SelfStock_Log[WeekIndex],52)=0,"",SUMIFS(T_SelfStock_Log[Self_Qty],T_SelfStock_Log[Part Name],$A35,T_SelfStock_Log[WeekIndex],52))</f>
        <v/>
      </c>
      <c r="BB35" s="13">
        <f>IF(COUNTIFS(T_SelfStock_Log[Part Name],$A35,T_SelfStock_Log[WeekIndex],53)=0,"",SUMIFS(T_SelfStock_Log[Self_Qty],T_SelfStock_Log[Part Name],$A35,T_SelfStock_Log[WeekIndex],53))</f>
        <v/>
      </c>
      <c r="BC35" s="13">
        <f>IF(COUNTIFS(T_SelfStock_Log[Part Name],$A35,T_SelfStock_Log[WeekIndex],54)=0,"",SUMIFS(T_SelfStock_Log[Self_Qty],T_SelfStock_Log[Part Name],$A35,T_SelfStock_Log[WeekIndex],54))</f>
        <v/>
      </c>
      <c r="BD35" s="13">
        <f>IF(COUNTIFS(T_SelfStock_Log[Part Name],$A35,T_SelfStock_Log[WeekIndex],55)=0,"",SUMIFS(T_SelfStock_Log[Self_Qty],T_SelfStock_Log[Part Name],$A35,T_SelfStock_Log[WeekIndex],55))</f>
        <v/>
      </c>
      <c r="BE35" s="13">
        <f>IF(COUNTIFS(T_SelfStock_Log[Part Name],$A35,T_SelfStock_Log[WeekIndex],56)=0,"",SUMIFS(T_SelfStock_Log[Self_Qty],T_SelfStock_Log[Part Name],$A35,T_SelfStock_Log[WeekIndex],56))</f>
        <v/>
      </c>
      <c r="BF35" s="13">
        <f>IF(COUNTIFS(T_SelfStock_Log[Part Name],$A35,T_SelfStock_Log[WeekIndex],57)=0,"",SUMIFS(T_SelfStock_Log[Self_Qty],T_SelfStock_Log[Part Name],$A35,T_SelfStock_Log[WeekIndex],57))</f>
        <v/>
      </c>
      <c r="BG35" s="13">
        <f>IF(COUNTIFS(T_SelfStock_Log[Part Name],$A35,T_SelfStock_Log[WeekIndex],58)=0,"",SUMIFS(T_SelfStock_Log[Self_Qty],T_SelfStock_Log[Part Name],$A35,T_SelfStock_Log[WeekIndex],58))</f>
        <v/>
      </c>
      <c r="BH35" s="13">
        <f>IF(COUNTIFS(T_SelfStock_Log[Part Name],$A35,T_SelfStock_Log[WeekIndex],59)=0,"",SUMIFS(T_SelfStock_Log[Self_Qty],T_SelfStock_Log[Part Name],$A35,T_SelfStock_Log[WeekIndex],59))</f>
        <v/>
      </c>
      <c r="BI35" s="13">
        <f>IF(COUNTIFS(T_SelfStock_Log[Part Name],$A35,T_SelfStock_Log[WeekIndex],60)=0,"",SUMIFS(T_SelfStock_Log[Self_Qty],T_SelfStock_Log[Part Name],$A35,T_SelfStock_Log[WeekIndex],60))</f>
        <v/>
      </c>
      <c r="BJ35" s="13">
        <f>IF(COUNTIFS(T_SelfStock_Log[Part Name],$A35,T_SelfStock_Log[WeekIndex],61)=0,"",SUMIFS(T_SelfStock_Log[Self_Qty],T_SelfStock_Log[Part Name],$A35,T_SelfStock_Log[WeekIndex],61))</f>
        <v/>
      </c>
      <c r="BK35" s="13">
        <f>IF(COUNTIFS(T_SelfStock_Log[Part Name],$A35,T_SelfStock_Log[WeekIndex],62)=0,"",SUMIFS(T_SelfStock_Log[Self_Qty],T_SelfStock_Log[Part Name],$A35,T_SelfStock_Log[WeekIndex],62))</f>
        <v/>
      </c>
      <c r="BL35" s="13">
        <f>IF(COUNTIFS(T_SelfStock_Log[Part Name],$A35,T_SelfStock_Log[WeekIndex],63)=0,"",SUMIFS(T_SelfStock_Log[Self_Qty],T_SelfStock_Log[Part Name],$A35,T_SelfStock_Log[WeekIndex],63))</f>
        <v/>
      </c>
      <c r="BM35" s="13">
        <f>IF(COUNTIFS(T_SelfStock_Log[Part Name],$A35,T_SelfStock_Log[WeekIndex],64)=0,"",SUMIFS(T_SelfStock_Log[Self_Qty],T_SelfStock_Log[Part Name],$A35,T_SelfStock_Log[WeekIndex],64))</f>
        <v/>
      </c>
      <c r="BN35" s="13">
        <f>IF(COUNTIFS(T_SelfStock_Log[Part Name],$A35,T_SelfStock_Log[WeekIndex],65)=0,"",SUMIFS(T_SelfStock_Log[Self_Qty],T_SelfStock_Log[Part Name],$A35,T_SelfStock_Log[WeekIndex],65))</f>
        <v/>
      </c>
      <c r="BO35" s="13">
        <f>IF(COUNTIFS(T_SelfStock_Log[Part Name],$A35,T_SelfStock_Log[WeekIndex],66)=0,"",SUMIFS(T_SelfStock_Log[Self_Qty],T_SelfStock_Log[Part Name],$A35,T_SelfStock_Log[WeekIndex],66))</f>
        <v/>
      </c>
      <c r="BP35" s="13">
        <f>IF(COUNTIFS(T_SelfStock_Log[Part Name],$A35,T_SelfStock_Log[WeekIndex],67)=0,"",SUMIFS(T_SelfStock_Log[Self_Qty],T_SelfStock_Log[Part Name],$A35,T_SelfStock_Log[WeekIndex],67))</f>
        <v/>
      </c>
      <c r="BQ35" s="13">
        <f>IF(COUNTIFS(T_SelfStock_Log[Part Name],$A35,T_SelfStock_Log[WeekIndex],68)=0,"",SUMIFS(T_SelfStock_Log[Self_Qty],T_SelfStock_Log[Part Name],$A35,T_SelfStock_Log[WeekIndex],68))</f>
        <v/>
      </c>
      <c r="BR35" s="13">
        <f>IF(COUNTIFS(T_SelfStock_Log[Part Name],$A35,T_SelfStock_Log[WeekIndex],69)=0,"",SUMIFS(T_SelfStock_Log[Self_Qty],T_SelfStock_Log[Part Name],$A35,T_SelfStock_Log[WeekIndex],69))</f>
        <v/>
      </c>
      <c r="BS35" s="13">
        <f>IF(COUNTIFS(T_SelfStock_Log[Part Name],$A35,T_SelfStock_Log[WeekIndex],70)=0,"",SUMIFS(T_SelfStock_Log[Self_Qty],T_SelfStock_Log[Part Name],$A35,T_SelfStock_Log[WeekIndex],70))</f>
        <v/>
      </c>
      <c r="BT35" s="13">
        <f>IF(COUNTIFS(T_SelfStock_Log[Part Name],$A35,T_SelfStock_Log[WeekIndex],71)=0,"",SUMIFS(T_SelfStock_Log[Self_Qty],T_SelfStock_Log[Part Name],$A35,T_SelfStock_Log[WeekIndex],71))</f>
        <v/>
      </c>
      <c r="BU35" s="13">
        <f>IF(COUNTIFS(T_SelfStock_Log[Part Name],$A35,T_SelfStock_Log[WeekIndex],72)=0,"",SUMIFS(T_SelfStock_Log[Self_Qty],T_SelfStock_Log[Part Name],$A35,T_SelfStock_Log[WeekIndex],72))</f>
        <v/>
      </c>
      <c r="BV35" s="13">
        <f>IF(COUNTIFS(T_SelfStock_Log[Part Name],$A35,T_SelfStock_Log[WeekIndex],73)=0,"",SUMIFS(T_SelfStock_Log[Self_Qty],T_SelfStock_Log[Part Name],$A35,T_SelfStock_Log[WeekIndex],73))</f>
        <v/>
      </c>
      <c r="BW35" s="13">
        <f>IF(COUNTIFS(T_SelfStock_Log[Part Name],$A35,T_SelfStock_Log[WeekIndex],74)=0,"",SUMIFS(T_SelfStock_Log[Self_Qty],T_SelfStock_Log[Part Name],$A35,T_SelfStock_Log[WeekIndex],74))</f>
        <v/>
      </c>
      <c r="BX35" s="13">
        <f>IF(COUNTIFS(T_SelfStock_Log[Part Name],$A35,T_SelfStock_Log[WeekIndex],75)=0,"",SUMIFS(T_SelfStock_Log[Self_Qty],T_SelfStock_Log[Part Name],$A35,T_SelfStock_Log[WeekIndex],75))</f>
        <v/>
      </c>
      <c r="BY35" s="13">
        <f>IF(COUNTIFS(T_SelfStock_Log[Part Name],$A35,T_SelfStock_Log[WeekIndex],76)=0,"",SUMIFS(T_SelfStock_Log[Self_Qty],T_SelfStock_Log[Part Name],$A35,T_SelfStock_Log[WeekIndex],76))</f>
        <v/>
      </c>
      <c r="BZ35" s="13">
        <f>IF(COUNTIFS(T_SelfStock_Log[Part Name],$A35,T_SelfStock_Log[WeekIndex],77)=0,"",SUMIFS(T_SelfStock_Log[Self_Qty],T_SelfStock_Log[Part Name],$A35,T_SelfStock_Log[WeekIndex],77))</f>
        <v/>
      </c>
      <c r="CA35" s="13">
        <f>IF(COUNTIFS(T_SelfStock_Log[Part Name],$A35,T_SelfStock_Log[WeekIndex],78)=0,"",SUMIFS(T_SelfStock_Log[Self_Qty],T_SelfStock_Log[Part Name],$A35,T_SelfStock_Log[WeekIndex],78))</f>
        <v/>
      </c>
      <c r="CB35" s="13">
        <f>IF(COUNTIFS(T_SelfStock_Log[Part Name],$A35,T_SelfStock_Log[WeekIndex],79)=0,"",SUMIFS(T_SelfStock_Log[Self_Qty],T_SelfStock_Log[Part Name],$A35,T_SelfStock_Log[WeekIndex],79))</f>
        <v/>
      </c>
      <c r="CC35" s="13">
        <f>IF(COUNTIFS(T_SelfStock_Log[Part Name],$A35,T_SelfStock_Log[WeekIndex],80)=0,"",SUMIFS(T_SelfStock_Log[Self_Qty],T_SelfStock_Log[Part Name],$A35,T_SelfStock_Log[WeekIndex],80))</f>
        <v/>
      </c>
      <c r="CD35" s="13">
        <f>IF(COUNTIFS(T_SelfStock_Log[Part Name],$A35,T_SelfStock_Log[WeekIndex],81)=0,"",SUMIFS(T_SelfStock_Log[Self_Qty],T_SelfStock_Log[Part Name],$A35,T_SelfStock_Log[WeekIndex],81))</f>
        <v/>
      </c>
      <c r="CE35" s="13">
        <f>IF(COUNTIFS(T_SelfStock_Log[Part Name],$A35,T_SelfStock_Log[WeekIndex],82)=0,"",SUMIFS(T_SelfStock_Log[Self_Qty],T_SelfStock_Log[Part Name],$A35,T_SelfStock_Log[WeekIndex],82))</f>
        <v/>
      </c>
      <c r="CF35" s="13">
        <f>IF(COUNTIFS(T_SelfStock_Log[Part Name],$A35,T_SelfStock_Log[WeekIndex],83)=0,"",SUMIFS(T_SelfStock_Log[Self_Qty],T_SelfStock_Log[Part Name],$A35,T_SelfStock_Log[WeekIndex],83))</f>
        <v/>
      </c>
      <c r="CG35" s="13">
        <f>IF(COUNTIFS(T_SelfStock_Log[Part Name],$A35,T_SelfStock_Log[WeekIndex],84)=0,"",SUMIFS(T_SelfStock_Log[Self_Qty],T_SelfStock_Log[Part Name],$A35,T_SelfStock_Log[WeekIndex],84))</f>
        <v/>
      </c>
      <c r="CH35" s="13">
        <f>IF(COUNTIFS(T_SelfStock_Log[Part Name],$A35,T_SelfStock_Log[WeekIndex],85)=0,"",SUMIFS(T_SelfStock_Log[Self_Qty],T_SelfStock_Log[Part Name],$A35,T_SelfStock_Log[WeekIndex],85))</f>
        <v/>
      </c>
      <c r="CI35" s="13">
        <f>IF(COUNTIFS(T_SelfStock_Log[Part Name],$A35,T_SelfStock_Log[WeekIndex],86)=0,"",SUMIFS(T_SelfStock_Log[Self_Qty],T_SelfStock_Log[Part Name],$A35,T_SelfStock_Log[WeekIndex],86))</f>
        <v/>
      </c>
      <c r="CJ35" s="13">
        <f>IF(COUNTIFS(T_SelfStock_Log[Part Name],$A35,T_SelfStock_Log[WeekIndex],87)=0,"",SUMIFS(T_SelfStock_Log[Self_Qty],T_SelfStock_Log[Part Name],$A35,T_SelfStock_Log[WeekIndex],87))</f>
        <v/>
      </c>
      <c r="CK35" s="13">
        <f>IF(COUNTIFS(T_SelfStock_Log[Part Name],$A35,T_SelfStock_Log[WeekIndex],88)=0,"",SUMIFS(T_SelfStock_Log[Self_Qty],T_SelfStock_Log[Part Name],$A35,T_SelfStock_Log[WeekIndex],88))</f>
        <v/>
      </c>
      <c r="CL35" s="13">
        <f>IF(COUNTIFS(T_SelfStock_Log[Part Name],$A35,T_SelfStock_Log[WeekIndex],89)=0,"",SUMIFS(T_SelfStock_Log[Self_Qty],T_SelfStock_Log[Part Name],$A35,T_SelfStock_Log[WeekIndex],89))</f>
        <v/>
      </c>
      <c r="CM35" s="13">
        <f>IF(COUNTIFS(T_SelfStock_Log[Part Name],$A35,T_SelfStock_Log[WeekIndex],90)=0,"",SUMIFS(T_SelfStock_Log[Self_Qty],T_SelfStock_Log[Part Name],$A35,T_SelfStock_Log[WeekIndex],90))</f>
        <v/>
      </c>
      <c r="CN35" s="13">
        <f>IF(COUNTIFS(T_SelfStock_Log[Part Name],$A35,T_SelfStock_Log[WeekIndex],91)=0,"",SUMIFS(T_SelfStock_Log[Self_Qty],T_SelfStock_Log[Part Name],$A35,T_SelfStock_Log[WeekIndex],91))</f>
        <v/>
      </c>
      <c r="CO35" s="13">
        <f>IF(COUNTIFS(T_SelfStock_Log[Part Name],$A35,T_SelfStock_Log[WeekIndex],92)=0,"",SUMIFS(T_SelfStock_Log[Self_Qty],T_SelfStock_Log[Part Name],$A35,T_SelfStock_Log[WeekIndex],92))</f>
        <v/>
      </c>
      <c r="CP35" s="13">
        <f>IF(COUNTIFS(T_SelfStock_Log[Part Name],$A35,T_SelfStock_Log[WeekIndex],93)=0,"",SUMIFS(T_SelfStock_Log[Self_Qty],T_SelfStock_Log[Part Name],$A35,T_SelfStock_Log[WeekIndex],93))</f>
        <v/>
      </c>
      <c r="CQ35" s="13">
        <f>IF(COUNTIFS(T_SelfStock_Log[Part Name],$A35,T_SelfStock_Log[WeekIndex],94)=0,"",SUMIFS(T_SelfStock_Log[Self_Qty],T_SelfStock_Log[Part Name],$A35,T_SelfStock_Log[WeekIndex],94))</f>
        <v/>
      </c>
      <c r="CR35" s="13">
        <f>IF(COUNTIFS(T_SelfStock_Log[Part Name],$A35,T_SelfStock_Log[WeekIndex],95)=0,"",SUMIFS(T_SelfStock_Log[Self_Qty],T_SelfStock_Log[Part Name],$A35,T_SelfStock_Log[WeekIndex],95))</f>
        <v/>
      </c>
      <c r="CS35" s="13">
        <f>IF(COUNTIFS(T_SelfStock_Log[Part Name],$A35,T_SelfStock_Log[WeekIndex],96)=0,"",SUMIFS(T_SelfStock_Log[Self_Qty],T_SelfStock_Log[Part Name],$A35,T_SelfStock_Log[WeekIndex],96))</f>
        <v/>
      </c>
      <c r="CT35" s="13">
        <f>IF(COUNTIFS(T_SelfStock_Log[Part Name],$A35,T_SelfStock_Log[WeekIndex],97)=0,"",SUMIFS(T_SelfStock_Log[Self_Qty],T_SelfStock_Log[Part Name],$A35,T_SelfStock_Log[WeekIndex],97))</f>
        <v/>
      </c>
      <c r="CU35" s="13">
        <f>IF(COUNTIFS(T_SelfStock_Log[Part Name],$A35,T_SelfStock_Log[WeekIndex],98)=0,"",SUMIFS(T_SelfStock_Log[Self_Qty],T_SelfStock_Log[Part Name],$A35,T_SelfStock_Log[WeekIndex],98))</f>
        <v/>
      </c>
      <c r="CV35" s="13">
        <f>IF(COUNTIFS(T_SelfStock_Log[Part Name],$A35,T_SelfStock_Log[WeekIndex],99)=0,"",SUMIFS(T_SelfStock_Log[Self_Qty],T_SelfStock_Log[Part Name],$A35,T_SelfStock_Log[WeekIndex],99))</f>
        <v/>
      </c>
      <c r="CW35" s="13">
        <f>IF(COUNTIFS(T_SelfStock_Log[Part Name],$A35,T_SelfStock_Log[WeekIndex],100)=0,"",SUMIFS(T_SelfStock_Log[Self_Qty],T_SelfStock_Log[Part Name],$A35,T_SelfStock_Log[WeekIndex],100))</f>
        <v/>
      </c>
      <c r="CX35" s="13">
        <f>IF(COUNTIFS(T_SelfStock_Log[Part Name],$A35,T_SelfStock_Log[WeekIndex],101)=0,"",SUMIFS(T_SelfStock_Log[Self_Qty],T_SelfStock_Log[Part Name],$A35,T_SelfStock_Log[WeekIndex],101))</f>
        <v/>
      </c>
      <c r="CY35" s="13">
        <f>IF(COUNTIFS(T_SelfStock_Log[Part Name],$A35,T_SelfStock_Log[WeekIndex],102)=0,"",SUMIFS(T_SelfStock_Log[Self_Qty],T_SelfStock_Log[Part Name],$A35,T_SelfStock_Log[WeekIndex],102))</f>
        <v/>
      </c>
      <c r="CZ35" s="13">
        <f>IF(COUNTIFS(T_SelfStock_Log[Part Name],$A35,T_SelfStock_Log[WeekIndex],103)=0,"",SUMIFS(T_SelfStock_Log[Self_Qty],T_SelfStock_Log[Part Name],$A35,T_SelfStock_Log[WeekIndex],103))</f>
        <v/>
      </c>
      <c r="DA35" s="13">
        <f>IF(COUNTIFS(T_SelfStock_Log[Part Name],$A35,T_SelfStock_Log[WeekIndex],104)=0,"",SUMIFS(T_SelfStock_Log[Self_Qty],T_SelfStock_Log[Part Name],$A35,T_SelfStock_Log[WeekIndex],104))</f>
        <v/>
      </c>
    </row>
    <row r="36">
      <c r="A36" s="12" t="inlineStr">
        <is>
          <t>CHEM-1430</t>
        </is>
      </c>
      <c r="B36" s="12">
        <f>IF(COUNTIFS(T_SelfStock_Log[Part Name],$A36,T_SelfStock_Log[WeekIndex],1)=0,"",SUMIFS(T_SelfStock_Log[Self_Qty],T_SelfStock_Log[Part Name],$A36,T_SelfStock_Log[WeekIndex],1))</f>
        <v/>
      </c>
      <c r="C36" s="12">
        <f>IF(COUNTIFS(T_SelfStock_Log[Part Name],$A36,T_SelfStock_Log[WeekIndex],2)=0,"",SUMIFS(T_SelfStock_Log[Self_Qty],T_SelfStock_Log[Part Name],$A36,T_SelfStock_Log[WeekIndex],2))</f>
        <v/>
      </c>
      <c r="D36" s="12">
        <f>IF(COUNTIFS(T_SelfStock_Log[Part Name],$A36,T_SelfStock_Log[WeekIndex],3)=0,"",SUMIFS(T_SelfStock_Log[Self_Qty],T_SelfStock_Log[Part Name],$A36,T_SelfStock_Log[WeekIndex],3))</f>
        <v/>
      </c>
      <c r="E36" s="12">
        <f>IF(COUNTIFS(T_SelfStock_Log[Part Name],$A36,T_SelfStock_Log[WeekIndex],4)=0,"",SUMIFS(T_SelfStock_Log[Self_Qty],T_SelfStock_Log[Part Name],$A36,T_SelfStock_Log[WeekIndex],4))</f>
        <v/>
      </c>
      <c r="F36" s="12">
        <f>IF(COUNTIFS(T_SelfStock_Log[Part Name],$A36,T_SelfStock_Log[WeekIndex],5)=0,"",SUMIFS(T_SelfStock_Log[Self_Qty],T_SelfStock_Log[Part Name],$A36,T_SelfStock_Log[WeekIndex],5))</f>
        <v/>
      </c>
      <c r="G36" s="12">
        <f>IF(COUNTIFS(T_SelfStock_Log[Part Name],$A36,T_SelfStock_Log[WeekIndex],6)=0,"",SUMIFS(T_SelfStock_Log[Self_Qty],T_SelfStock_Log[Part Name],$A36,T_SelfStock_Log[WeekIndex],6))</f>
        <v/>
      </c>
      <c r="H36" s="12">
        <f>IF(COUNTIFS(T_SelfStock_Log[Part Name],$A36,T_SelfStock_Log[WeekIndex],7)=0,"",SUMIFS(T_SelfStock_Log[Self_Qty],T_SelfStock_Log[Part Name],$A36,T_SelfStock_Log[WeekIndex],7))</f>
        <v/>
      </c>
      <c r="I36" s="12">
        <f>IF(COUNTIFS(T_SelfStock_Log[Part Name],$A36,T_SelfStock_Log[WeekIndex],8)=0,"",SUMIFS(T_SelfStock_Log[Self_Qty],T_SelfStock_Log[Part Name],$A36,T_SelfStock_Log[WeekIndex],8))</f>
        <v/>
      </c>
      <c r="J36" s="12">
        <f>IF(COUNTIFS(T_SelfStock_Log[Part Name],$A36,T_SelfStock_Log[WeekIndex],9)=0,"",SUMIFS(T_SelfStock_Log[Self_Qty],T_SelfStock_Log[Part Name],$A36,T_SelfStock_Log[WeekIndex],9))</f>
        <v/>
      </c>
      <c r="K36" s="12">
        <f>IF(COUNTIFS(T_SelfStock_Log[Part Name],$A36,T_SelfStock_Log[WeekIndex],10)=0,"",SUMIFS(T_SelfStock_Log[Self_Qty],T_SelfStock_Log[Part Name],$A36,T_SelfStock_Log[WeekIndex],10))</f>
        <v/>
      </c>
      <c r="L36" s="12">
        <f>IF(COUNTIFS(T_SelfStock_Log[Part Name],$A36,T_SelfStock_Log[WeekIndex],11)=0,"",SUMIFS(T_SelfStock_Log[Self_Qty],T_SelfStock_Log[Part Name],$A36,T_SelfStock_Log[WeekIndex],11))</f>
        <v/>
      </c>
      <c r="M36" s="12">
        <f>IF(COUNTIFS(T_SelfStock_Log[Part Name],$A36,T_SelfStock_Log[WeekIndex],12)=0,"",SUMIFS(T_SelfStock_Log[Self_Qty],T_SelfStock_Log[Part Name],$A36,T_SelfStock_Log[WeekIndex],12))</f>
        <v/>
      </c>
      <c r="N36" s="12">
        <f>IF(COUNTIFS(T_SelfStock_Log[Part Name],$A36,T_SelfStock_Log[WeekIndex],13)=0,"",SUMIFS(T_SelfStock_Log[Self_Qty],T_SelfStock_Log[Part Name],$A36,T_SelfStock_Log[WeekIndex],13))</f>
        <v/>
      </c>
      <c r="O36" s="12">
        <f>IF(COUNTIFS(T_SelfStock_Log[Part Name],$A36,T_SelfStock_Log[WeekIndex],14)=0,"",SUMIFS(T_SelfStock_Log[Self_Qty],T_SelfStock_Log[Part Name],$A36,T_SelfStock_Log[WeekIndex],14))</f>
        <v/>
      </c>
      <c r="P36" s="12">
        <f>IF(COUNTIFS(T_SelfStock_Log[Part Name],$A36,T_SelfStock_Log[WeekIndex],15)=0,"",SUMIFS(T_SelfStock_Log[Self_Qty],T_SelfStock_Log[Part Name],$A36,T_SelfStock_Log[WeekIndex],15))</f>
        <v/>
      </c>
      <c r="Q36" s="12">
        <f>IF(COUNTIFS(T_SelfStock_Log[Part Name],$A36,T_SelfStock_Log[WeekIndex],16)=0,"",SUMIFS(T_SelfStock_Log[Self_Qty],T_SelfStock_Log[Part Name],$A36,T_SelfStock_Log[WeekIndex],16))</f>
        <v/>
      </c>
      <c r="R36" s="12">
        <f>IF(COUNTIFS(T_SelfStock_Log[Part Name],$A36,T_SelfStock_Log[WeekIndex],17)=0,"",SUMIFS(T_SelfStock_Log[Self_Qty],T_SelfStock_Log[Part Name],$A36,T_SelfStock_Log[WeekIndex],17))</f>
        <v/>
      </c>
      <c r="S36" s="12">
        <f>IF(COUNTIFS(T_SelfStock_Log[Part Name],$A36,T_SelfStock_Log[WeekIndex],18)=0,"",SUMIFS(T_SelfStock_Log[Self_Qty],T_SelfStock_Log[Part Name],$A36,T_SelfStock_Log[WeekIndex],18))</f>
        <v/>
      </c>
      <c r="T36" s="12">
        <f>IF(COUNTIFS(T_SelfStock_Log[Part Name],$A36,T_SelfStock_Log[WeekIndex],19)=0,"",SUMIFS(T_SelfStock_Log[Self_Qty],T_SelfStock_Log[Part Name],$A36,T_SelfStock_Log[WeekIndex],19))</f>
        <v/>
      </c>
      <c r="U36" s="12">
        <f>IF(COUNTIFS(T_SelfStock_Log[Part Name],$A36,T_SelfStock_Log[WeekIndex],20)=0,"",SUMIFS(T_SelfStock_Log[Self_Qty],T_SelfStock_Log[Part Name],$A36,T_SelfStock_Log[WeekIndex],20))</f>
        <v/>
      </c>
      <c r="V36" s="12">
        <f>IF(COUNTIFS(T_SelfStock_Log[Part Name],$A36,T_SelfStock_Log[WeekIndex],21)=0,"",SUMIFS(T_SelfStock_Log[Self_Qty],T_SelfStock_Log[Part Name],$A36,T_SelfStock_Log[WeekIndex],21))</f>
        <v/>
      </c>
      <c r="W36" s="12">
        <f>IF(COUNTIFS(T_SelfStock_Log[Part Name],$A36,T_SelfStock_Log[WeekIndex],22)=0,"",SUMIFS(T_SelfStock_Log[Self_Qty],T_SelfStock_Log[Part Name],$A36,T_SelfStock_Log[WeekIndex],22))</f>
        <v/>
      </c>
      <c r="X36" s="12">
        <f>IF(COUNTIFS(T_SelfStock_Log[Part Name],$A36,T_SelfStock_Log[WeekIndex],23)=0,"",SUMIFS(T_SelfStock_Log[Self_Qty],T_SelfStock_Log[Part Name],$A36,T_SelfStock_Log[WeekIndex],23))</f>
        <v/>
      </c>
      <c r="Y36" s="12">
        <f>IF(COUNTIFS(T_SelfStock_Log[Part Name],$A36,T_SelfStock_Log[WeekIndex],24)=0,"",SUMIFS(T_SelfStock_Log[Self_Qty],T_SelfStock_Log[Part Name],$A36,T_SelfStock_Log[WeekIndex],24))</f>
        <v/>
      </c>
      <c r="Z36" s="12">
        <f>IF(COUNTIFS(T_SelfStock_Log[Part Name],$A36,T_SelfStock_Log[WeekIndex],25)=0,"",SUMIFS(T_SelfStock_Log[Self_Qty],T_SelfStock_Log[Part Name],$A36,T_SelfStock_Log[WeekIndex],25))</f>
        <v/>
      </c>
      <c r="AA36" s="12">
        <f>IF(COUNTIFS(T_SelfStock_Log[Part Name],$A36,T_SelfStock_Log[WeekIndex],26)=0,"",SUMIFS(T_SelfStock_Log[Self_Qty],T_SelfStock_Log[Part Name],$A36,T_SelfStock_Log[WeekIndex],26))</f>
        <v/>
      </c>
      <c r="AB36" s="12">
        <f>IF(COUNTIFS(T_SelfStock_Log[Part Name],$A36,T_SelfStock_Log[WeekIndex],27)=0,"",SUMIFS(T_SelfStock_Log[Self_Qty],T_SelfStock_Log[Part Name],$A36,T_SelfStock_Log[WeekIndex],27))</f>
        <v/>
      </c>
      <c r="AC36" s="12">
        <f>IF(COUNTIFS(T_SelfStock_Log[Part Name],$A36,T_SelfStock_Log[WeekIndex],28)=0,"",SUMIFS(T_SelfStock_Log[Self_Qty],T_SelfStock_Log[Part Name],$A36,T_SelfStock_Log[WeekIndex],28))</f>
        <v/>
      </c>
      <c r="AD36" s="12">
        <f>IF(COUNTIFS(T_SelfStock_Log[Part Name],$A36,T_SelfStock_Log[WeekIndex],29)=0,"",SUMIFS(T_SelfStock_Log[Self_Qty],T_SelfStock_Log[Part Name],$A36,T_SelfStock_Log[WeekIndex],29))</f>
        <v/>
      </c>
      <c r="AE36" s="12">
        <f>IF(COUNTIFS(T_SelfStock_Log[Part Name],$A36,T_SelfStock_Log[WeekIndex],30)=0,"",SUMIFS(T_SelfStock_Log[Self_Qty],T_SelfStock_Log[Part Name],$A36,T_SelfStock_Log[WeekIndex],30))</f>
        <v/>
      </c>
      <c r="AF36" s="12">
        <f>IF(COUNTIFS(T_SelfStock_Log[Part Name],$A36,T_SelfStock_Log[WeekIndex],31)=0,"",SUMIFS(T_SelfStock_Log[Self_Qty],T_SelfStock_Log[Part Name],$A36,T_SelfStock_Log[WeekIndex],31))</f>
        <v/>
      </c>
      <c r="AG36" s="12">
        <f>IF(COUNTIFS(T_SelfStock_Log[Part Name],$A36,T_SelfStock_Log[WeekIndex],32)=0,"",SUMIFS(T_SelfStock_Log[Self_Qty],T_SelfStock_Log[Part Name],$A36,T_SelfStock_Log[WeekIndex],32))</f>
        <v/>
      </c>
      <c r="AH36" s="12">
        <f>IF(COUNTIFS(T_SelfStock_Log[Part Name],$A36,T_SelfStock_Log[WeekIndex],33)=0,"",SUMIFS(T_SelfStock_Log[Self_Qty],T_SelfStock_Log[Part Name],$A36,T_SelfStock_Log[WeekIndex],33))</f>
        <v/>
      </c>
      <c r="AI36" s="12">
        <f>IF(COUNTIFS(T_SelfStock_Log[Part Name],$A36,T_SelfStock_Log[WeekIndex],34)=0,"",SUMIFS(T_SelfStock_Log[Self_Qty],T_SelfStock_Log[Part Name],$A36,T_SelfStock_Log[WeekIndex],34))</f>
        <v/>
      </c>
      <c r="AJ36" s="12">
        <f>IF(COUNTIFS(T_SelfStock_Log[Part Name],$A36,T_SelfStock_Log[WeekIndex],35)=0,"",SUMIFS(T_SelfStock_Log[Self_Qty],T_SelfStock_Log[Part Name],$A36,T_SelfStock_Log[WeekIndex],35))</f>
        <v/>
      </c>
      <c r="AK36" s="12">
        <f>IF(COUNTIFS(T_SelfStock_Log[Part Name],$A36,T_SelfStock_Log[WeekIndex],36)=0,"",SUMIFS(T_SelfStock_Log[Self_Qty],T_SelfStock_Log[Part Name],$A36,T_SelfStock_Log[WeekIndex],36))</f>
        <v/>
      </c>
      <c r="AL36" s="12">
        <f>IF(COUNTIFS(T_SelfStock_Log[Part Name],$A36,T_SelfStock_Log[WeekIndex],37)=0,"",SUMIFS(T_SelfStock_Log[Self_Qty],T_SelfStock_Log[Part Name],$A36,T_SelfStock_Log[WeekIndex],37))</f>
        <v/>
      </c>
      <c r="AM36" s="12">
        <f>IF(COUNTIFS(T_SelfStock_Log[Part Name],$A36,T_SelfStock_Log[WeekIndex],38)=0,"",SUMIFS(T_SelfStock_Log[Self_Qty],T_SelfStock_Log[Part Name],$A36,T_SelfStock_Log[WeekIndex],38))</f>
        <v/>
      </c>
      <c r="AN36" s="12">
        <f>IF(COUNTIFS(T_SelfStock_Log[Part Name],$A36,T_SelfStock_Log[WeekIndex],39)=0,"",SUMIFS(T_SelfStock_Log[Self_Qty],T_SelfStock_Log[Part Name],$A36,T_SelfStock_Log[WeekIndex],39))</f>
        <v/>
      </c>
      <c r="AO36" s="12">
        <f>IF(COUNTIFS(T_SelfStock_Log[Part Name],$A36,T_SelfStock_Log[WeekIndex],40)=0,"",SUMIFS(T_SelfStock_Log[Self_Qty],T_SelfStock_Log[Part Name],$A36,T_SelfStock_Log[WeekIndex],40))</f>
        <v/>
      </c>
      <c r="AP36" s="12">
        <f>IF(COUNTIFS(T_SelfStock_Log[Part Name],$A36,T_SelfStock_Log[WeekIndex],41)=0,"",SUMIFS(T_SelfStock_Log[Self_Qty],T_SelfStock_Log[Part Name],$A36,T_SelfStock_Log[WeekIndex],41))</f>
        <v/>
      </c>
      <c r="AQ36" s="12">
        <f>IF(COUNTIFS(T_SelfStock_Log[Part Name],$A36,T_SelfStock_Log[WeekIndex],42)=0,"",SUMIFS(T_SelfStock_Log[Self_Qty],T_SelfStock_Log[Part Name],$A36,T_SelfStock_Log[WeekIndex],42))</f>
        <v/>
      </c>
      <c r="AR36" s="12">
        <f>IF(COUNTIFS(T_SelfStock_Log[Part Name],$A36,T_SelfStock_Log[WeekIndex],43)=0,"",SUMIFS(T_SelfStock_Log[Self_Qty],T_SelfStock_Log[Part Name],$A36,T_SelfStock_Log[WeekIndex],43))</f>
        <v/>
      </c>
      <c r="AS36" s="12">
        <f>IF(COUNTIFS(T_SelfStock_Log[Part Name],$A36,T_SelfStock_Log[WeekIndex],44)=0,"",SUMIFS(T_SelfStock_Log[Self_Qty],T_SelfStock_Log[Part Name],$A36,T_SelfStock_Log[WeekIndex],44))</f>
        <v/>
      </c>
      <c r="AT36" s="12">
        <f>IF(COUNTIFS(T_SelfStock_Log[Part Name],$A36,T_SelfStock_Log[WeekIndex],45)=0,"",SUMIFS(T_SelfStock_Log[Self_Qty],T_SelfStock_Log[Part Name],$A36,T_SelfStock_Log[WeekIndex],45))</f>
        <v/>
      </c>
      <c r="AU36" s="12">
        <f>IF(COUNTIFS(T_SelfStock_Log[Part Name],$A36,T_SelfStock_Log[WeekIndex],46)=0,"",SUMIFS(T_SelfStock_Log[Self_Qty],T_SelfStock_Log[Part Name],$A36,T_SelfStock_Log[WeekIndex],46))</f>
        <v/>
      </c>
      <c r="AV36" s="12">
        <f>IF(COUNTIFS(T_SelfStock_Log[Part Name],$A36,T_SelfStock_Log[WeekIndex],47)=0,"",SUMIFS(T_SelfStock_Log[Self_Qty],T_SelfStock_Log[Part Name],$A36,T_SelfStock_Log[WeekIndex],47))</f>
        <v/>
      </c>
      <c r="AW36" s="12">
        <f>IF(COUNTIFS(T_SelfStock_Log[Part Name],$A36,T_SelfStock_Log[WeekIndex],48)=0,"",SUMIFS(T_SelfStock_Log[Self_Qty],T_SelfStock_Log[Part Name],$A36,T_SelfStock_Log[WeekIndex],48))</f>
        <v/>
      </c>
      <c r="AX36" s="12">
        <f>IF(COUNTIFS(T_SelfStock_Log[Part Name],$A36,T_SelfStock_Log[WeekIndex],49)=0,"",SUMIFS(T_SelfStock_Log[Self_Qty],T_SelfStock_Log[Part Name],$A36,T_SelfStock_Log[WeekIndex],49))</f>
        <v/>
      </c>
      <c r="AY36" s="12">
        <f>IF(COUNTIFS(T_SelfStock_Log[Part Name],$A36,T_SelfStock_Log[WeekIndex],50)=0,"",SUMIFS(T_SelfStock_Log[Self_Qty],T_SelfStock_Log[Part Name],$A36,T_SelfStock_Log[WeekIndex],50))</f>
        <v/>
      </c>
      <c r="AZ36" s="12">
        <f>IF(COUNTIFS(T_SelfStock_Log[Part Name],$A36,T_SelfStock_Log[WeekIndex],51)=0,"",SUMIFS(T_SelfStock_Log[Self_Qty],T_SelfStock_Log[Part Name],$A36,T_SelfStock_Log[WeekIndex],51))</f>
        <v/>
      </c>
      <c r="BA36" s="12">
        <f>IF(COUNTIFS(T_SelfStock_Log[Part Name],$A36,T_SelfStock_Log[WeekIndex],52)=0,"",SUMIFS(T_SelfStock_Log[Self_Qty],T_SelfStock_Log[Part Name],$A36,T_SelfStock_Log[WeekIndex],52))</f>
        <v/>
      </c>
      <c r="BB36" s="12">
        <f>IF(COUNTIFS(T_SelfStock_Log[Part Name],$A36,T_SelfStock_Log[WeekIndex],53)=0,"",SUMIFS(T_SelfStock_Log[Self_Qty],T_SelfStock_Log[Part Name],$A36,T_SelfStock_Log[WeekIndex],53))</f>
        <v/>
      </c>
      <c r="BC36" s="12">
        <f>IF(COUNTIFS(T_SelfStock_Log[Part Name],$A36,T_SelfStock_Log[WeekIndex],54)=0,"",SUMIFS(T_SelfStock_Log[Self_Qty],T_SelfStock_Log[Part Name],$A36,T_SelfStock_Log[WeekIndex],54))</f>
        <v/>
      </c>
      <c r="BD36" s="12">
        <f>IF(COUNTIFS(T_SelfStock_Log[Part Name],$A36,T_SelfStock_Log[WeekIndex],55)=0,"",SUMIFS(T_SelfStock_Log[Self_Qty],T_SelfStock_Log[Part Name],$A36,T_SelfStock_Log[WeekIndex],55))</f>
        <v/>
      </c>
      <c r="BE36" s="12">
        <f>IF(COUNTIFS(T_SelfStock_Log[Part Name],$A36,T_SelfStock_Log[WeekIndex],56)=0,"",SUMIFS(T_SelfStock_Log[Self_Qty],T_SelfStock_Log[Part Name],$A36,T_SelfStock_Log[WeekIndex],56))</f>
        <v/>
      </c>
      <c r="BF36" s="12">
        <f>IF(COUNTIFS(T_SelfStock_Log[Part Name],$A36,T_SelfStock_Log[WeekIndex],57)=0,"",SUMIFS(T_SelfStock_Log[Self_Qty],T_SelfStock_Log[Part Name],$A36,T_SelfStock_Log[WeekIndex],57))</f>
        <v/>
      </c>
      <c r="BG36" s="12">
        <f>IF(COUNTIFS(T_SelfStock_Log[Part Name],$A36,T_SelfStock_Log[WeekIndex],58)=0,"",SUMIFS(T_SelfStock_Log[Self_Qty],T_SelfStock_Log[Part Name],$A36,T_SelfStock_Log[WeekIndex],58))</f>
        <v/>
      </c>
      <c r="BH36" s="12">
        <f>IF(COUNTIFS(T_SelfStock_Log[Part Name],$A36,T_SelfStock_Log[WeekIndex],59)=0,"",SUMIFS(T_SelfStock_Log[Self_Qty],T_SelfStock_Log[Part Name],$A36,T_SelfStock_Log[WeekIndex],59))</f>
        <v/>
      </c>
      <c r="BI36" s="12">
        <f>IF(COUNTIFS(T_SelfStock_Log[Part Name],$A36,T_SelfStock_Log[WeekIndex],60)=0,"",SUMIFS(T_SelfStock_Log[Self_Qty],T_SelfStock_Log[Part Name],$A36,T_SelfStock_Log[WeekIndex],60))</f>
        <v/>
      </c>
      <c r="BJ36" s="12">
        <f>IF(COUNTIFS(T_SelfStock_Log[Part Name],$A36,T_SelfStock_Log[WeekIndex],61)=0,"",SUMIFS(T_SelfStock_Log[Self_Qty],T_SelfStock_Log[Part Name],$A36,T_SelfStock_Log[WeekIndex],61))</f>
        <v/>
      </c>
      <c r="BK36" s="12">
        <f>IF(COUNTIFS(T_SelfStock_Log[Part Name],$A36,T_SelfStock_Log[WeekIndex],62)=0,"",SUMIFS(T_SelfStock_Log[Self_Qty],T_SelfStock_Log[Part Name],$A36,T_SelfStock_Log[WeekIndex],62))</f>
        <v/>
      </c>
      <c r="BL36" s="12">
        <f>IF(COUNTIFS(T_SelfStock_Log[Part Name],$A36,T_SelfStock_Log[WeekIndex],63)=0,"",SUMIFS(T_SelfStock_Log[Self_Qty],T_SelfStock_Log[Part Name],$A36,T_SelfStock_Log[WeekIndex],63))</f>
        <v/>
      </c>
      <c r="BM36" s="12">
        <f>IF(COUNTIFS(T_SelfStock_Log[Part Name],$A36,T_SelfStock_Log[WeekIndex],64)=0,"",SUMIFS(T_SelfStock_Log[Self_Qty],T_SelfStock_Log[Part Name],$A36,T_SelfStock_Log[WeekIndex],64))</f>
        <v/>
      </c>
      <c r="BN36" s="12">
        <f>IF(COUNTIFS(T_SelfStock_Log[Part Name],$A36,T_SelfStock_Log[WeekIndex],65)=0,"",SUMIFS(T_SelfStock_Log[Self_Qty],T_SelfStock_Log[Part Name],$A36,T_SelfStock_Log[WeekIndex],65))</f>
        <v/>
      </c>
      <c r="BO36" s="12">
        <f>IF(COUNTIFS(T_SelfStock_Log[Part Name],$A36,T_SelfStock_Log[WeekIndex],66)=0,"",SUMIFS(T_SelfStock_Log[Self_Qty],T_SelfStock_Log[Part Name],$A36,T_SelfStock_Log[WeekIndex],66))</f>
        <v/>
      </c>
      <c r="BP36" s="12">
        <f>IF(COUNTIFS(T_SelfStock_Log[Part Name],$A36,T_SelfStock_Log[WeekIndex],67)=0,"",SUMIFS(T_SelfStock_Log[Self_Qty],T_SelfStock_Log[Part Name],$A36,T_SelfStock_Log[WeekIndex],67))</f>
        <v/>
      </c>
      <c r="BQ36" s="12">
        <f>IF(COUNTIFS(T_SelfStock_Log[Part Name],$A36,T_SelfStock_Log[WeekIndex],68)=0,"",SUMIFS(T_SelfStock_Log[Self_Qty],T_SelfStock_Log[Part Name],$A36,T_SelfStock_Log[WeekIndex],68))</f>
        <v/>
      </c>
      <c r="BR36" s="12">
        <f>IF(COUNTIFS(T_SelfStock_Log[Part Name],$A36,T_SelfStock_Log[WeekIndex],69)=0,"",SUMIFS(T_SelfStock_Log[Self_Qty],T_SelfStock_Log[Part Name],$A36,T_SelfStock_Log[WeekIndex],69))</f>
        <v/>
      </c>
      <c r="BS36" s="12">
        <f>IF(COUNTIFS(T_SelfStock_Log[Part Name],$A36,T_SelfStock_Log[WeekIndex],70)=0,"",SUMIFS(T_SelfStock_Log[Self_Qty],T_SelfStock_Log[Part Name],$A36,T_SelfStock_Log[WeekIndex],70))</f>
        <v/>
      </c>
      <c r="BT36" s="12">
        <f>IF(COUNTIFS(T_SelfStock_Log[Part Name],$A36,T_SelfStock_Log[WeekIndex],71)=0,"",SUMIFS(T_SelfStock_Log[Self_Qty],T_SelfStock_Log[Part Name],$A36,T_SelfStock_Log[WeekIndex],71))</f>
        <v/>
      </c>
      <c r="BU36" s="12">
        <f>IF(COUNTIFS(T_SelfStock_Log[Part Name],$A36,T_SelfStock_Log[WeekIndex],72)=0,"",SUMIFS(T_SelfStock_Log[Self_Qty],T_SelfStock_Log[Part Name],$A36,T_SelfStock_Log[WeekIndex],72))</f>
        <v/>
      </c>
      <c r="BV36" s="12">
        <f>IF(COUNTIFS(T_SelfStock_Log[Part Name],$A36,T_SelfStock_Log[WeekIndex],73)=0,"",SUMIFS(T_SelfStock_Log[Self_Qty],T_SelfStock_Log[Part Name],$A36,T_SelfStock_Log[WeekIndex],73))</f>
        <v/>
      </c>
      <c r="BW36" s="12">
        <f>IF(COUNTIFS(T_SelfStock_Log[Part Name],$A36,T_SelfStock_Log[WeekIndex],74)=0,"",SUMIFS(T_SelfStock_Log[Self_Qty],T_SelfStock_Log[Part Name],$A36,T_SelfStock_Log[WeekIndex],74))</f>
        <v/>
      </c>
      <c r="BX36" s="12">
        <f>IF(COUNTIFS(T_SelfStock_Log[Part Name],$A36,T_SelfStock_Log[WeekIndex],75)=0,"",SUMIFS(T_SelfStock_Log[Self_Qty],T_SelfStock_Log[Part Name],$A36,T_SelfStock_Log[WeekIndex],75))</f>
        <v/>
      </c>
      <c r="BY36" s="12">
        <f>IF(COUNTIFS(T_SelfStock_Log[Part Name],$A36,T_SelfStock_Log[WeekIndex],76)=0,"",SUMIFS(T_SelfStock_Log[Self_Qty],T_SelfStock_Log[Part Name],$A36,T_SelfStock_Log[WeekIndex],76))</f>
        <v/>
      </c>
      <c r="BZ36" s="12">
        <f>IF(COUNTIFS(T_SelfStock_Log[Part Name],$A36,T_SelfStock_Log[WeekIndex],77)=0,"",SUMIFS(T_SelfStock_Log[Self_Qty],T_SelfStock_Log[Part Name],$A36,T_SelfStock_Log[WeekIndex],77))</f>
        <v/>
      </c>
      <c r="CA36" s="12">
        <f>IF(COUNTIFS(T_SelfStock_Log[Part Name],$A36,T_SelfStock_Log[WeekIndex],78)=0,"",SUMIFS(T_SelfStock_Log[Self_Qty],T_SelfStock_Log[Part Name],$A36,T_SelfStock_Log[WeekIndex],78))</f>
        <v/>
      </c>
      <c r="CB36" s="12">
        <f>IF(COUNTIFS(T_SelfStock_Log[Part Name],$A36,T_SelfStock_Log[WeekIndex],79)=0,"",SUMIFS(T_SelfStock_Log[Self_Qty],T_SelfStock_Log[Part Name],$A36,T_SelfStock_Log[WeekIndex],79))</f>
        <v/>
      </c>
      <c r="CC36" s="12">
        <f>IF(COUNTIFS(T_SelfStock_Log[Part Name],$A36,T_SelfStock_Log[WeekIndex],80)=0,"",SUMIFS(T_SelfStock_Log[Self_Qty],T_SelfStock_Log[Part Name],$A36,T_SelfStock_Log[WeekIndex],80))</f>
        <v/>
      </c>
      <c r="CD36" s="12">
        <f>IF(COUNTIFS(T_SelfStock_Log[Part Name],$A36,T_SelfStock_Log[WeekIndex],81)=0,"",SUMIFS(T_SelfStock_Log[Self_Qty],T_SelfStock_Log[Part Name],$A36,T_SelfStock_Log[WeekIndex],81))</f>
        <v/>
      </c>
      <c r="CE36" s="12">
        <f>IF(COUNTIFS(T_SelfStock_Log[Part Name],$A36,T_SelfStock_Log[WeekIndex],82)=0,"",SUMIFS(T_SelfStock_Log[Self_Qty],T_SelfStock_Log[Part Name],$A36,T_SelfStock_Log[WeekIndex],82))</f>
        <v/>
      </c>
      <c r="CF36" s="12">
        <f>IF(COUNTIFS(T_SelfStock_Log[Part Name],$A36,T_SelfStock_Log[WeekIndex],83)=0,"",SUMIFS(T_SelfStock_Log[Self_Qty],T_SelfStock_Log[Part Name],$A36,T_SelfStock_Log[WeekIndex],83))</f>
        <v/>
      </c>
      <c r="CG36" s="12">
        <f>IF(COUNTIFS(T_SelfStock_Log[Part Name],$A36,T_SelfStock_Log[WeekIndex],84)=0,"",SUMIFS(T_SelfStock_Log[Self_Qty],T_SelfStock_Log[Part Name],$A36,T_SelfStock_Log[WeekIndex],84))</f>
        <v/>
      </c>
      <c r="CH36" s="12">
        <f>IF(COUNTIFS(T_SelfStock_Log[Part Name],$A36,T_SelfStock_Log[WeekIndex],85)=0,"",SUMIFS(T_SelfStock_Log[Self_Qty],T_SelfStock_Log[Part Name],$A36,T_SelfStock_Log[WeekIndex],85))</f>
        <v/>
      </c>
      <c r="CI36" s="12">
        <f>IF(COUNTIFS(T_SelfStock_Log[Part Name],$A36,T_SelfStock_Log[WeekIndex],86)=0,"",SUMIFS(T_SelfStock_Log[Self_Qty],T_SelfStock_Log[Part Name],$A36,T_SelfStock_Log[WeekIndex],86))</f>
        <v/>
      </c>
      <c r="CJ36" s="12">
        <f>IF(COUNTIFS(T_SelfStock_Log[Part Name],$A36,T_SelfStock_Log[WeekIndex],87)=0,"",SUMIFS(T_SelfStock_Log[Self_Qty],T_SelfStock_Log[Part Name],$A36,T_SelfStock_Log[WeekIndex],87))</f>
        <v/>
      </c>
      <c r="CK36" s="12">
        <f>IF(COUNTIFS(T_SelfStock_Log[Part Name],$A36,T_SelfStock_Log[WeekIndex],88)=0,"",SUMIFS(T_SelfStock_Log[Self_Qty],T_SelfStock_Log[Part Name],$A36,T_SelfStock_Log[WeekIndex],88))</f>
        <v/>
      </c>
      <c r="CL36" s="12">
        <f>IF(COUNTIFS(T_SelfStock_Log[Part Name],$A36,T_SelfStock_Log[WeekIndex],89)=0,"",SUMIFS(T_SelfStock_Log[Self_Qty],T_SelfStock_Log[Part Name],$A36,T_SelfStock_Log[WeekIndex],89))</f>
        <v/>
      </c>
      <c r="CM36" s="12">
        <f>IF(COUNTIFS(T_SelfStock_Log[Part Name],$A36,T_SelfStock_Log[WeekIndex],90)=0,"",SUMIFS(T_SelfStock_Log[Self_Qty],T_SelfStock_Log[Part Name],$A36,T_SelfStock_Log[WeekIndex],90))</f>
        <v/>
      </c>
      <c r="CN36" s="12">
        <f>IF(COUNTIFS(T_SelfStock_Log[Part Name],$A36,T_SelfStock_Log[WeekIndex],91)=0,"",SUMIFS(T_SelfStock_Log[Self_Qty],T_SelfStock_Log[Part Name],$A36,T_SelfStock_Log[WeekIndex],91))</f>
        <v/>
      </c>
      <c r="CO36" s="12">
        <f>IF(COUNTIFS(T_SelfStock_Log[Part Name],$A36,T_SelfStock_Log[WeekIndex],92)=0,"",SUMIFS(T_SelfStock_Log[Self_Qty],T_SelfStock_Log[Part Name],$A36,T_SelfStock_Log[WeekIndex],92))</f>
        <v/>
      </c>
      <c r="CP36" s="12">
        <f>IF(COUNTIFS(T_SelfStock_Log[Part Name],$A36,T_SelfStock_Log[WeekIndex],93)=0,"",SUMIFS(T_SelfStock_Log[Self_Qty],T_SelfStock_Log[Part Name],$A36,T_SelfStock_Log[WeekIndex],93))</f>
        <v/>
      </c>
      <c r="CQ36" s="12">
        <f>IF(COUNTIFS(T_SelfStock_Log[Part Name],$A36,T_SelfStock_Log[WeekIndex],94)=0,"",SUMIFS(T_SelfStock_Log[Self_Qty],T_SelfStock_Log[Part Name],$A36,T_SelfStock_Log[WeekIndex],94))</f>
        <v/>
      </c>
      <c r="CR36" s="12">
        <f>IF(COUNTIFS(T_SelfStock_Log[Part Name],$A36,T_SelfStock_Log[WeekIndex],95)=0,"",SUMIFS(T_SelfStock_Log[Self_Qty],T_SelfStock_Log[Part Name],$A36,T_SelfStock_Log[WeekIndex],95))</f>
        <v/>
      </c>
      <c r="CS36" s="12">
        <f>IF(COUNTIFS(T_SelfStock_Log[Part Name],$A36,T_SelfStock_Log[WeekIndex],96)=0,"",SUMIFS(T_SelfStock_Log[Self_Qty],T_SelfStock_Log[Part Name],$A36,T_SelfStock_Log[WeekIndex],96))</f>
        <v/>
      </c>
      <c r="CT36" s="12">
        <f>IF(COUNTIFS(T_SelfStock_Log[Part Name],$A36,T_SelfStock_Log[WeekIndex],97)=0,"",SUMIFS(T_SelfStock_Log[Self_Qty],T_SelfStock_Log[Part Name],$A36,T_SelfStock_Log[WeekIndex],97))</f>
        <v/>
      </c>
      <c r="CU36" s="12">
        <f>IF(COUNTIFS(T_SelfStock_Log[Part Name],$A36,T_SelfStock_Log[WeekIndex],98)=0,"",SUMIFS(T_SelfStock_Log[Self_Qty],T_SelfStock_Log[Part Name],$A36,T_SelfStock_Log[WeekIndex],98))</f>
        <v/>
      </c>
      <c r="CV36" s="12">
        <f>IF(COUNTIFS(T_SelfStock_Log[Part Name],$A36,T_SelfStock_Log[WeekIndex],99)=0,"",SUMIFS(T_SelfStock_Log[Self_Qty],T_SelfStock_Log[Part Name],$A36,T_SelfStock_Log[WeekIndex],99))</f>
        <v/>
      </c>
      <c r="CW36" s="12">
        <f>IF(COUNTIFS(T_SelfStock_Log[Part Name],$A36,T_SelfStock_Log[WeekIndex],100)=0,"",SUMIFS(T_SelfStock_Log[Self_Qty],T_SelfStock_Log[Part Name],$A36,T_SelfStock_Log[WeekIndex],100))</f>
        <v/>
      </c>
      <c r="CX36" s="12">
        <f>IF(COUNTIFS(T_SelfStock_Log[Part Name],$A36,T_SelfStock_Log[WeekIndex],101)=0,"",SUMIFS(T_SelfStock_Log[Self_Qty],T_SelfStock_Log[Part Name],$A36,T_SelfStock_Log[WeekIndex],101))</f>
        <v/>
      </c>
      <c r="CY36" s="12">
        <f>IF(COUNTIFS(T_SelfStock_Log[Part Name],$A36,T_SelfStock_Log[WeekIndex],102)=0,"",SUMIFS(T_SelfStock_Log[Self_Qty],T_SelfStock_Log[Part Name],$A36,T_SelfStock_Log[WeekIndex],102))</f>
        <v/>
      </c>
      <c r="CZ36" s="12">
        <f>IF(COUNTIFS(T_SelfStock_Log[Part Name],$A36,T_SelfStock_Log[WeekIndex],103)=0,"",SUMIFS(T_SelfStock_Log[Self_Qty],T_SelfStock_Log[Part Name],$A36,T_SelfStock_Log[WeekIndex],103))</f>
        <v/>
      </c>
      <c r="DA36" s="12">
        <f>IF(COUNTIFS(T_SelfStock_Log[Part Name],$A36,T_SelfStock_Log[WeekIndex],104)=0,"",SUMIFS(T_SelfStock_Log[Self_Qty],T_SelfStock_Log[Part Name],$A36,T_SelfStock_Log[WeekIndex],104))</f>
        <v/>
      </c>
    </row>
    <row r="37">
      <c r="A37" s="13" t="inlineStr">
        <is>
          <t>CHEM-1480</t>
        </is>
      </c>
      <c r="B37" s="13">
        <f>IF(COUNTIFS(T_SelfStock_Log[Part Name],$A37,T_SelfStock_Log[WeekIndex],1)=0,"",SUMIFS(T_SelfStock_Log[Self_Qty],T_SelfStock_Log[Part Name],$A37,T_SelfStock_Log[WeekIndex],1))</f>
        <v/>
      </c>
      <c r="C37" s="13">
        <f>IF(COUNTIFS(T_SelfStock_Log[Part Name],$A37,T_SelfStock_Log[WeekIndex],2)=0,"",SUMIFS(T_SelfStock_Log[Self_Qty],T_SelfStock_Log[Part Name],$A37,T_SelfStock_Log[WeekIndex],2))</f>
        <v/>
      </c>
      <c r="D37" s="13">
        <f>IF(COUNTIFS(T_SelfStock_Log[Part Name],$A37,T_SelfStock_Log[WeekIndex],3)=0,"",SUMIFS(T_SelfStock_Log[Self_Qty],T_SelfStock_Log[Part Name],$A37,T_SelfStock_Log[WeekIndex],3))</f>
        <v/>
      </c>
      <c r="E37" s="13">
        <f>IF(COUNTIFS(T_SelfStock_Log[Part Name],$A37,T_SelfStock_Log[WeekIndex],4)=0,"",SUMIFS(T_SelfStock_Log[Self_Qty],T_SelfStock_Log[Part Name],$A37,T_SelfStock_Log[WeekIndex],4))</f>
        <v/>
      </c>
      <c r="F37" s="13">
        <f>IF(COUNTIFS(T_SelfStock_Log[Part Name],$A37,T_SelfStock_Log[WeekIndex],5)=0,"",SUMIFS(T_SelfStock_Log[Self_Qty],T_SelfStock_Log[Part Name],$A37,T_SelfStock_Log[WeekIndex],5))</f>
        <v/>
      </c>
      <c r="G37" s="13">
        <f>IF(COUNTIFS(T_SelfStock_Log[Part Name],$A37,T_SelfStock_Log[WeekIndex],6)=0,"",SUMIFS(T_SelfStock_Log[Self_Qty],T_SelfStock_Log[Part Name],$A37,T_SelfStock_Log[WeekIndex],6))</f>
        <v/>
      </c>
      <c r="H37" s="13">
        <f>IF(COUNTIFS(T_SelfStock_Log[Part Name],$A37,T_SelfStock_Log[WeekIndex],7)=0,"",SUMIFS(T_SelfStock_Log[Self_Qty],T_SelfStock_Log[Part Name],$A37,T_SelfStock_Log[WeekIndex],7))</f>
        <v/>
      </c>
      <c r="I37" s="13">
        <f>IF(COUNTIFS(T_SelfStock_Log[Part Name],$A37,T_SelfStock_Log[WeekIndex],8)=0,"",SUMIFS(T_SelfStock_Log[Self_Qty],T_SelfStock_Log[Part Name],$A37,T_SelfStock_Log[WeekIndex],8))</f>
        <v/>
      </c>
      <c r="J37" s="13">
        <f>IF(COUNTIFS(T_SelfStock_Log[Part Name],$A37,T_SelfStock_Log[WeekIndex],9)=0,"",SUMIFS(T_SelfStock_Log[Self_Qty],T_SelfStock_Log[Part Name],$A37,T_SelfStock_Log[WeekIndex],9))</f>
        <v/>
      </c>
      <c r="K37" s="13">
        <f>IF(COUNTIFS(T_SelfStock_Log[Part Name],$A37,T_SelfStock_Log[WeekIndex],10)=0,"",SUMIFS(T_SelfStock_Log[Self_Qty],T_SelfStock_Log[Part Name],$A37,T_SelfStock_Log[WeekIndex],10))</f>
        <v/>
      </c>
      <c r="L37" s="13">
        <f>IF(COUNTIFS(T_SelfStock_Log[Part Name],$A37,T_SelfStock_Log[WeekIndex],11)=0,"",SUMIFS(T_SelfStock_Log[Self_Qty],T_SelfStock_Log[Part Name],$A37,T_SelfStock_Log[WeekIndex],11))</f>
        <v/>
      </c>
      <c r="M37" s="13">
        <f>IF(COUNTIFS(T_SelfStock_Log[Part Name],$A37,T_SelfStock_Log[WeekIndex],12)=0,"",SUMIFS(T_SelfStock_Log[Self_Qty],T_SelfStock_Log[Part Name],$A37,T_SelfStock_Log[WeekIndex],12))</f>
        <v/>
      </c>
      <c r="N37" s="13">
        <f>IF(COUNTIFS(T_SelfStock_Log[Part Name],$A37,T_SelfStock_Log[WeekIndex],13)=0,"",SUMIFS(T_SelfStock_Log[Self_Qty],T_SelfStock_Log[Part Name],$A37,T_SelfStock_Log[WeekIndex],13))</f>
        <v/>
      </c>
      <c r="O37" s="13">
        <f>IF(COUNTIFS(T_SelfStock_Log[Part Name],$A37,T_SelfStock_Log[WeekIndex],14)=0,"",SUMIFS(T_SelfStock_Log[Self_Qty],T_SelfStock_Log[Part Name],$A37,T_SelfStock_Log[WeekIndex],14))</f>
        <v/>
      </c>
      <c r="P37" s="13">
        <f>IF(COUNTIFS(T_SelfStock_Log[Part Name],$A37,T_SelfStock_Log[WeekIndex],15)=0,"",SUMIFS(T_SelfStock_Log[Self_Qty],T_SelfStock_Log[Part Name],$A37,T_SelfStock_Log[WeekIndex],15))</f>
        <v/>
      </c>
      <c r="Q37" s="13">
        <f>IF(COUNTIFS(T_SelfStock_Log[Part Name],$A37,T_SelfStock_Log[WeekIndex],16)=0,"",SUMIFS(T_SelfStock_Log[Self_Qty],T_SelfStock_Log[Part Name],$A37,T_SelfStock_Log[WeekIndex],16))</f>
        <v/>
      </c>
      <c r="R37" s="13">
        <f>IF(COUNTIFS(T_SelfStock_Log[Part Name],$A37,T_SelfStock_Log[WeekIndex],17)=0,"",SUMIFS(T_SelfStock_Log[Self_Qty],T_SelfStock_Log[Part Name],$A37,T_SelfStock_Log[WeekIndex],17))</f>
        <v/>
      </c>
      <c r="S37" s="13">
        <f>IF(COUNTIFS(T_SelfStock_Log[Part Name],$A37,T_SelfStock_Log[WeekIndex],18)=0,"",SUMIFS(T_SelfStock_Log[Self_Qty],T_SelfStock_Log[Part Name],$A37,T_SelfStock_Log[WeekIndex],18))</f>
        <v/>
      </c>
      <c r="T37" s="13">
        <f>IF(COUNTIFS(T_SelfStock_Log[Part Name],$A37,T_SelfStock_Log[WeekIndex],19)=0,"",SUMIFS(T_SelfStock_Log[Self_Qty],T_SelfStock_Log[Part Name],$A37,T_SelfStock_Log[WeekIndex],19))</f>
        <v/>
      </c>
      <c r="U37" s="13">
        <f>IF(COUNTIFS(T_SelfStock_Log[Part Name],$A37,T_SelfStock_Log[WeekIndex],20)=0,"",SUMIFS(T_SelfStock_Log[Self_Qty],T_SelfStock_Log[Part Name],$A37,T_SelfStock_Log[WeekIndex],20))</f>
        <v/>
      </c>
      <c r="V37" s="13">
        <f>IF(COUNTIFS(T_SelfStock_Log[Part Name],$A37,T_SelfStock_Log[WeekIndex],21)=0,"",SUMIFS(T_SelfStock_Log[Self_Qty],T_SelfStock_Log[Part Name],$A37,T_SelfStock_Log[WeekIndex],21))</f>
        <v/>
      </c>
      <c r="W37" s="13">
        <f>IF(COUNTIFS(T_SelfStock_Log[Part Name],$A37,T_SelfStock_Log[WeekIndex],22)=0,"",SUMIFS(T_SelfStock_Log[Self_Qty],T_SelfStock_Log[Part Name],$A37,T_SelfStock_Log[WeekIndex],22))</f>
        <v/>
      </c>
      <c r="X37" s="13">
        <f>IF(COUNTIFS(T_SelfStock_Log[Part Name],$A37,T_SelfStock_Log[WeekIndex],23)=0,"",SUMIFS(T_SelfStock_Log[Self_Qty],T_SelfStock_Log[Part Name],$A37,T_SelfStock_Log[WeekIndex],23))</f>
        <v/>
      </c>
      <c r="Y37" s="13">
        <f>IF(COUNTIFS(T_SelfStock_Log[Part Name],$A37,T_SelfStock_Log[WeekIndex],24)=0,"",SUMIFS(T_SelfStock_Log[Self_Qty],T_SelfStock_Log[Part Name],$A37,T_SelfStock_Log[WeekIndex],24))</f>
        <v/>
      </c>
      <c r="Z37" s="13">
        <f>IF(COUNTIFS(T_SelfStock_Log[Part Name],$A37,T_SelfStock_Log[WeekIndex],25)=0,"",SUMIFS(T_SelfStock_Log[Self_Qty],T_SelfStock_Log[Part Name],$A37,T_SelfStock_Log[WeekIndex],25))</f>
        <v/>
      </c>
      <c r="AA37" s="13">
        <f>IF(COUNTIFS(T_SelfStock_Log[Part Name],$A37,T_SelfStock_Log[WeekIndex],26)=0,"",SUMIFS(T_SelfStock_Log[Self_Qty],T_SelfStock_Log[Part Name],$A37,T_SelfStock_Log[WeekIndex],26))</f>
        <v/>
      </c>
      <c r="AB37" s="13">
        <f>IF(COUNTIFS(T_SelfStock_Log[Part Name],$A37,T_SelfStock_Log[WeekIndex],27)=0,"",SUMIFS(T_SelfStock_Log[Self_Qty],T_SelfStock_Log[Part Name],$A37,T_SelfStock_Log[WeekIndex],27))</f>
        <v/>
      </c>
      <c r="AC37" s="13">
        <f>IF(COUNTIFS(T_SelfStock_Log[Part Name],$A37,T_SelfStock_Log[WeekIndex],28)=0,"",SUMIFS(T_SelfStock_Log[Self_Qty],T_SelfStock_Log[Part Name],$A37,T_SelfStock_Log[WeekIndex],28))</f>
        <v/>
      </c>
      <c r="AD37" s="13">
        <f>IF(COUNTIFS(T_SelfStock_Log[Part Name],$A37,T_SelfStock_Log[WeekIndex],29)=0,"",SUMIFS(T_SelfStock_Log[Self_Qty],T_SelfStock_Log[Part Name],$A37,T_SelfStock_Log[WeekIndex],29))</f>
        <v/>
      </c>
      <c r="AE37" s="13">
        <f>IF(COUNTIFS(T_SelfStock_Log[Part Name],$A37,T_SelfStock_Log[WeekIndex],30)=0,"",SUMIFS(T_SelfStock_Log[Self_Qty],T_SelfStock_Log[Part Name],$A37,T_SelfStock_Log[WeekIndex],30))</f>
        <v/>
      </c>
      <c r="AF37" s="13">
        <f>IF(COUNTIFS(T_SelfStock_Log[Part Name],$A37,T_SelfStock_Log[WeekIndex],31)=0,"",SUMIFS(T_SelfStock_Log[Self_Qty],T_SelfStock_Log[Part Name],$A37,T_SelfStock_Log[WeekIndex],31))</f>
        <v/>
      </c>
      <c r="AG37" s="13">
        <f>IF(COUNTIFS(T_SelfStock_Log[Part Name],$A37,T_SelfStock_Log[WeekIndex],32)=0,"",SUMIFS(T_SelfStock_Log[Self_Qty],T_SelfStock_Log[Part Name],$A37,T_SelfStock_Log[WeekIndex],32))</f>
        <v/>
      </c>
      <c r="AH37" s="13">
        <f>IF(COUNTIFS(T_SelfStock_Log[Part Name],$A37,T_SelfStock_Log[WeekIndex],33)=0,"",SUMIFS(T_SelfStock_Log[Self_Qty],T_SelfStock_Log[Part Name],$A37,T_SelfStock_Log[WeekIndex],33))</f>
        <v/>
      </c>
      <c r="AI37" s="13">
        <f>IF(COUNTIFS(T_SelfStock_Log[Part Name],$A37,T_SelfStock_Log[WeekIndex],34)=0,"",SUMIFS(T_SelfStock_Log[Self_Qty],T_SelfStock_Log[Part Name],$A37,T_SelfStock_Log[WeekIndex],34))</f>
        <v/>
      </c>
      <c r="AJ37" s="13">
        <f>IF(COUNTIFS(T_SelfStock_Log[Part Name],$A37,T_SelfStock_Log[WeekIndex],35)=0,"",SUMIFS(T_SelfStock_Log[Self_Qty],T_SelfStock_Log[Part Name],$A37,T_SelfStock_Log[WeekIndex],35))</f>
        <v/>
      </c>
      <c r="AK37" s="13">
        <f>IF(COUNTIFS(T_SelfStock_Log[Part Name],$A37,T_SelfStock_Log[WeekIndex],36)=0,"",SUMIFS(T_SelfStock_Log[Self_Qty],T_SelfStock_Log[Part Name],$A37,T_SelfStock_Log[WeekIndex],36))</f>
        <v/>
      </c>
      <c r="AL37" s="13">
        <f>IF(COUNTIFS(T_SelfStock_Log[Part Name],$A37,T_SelfStock_Log[WeekIndex],37)=0,"",SUMIFS(T_SelfStock_Log[Self_Qty],T_SelfStock_Log[Part Name],$A37,T_SelfStock_Log[WeekIndex],37))</f>
        <v/>
      </c>
      <c r="AM37" s="13">
        <f>IF(COUNTIFS(T_SelfStock_Log[Part Name],$A37,T_SelfStock_Log[WeekIndex],38)=0,"",SUMIFS(T_SelfStock_Log[Self_Qty],T_SelfStock_Log[Part Name],$A37,T_SelfStock_Log[WeekIndex],38))</f>
        <v/>
      </c>
      <c r="AN37" s="13">
        <f>IF(COUNTIFS(T_SelfStock_Log[Part Name],$A37,T_SelfStock_Log[WeekIndex],39)=0,"",SUMIFS(T_SelfStock_Log[Self_Qty],T_SelfStock_Log[Part Name],$A37,T_SelfStock_Log[WeekIndex],39))</f>
        <v/>
      </c>
      <c r="AO37" s="13">
        <f>IF(COUNTIFS(T_SelfStock_Log[Part Name],$A37,T_SelfStock_Log[WeekIndex],40)=0,"",SUMIFS(T_SelfStock_Log[Self_Qty],T_SelfStock_Log[Part Name],$A37,T_SelfStock_Log[WeekIndex],40))</f>
        <v/>
      </c>
      <c r="AP37" s="13">
        <f>IF(COUNTIFS(T_SelfStock_Log[Part Name],$A37,T_SelfStock_Log[WeekIndex],41)=0,"",SUMIFS(T_SelfStock_Log[Self_Qty],T_SelfStock_Log[Part Name],$A37,T_SelfStock_Log[WeekIndex],41))</f>
        <v/>
      </c>
      <c r="AQ37" s="13">
        <f>IF(COUNTIFS(T_SelfStock_Log[Part Name],$A37,T_SelfStock_Log[WeekIndex],42)=0,"",SUMIFS(T_SelfStock_Log[Self_Qty],T_SelfStock_Log[Part Name],$A37,T_SelfStock_Log[WeekIndex],42))</f>
        <v/>
      </c>
      <c r="AR37" s="13">
        <f>IF(COUNTIFS(T_SelfStock_Log[Part Name],$A37,T_SelfStock_Log[WeekIndex],43)=0,"",SUMIFS(T_SelfStock_Log[Self_Qty],T_SelfStock_Log[Part Name],$A37,T_SelfStock_Log[WeekIndex],43))</f>
        <v/>
      </c>
      <c r="AS37" s="13">
        <f>IF(COUNTIFS(T_SelfStock_Log[Part Name],$A37,T_SelfStock_Log[WeekIndex],44)=0,"",SUMIFS(T_SelfStock_Log[Self_Qty],T_SelfStock_Log[Part Name],$A37,T_SelfStock_Log[WeekIndex],44))</f>
        <v/>
      </c>
      <c r="AT37" s="13">
        <f>IF(COUNTIFS(T_SelfStock_Log[Part Name],$A37,T_SelfStock_Log[WeekIndex],45)=0,"",SUMIFS(T_SelfStock_Log[Self_Qty],T_SelfStock_Log[Part Name],$A37,T_SelfStock_Log[WeekIndex],45))</f>
        <v/>
      </c>
      <c r="AU37" s="13">
        <f>IF(COUNTIFS(T_SelfStock_Log[Part Name],$A37,T_SelfStock_Log[WeekIndex],46)=0,"",SUMIFS(T_SelfStock_Log[Self_Qty],T_SelfStock_Log[Part Name],$A37,T_SelfStock_Log[WeekIndex],46))</f>
        <v/>
      </c>
      <c r="AV37" s="13">
        <f>IF(COUNTIFS(T_SelfStock_Log[Part Name],$A37,T_SelfStock_Log[WeekIndex],47)=0,"",SUMIFS(T_SelfStock_Log[Self_Qty],T_SelfStock_Log[Part Name],$A37,T_SelfStock_Log[WeekIndex],47))</f>
        <v/>
      </c>
      <c r="AW37" s="13">
        <f>IF(COUNTIFS(T_SelfStock_Log[Part Name],$A37,T_SelfStock_Log[WeekIndex],48)=0,"",SUMIFS(T_SelfStock_Log[Self_Qty],T_SelfStock_Log[Part Name],$A37,T_SelfStock_Log[WeekIndex],48))</f>
        <v/>
      </c>
      <c r="AX37" s="13">
        <f>IF(COUNTIFS(T_SelfStock_Log[Part Name],$A37,T_SelfStock_Log[WeekIndex],49)=0,"",SUMIFS(T_SelfStock_Log[Self_Qty],T_SelfStock_Log[Part Name],$A37,T_SelfStock_Log[WeekIndex],49))</f>
        <v/>
      </c>
      <c r="AY37" s="13">
        <f>IF(COUNTIFS(T_SelfStock_Log[Part Name],$A37,T_SelfStock_Log[WeekIndex],50)=0,"",SUMIFS(T_SelfStock_Log[Self_Qty],T_SelfStock_Log[Part Name],$A37,T_SelfStock_Log[WeekIndex],50))</f>
        <v/>
      </c>
      <c r="AZ37" s="13">
        <f>IF(COUNTIFS(T_SelfStock_Log[Part Name],$A37,T_SelfStock_Log[WeekIndex],51)=0,"",SUMIFS(T_SelfStock_Log[Self_Qty],T_SelfStock_Log[Part Name],$A37,T_SelfStock_Log[WeekIndex],51))</f>
        <v/>
      </c>
      <c r="BA37" s="13">
        <f>IF(COUNTIFS(T_SelfStock_Log[Part Name],$A37,T_SelfStock_Log[WeekIndex],52)=0,"",SUMIFS(T_SelfStock_Log[Self_Qty],T_SelfStock_Log[Part Name],$A37,T_SelfStock_Log[WeekIndex],52))</f>
        <v/>
      </c>
      <c r="BB37" s="13">
        <f>IF(COUNTIFS(T_SelfStock_Log[Part Name],$A37,T_SelfStock_Log[WeekIndex],53)=0,"",SUMIFS(T_SelfStock_Log[Self_Qty],T_SelfStock_Log[Part Name],$A37,T_SelfStock_Log[WeekIndex],53))</f>
        <v/>
      </c>
      <c r="BC37" s="13">
        <f>IF(COUNTIFS(T_SelfStock_Log[Part Name],$A37,T_SelfStock_Log[WeekIndex],54)=0,"",SUMIFS(T_SelfStock_Log[Self_Qty],T_SelfStock_Log[Part Name],$A37,T_SelfStock_Log[WeekIndex],54))</f>
        <v/>
      </c>
      <c r="BD37" s="13">
        <f>IF(COUNTIFS(T_SelfStock_Log[Part Name],$A37,T_SelfStock_Log[WeekIndex],55)=0,"",SUMIFS(T_SelfStock_Log[Self_Qty],T_SelfStock_Log[Part Name],$A37,T_SelfStock_Log[WeekIndex],55))</f>
        <v/>
      </c>
      <c r="BE37" s="13">
        <f>IF(COUNTIFS(T_SelfStock_Log[Part Name],$A37,T_SelfStock_Log[WeekIndex],56)=0,"",SUMIFS(T_SelfStock_Log[Self_Qty],T_SelfStock_Log[Part Name],$A37,T_SelfStock_Log[WeekIndex],56))</f>
        <v/>
      </c>
      <c r="BF37" s="13">
        <f>IF(COUNTIFS(T_SelfStock_Log[Part Name],$A37,T_SelfStock_Log[WeekIndex],57)=0,"",SUMIFS(T_SelfStock_Log[Self_Qty],T_SelfStock_Log[Part Name],$A37,T_SelfStock_Log[WeekIndex],57))</f>
        <v/>
      </c>
      <c r="BG37" s="13">
        <f>IF(COUNTIFS(T_SelfStock_Log[Part Name],$A37,T_SelfStock_Log[WeekIndex],58)=0,"",SUMIFS(T_SelfStock_Log[Self_Qty],T_SelfStock_Log[Part Name],$A37,T_SelfStock_Log[WeekIndex],58))</f>
        <v/>
      </c>
      <c r="BH37" s="13">
        <f>IF(COUNTIFS(T_SelfStock_Log[Part Name],$A37,T_SelfStock_Log[WeekIndex],59)=0,"",SUMIFS(T_SelfStock_Log[Self_Qty],T_SelfStock_Log[Part Name],$A37,T_SelfStock_Log[WeekIndex],59))</f>
        <v/>
      </c>
      <c r="BI37" s="13">
        <f>IF(COUNTIFS(T_SelfStock_Log[Part Name],$A37,T_SelfStock_Log[WeekIndex],60)=0,"",SUMIFS(T_SelfStock_Log[Self_Qty],T_SelfStock_Log[Part Name],$A37,T_SelfStock_Log[WeekIndex],60))</f>
        <v/>
      </c>
      <c r="BJ37" s="13">
        <f>IF(COUNTIFS(T_SelfStock_Log[Part Name],$A37,T_SelfStock_Log[WeekIndex],61)=0,"",SUMIFS(T_SelfStock_Log[Self_Qty],T_SelfStock_Log[Part Name],$A37,T_SelfStock_Log[WeekIndex],61))</f>
        <v/>
      </c>
      <c r="BK37" s="13">
        <f>IF(COUNTIFS(T_SelfStock_Log[Part Name],$A37,T_SelfStock_Log[WeekIndex],62)=0,"",SUMIFS(T_SelfStock_Log[Self_Qty],T_SelfStock_Log[Part Name],$A37,T_SelfStock_Log[WeekIndex],62))</f>
        <v/>
      </c>
      <c r="BL37" s="13">
        <f>IF(COUNTIFS(T_SelfStock_Log[Part Name],$A37,T_SelfStock_Log[WeekIndex],63)=0,"",SUMIFS(T_SelfStock_Log[Self_Qty],T_SelfStock_Log[Part Name],$A37,T_SelfStock_Log[WeekIndex],63))</f>
        <v/>
      </c>
      <c r="BM37" s="13">
        <f>IF(COUNTIFS(T_SelfStock_Log[Part Name],$A37,T_SelfStock_Log[WeekIndex],64)=0,"",SUMIFS(T_SelfStock_Log[Self_Qty],T_SelfStock_Log[Part Name],$A37,T_SelfStock_Log[WeekIndex],64))</f>
        <v/>
      </c>
      <c r="BN37" s="13">
        <f>IF(COUNTIFS(T_SelfStock_Log[Part Name],$A37,T_SelfStock_Log[WeekIndex],65)=0,"",SUMIFS(T_SelfStock_Log[Self_Qty],T_SelfStock_Log[Part Name],$A37,T_SelfStock_Log[WeekIndex],65))</f>
        <v/>
      </c>
      <c r="BO37" s="13">
        <f>IF(COUNTIFS(T_SelfStock_Log[Part Name],$A37,T_SelfStock_Log[WeekIndex],66)=0,"",SUMIFS(T_SelfStock_Log[Self_Qty],T_SelfStock_Log[Part Name],$A37,T_SelfStock_Log[WeekIndex],66))</f>
        <v/>
      </c>
      <c r="BP37" s="13">
        <f>IF(COUNTIFS(T_SelfStock_Log[Part Name],$A37,T_SelfStock_Log[WeekIndex],67)=0,"",SUMIFS(T_SelfStock_Log[Self_Qty],T_SelfStock_Log[Part Name],$A37,T_SelfStock_Log[WeekIndex],67))</f>
        <v/>
      </c>
      <c r="BQ37" s="13">
        <f>IF(COUNTIFS(T_SelfStock_Log[Part Name],$A37,T_SelfStock_Log[WeekIndex],68)=0,"",SUMIFS(T_SelfStock_Log[Self_Qty],T_SelfStock_Log[Part Name],$A37,T_SelfStock_Log[WeekIndex],68))</f>
        <v/>
      </c>
      <c r="BR37" s="13">
        <f>IF(COUNTIFS(T_SelfStock_Log[Part Name],$A37,T_SelfStock_Log[WeekIndex],69)=0,"",SUMIFS(T_SelfStock_Log[Self_Qty],T_SelfStock_Log[Part Name],$A37,T_SelfStock_Log[WeekIndex],69))</f>
        <v/>
      </c>
      <c r="BS37" s="13">
        <f>IF(COUNTIFS(T_SelfStock_Log[Part Name],$A37,T_SelfStock_Log[WeekIndex],70)=0,"",SUMIFS(T_SelfStock_Log[Self_Qty],T_SelfStock_Log[Part Name],$A37,T_SelfStock_Log[WeekIndex],70))</f>
        <v/>
      </c>
      <c r="BT37" s="13">
        <f>IF(COUNTIFS(T_SelfStock_Log[Part Name],$A37,T_SelfStock_Log[WeekIndex],71)=0,"",SUMIFS(T_SelfStock_Log[Self_Qty],T_SelfStock_Log[Part Name],$A37,T_SelfStock_Log[WeekIndex],71))</f>
        <v/>
      </c>
      <c r="BU37" s="13">
        <f>IF(COUNTIFS(T_SelfStock_Log[Part Name],$A37,T_SelfStock_Log[WeekIndex],72)=0,"",SUMIFS(T_SelfStock_Log[Self_Qty],T_SelfStock_Log[Part Name],$A37,T_SelfStock_Log[WeekIndex],72))</f>
        <v/>
      </c>
      <c r="BV37" s="13">
        <f>IF(COUNTIFS(T_SelfStock_Log[Part Name],$A37,T_SelfStock_Log[WeekIndex],73)=0,"",SUMIFS(T_SelfStock_Log[Self_Qty],T_SelfStock_Log[Part Name],$A37,T_SelfStock_Log[WeekIndex],73))</f>
        <v/>
      </c>
      <c r="BW37" s="13">
        <f>IF(COUNTIFS(T_SelfStock_Log[Part Name],$A37,T_SelfStock_Log[WeekIndex],74)=0,"",SUMIFS(T_SelfStock_Log[Self_Qty],T_SelfStock_Log[Part Name],$A37,T_SelfStock_Log[WeekIndex],74))</f>
        <v/>
      </c>
      <c r="BX37" s="13">
        <f>IF(COUNTIFS(T_SelfStock_Log[Part Name],$A37,T_SelfStock_Log[WeekIndex],75)=0,"",SUMIFS(T_SelfStock_Log[Self_Qty],T_SelfStock_Log[Part Name],$A37,T_SelfStock_Log[WeekIndex],75))</f>
        <v/>
      </c>
      <c r="BY37" s="13">
        <f>IF(COUNTIFS(T_SelfStock_Log[Part Name],$A37,T_SelfStock_Log[WeekIndex],76)=0,"",SUMIFS(T_SelfStock_Log[Self_Qty],T_SelfStock_Log[Part Name],$A37,T_SelfStock_Log[WeekIndex],76))</f>
        <v/>
      </c>
      <c r="BZ37" s="13">
        <f>IF(COUNTIFS(T_SelfStock_Log[Part Name],$A37,T_SelfStock_Log[WeekIndex],77)=0,"",SUMIFS(T_SelfStock_Log[Self_Qty],T_SelfStock_Log[Part Name],$A37,T_SelfStock_Log[WeekIndex],77))</f>
        <v/>
      </c>
      <c r="CA37" s="13">
        <f>IF(COUNTIFS(T_SelfStock_Log[Part Name],$A37,T_SelfStock_Log[WeekIndex],78)=0,"",SUMIFS(T_SelfStock_Log[Self_Qty],T_SelfStock_Log[Part Name],$A37,T_SelfStock_Log[WeekIndex],78))</f>
        <v/>
      </c>
      <c r="CB37" s="13">
        <f>IF(COUNTIFS(T_SelfStock_Log[Part Name],$A37,T_SelfStock_Log[WeekIndex],79)=0,"",SUMIFS(T_SelfStock_Log[Self_Qty],T_SelfStock_Log[Part Name],$A37,T_SelfStock_Log[WeekIndex],79))</f>
        <v/>
      </c>
      <c r="CC37" s="13">
        <f>IF(COUNTIFS(T_SelfStock_Log[Part Name],$A37,T_SelfStock_Log[WeekIndex],80)=0,"",SUMIFS(T_SelfStock_Log[Self_Qty],T_SelfStock_Log[Part Name],$A37,T_SelfStock_Log[WeekIndex],80))</f>
        <v/>
      </c>
      <c r="CD37" s="13">
        <f>IF(COUNTIFS(T_SelfStock_Log[Part Name],$A37,T_SelfStock_Log[WeekIndex],81)=0,"",SUMIFS(T_SelfStock_Log[Self_Qty],T_SelfStock_Log[Part Name],$A37,T_SelfStock_Log[WeekIndex],81))</f>
        <v/>
      </c>
      <c r="CE37" s="13">
        <f>IF(COUNTIFS(T_SelfStock_Log[Part Name],$A37,T_SelfStock_Log[WeekIndex],82)=0,"",SUMIFS(T_SelfStock_Log[Self_Qty],T_SelfStock_Log[Part Name],$A37,T_SelfStock_Log[WeekIndex],82))</f>
        <v/>
      </c>
      <c r="CF37" s="13">
        <f>IF(COUNTIFS(T_SelfStock_Log[Part Name],$A37,T_SelfStock_Log[WeekIndex],83)=0,"",SUMIFS(T_SelfStock_Log[Self_Qty],T_SelfStock_Log[Part Name],$A37,T_SelfStock_Log[WeekIndex],83))</f>
        <v/>
      </c>
      <c r="CG37" s="13">
        <f>IF(COUNTIFS(T_SelfStock_Log[Part Name],$A37,T_SelfStock_Log[WeekIndex],84)=0,"",SUMIFS(T_SelfStock_Log[Self_Qty],T_SelfStock_Log[Part Name],$A37,T_SelfStock_Log[WeekIndex],84))</f>
        <v/>
      </c>
      <c r="CH37" s="13">
        <f>IF(COUNTIFS(T_SelfStock_Log[Part Name],$A37,T_SelfStock_Log[WeekIndex],85)=0,"",SUMIFS(T_SelfStock_Log[Self_Qty],T_SelfStock_Log[Part Name],$A37,T_SelfStock_Log[WeekIndex],85))</f>
        <v/>
      </c>
      <c r="CI37" s="13">
        <f>IF(COUNTIFS(T_SelfStock_Log[Part Name],$A37,T_SelfStock_Log[WeekIndex],86)=0,"",SUMIFS(T_SelfStock_Log[Self_Qty],T_SelfStock_Log[Part Name],$A37,T_SelfStock_Log[WeekIndex],86))</f>
        <v/>
      </c>
      <c r="CJ37" s="13">
        <f>IF(COUNTIFS(T_SelfStock_Log[Part Name],$A37,T_SelfStock_Log[WeekIndex],87)=0,"",SUMIFS(T_SelfStock_Log[Self_Qty],T_SelfStock_Log[Part Name],$A37,T_SelfStock_Log[WeekIndex],87))</f>
        <v/>
      </c>
      <c r="CK37" s="13">
        <f>IF(COUNTIFS(T_SelfStock_Log[Part Name],$A37,T_SelfStock_Log[WeekIndex],88)=0,"",SUMIFS(T_SelfStock_Log[Self_Qty],T_SelfStock_Log[Part Name],$A37,T_SelfStock_Log[WeekIndex],88))</f>
        <v/>
      </c>
      <c r="CL37" s="13">
        <f>IF(COUNTIFS(T_SelfStock_Log[Part Name],$A37,T_SelfStock_Log[WeekIndex],89)=0,"",SUMIFS(T_SelfStock_Log[Self_Qty],T_SelfStock_Log[Part Name],$A37,T_SelfStock_Log[WeekIndex],89))</f>
        <v/>
      </c>
      <c r="CM37" s="13">
        <f>IF(COUNTIFS(T_SelfStock_Log[Part Name],$A37,T_SelfStock_Log[WeekIndex],90)=0,"",SUMIFS(T_SelfStock_Log[Self_Qty],T_SelfStock_Log[Part Name],$A37,T_SelfStock_Log[WeekIndex],90))</f>
        <v/>
      </c>
      <c r="CN37" s="13">
        <f>IF(COUNTIFS(T_SelfStock_Log[Part Name],$A37,T_SelfStock_Log[WeekIndex],91)=0,"",SUMIFS(T_SelfStock_Log[Self_Qty],T_SelfStock_Log[Part Name],$A37,T_SelfStock_Log[WeekIndex],91))</f>
        <v/>
      </c>
      <c r="CO37" s="13">
        <f>IF(COUNTIFS(T_SelfStock_Log[Part Name],$A37,T_SelfStock_Log[WeekIndex],92)=0,"",SUMIFS(T_SelfStock_Log[Self_Qty],T_SelfStock_Log[Part Name],$A37,T_SelfStock_Log[WeekIndex],92))</f>
        <v/>
      </c>
      <c r="CP37" s="13">
        <f>IF(COUNTIFS(T_SelfStock_Log[Part Name],$A37,T_SelfStock_Log[WeekIndex],93)=0,"",SUMIFS(T_SelfStock_Log[Self_Qty],T_SelfStock_Log[Part Name],$A37,T_SelfStock_Log[WeekIndex],93))</f>
        <v/>
      </c>
      <c r="CQ37" s="13">
        <f>IF(COUNTIFS(T_SelfStock_Log[Part Name],$A37,T_SelfStock_Log[WeekIndex],94)=0,"",SUMIFS(T_SelfStock_Log[Self_Qty],T_SelfStock_Log[Part Name],$A37,T_SelfStock_Log[WeekIndex],94))</f>
        <v/>
      </c>
      <c r="CR37" s="13">
        <f>IF(COUNTIFS(T_SelfStock_Log[Part Name],$A37,T_SelfStock_Log[WeekIndex],95)=0,"",SUMIFS(T_SelfStock_Log[Self_Qty],T_SelfStock_Log[Part Name],$A37,T_SelfStock_Log[WeekIndex],95))</f>
        <v/>
      </c>
      <c r="CS37" s="13">
        <f>IF(COUNTIFS(T_SelfStock_Log[Part Name],$A37,T_SelfStock_Log[WeekIndex],96)=0,"",SUMIFS(T_SelfStock_Log[Self_Qty],T_SelfStock_Log[Part Name],$A37,T_SelfStock_Log[WeekIndex],96))</f>
        <v/>
      </c>
      <c r="CT37" s="13">
        <f>IF(COUNTIFS(T_SelfStock_Log[Part Name],$A37,T_SelfStock_Log[WeekIndex],97)=0,"",SUMIFS(T_SelfStock_Log[Self_Qty],T_SelfStock_Log[Part Name],$A37,T_SelfStock_Log[WeekIndex],97))</f>
        <v/>
      </c>
      <c r="CU37" s="13">
        <f>IF(COUNTIFS(T_SelfStock_Log[Part Name],$A37,T_SelfStock_Log[WeekIndex],98)=0,"",SUMIFS(T_SelfStock_Log[Self_Qty],T_SelfStock_Log[Part Name],$A37,T_SelfStock_Log[WeekIndex],98))</f>
        <v/>
      </c>
      <c r="CV37" s="13">
        <f>IF(COUNTIFS(T_SelfStock_Log[Part Name],$A37,T_SelfStock_Log[WeekIndex],99)=0,"",SUMIFS(T_SelfStock_Log[Self_Qty],T_SelfStock_Log[Part Name],$A37,T_SelfStock_Log[WeekIndex],99))</f>
        <v/>
      </c>
      <c r="CW37" s="13">
        <f>IF(COUNTIFS(T_SelfStock_Log[Part Name],$A37,T_SelfStock_Log[WeekIndex],100)=0,"",SUMIFS(T_SelfStock_Log[Self_Qty],T_SelfStock_Log[Part Name],$A37,T_SelfStock_Log[WeekIndex],100))</f>
        <v/>
      </c>
      <c r="CX37" s="13">
        <f>IF(COUNTIFS(T_SelfStock_Log[Part Name],$A37,T_SelfStock_Log[WeekIndex],101)=0,"",SUMIFS(T_SelfStock_Log[Self_Qty],T_SelfStock_Log[Part Name],$A37,T_SelfStock_Log[WeekIndex],101))</f>
        <v/>
      </c>
      <c r="CY37" s="13">
        <f>IF(COUNTIFS(T_SelfStock_Log[Part Name],$A37,T_SelfStock_Log[WeekIndex],102)=0,"",SUMIFS(T_SelfStock_Log[Self_Qty],T_SelfStock_Log[Part Name],$A37,T_SelfStock_Log[WeekIndex],102))</f>
        <v/>
      </c>
      <c r="CZ37" s="13">
        <f>IF(COUNTIFS(T_SelfStock_Log[Part Name],$A37,T_SelfStock_Log[WeekIndex],103)=0,"",SUMIFS(T_SelfStock_Log[Self_Qty],T_SelfStock_Log[Part Name],$A37,T_SelfStock_Log[WeekIndex],103))</f>
        <v/>
      </c>
      <c r="DA37" s="13">
        <f>IF(COUNTIFS(T_SelfStock_Log[Part Name],$A37,T_SelfStock_Log[WeekIndex],104)=0,"",SUMIFS(T_SelfStock_Log[Self_Qty],T_SelfStock_Log[Part Name],$A37,T_SelfStock_Log[WeekIndex],104))</f>
        <v/>
      </c>
    </row>
    <row r="38">
      <c r="A38" s="12" t="inlineStr">
        <is>
          <t>CHEM-1560</t>
        </is>
      </c>
      <c r="B38" s="12">
        <f>IF(COUNTIFS(T_SelfStock_Log[Part Name],$A38,T_SelfStock_Log[WeekIndex],1)=0,"",SUMIFS(T_SelfStock_Log[Self_Qty],T_SelfStock_Log[Part Name],$A38,T_SelfStock_Log[WeekIndex],1))</f>
        <v/>
      </c>
      <c r="C38" s="12">
        <f>IF(COUNTIFS(T_SelfStock_Log[Part Name],$A38,T_SelfStock_Log[WeekIndex],2)=0,"",SUMIFS(T_SelfStock_Log[Self_Qty],T_SelfStock_Log[Part Name],$A38,T_SelfStock_Log[WeekIndex],2))</f>
        <v/>
      </c>
      <c r="D38" s="12">
        <f>IF(COUNTIFS(T_SelfStock_Log[Part Name],$A38,T_SelfStock_Log[WeekIndex],3)=0,"",SUMIFS(T_SelfStock_Log[Self_Qty],T_SelfStock_Log[Part Name],$A38,T_SelfStock_Log[WeekIndex],3))</f>
        <v/>
      </c>
      <c r="E38" s="12">
        <f>IF(COUNTIFS(T_SelfStock_Log[Part Name],$A38,T_SelfStock_Log[WeekIndex],4)=0,"",SUMIFS(T_SelfStock_Log[Self_Qty],T_SelfStock_Log[Part Name],$A38,T_SelfStock_Log[WeekIndex],4))</f>
        <v/>
      </c>
      <c r="F38" s="12">
        <f>IF(COUNTIFS(T_SelfStock_Log[Part Name],$A38,T_SelfStock_Log[WeekIndex],5)=0,"",SUMIFS(T_SelfStock_Log[Self_Qty],T_SelfStock_Log[Part Name],$A38,T_SelfStock_Log[WeekIndex],5))</f>
        <v/>
      </c>
      <c r="G38" s="12">
        <f>IF(COUNTIFS(T_SelfStock_Log[Part Name],$A38,T_SelfStock_Log[WeekIndex],6)=0,"",SUMIFS(T_SelfStock_Log[Self_Qty],T_SelfStock_Log[Part Name],$A38,T_SelfStock_Log[WeekIndex],6))</f>
        <v/>
      </c>
      <c r="H38" s="12">
        <f>IF(COUNTIFS(T_SelfStock_Log[Part Name],$A38,T_SelfStock_Log[WeekIndex],7)=0,"",SUMIFS(T_SelfStock_Log[Self_Qty],T_SelfStock_Log[Part Name],$A38,T_SelfStock_Log[WeekIndex],7))</f>
        <v/>
      </c>
      <c r="I38" s="12">
        <f>IF(COUNTIFS(T_SelfStock_Log[Part Name],$A38,T_SelfStock_Log[WeekIndex],8)=0,"",SUMIFS(T_SelfStock_Log[Self_Qty],T_SelfStock_Log[Part Name],$A38,T_SelfStock_Log[WeekIndex],8))</f>
        <v/>
      </c>
      <c r="J38" s="12">
        <f>IF(COUNTIFS(T_SelfStock_Log[Part Name],$A38,T_SelfStock_Log[WeekIndex],9)=0,"",SUMIFS(T_SelfStock_Log[Self_Qty],T_SelfStock_Log[Part Name],$A38,T_SelfStock_Log[WeekIndex],9))</f>
        <v/>
      </c>
      <c r="K38" s="12">
        <f>IF(COUNTIFS(T_SelfStock_Log[Part Name],$A38,T_SelfStock_Log[WeekIndex],10)=0,"",SUMIFS(T_SelfStock_Log[Self_Qty],T_SelfStock_Log[Part Name],$A38,T_SelfStock_Log[WeekIndex],10))</f>
        <v/>
      </c>
      <c r="L38" s="12">
        <f>IF(COUNTIFS(T_SelfStock_Log[Part Name],$A38,T_SelfStock_Log[WeekIndex],11)=0,"",SUMIFS(T_SelfStock_Log[Self_Qty],T_SelfStock_Log[Part Name],$A38,T_SelfStock_Log[WeekIndex],11))</f>
        <v/>
      </c>
      <c r="M38" s="12">
        <f>IF(COUNTIFS(T_SelfStock_Log[Part Name],$A38,T_SelfStock_Log[WeekIndex],12)=0,"",SUMIFS(T_SelfStock_Log[Self_Qty],T_SelfStock_Log[Part Name],$A38,T_SelfStock_Log[WeekIndex],12))</f>
        <v/>
      </c>
      <c r="N38" s="12">
        <f>IF(COUNTIFS(T_SelfStock_Log[Part Name],$A38,T_SelfStock_Log[WeekIndex],13)=0,"",SUMIFS(T_SelfStock_Log[Self_Qty],T_SelfStock_Log[Part Name],$A38,T_SelfStock_Log[WeekIndex],13))</f>
        <v/>
      </c>
      <c r="O38" s="12">
        <f>IF(COUNTIFS(T_SelfStock_Log[Part Name],$A38,T_SelfStock_Log[WeekIndex],14)=0,"",SUMIFS(T_SelfStock_Log[Self_Qty],T_SelfStock_Log[Part Name],$A38,T_SelfStock_Log[WeekIndex],14))</f>
        <v/>
      </c>
      <c r="P38" s="12">
        <f>IF(COUNTIFS(T_SelfStock_Log[Part Name],$A38,T_SelfStock_Log[WeekIndex],15)=0,"",SUMIFS(T_SelfStock_Log[Self_Qty],T_SelfStock_Log[Part Name],$A38,T_SelfStock_Log[WeekIndex],15))</f>
        <v/>
      </c>
      <c r="Q38" s="12">
        <f>IF(COUNTIFS(T_SelfStock_Log[Part Name],$A38,T_SelfStock_Log[WeekIndex],16)=0,"",SUMIFS(T_SelfStock_Log[Self_Qty],T_SelfStock_Log[Part Name],$A38,T_SelfStock_Log[WeekIndex],16))</f>
        <v/>
      </c>
      <c r="R38" s="12">
        <f>IF(COUNTIFS(T_SelfStock_Log[Part Name],$A38,T_SelfStock_Log[WeekIndex],17)=0,"",SUMIFS(T_SelfStock_Log[Self_Qty],T_SelfStock_Log[Part Name],$A38,T_SelfStock_Log[WeekIndex],17))</f>
        <v/>
      </c>
      <c r="S38" s="12">
        <f>IF(COUNTIFS(T_SelfStock_Log[Part Name],$A38,T_SelfStock_Log[WeekIndex],18)=0,"",SUMIFS(T_SelfStock_Log[Self_Qty],T_SelfStock_Log[Part Name],$A38,T_SelfStock_Log[WeekIndex],18))</f>
        <v/>
      </c>
      <c r="T38" s="12">
        <f>IF(COUNTIFS(T_SelfStock_Log[Part Name],$A38,T_SelfStock_Log[WeekIndex],19)=0,"",SUMIFS(T_SelfStock_Log[Self_Qty],T_SelfStock_Log[Part Name],$A38,T_SelfStock_Log[WeekIndex],19))</f>
        <v/>
      </c>
      <c r="U38" s="12">
        <f>IF(COUNTIFS(T_SelfStock_Log[Part Name],$A38,T_SelfStock_Log[WeekIndex],20)=0,"",SUMIFS(T_SelfStock_Log[Self_Qty],T_SelfStock_Log[Part Name],$A38,T_SelfStock_Log[WeekIndex],20))</f>
        <v/>
      </c>
      <c r="V38" s="12">
        <f>IF(COUNTIFS(T_SelfStock_Log[Part Name],$A38,T_SelfStock_Log[WeekIndex],21)=0,"",SUMIFS(T_SelfStock_Log[Self_Qty],T_SelfStock_Log[Part Name],$A38,T_SelfStock_Log[WeekIndex],21))</f>
        <v/>
      </c>
      <c r="W38" s="12">
        <f>IF(COUNTIFS(T_SelfStock_Log[Part Name],$A38,T_SelfStock_Log[WeekIndex],22)=0,"",SUMIFS(T_SelfStock_Log[Self_Qty],T_SelfStock_Log[Part Name],$A38,T_SelfStock_Log[WeekIndex],22))</f>
        <v/>
      </c>
      <c r="X38" s="12">
        <f>IF(COUNTIFS(T_SelfStock_Log[Part Name],$A38,T_SelfStock_Log[WeekIndex],23)=0,"",SUMIFS(T_SelfStock_Log[Self_Qty],T_SelfStock_Log[Part Name],$A38,T_SelfStock_Log[WeekIndex],23))</f>
        <v/>
      </c>
      <c r="Y38" s="12">
        <f>IF(COUNTIFS(T_SelfStock_Log[Part Name],$A38,T_SelfStock_Log[WeekIndex],24)=0,"",SUMIFS(T_SelfStock_Log[Self_Qty],T_SelfStock_Log[Part Name],$A38,T_SelfStock_Log[WeekIndex],24))</f>
        <v/>
      </c>
      <c r="Z38" s="12">
        <f>IF(COUNTIFS(T_SelfStock_Log[Part Name],$A38,T_SelfStock_Log[WeekIndex],25)=0,"",SUMIFS(T_SelfStock_Log[Self_Qty],T_SelfStock_Log[Part Name],$A38,T_SelfStock_Log[WeekIndex],25))</f>
        <v/>
      </c>
      <c r="AA38" s="12">
        <f>IF(COUNTIFS(T_SelfStock_Log[Part Name],$A38,T_SelfStock_Log[WeekIndex],26)=0,"",SUMIFS(T_SelfStock_Log[Self_Qty],T_SelfStock_Log[Part Name],$A38,T_SelfStock_Log[WeekIndex],26))</f>
        <v/>
      </c>
      <c r="AB38" s="12">
        <f>IF(COUNTIFS(T_SelfStock_Log[Part Name],$A38,T_SelfStock_Log[WeekIndex],27)=0,"",SUMIFS(T_SelfStock_Log[Self_Qty],T_SelfStock_Log[Part Name],$A38,T_SelfStock_Log[WeekIndex],27))</f>
        <v/>
      </c>
      <c r="AC38" s="12">
        <f>IF(COUNTIFS(T_SelfStock_Log[Part Name],$A38,T_SelfStock_Log[WeekIndex],28)=0,"",SUMIFS(T_SelfStock_Log[Self_Qty],T_SelfStock_Log[Part Name],$A38,T_SelfStock_Log[WeekIndex],28))</f>
        <v/>
      </c>
      <c r="AD38" s="12">
        <f>IF(COUNTIFS(T_SelfStock_Log[Part Name],$A38,T_SelfStock_Log[WeekIndex],29)=0,"",SUMIFS(T_SelfStock_Log[Self_Qty],T_SelfStock_Log[Part Name],$A38,T_SelfStock_Log[WeekIndex],29))</f>
        <v/>
      </c>
      <c r="AE38" s="12">
        <f>IF(COUNTIFS(T_SelfStock_Log[Part Name],$A38,T_SelfStock_Log[WeekIndex],30)=0,"",SUMIFS(T_SelfStock_Log[Self_Qty],T_SelfStock_Log[Part Name],$A38,T_SelfStock_Log[WeekIndex],30))</f>
        <v/>
      </c>
      <c r="AF38" s="12">
        <f>IF(COUNTIFS(T_SelfStock_Log[Part Name],$A38,T_SelfStock_Log[WeekIndex],31)=0,"",SUMIFS(T_SelfStock_Log[Self_Qty],T_SelfStock_Log[Part Name],$A38,T_SelfStock_Log[WeekIndex],31))</f>
        <v/>
      </c>
      <c r="AG38" s="12">
        <f>IF(COUNTIFS(T_SelfStock_Log[Part Name],$A38,T_SelfStock_Log[WeekIndex],32)=0,"",SUMIFS(T_SelfStock_Log[Self_Qty],T_SelfStock_Log[Part Name],$A38,T_SelfStock_Log[WeekIndex],32))</f>
        <v/>
      </c>
      <c r="AH38" s="12">
        <f>IF(COUNTIFS(T_SelfStock_Log[Part Name],$A38,T_SelfStock_Log[WeekIndex],33)=0,"",SUMIFS(T_SelfStock_Log[Self_Qty],T_SelfStock_Log[Part Name],$A38,T_SelfStock_Log[WeekIndex],33))</f>
        <v/>
      </c>
      <c r="AI38" s="12">
        <f>IF(COUNTIFS(T_SelfStock_Log[Part Name],$A38,T_SelfStock_Log[WeekIndex],34)=0,"",SUMIFS(T_SelfStock_Log[Self_Qty],T_SelfStock_Log[Part Name],$A38,T_SelfStock_Log[WeekIndex],34))</f>
        <v/>
      </c>
      <c r="AJ38" s="12">
        <f>IF(COUNTIFS(T_SelfStock_Log[Part Name],$A38,T_SelfStock_Log[WeekIndex],35)=0,"",SUMIFS(T_SelfStock_Log[Self_Qty],T_SelfStock_Log[Part Name],$A38,T_SelfStock_Log[WeekIndex],35))</f>
        <v/>
      </c>
      <c r="AK38" s="12">
        <f>IF(COUNTIFS(T_SelfStock_Log[Part Name],$A38,T_SelfStock_Log[WeekIndex],36)=0,"",SUMIFS(T_SelfStock_Log[Self_Qty],T_SelfStock_Log[Part Name],$A38,T_SelfStock_Log[WeekIndex],36))</f>
        <v/>
      </c>
      <c r="AL38" s="12">
        <f>IF(COUNTIFS(T_SelfStock_Log[Part Name],$A38,T_SelfStock_Log[WeekIndex],37)=0,"",SUMIFS(T_SelfStock_Log[Self_Qty],T_SelfStock_Log[Part Name],$A38,T_SelfStock_Log[WeekIndex],37))</f>
        <v/>
      </c>
      <c r="AM38" s="12">
        <f>IF(COUNTIFS(T_SelfStock_Log[Part Name],$A38,T_SelfStock_Log[WeekIndex],38)=0,"",SUMIFS(T_SelfStock_Log[Self_Qty],T_SelfStock_Log[Part Name],$A38,T_SelfStock_Log[WeekIndex],38))</f>
        <v/>
      </c>
      <c r="AN38" s="12">
        <f>IF(COUNTIFS(T_SelfStock_Log[Part Name],$A38,T_SelfStock_Log[WeekIndex],39)=0,"",SUMIFS(T_SelfStock_Log[Self_Qty],T_SelfStock_Log[Part Name],$A38,T_SelfStock_Log[WeekIndex],39))</f>
        <v/>
      </c>
      <c r="AO38" s="12">
        <f>IF(COUNTIFS(T_SelfStock_Log[Part Name],$A38,T_SelfStock_Log[WeekIndex],40)=0,"",SUMIFS(T_SelfStock_Log[Self_Qty],T_SelfStock_Log[Part Name],$A38,T_SelfStock_Log[WeekIndex],40))</f>
        <v/>
      </c>
      <c r="AP38" s="12">
        <f>IF(COUNTIFS(T_SelfStock_Log[Part Name],$A38,T_SelfStock_Log[WeekIndex],41)=0,"",SUMIFS(T_SelfStock_Log[Self_Qty],T_SelfStock_Log[Part Name],$A38,T_SelfStock_Log[WeekIndex],41))</f>
        <v/>
      </c>
      <c r="AQ38" s="12">
        <f>IF(COUNTIFS(T_SelfStock_Log[Part Name],$A38,T_SelfStock_Log[WeekIndex],42)=0,"",SUMIFS(T_SelfStock_Log[Self_Qty],T_SelfStock_Log[Part Name],$A38,T_SelfStock_Log[WeekIndex],42))</f>
        <v/>
      </c>
      <c r="AR38" s="12">
        <f>IF(COUNTIFS(T_SelfStock_Log[Part Name],$A38,T_SelfStock_Log[WeekIndex],43)=0,"",SUMIFS(T_SelfStock_Log[Self_Qty],T_SelfStock_Log[Part Name],$A38,T_SelfStock_Log[WeekIndex],43))</f>
        <v/>
      </c>
      <c r="AS38" s="12">
        <f>IF(COUNTIFS(T_SelfStock_Log[Part Name],$A38,T_SelfStock_Log[WeekIndex],44)=0,"",SUMIFS(T_SelfStock_Log[Self_Qty],T_SelfStock_Log[Part Name],$A38,T_SelfStock_Log[WeekIndex],44))</f>
        <v/>
      </c>
      <c r="AT38" s="12">
        <f>IF(COUNTIFS(T_SelfStock_Log[Part Name],$A38,T_SelfStock_Log[WeekIndex],45)=0,"",SUMIFS(T_SelfStock_Log[Self_Qty],T_SelfStock_Log[Part Name],$A38,T_SelfStock_Log[WeekIndex],45))</f>
        <v/>
      </c>
      <c r="AU38" s="12">
        <f>IF(COUNTIFS(T_SelfStock_Log[Part Name],$A38,T_SelfStock_Log[WeekIndex],46)=0,"",SUMIFS(T_SelfStock_Log[Self_Qty],T_SelfStock_Log[Part Name],$A38,T_SelfStock_Log[WeekIndex],46))</f>
        <v/>
      </c>
      <c r="AV38" s="12">
        <f>IF(COUNTIFS(T_SelfStock_Log[Part Name],$A38,T_SelfStock_Log[WeekIndex],47)=0,"",SUMIFS(T_SelfStock_Log[Self_Qty],T_SelfStock_Log[Part Name],$A38,T_SelfStock_Log[WeekIndex],47))</f>
        <v/>
      </c>
      <c r="AW38" s="12">
        <f>IF(COUNTIFS(T_SelfStock_Log[Part Name],$A38,T_SelfStock_Log[WeekIndex],48)=0,"",SUMIFS(T_SelfStock_Log[Self_Qty],T_SelfStock_Log[Part Name],$A38,T_SelfStock_Log[WeekIndex],48))</f>
        <v/>
      </c>
      <c r="AX38" s="12">
        <f>IF(COUNTIFS(T_SelfStock_Log[Part Name],$A38,T_SelfStock_Log[WeekIndex],49)=0,"",SUMIFS(T_SelfStock_Log[Self_Qty],T_SelfStock_Log[Part Name],$A38,T_SelfStock_Log[WeekIndex],49))</f>
        <v/>
      </c>
      <c r="AY38" s="12">
        <f>IF(COUNTIFS(T_SelfStock_Log[Part Name],$A38,T_SelfStock_Log[WeekIndex],50)=0,"",SUMIFS(T_SelfStock_Log[Self_Qty],T_SelfStock_Log[Part Name],$A38,T_SelfStock_Log[WeekIndex],50))</f>
        <v/>
      </c>
      <c r="AZ38" s="12">
        <f>IF(COUNTIFS(T_SelfStock_Log[Part Name],$A38,T_SelfStock_Log[WeekIndex],51)=0,"",SUMIFS(T_SelfStock_Log[Self_Qty],T_SelfStock_Log[Part Name],$A38,T_SelfStock_Log[WeekIndex],51))</f>
        <v/>
      </c>
      <c r="BA38" s="12">
        <f>IF(COUNTIFS(T_SelfStock_Log[Part Name],$A38,T_SelfStock_Log[WeekIndex],52)=0,"",SUMIFS(T_SelfStock_Log[Self_Qty],T_SelfStock_Log[Part Name],$A38,T_SelfStock_Log[WeekIndex],52))</f>
        <v/>
      </c>
      <c r="BB38" s="12">
        <f>IF(COUNTIFS(T_SelfStock_Log[Part Name],$A38,T_SelfStock_Log[WeekIndex],53)=0,"",SUMIFS(T_SelfStock_Log[Self_Qty],T_SelfStock_Log[Part Name],$A38,T_SelfStock_Log[WeekIndex],53))</f>
        <v/>
      </c>
      <c r="BC38" s="12">
        <f>IF(COUNTIFS(T_SelfStock_Log[Part Name],$A38,T_SelfStock_Log[WeekIndex],54)=0,"",SUMIFS(T_SelfStock_Log[Self_Qty],T_SelfStock_Log[Part Name],$A38,T_SelfStock_Log[WeekIndex],54))</f>
        <v/>
      </c>
      <c r="BD38" s="12">
        <f>IF(COUNTIFS(T_SelfStock_Log[Part Name],$A38,T_SelfStock_Log[WeekIndex],55)=0,"",SUMIFS(T_SelfStock_Log[Self_Qty],T_SelfStock_Log[Part Name],$A38,T_SelfStock_Log[WeekIndex],55))</f>
        <v/>
      </c>
      <c r="BE38" s="12">
        <f>IF(COUNTIFS(T_SelfStock_Log[Part Name],$A38,T_SelfStock_Log[WeekIndex],56)=0,"",SUMIFS(T_SelfStock_Log[Self_Qty],T_SelfStock_Log[Part Name],$A38,T_SelfStock_Log[WeekIndex],56))</f>
        <v/>
      </c>
      <c r="BF38" s="12">
        <f>IF(COUNTIFS(T_SelfStock_Log[Part Name],$A38,T_SelfStock_Log[WeekIndex],57)=0,"",SUMIFS(T_SelfStock_Log[Self_Qty],T_SelfStock_Log[Part Name],$A38,T_SelfStock_Log[WeekIndex],57))</f>
        <v/>
      </c>
      <c r="BG38" s="12">
        <f>IF(COUNTIFS(T_SelfStock_Log[Part Name],$A38,T_SelfStock_Log[WeekIndex],58)=0,"",SUMIFS(T_SelfStock_Log[Self_Qty],T_SelfStock_Log[Part Name],$A38,T_SelfStock_Log[WeekIndex],58))</f>
        <v/>
      </c>
      <c r="BH38" s="12">
        <f>IF(COUNTIFS(T_SelfStock_Log[Part Name],$A38,T_SelfStock_Log[WeekIndex],59)=0,"",SUMIFS(T_SelfStock_Log[Self_Qty],T_SelfStock_Log[Part Name],$A38,T_SelfStock_Log[WeekIndex],59))</f>
        <v/>
      </c>
      <c r="BI38" s="12">
        <f>IF(COUNTIFS(T_SelfStock_Log[Part Name],$A38,T_SelfStock_Log[WeekIndex],60)=0,"",SUMIFS(T_SelfStock_Log[Self_Qty],T_SelfStock_Log[Part Name],$A38,T_SelfStock_Log[WeekIndex],60))</f>
        <v/>
      </c>
      <c r="BJ38" s="12">
        <f>IF(COUNTIFS(T_SelfStock_Log[Part Name],$A38,T_SelfStock_Log[WeekIndex],61)=0,"",SUMIFS(T_SelfStock_Log[Self_Qty],T_SelfStock_Log[Part Name],$A38,T_SelfStock_Log[WeekIndex],61))</f>
        <v/>
      </c>
      <c r="BK38" s="12">
        <f>IF(COUNTIFS(T_SelfStock_Log[Part Name],$A38,T_SelfStock_Log[WeekIndex],62)=0,"",SUMIFS(T_SelfStock_Log[Self_Qty],T_SelfStock_Log[Part Name],$A38,T_SelfStock_Log[WeekIndex],62))</f>
        <v/>
      </c>
      <c r="BL38" s="12">
        <f>IF(COUNTIFS(T_SelfStock_Log[Part Name],$A38,T_SelfStock_Log[WeekIndex],63)=0,"",SUMIFS(T_SelfStock_Log[Self_Qty],T_SelfStock_Log[Part Name],$A38,T_SelfStock_Log[WeekIndex],63))</f>
        <v/>
      </c>
      <c r="BM38" s="12">
        <f>IF(COUNTIFS(T_SelfStock_Log[Part Name],$A38,T_SelfStock_Log[WeekIndex],64)=0,"",SUMIFS(T_SelfStock_Log[Self_Qty],T_SelfStock_Log[Part Name],$A38,T_SelfStock_Log[WeekIndex],64))</f>
        <v/>
      </c>
      <c r="BN38" s="12">
        <f>IF(COUNTIFS(T_SelfStock_Log[Part Name],$A38,T_SelfStock_Log[WeekIndex],65)=0,"",SUMIFS(T_SelfStock_Log[Self_Qty],T_SelfStock_Log[Part Name],$A38,T_SelfStock_Log[WeekIndex],65))</f>
        <v/>
      </c>
      <c r="BO38" s="12">
        <f>IF(COUNTIFS(T_SelfStock_Log[Part Name],$A38,T_SelfStock_Log[WeekIndex],66)=0,"",SUMIFS(T_SelfStock_Log[Self_Qty],T_SelfStock_Log[Part Name],$A38,T_SelfStock_Log[WeekIndex],66))</f>
        <v/>
      </c>
      <c r="BP38" s="12">
        <f>IF(COUNTIFS(T_SelfStock_Log[Part Name],$A38,T_SelfStock_Log[WeekIndex],67)=0,"",SUMIFS(T_SelfStock_Log[Self_Qty],T_SelfStock_Log[Part Name],$A38,T_SelfStock_Log[WeekIndex],67))</f>
        <v/>
      </c>
      <c r="BQ38" s="12">
        <f>IF(COUNTIFS(T_SelfStock_Log[Part Name],$A38,T_SelfStock_Log[WeekIndex],68)=0,"",SUMIFS(T_SelfStock_Log[Self_Qty],T_SelfStock_Log[Part Name],$A38,T_SelfStock_Log[WeekIndex],68))</f>
        <v/>
      </c>
      <c r="BR38" s="12">
        <f>IF(COUNTIFS(T_SelfStock_Log[Part Name],$A38,T_SelfStock_Log[WeekIndex],69)=0,"",SUMIFS(T_SelfStock_Log[Self_Qty],T_SelfStock_Log[Part Name],$A38,T_SelfStock_Log[WeekIndex],69))</f>
        <v/>
      </c>
      <c r="BS38" s="12">
        <f>IF(COUNTIFS(T_SelfStock_Log[Part Name],$A38,T_SelfStock_Log[WeekIndex],70)=0,"",SUMIFS(T_SelfStock_Log[Self_Qty],T_SelfStock_Log[Part Name],$A38,T_SelfStock_Log[WeekIndex],70))</f>
        <v/>
      </c>
      <c r="BT38" s="12">
        <f>IF(COUNTIFS(T_SelfStock_Log[Part Name],$A38,T_SelfStock_Log[WeekIndex],71)=0,"",SUMIFS(T_SelfStock_Log[Self_Qty],T_SelfStock_Log[Part Name],$A38,T_SelfStock_Log[WeekIndex],71))</f>
        <v/>
      </c>
      <c r="BU38" s="12">
        <f>IF(COUNTIFS(T_SelfStock_Log[Part Name],$A38,T_SelfStock_Log[WeekIndex],72)=0,"",SUMIFS(T_SelfStock_Log[Self_Qty],T_SelfStock_Log[Part Name],$A38,T_SelfStock_Log[WeekIndex],72))</f>
        <v/>
      </c>
      <c r="BV38" s="12">
        <f>IF(COUNTIFS(T_SelfStock_Log[Part Name],$A38,T_SelfStock_Log[WeekIndex],73)=0,"",SUMIFS(T_SelfStock_Log[Self_Qty],T_SelfStock_Log[Part Name],$A38,T_SelfStock_Log[WeekIndex],73))</f>
        <v/>
      </c>
      <c r="BW38" s="12">
        <f>IF(COUNTIFS(T_SelfStock_Log[Part Name],$A38,T_SelfStock_Log[WeekIndex],74)=0,"",SUMIFS(T_SelfStock_Log[Self_Qty],T_SelfStock_Log[Part Name],$A38,T_SelfStock_Log[WeekIndex],74))</f>
        <v/>
      </c>
      <c r="BX38" s="12">
        <f>IF(COUNTIFS(T_SelfStock_Log[Part Name],$A38,T_SelfStock_Log[WeekIndex],75)=0,"",SUMIFS(T_SelfStock_Log[Self_Qty],T_SelfStock_Log[Part Name],$A38,T_SelfStock_Log[WeekIndex],75))</f>
        <v/>
      </c>
      <c r="BY38" s="12">
        <f>IF(COUNTIFS(T_SelfStock_Log[Part Name],$A38,T_SelfStock_Log[WeekIndex],76)=0,"",SUMIFS(T_SelfStock_Log[Self_Qty],T_SelfStock_Log[Part Name],$A38,T_SelfStock_Log[WeekIndex],76))</f>
        <v/>
      </c>
      <c r="BZ38" s="12">
        <f>IF(COUNTIFS(T_SelfStock_Log[Part Name],$A38,T_SelfStock_Log[WeekIndex],77)=0,"",SUMIFS(T_SelfStock_Log[Self_Qty],T_SelfStock_Log[Part Name],$A38,T_SelfStock_Log[WeekIndex],77))</f>
        <v/>
      </c>
      <c r="CA38" s="12">
        <f>IF(COUNTIFS(T_SelfStock_Log[Part Name],$A38,T_SelfStock_Log[WeekIndex],78)=0,"",SUMIFS(T_SelfStock_Log[Self_Qty],T_SelfStock_Log[Part Name],$A38,T_SelfStock_Log[WeekIndex],78))</f>
        <v/>
      </c>
      <c r="CB38" s="12">
        <f>IF(COUNTIFS(T_SelfStock_Log[Part Name],$A38,T_SelfStock_Log[WeekIndex],79)=0,"",SUMIFS(T_SelfStock_Log[Self_Qty],T_SelfStock_Log[Part Name],$A38,T_SelfStock_Log[WeekIndex],79))</f>
        <v/>
      </c>
      <c r="CC38" s="12">
        <f>IF(COUNTIFS(T_SelfStock_Log[Part Name],$A38,T_SelfStock_Log[WeekIndex],80)=0,"",SUMIFS(T_SelfStock_Log[Self_Qty],T_SelfStock_Log[Part Name],$A38,T_SelfStock_Log[WeekIndex],80))</f>
        <v/>
      </c>
      <c r="CD38" s="12">
        <f>IF(COUNTIFS(T_SelfStock_Log[Part Name],$A38,T_SelfStock_Log[WeekIndex],81)=0,"",SUMIFS(T_SelfStock_Log[Self_Qty],T_SelfStock_Log[Part Name],$A38,T_SelfStock_Log[WeekIndex],81))</f>
        <v/>
      </c>
      <c r="CE38" s="12">
        <f>IF(COUNTIFS(T_SelfStock_Log[Part Name],$A38,T_SelfStock_Log[WeekIndex],82)=0,"",SUMIFS(T_SelfStock_Log[Self_Qty],T_SelfStock_Log[Part Name],$A38,T_SelfStock_Log[WeekIndex],82))</f>
        <v/>
      </c>
      <c r="CF38" s="12">
        <f>IF(COUNTIFS(T_SelfStock_Log[Part Name],$A38,T_SelfStock_Log[WeekIndex],83)=0,"",SUMIFS(T_SelfStock_Log[Self_Qty],T_SelfStock_Log[Part Name],$A38,T_SelfStock_Log[WeekIndex],83))</f>
        <v/>
      </c>
      <c r="CG38" s="12">
        <f>IF(COUNTIFS(T_SelfStock_Log[Part Name],$A38,T_SelfStock_Log[WeekIndex],84)=0,"",SUMIFS(T_SelfStock_Log[Self_Qty],T_SelfStock_Log[Part Name],$A38,T_SelfStock_Log[WeekIndex],84))</f>
        <v/>
      </c>
      <c r="CH38" s="12">
        <f>IF(COUNTIFS(T_SelfStock_Log[Part Name],$A38,T_SelfStock_Log[WeekIndex],85)=0,"",SUMIFS(T_SelfStock_Log[Self_Qty],T_SelfStock_Log[Part Name],$A38,T_SelfStock_Log[WeekIndex],85))</f>
        <v/>
      </c>
      <c r="CI38" s="12">
        <f>IF(COUNTIFS(T_SelfStock_Log[Part Name],$A38,T_SelfStock_Log[WeekIndex],86)=0,"",SUMIFS(T_SelfStock_Log[Self_Qty],T_SelfStock_Log[Part Name],$A38,T_SelfStock_Log[WeekIndex],86))</f>
        <v/>
      </c>
      <c r="CJ38" s="12">
        <f>IF(COUNTIFS(T_SelfStock_Log[Part Name],$A38,T_SelfStock_Log[WeekIndex],87)=0,"",SUMIFS(T_SelfStock_Log[Self_Qty],T_SelfStock_Log[Part Name],$A38,T_SelfStock_Log[WeekIndex],87))</f>
        <v/>
      </c>
      <c r="CK38" s="12">
        <f>IF(COUNTIFS(T_SelfStock_Log[Part Name],$A38,T_SelfStock_Log[WeekIndex],88)=0,"",SUMIFS(T_SelfStock_Log[Self_Qty],T_SelfStock_Log[Part Name],$A38,T_SelfStock_Log[WeekIndex],88))</f>
        <v/>
      </c>
      <c r="CL38" s="12">
        <f>IF(COUNTIFS(T_SelfStock_Log[Part Name],$A38,T_SelfStock_Log[WeekIndex],89)=0,"",SUMIFS(T_SelfStock_Log[Self_Qty],T_SelfStock_Log[Part Name],$A38,T_SelfStock_Log[WeekIndex],89))</f>
        <v/>
      </c>
      <c r="CM38" s="12">
        <f>IF(COUNTIFS(T_SelfStock_Log[Part Name],$A38,T_SelfStock_Log[WeekIndex],90)=0,"",SUMIFS(T_SelfStock_Log[Self_Qty],T_SelfStock_Log[Part Name],$A38,T_SelfStock_Log[WeekIndex],90))</f>
        <v/>
      </c>
      <c r="CN38" s="12">
        <f>IF(COUNTIFS(T_SelfStock_Log[Part Name],$A38,T_SelfStock_Log[WeekIndex],91)=0,"",SUMIFS(T_SelfStock_Log[Self_Qty],T_SelfStock_Log[Part Name],$A38,T_SelfStock_Log[WeekIndex],91))</f>
        <v/>
      </c>
      <c r="CO38" s="12">
        <f>IF(COUNTIFS(T_SelfStock_Log[Part Name],$A38,T_SelfStock_Log[WeekIndex],92)=0,"",SUMIFS(T_SelfStock_Log[Self_Qty],T_SelfStock_Log[Part Name],$A38,T_SelfStock_Log[WeekIndex],92))</f>
        <v/>
      </c>
      <c r="CP38" s="12">
        <f>IF(COUNTIFS(T_SelfStock_Log[Part Name],$A38,T_SelfStock_Log[WeekIndex],93)=0,"",SUMIFS(T_SelfStock_Log[Self_Qty],T_SelfStock_Log[Part Name],$A38,T_SelfStock_Log[WeekIndex],93))</f>
        <v/>
      </c>
      <c r="CQ38" s="12">
        <f>IF(COUNTIFS(T_SelfStock_Log[Part Name],$A38,T_SelfStock_Log[WeekIndex],94)=0,"",SUMIFS(T_SelfStock_Log[Self_Qty],T_SelfStock_Log[Part Name],$A38,T_SelfStock_Log[WeekIndex],94))</f>
        <v/>
      </c>
      <c r="CR38" s="12">
        <f>IF(COUNTIFS(T_SelfStock_Log[Part Name],$A38,T_SelfStock_Log[WeekIndex],95)=0,"",SUMIFS(T_SelfStock_Log[Self_Qty],T_SelfStock_Log[Part Name],$A38,T_SelfStock_Log[WeekIndex],95))</f>
        <v/>
      </c>
      <c r="CS38" s="12">
        <f>IF(COUNTIFS(T_SelfStock_Log[Part Name],$A38,T_SelfStock_Log[WeekIndex],96)=0,"",SUMIFS(T_SelfStock_Log[Self_Qty],T_SelfStock_Log[Part Name],$A38,T_SelfStock_Log[WeekIndex],96))</f>
        <v/>
      </c>
      <c r="CT38" s="12">
        <f>IF(COUNTIFS(T_SelfStock_Log[Part Name],$A38,T_SelfStock_Log[WeekIndex],97)=0,"",SUMIFS(T_SelfStock_Log[Self_Qty],T_SelfStock_Log[Part Name],$A38,T_SelfStock_Log[WeekIndex],97))</f>
        <v/>
      </c>
      <c r="CU38" s="12">
        <f>IF(COUNTIFS(T_SelfStock_Log[Part Name],$A38,T_SelfStock_Log[WeekIndex],98)=0,"",SUMIFS(T_SelfStock_Log[Self_Qty],T_SelfStock_Log[Part Name],$A38,T_SelfStock_Log[WeekIndex],98))</f>
        <v/>
      </c>
      <c r="CV38" s="12">
        <f>IF(COUNTIFS(T_SelfStock_Log[Part Name],$A38,T_SelfStock_Log[WeekIndex],99)=0,"",SUMIFS(T_SelfStock_Log[Self_Qty],T_SelfStock_Log[Part Name],$A38,T_SelfStock_Log[WeekIndex],99))</f>
        <v/>
      </c>
      <c r="CW38" s="12">
        <f>IF(COUNTIFS(T_SelfStock_Log[Part Name],$A38,T_SelfStock_Log[WeekIndex],100)=0,"",SUMIFS(T_SelfStock_Log[Self_Qty],T_SelfStock_Log[Part Name],$A38,T_SelfStock_Log[WeekIndex],100))</f>
        <v/>
      </c>
      <c r="CX38" s="12">
        <f>IF(COUNTIFS(T_SelfStock_Log[Part Name],$A38,T_SelfStock_Log[WeekIndex],101)=0,"",SUMIFS(T_SelfStock_Log[Self_Qty],T_SelfStock_Log[Part Name],$A38,T_SelfStock_Log[WeekIndex],101))</f>
        <v/>
      </c>
      <c r="CY38" s="12">
        <f>IF(COUNTIFS(T_SelfStock_Log[Part Name],$A38,T_SelfStock_Log[WeekIndex],102)=0,"",SUMIFS(T_SelfStock_Log[Self_Qty],T_SelfStock_Log[Part Name],$A38,T_SelfStock_Log[WeekIndex],102))</f>
        <v/>
      </c>
      <c r="CZ38" s="12">
        <f>IF(COUNTIFS(T_SelfStock_Log[Part Name],$A38,T_SelfStock_Log[WeekIndex],103)=0,"",SUMIFS(T_SelfStock_Log[Self_Qty],T_SelfStock_Log[Part Name],$A38,T_SelfStock_Log[WeekIndex],103))</f>
        <v/>
      </c>
      <c r="DA38" s="12">
        <f>IF(COUNTIFS(T_SelfStock_Log[Part Name],$A38,T_SelfStock_Log[WeekIndex],104)=0,"",SUMIFS(T_SelfStock_Log[Self_Qty],T_SelfStock_Log[Part Name],$A38,T_SelfStock_Log[WeekIndex],104))</f>
        <v/>
      </c>
    </row>
    <row r="39">
      <c r="A39" s="13" t="inlineStr">
        <is>
          <t>CHEM-1510</t>
        </is>
      </c>
      <c r="B39" s="13">
        <f>IF(COUNTIFS(T_SelfStock_Log[Part Name],$A39,T_SelfStock_Log[WeekIndex],1)=0,"",SUMIFS(T_SelfStock_Log[Self_Qty],T_SelfStock_Log[Part Name],$A39,T_SelfStock_Log[WeekIndex],1))</f>
        <v/>
      </c>
      <c r="C39" s="13">
        <f>IF(COUNTIFS(T_SelfStock_Log[Part Name],$A39,T_SelfStock_Log[WeekIndex],2)=0,"",SUMIFS(T_SelfStock_Log[Self_Qty],T_SelfStock_Log[Part Name],$A39,T_SelfStock_Log[WeekIndex],2))</f>
        <v/>
      </c>
      <c r="D39" s="13">
        <f>IF(COUNTIFS(T_SelfStock_Log[Part Name],$A39,T_SelfStock_Log[WeekIndex],3)=0,"",SUMIFS(T_SelfStock_Log[Self_Qty],T_SelfStock_Log[Part Name],$A39,T_SelfStock_Log[WeekIndex],3))</f>
        <v/>
      </c>
      <c r="E39" s="13">
        <f>IF(COUNTIFS(T_SelfStock_Log[Part Name],$A39,T_SelfStock_Log[WeekIndex],4)=0,"",SUMIFS(T_SelfStock_Log[Self_Qty],T_SelfStock_Log[Part Name],$A39,T_SelfStock_Log[WeekIndex],4))</f>
        <v/>
      </c>
      <c r="F39" s="13">
        <f>IF(COUNTIFS(T_SelfStock_Log[Part Name],$A39,T_SelfStock_Log[WeekIndex],5)=0,"",SUMIFS(T_SelfStock_Log[Self_Qty],T_SelfStock_Log[Part Name],$A39,T_SelfStock_Log[WeekIndex],5))</f>
        <v/>
      </c>
      <c r="G39" s="13">
        <f>IF(COUNTIFS(T_SelfStock_Log[Part Name],$A39,T_SelfStock_Log[WeekIndex],6)=0,"",SUMIFS(T_SelfStock_Log[Self_Qty],T_SelfStock_Log[Part Name],$A39,T_SelfStock_Log[WeekIndex],6))</f>
        <v/>
      </c>
      <c r="H39" s="13">
        <f>IF(COUNTIFS(T_SelfStock_Log[Part Name],$A39,T_SelfStock_Log[WeekIndex],7)=0,"",SUMIFS(T_SelfStock_Log[Self_Qty],T_SelfStock_Log[Part Name],$A39,T_SelfStock_Log[WeekIndex],7))</f>
        <v/>
      </c>
      <c r="I39" s="13">
        <f>IF(COUNTIFS(T_SelfStock_Log[Part Name],$A39,T_SelfStock_Log[WeekIndex],8)=0,"",SUMIFS(T_SelfStock_Log[Self_Qty],T_SelfStock_Log[Part Name],$A39,T_SelfStock_Log[WeekIndex],8))</f>
        <v/>
      </c>
      <c r="J39" s="13">
        <f>IF(COUNTIFS(T_SelfStock_Log[Part Name],$A39,T_SelfStock_Log[WeekIndex],9)=0,"",SUMIFS(T_SelfStock_Log[Self_Qty],T_SelfStock_Log[Part Name],$A39,T_SelfStock_Log[WeekIndex],9))</f>
        <v/>
      </c>
      <c r="K39" s="13">
        <f>IF(COUNTIFS(T_SelfStock_Log[Part Name],$A39,T_SelfStock_Log[WeekIndex],10)=0,"",SUMIFS(T_SelfStock_Log[Self_Qty],T_SelfStock_Log[Part Name],$A39,T_SelfStock_Log[WeekIndex],10))</f>
        <v/>
      </c>
      <c r="L39" s="13">
        <f>IF(COUNTIFS(T_SelfStock_Log[Part Name],$A39,T_SelfStock_Log[WeekIndex],11)=0,"",SUMIFS(T_SelfStock_Log[Self_Qty],T_SelfStock_Log[Part Name],$A39,T_SelfStock_Log[WeekIndex],11))</f>
        <v/>
      </c>
      <c r="M39" s="13">
        <f>IF(COUNTIFS(T_SelfStock_Log[Part Name],$A39,T_SelfStock_Log[WeekIndex],12)=0,"",SUMIFS(T_SelfStock_Log[Self_Qty],T_SelfStock_Log[Part Name],$A39,T_SelfStock_Log[WeekIndex],12))</f>
        <v/>
      </c>
      <c r="N39" s="13">
        <f>IF(COUNTIFS(T_SelfStock_Log[Part Name],$A39,T_SelfStock_Log[WeekIndex],13)=0,"",SUMIFS(T_SelfStock_Log[Self_Qty],T_SelfStock_Log[Part Name],$A39,T_SelfStock_Log[WeekIndex],13))</f>
        <v/>
      </c>
      <c r="O39" s="13">
        <f>IF(COUNTIFS(T_SelfStock_Log[Part Name],$A39,T_SelfStock_Log[WeekIndex],14)=0,"",SUMIFS(T_SelfStock_Log[Self_Qty],T_SelfStock_Log[Part Name],$A39,T_SelfStock_Log[WeekIndex],14))</f>
        <v/>
      </c>
      <c r="P39" s="13">
        <f>IF(COUNTIFS(T_SelfStock_Log[Part Name],$A39,T_SelfStock_Log[WeekIndex],15)=0,"",SUMIFS(T_SelfStock_Log[Self_Qty],T_SelfStock_Log[Part Name],$A39,T_SelfStock_Log[WeekIndex],15))</f>
        <v/>
      </c>
      <c r="Q39" s="13">
        <f>IF(COUNTIFS(T_SelfStock_Log[Part Name],$A39,T_SelfStock_Log[WeekIndex],16)=0,"",SUMIFS(T_SelfStock_Log[Self_Qty],T_SelfStock_Log[Part Name],$A39,T_SelfStock_Log[WeekIndex],16))</f>
        <v/>
      </c>
      <c r="R39" s="13">
        <f>IF(COUNTIFS(T_SelfStock_Log[Part Name],$A39,T_SelfStock_Log[WeekIndex],17)=0,"",SUMIFS(T_SelfStock_Log[Self_Qty],T_SelfStock_Log[Part Name],$A39,T_SelfStock_Log[WeekIndex],17))</f>
        <v/>
      </c>
      <c r="S39" s="13">
        <f>IF(COUNTIFS(T_SelfStock_Log[Part Name],$A39,T_SelfStock_Log[WeekIndex],18)=0,"",SUMIFS(T_SelfStock_Log[Self_Qty],T_SelfStock_Log[Part Name],$A39,T_SelfStock_Log[WeekIndex],18))</f>
        <v/>
      </c>
      <c r="T39" s="13">
        <f>IF(COUNTIFS(T_SelfStock_Log[Part Name],$A39,T_SelfStock_Log[WeekIndex],19)=0,"",SUMIFS(T_SelfStock_Log[Self_Qty],T_SelfStock_Log[Part Name],$A39,T_SelfStock_Log[WeekIndex],19))</f>
        <v/>
      </c>
      <c r="U39" s="13">
        <f>IF(COUNTIFS(T_SelfStock_Log[Part Name],$A39,T_SelfStock_Log[WeekIndex],20)=0,"",SUMIFS(T_SelfStock_Log[Self_Qty],T_SelfStock_Log[Part Name],$A39,T_SelfStock_Log[WeekIndex],20))</f>
        <v/>
      </c>
      <c r="V39" s="13">
        <f>IF(COUNTIFS(T_SelfStock_Log[Part Name],$A39,T_SelfStock_Log[WeekIndex],21)=0,"",SUMIFS(T_SelfStock_Log[Self_Qty],T_SelfStock_Log[Part Name],$A39,T_SelfStock_Log[WeekIndex],21))</f>
        <v/>
      </c>
      <c r="W39" s="13">
        <f>IF(COUNTIFS(T_SelfStock_Log[Part Name],$A39,T_SelfStock_Log[WeekIndex],22)=0,"",SUMIFS(T_SelfStock_Log[Self_Qty],T_SelfStock_Log[Part Name],$A39,T_SelfStock_Log[WeekIndex],22))</f>
        <v/>
      </c>
      <c r="X39" s="13">
        <f>IF(COUNTIFS(T_SelfStock_Log[Part Name],$A39,T_SelfStock_Log[WeekIndex],23)=0,"",SUMIFS(T_SelfStock_Log[Self_Qty],T_SelfStock_Log[Part Name],$A39,T_SelfStock_Log[WeekIndex],23))</f>
        <v/>
      </c>
      <c r="Y39" s="13">
        <f>IF(COUNTIFS(T_SelfStock_Log[Part Name],$A39,T_SelfStock_Log[WeekIndex],24)=0,"",SUMIFS(T_SelfStock_Log[Self_Qty],T_SelfStock_Log[Part Name],$A39,T_SelfStock_Log[WeekIndex],24))</f>
        <v/>
      </c>
      <c r="Z39" s="13">
        <f>IF(COUNTIFS(T_SelfStock_Log[Part Name],$A39,T_SelfStock_Log[WeekIndex],25)=0,"",SUMIFS(T_SelfStock_Log[Self_Qty],T_SelfStock_Log[Part Name],$A39,T_SelfStock_Log[WeekIndex],25))</f>
        <v/>
      </c>
      <c r="AA39" s="13">
        <f>IF(COUNTIFS(T_SelfStock_Log[Part Name],$A39,T_SelfStock_Log[WeekIndex],26)=0,"",SUMIFS(T_SelfStock_Log[Self_Qty],T_SelfStock_Log[Part Name],$A39,T_SelfStock_Log[WeekIndex],26))</f>
        <v/>
      </c>
      <c r="AB39" s="13">
        <f>IF(COUNTIFS(T_SelfStock_Log[Part Name],$A39,T_SelfStock_Log[WeekIndex],27)=0,"",SUMIFS(T_SelfStock_Log[Self_Qty],T_SelfStock_Log[Part Name],$A39,T_SelfStock_Log[WeekIndex],27))</f>
        <v/>
      </c>
      <c r="AC39" s="13">
        <f>IF(COUNTIFS(T_SelfStock_Log[Part Name],$A39,T_SelfStock_Log[WeekIndex],28)=0,"",SUMIFS(T_SelfStock_Log[Self_Qty],T_SelfStock_Log[Part Name],$A39,T_SelfStock_Log[WeekIndex],28))</f>
        <v/>
      </c>
      <c r="AD39" s="13">
        <f>IF(COUNTIFS(T_SelfStock_Log[Part Name],$A39,T_SelfStock_Log[WeekIndex],29)=0,"",SUMIFS(T_SelfStock_Log[Self_Qty],T_SelfStock_Log[Part Name],$A39,T_SelfStock_Log[WeekIndex],29))</f>
        <v/>
      </c>
      <c r="AE39" s="13">
        <f>IF(COUNTIFS(T_SelfStock_Log[Part Name],$A39,T_SelfStock_Log[WeekIndex],30)=0,"",SUMIFS(T_SelfStock_Log[Self_Qty],T_SelfStock_Log[Part Name],$A39,T_SelfStock_Log[WeekIndex],30))</f>
        <v/>
      </c>
      <c r="AF39" s="13">
        <f>IF(COUNTIFS(T_SelfStock_Log[Part Name],$A39,T_SelfStock_Log[WeekIndex],31)=0,"",SUMIFS(T_SelfStock_Log[Self_Qty],T_SelfStock_Log[Part Name],$A39,T_SelfStock_Log[WeekIndex],31))</f>
        <v/>
      </c>
      <c r="AG39" s="13">
        <f>IF(COUNTIFS(T_SelfStock_Log[Part Name],$A39,T_SelfStock_Log[WeekIndex],32)=0,"",SUMIFS(T_SelfStock_Log[Self_Qty],T_SelfStock_Log[Part Name],$A39,T_SelfStock_Log[WeekIndex],32))</f>
        <v/>
      </c>
      <c r="AH39" s="13">
        <f>IF(COUNTIFS(T_SelfStock_Log[Part Name],$A39,T_SelfStock_Log[WeekIndex],33)=0,"",SUMIFS(T_SelfStock_Log[Self_Qty],T_SelfStock_Log[Part Name],$A39,T_SelfStock_Log[WeekIndex],33))</f>
        <v/>
      </c>
      <c r="AI39" s="13">
        <f>IF(COUNTIFS(T_SelfStock_Log[Part Name],$A39,T_SelfStock_Log[WeekIndex],34)=0,"",SUMIFS(T_SelfStock_Log[Self_Qty],T_SelfStock_Log[Part Name],$A39,T_SelfStock_Log[WeekIndex],34))</f>
        <v/>
      </c>
      <c r="AJ39" s="13">
        <f>IF(COUNTIFS(T_SelfStock_Log[Part Name],$A39,T_SelfStock_Log[WeekIndex],35)=0,"",SUMIFS(T_SelfStock_Log[Self_Qty],T_SelfStock_Log[Part Name],$A39,T_SelfStock_Log[WeekIndex],35))</f>
        <v/>
      </c>
      <c r="AK39" s="13">
        <f>IF(COUNTIFS(T_SelfStock_Log[Part Name],$A39,T_SelfStock_Log[WeekIndex],36)=0,"",SUMIFS(T_SelfStock_Log[Self_Qty],T_SelfStock_Log[Part Name],$A39,T_SelfStock_Log[WeekIndex],36))</f>
        <v/>
      </c>
      <c r="AL39" s="13">
        <f>IF(COUNTIFS(T_SelfStock_Log[Part Name],$A39,T_SelfStock_Log[WeekIndex],37)=0,"",SUMIFS(T_SelfStock_Log[Self_Qty],T_SelfStock_Log[Part Name],$A39,T_SelfStock_Log[WeekIndex],37))</f>
        <v/>
      </c>
      <c r="AM39" s="13">
        <f>IF(COUNTIFS(T_SelfStock_Log[Part Name],$A39,T_SelfStock_Log[WeekIndex],38)=0,"",SUMIFS(T_SelfStock_Log[Self_Qty],T_SelfStock_Log[Part Name],$A39,T_SelfStock_Log[WeekIndex],38))</f>
        <v/>
      </c>
      <c r="AN39" s="13">
        <f>IF(COUNTIFS(T_SelfStock_Log[Part Name],$A39,T_SelfStock_Log[WeekIndex],39)=0,"",SUMIFS(T_SelfStock_Log[Self_Qty],T_SelfStock_Log[Part Name],$A39,T_SelfStock_Log[WeekIndex],39))</f>
        <v/>
      </c>
      <c r="AO39" s="13">
        <f>IF(COUNTIFS(T_SelfStock_Log[Part Name],$A39,T_SelfStock_Log[WeekIndex],40)=0,"",SUMIFS(T_SelfStock_Log[Self_Qty],T_SelfStock_Log[Part Name],$A39,T_SelfStock_Log[WeekIndex],40))</f>
        <v/>
      </c>
      <c r="AP39" s="13">
        <f>IF(COUNTIFS(T_SelfStock_Log[Part Name],$A39,T_SelfStock_Log[WeekIndex],41)=0,"",SUMIFS(T_SelfStock_Log[Self_Qty],T_SelfStock_Log[Part Name],$A39,T_SelfStock_Log[WeekIndex],41))</f>
        <v/>
      </c>
      <c r="AQ39" s="13">
        <f>IF(COUNTIFS(T_SelfStock_Log[Part Name],$A39,T_SelfStock_Log[WeekIndex],42)=0,"",SUMIFS(T_SelfStock_Log[Self_Qty],T_SelfStock_Log[Part Name],$A39,T_SelfStock_Log[WeekIndex],42))</f>
        <v/>
      </c>
      <c r="AR39" s="13">
        <f>IF(COUNTIFS(T_SelfStock_Log[Part Name],$A39,T_SelfStock_Log[WeekIndex],43)=0,"",SUMIFS(T_SelfStock_Log[Self_Qty],T_SelfStock_Log[Part Name],$A39,T_SelfStock_Log[WeekIndex],43))</f>
        <v/>
      </c>
      <c r="AS39" s="13">
        <f>IF(COUNTIFS(T_SelfStock_Log[Part Name],$A39,T_SelfStock_Log[WeekIndex],44)=0,"",SUMIFS(T_SelfStock_Log[Self_Qty],T_SelfStock_Log[Part Name],$A39,T_SelfStock_Log[WeekIndex],44))</f>
        <v/>
      </c>
      <c r="AT39" s="13">
        <f>IF(COUNTIFS(T_SelfStock_Log[Part Name],$A39,T_SelfStock_Log[WeekIndex],45)=0,"",SUMIFS(T_SelfStock_Log[Self_Qty],T_SelfStock_Log[Part Name],$A39,T_SelfStock_Log[WeekIndex],45))</f>
        <v/>
      </c>
      <c r="AU39" s="13">
        <f>IF(COUNTIFS(T_SelfStock_Log[Part Name],$A39,T_SelfStock_Log[WeekIndex],46)=0,"",SUMIFS(T_SelfStock_Log[Self_Qty],T_SelfStock_Log[Part Name],$A39,T_SelfStock_Log[WeekIndex],46))</f>
        <v/>
      </c>
      <c r="AV39" s="13">
        <f>IF(COUNTIFS(T_SelfStock_Log[Part Name],$A39,T_SelfStock_Log[WeekIndex],47)=0,"",SUMIFS(T_SelfStock_Log[Self_Qty],T_SelfStock_Log[Part Name],$A39,T_SelfStock_Log[WeekIndex],47))</f>
        <v/>
      </c>
      <c r="AW39" s="13">
        <f>IF(COUNTIFS(T_SelfStock_Log[Part Name],$A39,T_SelfStock_Log[WeekIndex],48)=0,"",SUMIFS(T_SelfStock_Log[Self_Qty],T_SelfStock_Log[Part Name],$A39,T_SelfStock_Log[WeekIndex],48))</f>
        <v/>
      </c>
      <c r="AX39" s="13">
        <f>IF(COUNTIFS(T_SelfStock_Log[Part Name],$A39,T_SelfStock_Log[WeekIndex],49)=0,"",SUMIFS(T_SelfStock_Log[Self_Qty],T_SelfStock_Log[Part Name],$A39,T_SelfStock_Log[WeekIndex],49))</f>
        <v/>
      </c>
      <c r="AY39" s="13">
        <f>IF(COUNTIFS(T_SelfStock_Log[Part Name],$A39,T_SelfStock_Log[WeekIndex],50)=0,"",SUMIFS(T_SelfStock_Log[Self_Qty],T_SelfStock_Log[Part Name],$A39,T_SelfStock_Log[WeekIndex],50))</f>
        <v/>
      </c>
      <c r="AZ39" s="13">
        <f>IF(COUNTIFS(T_SelfStock_Log[Part Name],$A39,T_SelfStock_Log[WeekIndex],51)=0,"",SUMIFS(T_SelfStock_Log[Self_Qty],T_SelfStock_Log[Part Name],$A39,T_SelfStock_Log[WeekIndex],51))</f>
        <v/>
      </c>
      <c r="BA39" s="13">
        <f>IF(COUNTIFS(T_SelfStock_Log[Part Name],$A39,T_SelfStock_Log[WeekIndex],52)=0,"",SUMIFS(T_SelfStock_Log[Self_Qty],T_SelfStock_Log[Part Name],$A39,T_SelfStock_Log[WeekIndex],52))</f>
        <v/>
      </c>
      <c r="BB39" s="13">
        <f>IF(COUNTIFS(T_SelfStock_Log[Part Name],$A39,T_SelfStock_Log[WeekIndex],53)=0,"",SUMIFS(T_SelfStock_Log[Self_Qty],T_SelfStock_Log[Part Name],$A39,T_SelfStock_Log[WeekIndex],53))</f>
        <v/>
      </c>
      <c r="BC39" s="13">
        <f>IF(COUNTIFS(T_SelfStock_Log[Part Name],$A39,T_SelfStock_Log[WeekIndex],54)=0,"",SUMIFS(T_SelfStock_Log[Self_Qty],T_SelfStock_Log[Part Name],$A39,T_SelfStock_Log[WeekIndex],54))</f>
        <v/>
      </c>
      <c r="BD39" s="13">
        <f>IF(COUNTIFS(T_SelfStock_Log[Part Name],$A39,T_SelfStock_Log[WeekIndex],55)=0,"",SUMIFS(T_SelfStock_Log[Self_Qty],T_SelfStock_Log[Part Name],$A39,T_SelfStock_Log[WeekIndex],55))</f>
        <v/>
      </c>
      <c r="BE39" s="13">
        <f>IF(COUNTIFS(T_SelfStock_Log[Part Name],$A39,T_SelfStock_Log[WeekIndex],56)=0,"",SUMIFS(T_SelfStock_Log[Self_Qty],T_SelfStock_Log[Part Name],$A39,T_SelfStock_Log[WeekIndex],56))</f>
        <v/>
      </c>
      <c r="BF39" s="13">
        <f>IF(COUNTIFS(T_SelfStock_Log[Part Name],$A39,T_SelfStock_Log[WeekIndex],57)=0,"",SUMIFS(T_SelfStock_Log[Self_Qty],T_SelfStock_Log[Part Name],$A39,T_SelfStock_Log[WeekIndex],57))</f>
        <v/>
      </c>
      <c r="BG39" s="13">
        <f>IF(COUNTIFS(T_SelfStock_Log[Part Name],$A39,T_SelfStock_Log[WeekIndex],58)=0,"",SUMIFS(T_SelfStock_Log[Self_Qty],T_SelfStock_Log[Part Name],$A39,T_SelfStock_Log[WeekIndex],58))</f>
        <v/>
      </c>
      <c r="BH39" s="13">
        <f>IF(COUNTIFS(T_SelfStock_Log[Part Name],$A39,T_SelfStock_Log[WeekIndex],59)=0,"",SUMIFS(T_SelfStock_Log[Self_Qty],T_SelfStock_Log[Part Name],$A39,T_SelfStock_Log[WeekIndex],59))</f>
        <v/>
      </c>
      <c r="BI39" s="13">
        <f>IF(COUNTIFS(T_SelfStock_Log[Part Name],$A39,T_SelfStock_Log[WeekIndex],60)=0,"",SUMIFS(T_SelfStock_Log[Self_Qty],T_SelfStock_Log[Part Name],$A39,T_SelfStock_Log[WeekIndex],60))</f>
        <v/>
      </c>
      <c r="BJ39" s="13">
        <f>IF(COUNTIFS(T_SelfStock_Log[Part Name],$A39,T_SelfStock_Log[WeekIndex],61)=0,"",SUMIFS(T_SelfStock_Log[Self_Qty],T_SelfStock_Log[Part Name],$A39,T_SelfStock_Log[WeekIndex],61))</f>
        <v/>
      </c>
      <c r="BK39" s="13">
        <f>IF(COUNTIFS(T_SelfStock_Log[Part Name],$A39,T_SelfStock_Log[WeekIndex],62)=0,"",SUMIFS(T_SelfStock_Log[Self_Qty],T_SelfStock_Log[Part Name],$A39,T_SelfStock_Log[WeekIndex],62))</f>
        <v/>
      </c>
      <c r="BL39" s="13">
        <f>IF(COUNTIFS(T_SelfStock_Log[Part Name],$A39,T_SelfStock_Log[WeekIndex],63)=0,"",SUMIFS(T_SelfStock_Log[Self_Qty],T_SelfStock_Log[Part Name],$A39,T_SelfStock_Log[WeekIndex],63))</f>
        <v/>
      </c>
      <c r="BM39" s="13">
        <f>IF(COUNTIFS(T_SelfStock_Log[Part Name],$A39,T_SelfStock_Log[WeekIndex],64)=0,"",SUMIFS(T_SelfStock_Log[Self_Qty],T_SelfStock_Log[Part Name],$A39,T_SelfStock_Log[WeekIndex],64))</f>
        <v/>
      </c>
      <c r="BN39" s="13">
        <f>IF(COUNTIFS(T_SelfStock_Log[Part Name],$A39,T_SelfStock_Log[WeekIndex],65)=0,"",SUMIFS(T_SelfStock_Log[Self_Qty],T_SelfStock_Log[Part Name],$A39,T_SelfStock_Log[WeekIndex],65))</f>
        <v/>
      </c>
      <c r="BO39" s="13">
        <f>IF(COUNTIFS(T_SelfStock_Log[Part Name],$A39,T_SelfStock_Log[WeekIndex],66)=0,"",SUMIFS(T_SelfStock_Log[Self_Qty],T_SelfStock_Log[Part Name],$A39,T_SelfStock_Log[WeekIndex],66))</f>
        <v/>
      </c>
      <c r="BP39" s="13">
        <f>IF(COUNTIFS(T_SelfStock_Log[Part Name],$A39,T_SelfStock_Log[WeekIndex],67)=0,"",SUMIFS(T_SelfStock_Log[Self_Qty],T_SelfStock_Log[Part Name],$A39,T_SelfStock_Log[WeekIndex],67))</f>
        <v/>
      </c>
      <c r="BQ39" s="13">
        <f>IF(COUNTIFS(T_SelfStock_Log[Part Name],$A39,T_SelfStock_Log[WeekIndex],68)=0,"",SUMIFS(T_SelfStock_Log[Self_Qty],T_SelfStock_Log[Part Name],$A39,T_SelfStock_Log[WeekIndex],68))</f>
        <v/>
      </c>
      <c r="BR39" s="13">
        <f>IF(COUNTIFS(T_SelfStock_Log[Part Name],$A39,T_SelfStock_Log[WeekIndex],69)=0,"",SUMIFS(T_SelfStock_Log[Self_Qty],T_SelfStock_Log[Part Name],$A39,T_SelfStock_Log[WeekIndex],69))</f>
        <v/>
      </c>
      <c r="BS39" s="13">
        <f>IF(COUNTIFS(T_SelfStock_Log[Part Name],$A39,T_SelfStock_Log[WeekIndex],70)=0,"",SUMIFS(T_SelfStock_Log[Self_Qty],T_SelfStock_Log[Part Name],$A39,T_SelfStock_Log[WeekIndex],70))</f>
        <v/>
      </c>
      <c r="BT39" s="13">
        <f>IF(COUNTIFS(T_SelfStock_Log[Part Name],$A39,T_SelfStock_Log[WeekIndex],71)=0,"",SUMIFS(T_SelfStock_Log[Self_Qty],T_SelfStock_Log[Part Name],$A39,T_SelfStock_Log[WeekIndex],71))</f>
        <v/>
      </c>
      <c r="BU39" s="13">
        <f>IF(COUNTIFS(T_SelfStock_Log[Part Name],$A39,T_SelfStock_Log[WeekIndex],72)=0,"",SUMIFS(T_SelfStock_Log[Self_Qty],T_SelfStock_Log[Part Name],$A39,T_SelfStock_Log[WeekIndex],72))</f>
        <v/>
      </c>
      <c r="BV39" s="13">
        <f>IF(COUNTIFS(T_SelfStock_Log[Part Name],$A39,T_SelfStock_Log[WeekIndex],73)=0,"",SUMIFS(T_SelfStock_Log[Self_Qty],T_SelfStock_Log[Part Name],$A39,T_SelfStock_Log[WeekIndex],73))</f>
        <v/>
      </c>
      <c r="BW39" s="13">
        <f>IF(COUNTIFS(T_SelfStock_Log[Part Name],$A39,T_SelfStock_Log[WeekIndex],74)=0,"",SUMIFS(T_SelfStock_Log[Self_Qty],T_SelfStock_Log[Part Name],$A39,T_SelfStock_Log[WeekIndex],74))</f>
        <v/>
      </c>
      <c r="BX39" s="13">
        <f>IF(COUNTIFS(T_SelfStock_Log[Part Name],$A39,T_SelfStock_Log[WeekIndex],75)=0,"",SUMIFS(T_SelfStock_Log[Self_Qty],T_SelfStock_Log[Part Name],$A39,T_SelfStock_Log[WeekIndex],75))</f>
        <v/>
      </c>
      <c r="BY39" s="13">
        <f>IF(COUNTIFS(T_SelfStock_Log[Part Name],$A39,T_SelfStock_Log[WeekIndex],76)=0,"",SUMIFS(T_SelfStock_Log[Self_Qty],T_SelfStock_Log[Part Name],$A39,T_SelfStock_Log[WeekIndex],76))</f>
        <v/>
      </c>
      <c r="BZ39" s="13">
        <f>IF(COUNTIFS(T_SelfStock_Log[Part Name],$A39,T_SelfStock_Log[WeekIndex],77)=0,"",SUMIFS(T_SelfStock_Log[Self_Qty],T_SelfStock_Log[Part Name],$A39,T_SelfStock_Log[WeekIndex],77))</f>
        <v/>
      </c>
      <c r="CA39" s="13">
        <f>IF(COUNTIFS(T_SelfStock_Log[Part Name],$A39,T_SelfStock_Log[WeekIndex],78)=0,"",SUMIFS(T_SelfStock_Log[Self_Qty],T_SelfStock_Log[Part Name],$A39,T_SelfStock_Log[WeekIndex],78))</f>
        <v/>
      </c>
      <c r="CB39" s="13">
        <f>IF(COUNTIFS(T_SelfStock_Log[Part Name],$A39,T_SelfStock_Log[WeekIndex],79)=0,"",SUMIFS(T_SelfStock_Log[Self_Qty],T_SelfStock_Log[Part Name],$A39,T_SelfStock_Log[WeekIndex],79))</f>
        <v/>
      </c>
      <c r="CC39" s="13">
        <f>IF(COUNTIFS(T_SelfStock_Log[Part Name],$A39,T_SelfStock_Log[WeekIndex],80)=0,"",SUMIFS(T_SelfStock_Log[Self_Qty],T_SelfStock_Log[Part Name],$A39,T_SelfStock_Log[WeekIndex],80))</f>
        <v/>
      </c>
      <c r="CD39" s="13">
        <f>IF(COUNTIFS(T_SelfStock_Log[Part Name],$A39,T_SelfStock_Log[WeekIndex],81)=0,"",SUMIFS(T_SelfStock_Log[Self_Qty],T_SelfStock_Log[Part Name],$A39,T_SelfStock_Log[WeekIndex],81))</f>
        <v/>
      </c>
      <c r="CE39" s="13">
        <f>IF(COUNTIFS(T_SelfStock_Log[Part Name],$A39,T_SelfStock_Log[WeekIndex],82)=0,"",SUMIFS(T_SelfStock_Log[Self_Qty],T_SelfStock_Log[Part Name],$A39,T_SelfStock_Log[WeekIndex],82))</f>
        <v/>
      </c>
      <c r="CF39" s="13">
        <f>IF(COUNTIFS(T_SelfStock_Log[Part Name],$A39,T_SelfStock_Log[WeekIndex],83)=0,"",SUMIFS(T_SelfStock_Log[Self_Qty],T_SelfStock_Log[Part Name],$A39,T_SelfStock_Log[WeekIndex],83))</f>
        <v/>
      </c>
      <c r="CG39" s="13">
        <f>IF(COUNTIFS(T_SelfStock_Log[Part Name],$A39,T_SelfStock_Log[WeekIndex],84)=0,"",SUMIFS(T_SelfStock_Log[Self_Qty],T_SelfStock_Log[Part Name],$A39,T_SelfStock_Log[WeekIndex],84))</f>
        <v/>
      </c>
      <c r="CH39" s="13">
        <f>IF(COUNTIFS(T_SelfStock_Log[Part Name],$A39,T_SelfStock_Log[WeekIndex],85)=0,"",SUMIFS(T_SelfStock_Log[Self_Qty],T_SelfStock_Log[Part Name],$A39,T_SelfStock_Log[WeekIndex],85))</f>
        <v/>
      </c>
      <c r="CI39" s="13">
        <f>IF(COUNTIFS(T_SelfStock_Log[Part Name],$A39,T_SelfStock_Log[WeekIndex],86)=0,"",SUMIFS(T_SelfStock_Log[Self_Qty],T_SelfStock_Log[Part Name],$A39,T_SelfStock_Log[WeekIndex],86))</f>
        <v/>
      </c>
      <c r="CJ39" s="13">
        <f>IF(COUNTIFS(T_SelfStock_Log[Part Name],$A39,T_SelfStock_Log[WeekIndex],87)=0,"",SUMIFS(T_SelfStock_Log[Self_Qty],T_SelfStock_Log[Part Name],$A39,T_SelfStock_Log[WeekIndex],87))</f>
        <v/>
      </c>
      <c r="CK39" s="13">
        <f>IF(COUNTIFS(T_SelfStock_Log[Part Name],$A39,T_SelfStock_Log[WeekIndex],88)=0,"",SUMIFS(T_SelfStock_Log[Self_Qty],T_SelfStock_Log[Part Name],$A39,T_SelfStock_Log[WeekIndex],88))</f>
        <v/>
      </c>
      <c r="CL39" s="13">
        <f>IF(COUNTIFS(T_SelfStock_Log[Part Name],$A39,T_SelfStock_Log[WeekIndex],89)=0,"",SUMIFS(T_SelfStock_Log[Self_Qty],T_SelfStock_Log[Part Name],$A39,T_SelfStock_Log[WeekIndex],89))</f>
        <v/>
      </c>
      <c r="CM39" s="13">
        <f>IF(COUNTIFS(T_SelfStock_Log[Part Name],$A39,T_SelfStock_Log[WeekIndex],90)=0,"",SUMIFS(T_SelfStock_Log[Self_Qty],T_SelfStock_Log[Part Name],$A39,T_SelfStock_Log[WeekIndex],90))</f>
        <v/>
      </c>
      <c r="CN39" s="13">
        <f>IF(COUNTIFS(T_SelfStock_Log[Part Name],$A39,T_SelfStock_Log[WeekIndex],91)=0,"",SUMIFS(T_SelfStock_Log[Self_Qty],T_SelfStock_Log[Part Name],$A39,T_SelfStock_Log[WeekIndex],91))</f>
        <v/>
      </c>
      <c r="CO39" s="13">
        <f>IF(COUNTIFS(T_SelfStock_Log[Part Name],$A39,T_SelfStock_Log[WeekIndex],92)=0,"",SUMIFS(T_SelfStock_Log[Self_Qty],T_SelfStock_Log[Part Name],$A39,T_SelfStock_Log[WeekIndex],92))</f>
        <v/>
      </c>
      <c r="CP39" s="13">
        <f>IF(COUNTIFS(T_SelfStock_Log[Part Name],$A39,T_SelfStock_Log[WeekIndex],93)=0,"",SUMIFS(T_SelfStock_Log[Self_Qty],T_SelfStock_Log[Part Name],$A39,T_SelfStock_Log[WeekIndex],93))</f>
        <v/>
      </c>
      <c r="CQ39" s="13">
        <f>IF(COUNTIFS(T_SelfStock_Log[Part Name],$A39,T_SelfStock_Log[WeekIndex],94)=0,"",SUMIFS(T_SelfStock_Log[Self_Qty],T_SelfStock_Log[Part Name],$A39,T_SelfStock_Log[WeekIndex],94))</f>
        <v/>
      </c>
      <c r="CR39" s="13">
        <f>IF(COUNTIFS(T_SelfStock_Log[Part Name],$A39,T_SelfStock_Log[WeekIndex],95)=0,"",SUMIFS(T_SelfStock_Log[Self_Qty],T_SelfStock_Log[Part Name],$A39,T_SelfStock_Log[WeekIndex],95))</f>
        <v/>
      </c>
      <c r="CS39" s="13">
        <f>IF(COUNTIFS(T_SelfStock_Log[Part Name],$A39,T_SelfStock_Log[WeekIndex],96)=0,"",SUMIFS(T_SelfStock_Log[Self_Qty],T_SelfStock_Log[Part Name],$A39,T_SelfStock_Log[WeekIndex],96))</f>
        <v/>
      </c>
      <c r="CT39" s="13">
        <f>IF(COUNTIFS(T_SelfStock_Log[Part Name],$A39,T_SelfStock_Log[WeekIndex],97)=0,"",SUMIFS(T_SelfStock_Log[Self_Qty],T_SelfStock_Log[Part Name],$A39,T_SelfStock_Log[WeekIndex],97))</f>
        <v/>
      </c>
      <c r="CU39" s="13">
        <f>IF(COUNTIFS(T_SelfStock_Log[Part Name],$A39,T_SelfStock_Log[WeekIndex],98)=0,"",SUMIFS(T_SelfStock_Log[Self_Qty],T_SelfStock_Log[Part Name],$A39,T_SelfStock_Log[WeekIndex],98))</f>
        <v/>
      </c>
      <c r="CV39" s="13">
        <f>IF(COUNTIFS(T_SelfStock_Log[Part Name],$A39,T_SelfStock_Log[WeekIndex],99)=0,"",SUMIFS(T_SelfStock_Log[Self_Qty],T_SelfStock_Log[Part Name],$A39,T_SelfStock_Log[WeekIndex],99))</f>
        <v/>
      </c>
      <c r="CW39" s="13">
        <f>IF(COUNTIFS(T_SelfStock_Log[Part Name],$A39,T_SelfStock_Log[WeekIndex],100)=0,"",SUMIFS(T_SelfStock_Log[Self_Qty],T_SelfStock_Log[Part Name],$A39,T_SelfStock_Log[WeekIndex],100))</f>
        <v/>
      </c>
      <c r="CX39" s="13">
        <f>IF(COUNTIFS(T_SelfStock_Log[Part Name],$A39,T_SelfStock_Log[WeekIndex],101)=0,"",SUMIFS(T_SelfStock_Log[Self_Qty],T_SelfStock_Log[Part Name],$A39,T_SelfStock_Log[WeekIndex],101))</f>
        <v/>
      </c>
      <c r="CY39" s="13">
        <f>IF(COUNTIFS(T_SelfStock_Log[Part Name],$A39,T_SelfStock_Log[WeekIndex],102)=0,"",SUMIFS(T_SelfStock_Log[Self_Qty],T_SelfStock_Log[Part Name],$A39,T_SelfStock_Log[WeekIndex],102))</f>
        <v/>
      </c>
      <c r="CZ39" s="13">
        <f>IF(COUNTIFS(T_SelfStock_Log[Part Name],$A39,T_SelfStock_Log[WeekIndex],103)=0,"",SUMIFS(T_SelfStock_Log[Self_Qty],T_SelfStock_Log[Part Name],$A39,T_SelfStock_Log[WeekIndex],103))</f>
        <v/>
      </c>
      <c r="DA39" s="13">
        <f>IF(COUNTIFS(T_SelfStock_Log[Part Name],$A39,T_SelfStock_Log[WeekIndex],104)=0,"",SUMIFS(T_SelfStock_Log[Self_Qty],T_SelfStock_Log[Part Name],$A39,T_SelfStock_Log[WeekIndex],104))</f>
        <v/>
      </c>
    </row>
    <row r="40">
      <c r="A40" s="12" t="inlineStr">
        <is>
          <t>CHEM-1770</t>
        </is>
      </c>
      <c r="B40" s="12">
        <f>IF(COUNTIFS(T_SelfStock_Log[Part Name],$A40,T_SelfStock_Log[WeekIndex],1)=0,"",SUMIFS(T_SelfStock_Log[Self_Qty],T_SelfStock_Log[Part Name],$A40,T_SelfStock_Log[WeekIndex],1))</f>
        <v/>
      </c>
      <c r="C40" s="12">
        <f>IF(COUNTIFS(T_SelfStock_Log[Part Name],$A40,T_SelfStock_Log[WeekIndex],2)=0,"",SUMIFS(T_SelfStock_Log[Self_Qty],T_SelfStock_Log[Part Name],$A40,T_SelfStock_Log[WeekIndex],2))</f>
        <v/>
      </c>
      <c r="D40" s="12">
        <f>IF(COUNTIFS(T_SelfStock_Log[Part Name],$A40,T_SelfStock_Log[WeekIndex],3)=0,"",SUMIFS(T_SelfStock_Log[Self_Qty],T_SelfStock_Log[Part Name],$A40,T_SelfStock_Log[WeekIndex],3))</f>
        <v/>
      </c>
      <c r="E40" s="12">
        <f>IF(COUNTIFS(T_SelfStock_Log[Part Name],$A40,T_SelfStock_Log[WeekIndex],4)=0,"",SUMIFS(T_SelfStock_Log[Self_Qty],T_SelfStock_Log[Part Name],$A40,T_SelfStock_Log[WeekIndex],4))</f>
        <v/>
      </c>
      <c r="F40" s="12">
        <f>IF(COUNTIFS(T_SelfStock_Log[Part Name],$A40,T_SelfStock_Log[WeekIndex],5)=0,"",SUMIFS(T_SelfStock_Log[Self_Qty],T_SelfStock_Log[Part Name],$A40,T_SelfStock_Log[WeekIndex],5))</f>
        <v/>
      </c>
      <c r="G40" s="12">
        <f>IF(COUNTIFS(T_SelfStock_Log[Part Name],$A40,T_SelfStock_Log[WeekIndex],6)=0,"",SUMIFS(T_SelfStock_Log[Self_Qty],T_SelfStock_Log[Part Name],$A40,T_SelfStock_Log[WeekIndex],6))</f>
        <v/>
      </c>
      <c r="H40" s="12">
        <f>IF(COUNTIFS(T_SelfStock_Log[Part Name],$A40,T_SelfStock_Log[WeekIndex],7)=0,"",SUMIFS(T_SelfStock_Log[Self_Qty],T_SelfStock_Log[Part Name],$A40,T_SelfStock_Log[WeekIndex],7))</f>
        <v/>
      </c>
      <c r="I40" s="12">
        <f>IF(COUNTIFS(T_SelfStock_Log[Part Name],$A40,T_SelfStock_Log[WeekIndex],8)=0,"",SUMIFS(T_SelfStock_Log[Self_Qty],T_SelfStock_Log[Part Name],$A40,T_SelfStock_Log[WeekIndex],8))</f>
        <v/>
      </c>
      <c r="J40" s="12">
        <f>IF(COUNTIFS(T_SelfStock_Log[Part Name],$A40,T_SelfStock_Log[WeekIndex],9)=0,"",SUMIFS(T_SelfStock_Log[Self_Qty],T_SelfStock_Log[Part Name],$A40,T_SelfStock_Log[WeekIndex],9))</f>
        <v/>
      </c>
      <c r="K40" s="12">
        <f>IF(COUNTIFS(T_SelfStock_Log[Part Name],$A40,T_SelfStock_Log[WeekIndex],10)=0,"",SUMIFS(T_SelfStock_Log[Self_Qty],T_SelfStock_Log[Part Name],$A40,T_SelfStock_Log[WeekIndex],10))</f>
        <v/>
      </c>
      <c r="L40" s="12">
        <f>IF(COUNTIFS(T_SelfStock_Log[Part Name],$A40,T_SelfStock_Log[WeekIndex],11)=0,"",SUMIFS(T_SelfStock_Log[Self_Qty],T_SelfStock_Log[Part Name],$A40,T_SelfStock_Log[WeekIndex],11))</f>
        <v/>
      </c>
      <c r="M40" s="12">
        <f>IF(COUNTIFS(T_SelfStock_Log[Part Name],$A40,T_SelfStock_Log[WeekIndex],12)=0,"",SUMIFS(T_SelfStock_Log[Self_Qty],T_SelfStock_Log[Part Name],$A40,T_SelfStock_Log[WeekIndex],12))</f>
        <v/>
      </c>
      <c r="N40" s="12">
        <f>IF(COUNTIFS(T_SelfStock_Log[Part Name],$A40,T_SelfStock_Log[WeekIndex],13)=0,"",SUMIFS(T_SelfStock_Log[Self_Qty],T_SelfStock_Log[Part Name],$A40,T_SelfStock_Log[WeekIndex],13))</f>
        <v/>
      </c>
      <c r="O40" s="12">
        <f>IF(COUNTIFS(T_SelfStock_Log[Part Name],$A40,T_SelfStock_Log[WeekIndex],14)=0,"",SUMIFS(T_SelfStock_Log[Self_Qty],T_SelfStock_Log[Part Name],$A40,T_SelfStock_Log[WeekIndex],14))</f>
        <v/>
      </c>
      <c r="P40" s="12">
        <f>IF(COUNTIFS(T_SelfStock_Log[Part Name],$A40,T_SelfStock_Log[WeekIndex],15)=0,"",SUMIFS(T_SelfStock_Log[Self_Qty],T_SelfStock_Log[Part Name],$A40,T_SelfStock_Log[WeekIndex],15))</f>
        <v/>
      </c>
      <c r="Q40" s="12">
        <f>IF(COUNTIFS(T_SelfStock_Log[Part Name],$A40,T_SelfStock_Log[WeekIndex],16)=0,"",SUMIFS(T_SelfStock_Log[Self_Qty],T_SelfStock_Log[Part Name],$A40,T_SelfStock_Log[WeekIndex],16))</f>
        <v/>
      </c>
      <c r="R40" s="12">
        <f>IF(COUNTIFS(T_SelfStock_Log[Part Name],$A40,T_SelfStock_Log[WeekIndex],17)=0,"",SUMIFS(T_SelfStock_Log[Self_Qty],T_SelfStock_Log[Part Name],$A40,T_SelfStock_Log[WeekIndex],17))</f>
        <v/>
      </c>
      <c r="S40" s="12">
        <f>IF(COUNTIFS(T_SelfStock_Log[Part Name],$A40,T_SelfStock_Log[WeekIndex],18)=0,"",SUMIFS(T_SelfStock_Log[Self_Qty],T_SelfStock_Log[Part Name],$A40,T_SelfStock_Log[WeekIndex],18))</f>
        <v/>
      </c>
      <c r="T40" s="12">
        <f>IF(COUNTIFS(T_SelfStock_Log[Part Name],$A40,T_SelfStock_Log[WeekIndex],19)=0,"",SUMIFS(T_SelfStock_Log[Self_Qty],T_SelfStock_Log[Part Name],$A40,T_SelfStock_Log[WeekIndex],19))</f>
        <v/>
      </c>
      <c r="U40" s="12">
        <f>IF(COUNTIFS(T_SelfStock_Log[Part Name],$A40,T_SelfStock_Log[WeekIndex],20)=0,"",SUMIFS(T_SelfStock_Log[Self_Qty],T_SelfStock_Log[Part Name],$A40,T_SelfStock_Log[WeekIndex],20))</f>
        <v/>
      </c>
      <c r="V40" s="12">
        <f>IF(COUNTIFS(T_SelfStock_Log[Part Name],$A40,T_SelfStock_Log[WeekIndex],21)=0,"",SUMIFS(T_SelfStock_Log[Self_Qty],T_SelfStock_Log[Part Name],$A40,T_SelfStock_Log[WeekIndex],21))</f>
        <v/>
      </c>
      <c r="W40" s="12">
        <f>IF(COUNTIFS(T_SelfStock_Log[Part Name],$A40,T_SelfStock_Log[WeekIndex],22)=0,"",SUMIFS(T_SelfStock_Log[Self_Qty],T_SelfStock_Log[Part Name],$A40,T_SelfStock_Log[WeekIndex],22))</f>
        <v/>
      </c>
      <c r="X40" s="12">
        <f>IF(COUNTIFS(T_SelfStock_Log[Part Name],$A40,T_SelfStock_Log[WeekIndex],23)=0,"",SUMIFS(T_SelfStock_Log[Self_Qty],T_SelfStock_Log[Part Name],$A40,T_SelfStock_Log[WeekIndex],23))</f>
        <v/>
      </c>
      <c r="Y40" s="12">
        <f>IF(COUNTIFS(T_SelfStock_Log[Part Name],$A40,T_SelfStock_Log[WeekIndex],24)=0,"",SUMIFS(T_SelfStock_Log[Self_Qty],T_SelfStock_Log[Part Name],$A40,T_SelfStock_Log[WeekIndex],24))</f>
        <v/>
      </c>
      <c r="Z40" s="12">
        <f>IF(COUNTIFS(T_SelfStock_Log[Part Name],$A40,T_SelfStock_Log[WeekIndex],25)=0,"",SUMIFS(T_SelfStock_Log[Self_Qty],T_SelfStock_Log[Part Name],$A40,T_SelfStock_Log[WeekIndex],25))</f>
        <v/>
      </c>
      <c r="AA40" s="12">
        <f>IF(COUNTIFS(T_SelfStock_Log[Part Name],$A40,T_SelfStock_Log[WeekIndex],26)=0,"",SUMIFS(T_SelfStock_Log[Self_Qty],T_SelfStock_Log[Part Name],$A40,T_SelfStock_Log[WeekIndex],26))</f>
        <v/>
      </c>
      <c r="AB40" s="12">
        <f>IF(COUNTIFS(T_SelfStock_Log[Part Name],$A40,T_SelfStock_Log[WeekIndex],27)=0,"",SUMIFS(T_SelfStock_Log[Self_Qty],T_SelfStock_Log[Part Name],$A40,T_SelfStock_Log[WeekIndex],27))</f>
        <v/>
      </c>
      <c r="AC40" s="12">
        <f>IF(COUNTIFS(T_SelfStock_Log[Part Name],$A40,T_SelfStock_Log[WeekIndex],28)=0,"",SUMIFS(T_SelfStock_Log[Self_Qty],T_SelfStock_Log[Part Name],$A40,T_SelfStock_Log[WeekIndex],28))</f>
        <v/>
      </c>
      <c r="AD40" s="12">
        <f>IF(COUNTIFS(T_SelfStock_Log[Part Name],$A40,T_SelfStock_Log[WeekIndex],29)=0,"",SUMIFS(T_SelfStock_Log[Self_Qty],T_SelfStock_Log[Part Name],$A40,T_SelfStock_Log[WeekIndex],29))</f>
        <v/>
      </c>
      <c r="AE40" s="12">
        <f>IF(COUNTIFS(T_SelfStock_Log[Part Name],$A40,T_SelfStock_Log[WeekIndex],30)=0,"",SUMIFS(T_SelfStock_Log[Self_Qty],T_SelfStock_Log[Part Name],$A40,T_SelfStock_Log[WeekIndex],30))</f>
        <v/>
      </c>
      <c r="AF40" s="12">
        <f>IF(COUNTIFS(T_SelfStock_Log[Part Name],$A40,T_SelfStock_Log[WeekIndex],31)=0,"",SUMIFS(T_SelfStock_Log[Self_Qty],T_SelfStock_Log[Part Name],$A40,T_SelfStock_Log[WeekIndex],31))</f>
        <v/>
      </c>
      <c r="AG40" s="12">
        <f>IF(COUNTIFS(T_SelfStock_Log[Part Name],$A40,T_SelfStock_Log[WeekIndex],32)=0,"",SUMIFS(T_SelfStock_Log[Self_Qty],T_SelfStock_Log[Part Name],$A40,T_SelfStock_Log[WeekIndex],32))</f>
        <v/>
      </c>
      <c r="AH40" s="12">
        <f>IF(COUNTIFS(T_SelfStock_Log[Part Name],$A40,T_SelfStock_Log[WeekIndex],33)=0,"",SUMIFS(T_SelfStock_Log[Self_Qty],T_SelfStock_Log[Part Name],$A40,T_SelfStock_Log[WeekIndex],33))</f>
        <v/>
      </c>
      <c r="AI40" s="12">
        <f>IF(COUNTIFS(T_SelfStock_Log[Part Name],$A40,T_SelfStock_Log[WeekIndex],34)=0,"",SUMIFS(T_SelfStock_Log[Self_Qty],T_SelfStock_Log[Part Name],$A40,T_SelfStock_Log[WeekIndex],34))</f>
        <v/>
      </c>
      <c r="AJ40" s="12">
        <f>IF(COUNTIFS(T_SelfStock_Log[Part Name],$A40,T_SelfStock_Log[WeekIndex],35)=0,"",SUMIFS(T_SelfStock_Log[Self_Qty],T_SelfStock_Log[Part Name],$A40,T_SelfStock_Log[WeekIndex],35))</f>
        <v/>
      </c>
      <c r="AK40" s="12">
        <f>IF(COUNTIFS(T_SelfStock_Log[Part Name],$A40,T_SelfStock_Log[WeekIndex],36)=0,"",SUMIFS(T_SelfStock_Log[Self_Qty],T_SelfStock_Log[Part Name],$A40,T_SelfStock_Log[WeekIndex],36))</f>
        <v/>
      </c>
      <c r="AL40" s="12">
        <f>IF(COUNTIFS(T_SelfStock_Log[Part Name],$A40,T_SelfStock_Log[WeekIndex],37)=0,"",SUMIFS(T_SelfStock_Log[Self_Qty],T_SelfStock_Log[Part Name],$A40,T_SelfStock_Log[WeekIndex],37))</f>
        <v/>
      </c>
      <c r="AM40" s="12">
        <f>IF(COUNTIFS(T_SelfStock_Log[Part Name],$A40,T_SelfStock_Log[WeekIndex],38)=0,"",SUMIFS(T_SelfStock_Log[Self_Qty],T_SelfStock_Log[Part Name],$A40,T_SelfStock_Log[WeekIndex],38))</f>
        <v/>
      </c>
      <c r="AN40" s="12">
        <f>IF(COUNTIFS(T_SelfStock_Log[Part Name],$A40,T_SelfStock_Log[WeekIndex],39)=0,"",SUMIFS(T_SelfStock_Log[Self_Qty],T_SelfStock_Log[Part Name],$A40,T_SelfStock_Log[WeekIndex],39))</f>
        <v/>
      </c>
      <c r="AO40" s="12">
        <f>IF(COUNTIFS(T_SelfStock_Log[Part Name],$A40,T_SelfStock_Log[WeekIndex],40)=0,"",SUMIFS(T_SelfStock_Log[Self_Qty],T_SelfStock_Log[Part Name],$A40,T_SelfStock_Log[WeekIndex],40))</f>
        <v/>
      </c>
      <c r="AP40" s="12">
        <f>IF(COUNTIFS(T_SelfStock_Log[Part Name],$A40,T_SelfStock_Log[WeekIndex],41)=0,"",SUMIFS(T_SelfStock_Log[Self_Qty],T_SelfStock_Log[Part Name],$A40,T_SelfStock_Log[WeekIndex],41))</f>
        <v/>
      </c>
      <c r="AQ40" s="12">
        <f>IF(COUNTIFS(T_SelfStock_Log[Part Name],$A40,T_SelfStock_Log[WeekIndex],42)=0,"",SUMIFS(T_SelfStock_Log[Self_Qty],T_SelfStock_Log[Part Name],$A40,T_SelfStock_Log[WeekIndex],42))</f>
        <v/>
      </c>
      <c r="AR40" s="12">
        <f>IF(COUNTIFS(T_SelfStock_Log[Part Name],$A40,T_SelfStock_Log[WeekIndex],43)=0,"",SUMIFS(T_SelfStock_Log[Self_Qty],T_SelfStock_Log[Part Name],$A40,T_SelfStock_Log[WeekIndex],43))</f>
        <v/>
      </c>
      <c r="AS40" s="12">
        <f>IF(COUNTIFS(T_SelfStock_Log[Part Name],$A40,T_SelfStock_Log[WeekIndex],44)=0,"",SUMIFS(T_SelfStock_Log[Self_Qty],T_SelfStock_Log[Part Name],$A40,T_SelfStock_Log[WeekIndex],44))</f>
        <v/>
      </c>
      <c r="AT40" s="12">
        <f>IF(COUNTIFS(T_SelfStock_Log[Part Name],$A40,T_SelfStock_Log[WeekIndex],45)=0,"",SUMIFS(T_SelfStock_Log[Self_Qty],T_SelfStock_Log[Part Name],$A40,T_SelfStock_Log[WeekIndex],45))</f>
        <v/>
      </c>
      <c r="AU40" s="12">
        <f>IF(COUNTIFS(T_SelfStock_Log[Part Name],$A40,T_SelfStock_Log[WeekIndex],46)=0,"",SUMIFS(T_SelfStock_Log[Self_Qty],T_SelfStock_Log[Part Name],$A40,T_SelfStock_Log[WeekIndex],46))</f>
        <v/>
      </c>
      <c r="AV40" s="12">
        <f>IF(COUNTIFS(T_SelfStock_Log[Part Name],$A40,T_SelfStock_Log[WeekIndex],47)=0,"",SUMIFS(T_SelfStock_Log[Self_Qty],T_SelfStock_Log[Part Name],$A40,T_SelfStock_Log[WeekIndex],47))</f>
        <v/>
      </c>
      <c r="AW40" s="12">
        <f>IF(COUNTIFS(T_SelfStock_Log[Part Name],$A40,T_SelfStock_Log[WeekIndex],48)=0,"",SUMIFS(T_SelfStock_Log[Self_Qty],T_SelfStock_Log[Part Name],$A40,T_SelfStock_Log[WeekIndex],48))</f>
        <v/>
      </c>
      <c r="AX40" s="12">
        <f>IF(COUNTIFS(T_SelfStock_Log[Part Name],$A40,T_SelfStock_Log[WeekIndex],49)=0,"",SUMIFS(T_SelfStock_Log[Self_Qty],T_SelfStock_Log[Part Name],$A40,T_SelfStock_Log[WeekIndex],49))</f>
        <v/>
      </c>
      <c r="AY40" s="12">
        <f>IF(COUNTIFS(T_SelfStock_Log[Part Name],$A40,T_SelfStock_Log[WeekIndex],50)=0,"",SUMIFS(T_SelfStock_Log[Self_Qty],T_SelfStock_Log[Part Name],$A40,T_SelfStock_Log[WeekIndex],50))</f>
        <v/>
      </c>
      <c r="AZ40" s="12">
        <f>IF(COUNTIFS(T_SelfStock_Log[Part Name],$A40,T_SelfStock_Log[WeekIndex],51)=0,"",SUMIFS(T_SelfStock_Log[Self_Qty],T_SelfStock_Log[Part Name],$A40,T_SelfStock_Log[WeekIndex],51))</f>
        <v/>
      </c>
      <c r="BA40" s="12">
        <f>IF(COUNTIFS(T_SelfStock_Log[Part Name],$A40,T_SelfStock_Log[WeekIndex],52)=0,"",SUMIFS(T_SelfStock_Log[Self_Qty],T_SelfStock_Log[Part Name],$A40,T_SelfStock_Log[WeekIndex],52))</f>
        <v/>
      </c>
      <c r="BB40" s="12">
        <f>IF(COUNTIFS(T_SelfStock_Log[Part Name],$A40,T_SelfStock_Log[WeekIndex],53)=0,"",SUMIFS(T_SelfStock_Log[Self_Qty],T_SelfStock_Log[Part Name],$A40,T_SelfStock_Log[WeekIndex],53))</f>
        <v/>
      </c>
      <c r="BC40" s="12">
        <f>IF(COUNTIFS(T_SelfStock_Log[Part Name],$A40,T_SelfStock_Log[WeekIndex],54)=0,"",SUMIFS(T_SelfStock_Log[Self_Qty],T_SelfStock_Log[Part Name],$A40,T_SelfStock_Log[WeekIndex],54))</f>
        <v/>
      </c>
      <c r="BD40" s="12">
        <f>IF(COUNTIFS(T_SelfStock_Log[Part Name],$A40,T_SelfStock_Log[WeekIndex],55)=0,"",SUMIFS(T_SelfStock_Log[Self_Qty],T_SelfStock_Log[Part Name],$A40,T_SelfStock_Log[WeekIndex],55))</f>
        <v/>
      </c>
      <c r="BE40" s="12">
        <f>IF(COUNTIFS(T_SelfStock_Log[Part Name],$A40,T_SelfStock_Log[WeekIndex],56)=0,"",SUMIFS(T_SelfStock_Log[Self_Qty],T_SelfStock_Log[Part Name],$A40,T_SelfStock_Log[WeekIndex],56))</f>
        <v/>
      </c>
      <c r="BF40" s="12">
        <f>IF(COUNTIFS(T_SelfStock_Log[Part Name],$A40,T_SelfStock_Log[WeekIndex],57)=0,"",SUMIFS(T_SelfStock_Log[Self_Qty],T_SelfStock_Log[Part Name],$A40,T_SelfStock_Log[WeekIndex],57))</f>
        <v/>
      </c>
      <c r="BG40" s="12">
        <f>IF(COUNTIFS(T_SelfStock_Log[Part Name],$A40,T_SelfStock_Log[WeekIndex],58)=0,"",SUMIFS(T_SelfStock_Log[Self_Qty],T_SelfStock_Log[Part Name],$A40,T_SelfStock_Log[WeekIndex],58))</f>
        <v/>
      </c>
      <c r="BH40" s="12">
        <f>IF(COUNTIFS(T_SelfStock_Log[Part Name],$A40,T_SelfStock_Log[WeekIndex],59)=0,"",SUMIFS(T_SelfStock_Log[Self_Qty],T_SelfStock_Log[Part Name],$A40,T_SelfStock_Log[WeekIndex],59))</f>
        <v/>
      </c>
      <c r="BI40" s="12">
        <f>IF(COUNTIFS(T_SelfStock_Log[Part Name],$A40,T_SelfStock_Log[WeekIndex],60)=0,"",SUMIFS(T_SelfStock_Log[Self_Qty],T_SelfStock_Log[Part Name],$A40,T_SelfStock_Log[WeekIndex],60))</f>
        <v/>
      </c>
      <c r="BJ40" s="12">
        <f>IF(COUNTIFS(T_SelfStock_Log[Part Name],$A40,T_SelfStock_Log[WeekIndex],61)=0,"",SUMIFS(T_SelfStock_Log[Self_Qty],T_SelfStock_Log[Part Name],$A40,T_SelfStock_Log[WeekIndex],61))</f>
        <v/>
      </c>
      <c r="BK40" s="12">
        <f>IF(COUNTIFS(T_SelfStock_Log[Part Name],$A40,T_SelfStock_Log[WeekIndex],62)=0,"",SUMIFS(T_SelfStock_Log[Self_Qty],T_SelfStock_Log[Part Name],$A40,T_SelfStock_Log[WeekIndex],62))</f>
        <v/>
      </c>
      <c r="BL40" s="12">
        <f>IF(COUNTIFS(T_SelfStock_Log[Part Name],$A40,T_SelfStock_Log[WeekIndex],63)=0,"",SUMIFS(T_SelfStock_Log[Self_Qty],T_SelfStock_Log[Part Name],$A40,T_SelfStock_Log[WeekIndex],63))</f>
        <v/>
      </c>
      <c r="BM40" s="12">
        <f>IF(COUNTIFS(T_SelfStock_Log[Part Name],$A40,T_SelfStock_Log[WeekIndex],64)=0,"",SUMIFS(T_SelfStock_Log[Self_Qty],T_SelfStock_Log[Part Name],$A40,T_SelfStock_Log[WeekIndex],64))</f>
        <v/>
      </c>
      <c r="BN40" s="12">
        <f>IF(COUNTIFS(T_SelfStock_Log[Part Name],$A40,T_SelfStock_Log[WeekIndex],65)=0,"",SUMIFS(T_SelfStock_Log[Self_Qty],T_SelfStock_Log[Part Name],$A40,T_SelfStock_Log[WeekIndex],65))</f>
        <v/>
      </c>
      <c r="BO40" s="12">
        <f>IF(COUNTIFS(T_SelfStock_Log[Part Name],$A40,T_SelfStock_Log[WeekIndex],66)=0,"",SUMIFS(T_SelfStock_Log[Self_Qty],T_SelfStock_Log[Part Name],$A40,T_SelfStock_Log[WeekIndex],66))</f>
        <v/>
      </c>
      <c r="BP40" s="12">
        <f>IF(COUNTIFS(T_SelfStock_Log[Part Name],$A40,T_SelfStock_Log[WeekIndex],67)=0,"",SUMIFS(T_SelfStock_Log[Self_Qty],T_SelfStock_Log[Part Name],$A40,T_SelfStock_Log[WeekIndex],67))</f>
        <v/>
      </c>
      <c r="BQ40" s="12">
        <f>IF(COUNTIFS(T_SelfStock_Log[Part Name],$A40,T_SelfStock_Log[WeekIndex],68)=0,"",SUMIFS(T_SelfStock_Log[Self_Qty],T_SelfStock_Log[Part Name],$A40,T_SelfStock_Log[WeekIndex],68))</f>
        <v/>
      </c>
      <c r="BR40" s="12">
        <f>IF(COUNTIFS(T_SelfStock_Log[Part Name],$A40,T_SelfStock_Log[WeekIndex],69)=0,"",SUMIFS(T_SelfStock_Log[Self_Qty],T_SelfStock_Log[Part Name],$A40,T_SelfStock_Log[WeekIndex],69))</f>
        <v/>
      </c>
      <c r="BS40" s="12">
        <f>IF(COUNTIFS(T_SelfStock_Log[Part Name],$A40,T_SelfStock_Log[WeekIndex],70)=0,"",SUMIFS(T_SelfStock_Log[Self_Qty],T_SelfStock_Log[Part Name],$A40,T_SelfStock_Log[WeekIndex],70))</f>
        <v/>
      </c>
      <c r="BT40" s="12">
        <f>IF(COUNTIFS(T_SelfStock_Log[Part Name],$A40,T_SelfStock_Log[WeekIndex],71)=0,"",SUMIFS(T_SelfStock_Log[Self_Qty],T_SelfStock_Log[Part Name],$A40,T_SelfStock_Log[WeekIndex],71))</f>
        <v/>
      </c>
      <c r="BU40" s="12">
        <f>IF(COUNTIFS(T_SelfStock_Log[Part Name],$A40,T_SelfStock_Log[WeekIndex],72)=0,"",SUMIFS(T_SelfStock_Log[Self_Qty],T_SelfStock_Log[Part Name],$A40,T_SelfStock_Log[WeekIndex],72))</f>
        <v/>
      </c>
      <c r="BV40" s="12">
        <f>IF(COUNTIFS(T_SelfStock_Log[Part Name],$A40,T_SelfStock_Log[WeekIndex],73)=0,"",SUMIFS(T_SelfStock_Log[Self_Qty],T_SelfStock_Log[Part Name],$A40,T_SelfStock_Log[WeekIndex],73))</f>
        <v/>
      </c>
      <c r="BW40" s="12">
        <f>IF(COUNTIFS(T_SelfStock_Log[Part Name],$A40,T_SelfStock_Log[WeekIndex],74)=0,"",SUMIFS(T_SelfStock_Log[Self_Qty],T_SelfStock_Log[Part Name],$A40,T_SelfStock_Log[WeekIndex],74))</f>
        <v/>
      </c>
      <c r="BX40" s="12">
        <f>IF(COUNTIFS(T_SelfStock_Log[Part Name],$A40,T_SelfStock_Log[WeekIndex],75)=0,"",SUMIFS(T_SelfStock_Log[Self_Qty],T_SelfStock_Log[Part Name],$A40,T_SelfStock_Log[WeekIndex],75))</f>
        <v/>
      </c>
      <c r="BY40" s="12">
        <f>IF(COUNTIFS(T_SelfStock_Log[Part Name],$A40,T_SelfStock_Log[WeekIndex],76)=0,"",SUMIFS(T_SelfStock_Log[Self_Qty],T_SelfStock_Log[Part Name],$A40,T_SelfStock_Log[WeekIndex],76))</f>
        <v/>
      </c>
      <c r="BZ40" s="12">
        <f>IF(COUNTIFS(T_SelfStock_Log[Part Name],$A40,T_SelfStock_Log[WeekIndex],77)=0,"",SUMIFS(T_SelfStock_Log[Self_Qty],T_SelfStock_Log[Part Name],$A40,T_SelfStock_Log[WeekIndex],77))</f>
        <v/>
      </c>
      <c r="CA40" s="12">
        <f>IF(COUNTIFS(T_SelfStock_Log[Part Name],$A40,T_SelfStock_Log[WeekIndex],78)=0,"",SUMIFS(T_SelfStock_Log[Self_Qty],T_SelfStock_Log[Part Name],$A40,T_SelfStock_Log[WeekIndex],78))</f>
        <v/>
      </c>
      <c r="CB40" s="12">
        <f>IF(COUNTIFS(T_SelfStock_Log[Part Name],$A40,T_SelfStock_Log[WeekIndex],79)=0,"",SUMIFS(T_SelfStock_Log[Self_Qty],T_SelfStock_Log[Part Name],$A40,T_SelfStock_Log[WeekIndex],79))</f>
        <v/>
      </c>
      <c r="CC40" s="12">
        <f>IF(COUNTIFS(T_SelfStock_Log[Part Name],$A40,T_SelfStock_Log[WeekIndex],80)=0,"",SUMIFS(T_SelfStock_Log[Self_Qty],T_SelfStock_Log[Part Name],$A40,T_SelfStock_Log[WeekIndex],80))</f>
        <v/>
      </c>
      <c r="CD40" s="12">
        <f>IF(COUNTIFS(T_SelfStock_Log[Part Name],$A40,T_SelfStock_Log[WeekIndex],81)=0,"",SUMIFS(T_SelfStock_Log[Self_Qty],T_SelfStock_Log[Part Name],$A40,T_SelfStock_Log[WeekIndex],81))</f>
        <v/>
      </c>
      <c r="CE40" s="12">
        <f>IF(COUNTIFS(T_SelfStock_Log[Part Name],$A40,T_SelfStock_Log[WeekIndex],82)=0,"",SUMIFS(T_SelfStock_Log[Self_Qty],T_SelfStock_Log[Part Name],$A40,T_SelfStock_Log[WeekIndex],82))</f>
        <v/>
      </c>
      <c r="CF40" s="12">
        <f>IF(COUNTIFS(T_SelfStock_Log[Part Name],$A40,T_SelfStock_Log[WeekIndex],83)=0,"",SUMIFS(T_SelfStock_Log[Self_Qty],T_SelfStock_Log[Part Name],$A40,T_SelfStock_Log[WeekIndex],83))</f>
        <v/>
      </c>
      <c r="CG40" s="12">
        <f>IF(COUNTIFS(T_SelfStock_Log[Part Name],$A40,T_SelfStock_Log[WeekIndex],84)=0,"",SUMIFS(T_SelfStock_Log[Self_Qty],T_SelfStock_Log[Part Name],$A40,T_SelfStock_Log[WeekIndex],84))</f>
        <v/>
      </c>
      <c r="CH40" s="12">
        <f>IF(COUNTIFS(T_SelfStock_Log[Part Name],$A40,T_SelfStock_Log[WeekIndex],85)=0,"",SUMIFS(T_SelfStock_Log[Self_Qty],T_SelfStock_Log[Part Name],$A40,T_SelfStock_Log[WeekIndex],85))</f>
        <v/>
      </c>
      <c r="CI40" s="12">
        <f>IF(COUNTIFS(T_SelfStock_Log[Part Name],$A40,T_SelfStock_Log[WeekIndex],86)=0,"",SUMIFS(T_SelfStock_Log[Self_Qty],T_SelfStock_Log[Part Name],$A40,T_SelfStock_Log[WeekIndex],86))</f>
        <v/>
      </c>
      <c r="CJ40" s="12">
        <f>IF(COUNTIFS(T_SelfStock_Log[Part Name],$A40,T_SelfStock_Log[WeekIndex],87)=0,"",SUMIFS(T_SelfStock_Log[Self_Qty],T_SelfStock_Log[Part Name],$A40,T_SelfStock_Log[WeekIndex],87))</f>
        <v/>
      </c>
      <c r="CK40" s="12">
        <f>IF(COUNTIFS(T_SelfStock_Log[Part Name],$A40,T_SelfStock_Log[WeekIndex],88)=0,"",SUMIFS(T_SelfStock_Log[Self_Qty],T_SelfStock_Log[Part Name],$A40,T_SelfStock_Log[WeekIndex],88))</f>
        <v/>
      </c>
      <c r="CL40" s="12">
        <f>IF(COUNTIFS(T_SelfStock_Log[Part Name],$A40,T_SelfStock_Log[WeekIndex],89)=0,"",SUMIFS(T_SelfStock_Log[Self_Qty],T_SelfStock_Log[Part Name],$A40,T_SelfStock_Log[WeekIndex],89))</f>
        <v/>
      </c>
      <c r="CM40" s="12">
        <f>IF(COUNTIFS(T_SelfStock_Log[Part Name],$A40,T_SelfStock_Log[WeekIndex],90)=0,"",SUMIFS(T_SelfStock_Log[Self_Qty],T_SelfStock_Log[Part Name],$A40,T_SelfStock_Log[WeekIndex],90))</f>
        <v/>
      </c>
      <c r="CN40" s="12">
        <f>IF(COUNTIFS(T_SelfStock_Log[Part Name],$A40,T_SelfStock_Log[WeekIndex],91)=0,"",SUMIFS(T_SelfStock_Log[Self_Qty],T_SelfStock_Log[Part Name],$A40,T_SelfStock_Log[WeekIndex],91))</f>
        <v/>
      </c>
      <c r="CO40" s="12">
        <f>IF(COUNTIFS(T_SelfStock_Log[Part Name],$A40,T_SelfStock_Log[WeekIndex],92)=0,"",SUMIFS(T_SelfStock_Log[Self_Qty],T_SelfStock_Log[Part Name],$A40,T_SelfStock_Log[WeekIndex],92))</f>
        <v/>
      </c>
      <c r="CP40" s="12">
        <f>IF(COUNTIFS(T_SelfStock_Log[Part Name],$A40,T_SelfStock_Log[WeekIndex],93)=0,"",SUMIFS(T_SelfStock_Log[Self_Qty],T_SelfStock_Log[Part Name],$A40,T_SelfStock_Log[WeekIndex],93))</f>
        <v/>
      </c>
      <c r="CQ40" s="12">
        <f>IF(COUNTIFS(T_SelfStock_Log[Part Name],$A40,T_SelfStock_Log[WeekIndex],94)=0,"",SUMIFS(T_SelfStock_Log[Self_Qty],T_SelfStock_Log[Part Name],$A40,T_SelfStock_Log[WeekIndex],94))</f>
        <v/>
      </c>
      <c r="CR40" s="12">
        <f>IF(COUNTIFS(T_SelfStock_Log[Part Name],$A40,T_SelfStock_Log[WeekIndex],95)=0,"",SUMIFS(T_SelfStock_Log[Self_Qty],T_SelfStock_Log[Part Name],$A40,T_SelfStock_Log[WeekIndex],95))</f>
        <v/>
      </c>
      <c r="CS40" s="12">
        <f>IF(COUNTIFS(T_SelfStock_Log[Part Name],$A40,T_SelfStock_Log[WeekIndex],96)=0,"",SUMIFS(T_SelfStock_Log[Self_Qty],T_SelfStock_Log[Part Name],$A40,T_SelfStock_Log[WeekIndex],96))</f>
        <v/>
      </c>
      <c r="CT40" s="12">
        <f>IF(COUNTIFS(T_SelfStock_Log[Part Name],$A40,T_SelfStock_Log[WeekIndex],97)=0,"",SUMIFS(T_SelfStock_Log[Self_Qty],T_SelfStock_Log[Part Name],$A40,T_SelfStock_Log[WeekIndex],97))</f>
        <v/>
      </c>
      <c r="CU40" s="12">
        <f>IF(COUNTIFS(T_SelfStock_Log[Part Name],$A40,T_SelfStock_Log[WeekIndex],98)=0,"",SUMIFS(T_SelfStock_Log[Self_Qty],T_SelfStock_Log[Part Name],$A40,T_SelfStock_Log[WeekIndex],98))</f>
        <v/>
      </c>
      <c r="CV40" s="12">
        <f>IF(COUNTIFS(T_SelfStock_Log[Part Name],$A40,T_SelfStock_Log[WeekIndex],99)=0,"",SUMIFS(T_SelfStock_Log[Self_Qty],T_SelfStock_Log[Part Name],$A40,T_SelfStock_Log[WeekIndex],99))</f>
        <v/>
      </c>
      <c r="CW40" s="12">
        <f>IF(COUNTIFS(T_SelfStock_Log[Part Name],$A40,T_SelfStock_Log[WeekIndex],100)=0,"",SUMIFS(T_SelfStock_Log[Self_Qty],T_SelfStock_Log[Part Name],$A40,T_SelfStock_Log[WeekIndex],100))</f>
        <v/>
      </c>
      <c r="CX40" s="12">
        <f>IF(COUNTIFS(T_SelfStock_Log[Part Name],$A40,T_SelfStock_Log[WeekIndex],101)=0,"",SUMIFS(T_SelfStock_Log[Self_Qty],T_SelfStock_Log[Part Name],$A40,T_SelfStock_Log[WeekIndex],101))</f>
        <v/>
      </c>
      <c r="CY40" s="12">
        <f>IF(COUNTIFS(T_SelfStock_Log[Part Name],$A40,T_SelfStock_Log[WeekIndex],102)=0,"",SUMIFS(T_SelfStock_Log[Self_Qty],T_SelfStock_Log[Part Name],$A40,T_SelfStock_Log[WeekIndex],102))</f>
        <v/>
      </c>
      <c r="CZ40" s="12">
        <f>IF(COUNTIFS(T_SelfStock_Log[Part Name],$A40,T_SelfStock_Log[WeekIndex],103)=0,"",SUMIFS(T_SelfStock_Log[Self_Qty],T_SelfStock_Log[Part Name],$A40,T_SelfStock_Log[WeekIndex],103))</f>
        <v/>
      </c>
      <c r="DA40" s="12">
        <f>IF(COUNTIFS(T_SelfStock_Log[Part Name],$A40,T_SelfStock_Log[WeekIndex],104)=0,"",SUMIFS(T_SelfStock_Log[Self_Qty],T_SelfStock_Log[Part Name],$A40,T_SelfStock_Log[WeekIndex],104))</f>
        <v/>
      </c>
    </row>
    <row r="41">
      <c r="A41" s="13" t="inlineStr">
        <is>
          <t>CHEM-1020</t>
        </is>
      </c>
      <c r="B41" s="13">
        <f>IF(COUNTIFS(T_SelfStock_Log[Part Name],$A41,T_SelfStock_Log[WeekIndex],1)=0,"",SUMIFS(T_SelfStock_Log[Self_Qty],T_SelfStock_Log[Part Name],$A41,T_SelfStock_Log[WeekIndex],1))</f>
        <v/>
      </c>
      <c r="C41" s="13">
        <f>IF(COUNTIFS(T_SelfStock_Log[Part Name],$A41,T_SelfStock_Log[WeekIndex],2)=0,"",SUMIFS(T_SelfStock_Log[Self_Qty],T_SelfStock_Log[Part Name],$A41,T_SelfStock_Log[WeekIndex],2))</f>
        <v/>
      </c>
      <c r="D41" s="13">
        <f>IF(COUNTIFS(T_SelfStock_Log[Part Name],$A41,T_SelfStock_Log[WeekIndex],3)=0,"",SUMIFS(T_SelfStock_Log[Self_Qty],T_SelfStock_Log[Part Name],$A41,T_SelfStock_Log[WeekIndex],3))</f>
        <v/>
      </c>
      <c r="E41" s="13">
        <f>IF(COUNTIFS(T_SelfStock_Log[Part Name],$A41,T_SelfStock_Log[WeekIndex],4)=0,"",SUMIFS(T_SelfStock_Log[Self_Qty],T_SelfStock_Log[Part Name],$A41,T_SelfStock_Log[WeekIndex],4))</f>
        <v/>
      </c>
      <c r="F41" s="13">
        <f>IF(COUNTIFS(T_SelfStock_Log[Part Name],$A41,T_SelfStock_Log[WeekIndex],5)=0,"",SUMIFS(T_SelfStock_Log[Self_Qty],T_SelfStock_Log[Part Name],$A41,T_SelfStock_Log[WeekIndex],5))</f>
        <v/>
      </c>
      <c r="G41" s="13">
        <f>IF(COUNTIFS(T_SelfStock_Log[Part Name],$A41,T_SelfStock_Log[WeekIndex],6)=0,"",SUMIFS(T_SelfStock_Log[Self_Qty],T_SelfStock_Log[Part Name],$A41,T_SelfStock_Log[WeekIndex],6))</f>
        <v/>
      </c>
      <c r="H41" s="13">
        <f>IF(COUNTIFS(T_SelfStock_Log[Part Name],$A41,T_SelfStock_Log[WeekIndex],7)=0,"",SUMIFS(T_SelfStock_Log[Self_Qty],T_SelfStock_Log[Part Name],$A41,T_SelfStock_Log[WeekIndex],7))</f>
        <v/>
      </c>
      <c r="I41" s="13">
        <f>IF(COUNTIFS(T_SelfStock_Log[Part Name],$A41,T_SelfStock_Log[WeekIndex],8)=0,"",SUMIFS(T_SelfStock_Log[Self_Qty],T_SelfStock_Log[Part Name],$A41,T_SelfStock_Log[WeekIndex],8))</f>
        <v/>
      </c>
      <c r="J41" s="13">
        <f>IF(COUNTIFS(T_SelfStock_Log[Part Name],$A41,T_SelfStock_Log[WeekIndex],9)=0,"",SUMIFS(T_SelfStock_Log[Self_Qty],T_SelfStock_Log[Part Name],$A41,T_SelfStock_Log[WeekIndex],9))</f>
        <v/>
      </c>
      <c r="K41" s="13">
        <f>IF(COUNTIFS(T_SelfStock_Log[Part Name],$A41,T_SelfStock_Log[WeekIndex],10)=0,"",SUMIFS(T_SelfStock_Log[Self_Qty],T_SelfStock_Log[Part Name],$A41,T_SelfStock_Log[WeekIndex],10))</f>
        <v/>
      </c>
      <c r="L41" s="13">
        <f>IF(COUNTIFS(T_SelfStock_Log[Part Name],$A41,T_SelfStock_Log[WeekIndex],11)=0,"",SUMIFS(T_SelfStock_Log[Self_Qty],T_SelfStock_Log[Part Name],$A41,T_SelfStock_Log[WeekIndex],11))</f>
        <v/>
      </c>
      <c r="M41" s="13">
        <f>IF(COUNTIFS(T_SelfStock_Log[Part Name],$A41,T_SelfStock_Log[WeekIndex],12)=0,"",SUMIFS(T_SelfStock_Log[Self_Qty],T_SelfStock_Log[Part Name],$A41,T_SelfStock_Log[WeekIndex],12))</f>
        <v/>
      </c>
      <c r="N41" s="13">
        <f>IF(COUNTIFS(T_SelfStock_Log[Part Name],$A41,T_SelfStock_Log[WeekIndex],13)=0,"",SUMIFS(T_SelfStock_Log[Self_Qty],T_SelfStock_Log[Part Name],$A41,T_SelfStock_Log[WeekIndex],13))</f>
        <v/>
      </c>
      <c r="O41" s="13">
        <f>IF(COUNTIFS(T_SelfStock_Log[Part Name],$A41,T_SelfStock_Log[WeekIndex],14)=0,"",SUMIFS(T_SelfStock_Log[Self_Qty],T_SelfStock_Log[Part Name],$A41,T_SelfStock_Log[WeekIndex],14))</f>
        <v/>
      </c>
      <c r="P41" s="13">
        <f>IF(COUNTIFS(T_SelfStock_Log[Part Name],$A41,T_SelfStock_Log[WeekIndex],15)=0,"",SUMIFS(T_SelfStock_Log[Self_Qty],T_SelfStock_Log[Part Name],$A41,T_SelfStock_Log[WeekIndex],15))</f>
        <v/>
      </c>
      <c r="Q41" s="13">
        <f>IF(COUNTIFS(T_SelfStock_Log[Part Name],$A41,T_SelfStock_Log[WeekIndex],16)=0,"",SUMIFS(T_SelfStock_Log[Self_Qty],T_SelfStock_Log[Part Name],$A41,T_SelfStock_Log[WeekIndex],16))</f>
        <v/>
      </c>
      <c r="R41" s="13">
        <f>IF(COUNTIFS(T_SelfStock_Log[Part Name],$A41,T_SelfStock_Log[WeekIndex],17)=0,"",SUMIFS(T_SelfStock_Log[Self_Qty],T_SelfStock_Log[Part Name],$A41,T_SelfStock_Log[WeekIndex],17))</f>
        <v/>
      </c>
      <c r="S41" s="13">
        <f>IF(COUNTIFS(T_SelfStock_Log[Part Name],$A41,T_SelfStock_Log[WeekIndex],18)=0,"",SUMIFS(T_SelfStock_Log[Self_Qty],T_SelfStock_Log[Part Name],$A41,T_SelfStock_Log[WeekIndex],18))</f>
        <v/>
      </c>
      <c r="T41" s="13">
        <f>IF(COUNTIFS(T_SelfStock_Log[Part Name],$A41,T_SelfStock_Log[WeekIndex],19)=0,"",SUMIFS(T_SelfStock_Log[Self_Qty],T_SelfStock_Log[Part Name],$A41,T_SelfStock_Log[WeekIndex],19))</f>
        <v/>
      </c>
      <c r="U41" s="13">
        <f>IF(COUNTIFS(T_SelfStock_Log[Part Name],$A41,T_SelfStock_Log[WeekIndex],20)=0,"",SUMIFS(T_SelfStock_Log[Self_Qty],T_SelfStock_Log[Part Name],$A41,T_SelfStock_Log[WeekIndex],20))</f>
        <v/>
      </c>
      <c r="V41" s="13">
        <f>IF(COUNTIFS(T_SelfStock_Log[Part Name],$A41,T_SelfStock_Log[WeekIndex],21)=0,"",SUMIFS(T_SelfStock_Log[Self_Qty],T_SelfStock_Log[Part Name],$A41,T_SelfStock_Log[WeekIndex],21))</f>
        <v/>
      </c>
      <c r="W41" s="13">
        <f>IF(COUNTIFS(T_SelfStock_Log[Part Name],$A41,T_SelfStock_Log[WeekIndex],22)=0,"",SUMIFS(T_SelfStock_Log[Self_Qty],T_SelfStock_Log[Part Name],$A41,T_SelfStock_Log[WeekIndex],22))</f>
        <v/>
      </c>
      <c r="X41" s="13">
        <f>IF(COUNTIFS(T_SelfStock_Log[Part Name],$A41,T_SelfStock_Log[WeekIndex],23)=0,"",SUMIFS(T_SelfStock_Log[Self_Qty],T_SelfStock_Log[Part Name],$A41,T_SelfStock_Log[WeekIndex],23))</f>
        <v/>
      </c>
      <c r="Y41" s="13">
        <f>IF(COUNTIFS(T_SelfStock_Log[Part Name],$A41,T_SelfStock_Log[WeekIndex],24)=0,"",SUMIFS(T_SelfStock_Log[Self_Qty],T_SelfStock_Log[Part Name],$A41,T_SelfStock_Log[WeekIndex],24))</f>
        <v/>
      </c>
      <c r="Z41" s="13">
        <f>IF(COUNTIFS(T_SelfStock_Log[Part Name],$A41,T_SelfStock_Log[WeekIndex],25)=0,"",SUMIFS(T_SelfStock_Log[Self_Qty],T_SelfStock_Log[Part Name],$A41,T_SelfStock_Log[WeekIndex],25))</f>
        <v/>
      </c>
      <c r="AA41" s="13">
        <f>IF(COUNTIFS(T_SelfStock_Log[Part Name],$A41,T_SelfStock_Log[WeekIndex],26)=0,"",SUMIFS(T_SelfStock_Log[Self_Qty],T_SelfStock_Log[Part Name],$A41,T_SelfStock_Log[WeekIndex],26))</f>
        <v/>
      </c>
      <c r="AB41" s="13">
        <f>IF(COUNTIFS(T_SelfStock_Log[Part Name],$A41,T_SelfStock_Log[WeekIndex],27)=0,"",SUMIFS(T_SelfStock_Log[Self_Qty],T_SelfStock_Log[Part Name],$A41,T_SelfStock_Log[WeekIndex],27))</f>
        <v/>
      </c>
      <c r="AC41" s="13">
        <f>IF(COUNTIFS(T_SelfStock_Log[Part Name],$A41,T_SelfStock_Log[WeekIndex],28)=0,"",SUMIFS(T_SelfStock_Log[Self_Qty],T_SelfStock_Log[Part Name],$A41,T_SelfStock_Log[WeekIndex],28))</f>
        <v/>
      </c>
      <c r="AD41" s="13">
        <f>IF(COUNTIFS(T_SelfStock_Log[Part Name],$A41,T_SelfStock_Log[WeekIndex],29)=0,"",SUMIFS(T_SelfStock_Log[Self_Qty],T_SelfStock_Log[Part Name],$A41,T_SelfStock_Log[WeekIndex],29))</f>
        <v/>
      </c>
      <c r="AE41" s="13">
        <f>IF(COUNTIFS(T_SelfStock_Log[Part Name],$A41,T_SelfStock_Log[WeekIndex],30)=0,"",SUMIFS(T_SelfStock_Log[Self_Qty],T_SelfStock_Log[Part Name],$A41,T_SelfStock_Log[WeekIndex],30))</f>
        <v/>
      </c>
      <c r="AF41" s="13">
        <f>IF(COUNTIFS(T_SelfStock_Log[Part Name],$A41,T_SelfStock_Log[WeekIndex],31)=0,"",SUMIFS(T_SelfStock_Log[Self_Qty],T_SelfStock_Log[Part Name],$A41,T_SelfStock_Log[WeekIndex],31))</f>
        <v/>
      </c>
      <c r="AG41" s="13">
        <f>IF(COUNTIFS(T_SelfStock_Log[Part Name],$A41,T_SelfStock_Log[WeekIndex],32)=0,"",SUMIFS(T_SelfStock_Log[Self_Qty],T_SelfStock_Log[Part Name],$A41,T_SelfStock_Log[WeekIndex],32))</f>
        <v/>
      </c>
      <c r="AH41" s="13">
        <f>IF(COUNTIFS(T_SelfStock_Log[Part Name],$A41,T_SelfStock_Log[WeekIndex],33)=0,"",SUMIFS(T_SelfStock_Log[Self_Qty],T_SelfStock_Log[Part Name],$A41,T_SelfStock_Log[WeekIndex],33))</f>
        <v/>
      </c>
      <c r="AI41" s="13">
        <f>IF(COUNTIFS(T_SelfStock_Log[Part Name],$A41,T_SelfStock_Log[WeekIndex],34)=0,"",SUMIFS(T_SelfStock_Log[Self_Qty],T_SelfStock_Log[Part Name],$A41,T_SelfStock_Log[WeekIndex],34))</f>
        <v/>
      </c>
      <c r="AJ41" s="13">
        <f>IF(COUNTIFS(T_SelfStock_Log[Part Name],$A41,T_SelfStock_Log[WeekIndex],35)=0,"",SUMIFS(T_SelfStock_Log[Self_Qty],T_SelfStock_Log[Part Name],$A41,T_SelfStock_Log[WeekIndex],35))</f>
        <v/>
      </c>
      <c r="AK41" s="13">
        <f>IF(COUNTIFS(T_SelfStock_Log[Part Name],$A41,T_SelfStock_Log[WeekIndex],36)=0,"",SUMIFS(T_SelfStock_Log[Self_Qty],T_SelfStock_Log[Part Name],$A41,T_SelfStock_Log[WeekIndex],36))</f>
        <v/>
      </c>
      <c r="AL41" s="13">
        <f>IF(COUNTIFS(T_SelfStock_Log[Part Name],$A41,T_SelfStock_Log[WeekIndex],37)=0,"",SUMIFS(T_SelfStock_Log[Self_Qty],T_SelfStock_Log[Part Name],$A41,T_SelfStock_Log[WeekIndex],37))</f>
        <v/>
      </c>
      <c r="AM41" s="13">
        <f>IF(COUNTIFS(T_SelfStock_Log[Part Name],$A41,T_SelfStock_Log[WeekIndex],38)=0,"",SUMIFS(T_SelfStock_Log[Self_Qty],T_SelfStock_Log[Part Name],$A41,T_SelfStock_Log[WeekIndex],38))</f>
        <v/>
      </c>
      <c r="AN41" s="13">
        <f>IF(COUNTIFS(T_SelfStock_Log[Part Name],$A41,T_SelfStock_Log[WeekIndex],39)=0,"",SUMIFS(T_SelfStock_Log[Self_Qty],T_SelfStock_Log[Part Name],$A41,T_SelfStock_Log[WeekIndex],39))</f>
        <v/>
      </c>
      <c r="AO41" s="13">
        <f>IF(COUNTIFS(T_SelfStock_Log[Part Name],$A41,T_SelfStock_Log[WeekIndex],40)=0,"",SUMIFS(T_SelfStock_Log[Self_Qty],T_SelfStock_Log[Part Name],$A41,T_SelfStock_Log[WeekIndex],40))</f>
        <v/>
      </c>
      <c r="AP41" s="13">
        <f>IF(COUNTIFS(T_SelfStock_Log[Part Name],$A41,T_SelfStock_Log[WeekIndex],41)=0,"",SUMIFS(T_SelfStock_Log[Self_Qty],T_SelfStock_Log[Part Name],$A41,T_SelfStock_Log[WeekIndex],41))</f>
        <v/>
      </c>
      <c r="AQ41" s="13">
        <f>IF(COUNTIFS(T_SelfStock_Log[Part Name],$A41,T_SelfStock_Log[WeekIndex],42)=0,"",SUMIFS(T_SelfStock_Log[Self_Qty],T_SelfStock_Log[Part Name],$A41,T_SelfStock_Log[WeekIndex],42))</f>
        <v/>
      </c>
      <c r="AR41" s="13">
        <f>IF(COUNTIFS(T_SelfStock_Log[Part Name],$A41,T_SelfStock_Log[WeekIndex],43)=0,"",SUMIFS(T_SelfStock_Log[Self_Qty],T_SelfStock_Log[Part Name],$A41,T_SelfStock_Log[WeekIndex],43))</f>
        <v/>
      </c>
      <c r="AS41" s="13">
        <f>IF(COUNTIFS(T_SelfStock_Log[Part Name],$A41,T_SelfStock_Log[WeekIndex],44)=0,"",SUMIFS(T_SelfStock_Log[Self_Qty],T_SelfStock_Log[Part Name],$A41,T_SelfStock_Log[WeekIndex],44))</f>
        <v/>
      </c>
      <c r="AT41" s="13">
        <f>IF(COUNTIFS(T_SelfStock_Log[Part Name],$A41,T_SelfStock_Log[WeekIndex],45)=0,"",SUMIFS(T_SelfStock_Log[Self_Qty],T_SelfStock_Log[Part Name],$A41,T_SelfStock_Log[WeekIndex],45))</f>
        <v/>
      </c>
      <c r="AU41" s="13">
        <f>IF(COUNTIFS(T_SelfStock_Log[Part Name],$A41,T_SelfStock_Log[WeekIndex],46)=0,"",SUMIFS(T_SelfStock_Log[Self_Qty],T_SelfStock_Log[Part Name],$A41,T_SelfStock_Log[WeekIndex],46))</f>
        <v/>
      </c>
      <c r="AV41" s="13">
        <f>IF(COUNTIFS(T_SelfStock_Log[Part Name],$A41,T_SelfStock_Log[WeekIndex],47)=0,"",SUMIFS(T_SelfStock_Log[Self_Qty],T_SelfStock_Log[Part Name],$A41,T_SelfStock_Log[WeekIndex],47))</f>
        <v/>
      </c>
      <c r="AW41" s="13">
        <f>IF(COUNTIFS(T_SelfStock_Log[Part Name],$A41,T_SelfStock_Log[WeekIndex],48)=0,"",SUMIFS(T_SelfStock_Log[Self_Qty],T_SelfStock_Log[Part Name],$A41,T_SelfStock_Log[WeekIndex],48))</f>
        <v/>
      </c>
      <c r="AX41" s="13">
        <f>IF(COUNTIFS(T_SelfStock_Log[Part Name],$A41,T_SelfStock_Log[WeekIndex],49)=0,"",SUMIFS(T_SelfStock_Log[Self_Qty],T_SelfStock_Log[Part Name],$A41,T_SelfStock_Log[WeekIndex],49))</f>
        <v/>
      </c>
      <c r="AY41" s="13">
        <f>IF(COUNTIFS(T_SelfStock_Log[Part Name],$A41,T_SelfStock_Log[WeekIndex],50)=0,"",SUMIFS(T_SelfStock_Log[Self_Qty],T_SelfStock_Log[Part Name],$A41,T_SelfStock_Log[WeekIndex],50))</f>
        <v/>
      </c>
      <c r="AZ41" s="13">
        <f>IF(COUNTIFS(T_SelfStock_Log[Part Name],$A41,T_SelfStock_Log[WeekIndex],51)=0,"",SUMIFS(T_SelfStock_Log[Self_Qty],T_SelfStock_Log[Part Name],$A41,T_SelfStock_Log[WeekIndex],51))</f>
        <v/>
      </c>
      <c r="BA41" s="13">
        <f>IF(COUNTIFS(T_SelfStock_Log[Part Name],$A41,T_SelfStock_Log[WeekIndex],52)=0,"",SUMIFS(T_SelfStock_Log[Self_Qty],T_SelfStock_Log[Part Name],$A41,T_SelfStock_Log[WeekIndex],52))</f>
        <v/>
      </c>
      <c r="BB41" s="13">
        <f>IF(COUNTIFS(T_SelfStock_Log[Part Name],$A41,T_SelfStock_Log[WeekIndex],53)=0,"",SUMIFS(T_SelfStock_Log[Self_Qty],T_SelfStock_Log[Part Name],$A41,T_SelfStock_Log[WeekIndex],53))</f>
        <v/>
      </c>
      <c r="BC41" s="13">
        <f>IF(COUNTIFS(T_SelfStock_Log[Part Name],$A41,T_SelfStock_Log[WeekIndex],54)=0,"",SUMIFS(T_SelfStock_Log[Self_Qty],T_SelfStock_Log[Part Name],$A41,T_SelfStock_Log[WeekIndex],54))</f>
        <v/>
      </c>
      <c r="BD41" s="13">
        <f>IF(COUNTIFS(T_SelfStock_Log[Part Name],$A41,T_SelfStock_Log[WeekIndex],55)=0,"",SUMIFS(T_SelfStock_Log[Self_Qty],T_SelfStock_Log[Part Name],$A41,T_SelfStock_Log[WeekIndex],55))</f>
        <v/>
      </c>
      <c r="BE41" s="13">
        <f>IF(COUNTIFS(T_SelfStock_Log[Part Name],$A41,T_SelfStock_Log[WeekIndex],56)=0,"",SUMIFS(T_SelfStock_Log[Self_Qty],T_SelfStock_Log[Part Name],$A41,T_SelfStock_Log[WeekIndex],56))</f>
        <v/>
      </c>
      <c r="BF41" s="13">
        <f>IF(COUNTIFS(T_SelfStock_Log[Part Name],$A41,T_SelfStock_Log[WeekIndex],57)=0,"",SUMIFS(T_SelfStock_Log[Self_Qty],T_SelfStock_Log[Part Name],$A41,T_SelfStock_Log[WeekIndex],57))</f>
        <v/>
      </c>
      <c r="BG41" s="13">
        <f>IF(COUNTIFS(T_SelfStock_Log[Part Name],$A41,T_SelfStock_Log[WeekIndex],58)=0,"",SUMIFS(T_SelfStock_Log[Self_Qty],T_SelfStock_Log[Part Name],$A41,T_SelfStock_Log[WeekIndex],58))</f>
        <v/>
      </c>
      <c r="BH41" s="13">
        <f>IF(COUNTIFS(T_SelfStock_Log[Part Name],$A41,T_SelfStock_Log[WeekIndex],59)=0,"",SUMIFS(T_SelfStock_Log[Self_Qty],T_SelfStock_Log[Part Name],$A41,T_SelfStock_Log[WeekIndex],59))</f>
        <v/>
      </c>
      <c r="BI41" s="13">
        <f>IF(COUNTIFS(T_SelfStock_Log[Part Name],$A41,T_SelfStock_Log[WeekIndex],60)=0,"",SUMIFS(T_SelfStock_Log[Self_Qty],T_SelfStock_Log[Part Name],$A41,T_SelfStock_Log[WeekIndex],60))</f>
        <v/>
      </c>
      <c r="BJ41" s="13">
        <f>IF(COUNTIFS(T_SelfStock_Log[Part Name],$A41,T_SelfStock_Log[WeekIndex],61)=0,"",SUMIFS(T_SelfStock_Log[Self_Qty],T_SelfStock_Log[Part Name],$A41,T_SelfStock_Log[WeekIndex],61))</f>
        <v/>
      </c>
      <c r="BK41" s="13">
        <f>IF(COUNTIFS(T_SelfStock_Log[Part Name],$A41,T_SelfStock_Log[WeekIndex],62)=0,"",SUMIFS(T_SelfStock_Log[Self_Qty],T_SelfStock_Log[Part Name],$A41,T_SelfStock_Log[WeekIndex],62))</f>
        <v/>
      </c>
      <c r="BL41" s="13">
        <f>IF(COUNTIFS(T_SelfStock_Log[Part Name],$A41,T_SelfStock_Log[WeekIndex],63)=0,"",SUMIFS(T_SelfStock_Log[Self_Qty],T_SelfStock_Log[Part Name],$A41,T_SelfStock_Log[WeekIndex],63))</f>
        <v/>
      </c>
      <c r="BM41" s="13">
        <f>IF(COUNTIFS(T_SelfStock_Log[Part Name],$A41,T_SelfStock_Log[WeekIndex],64)=0,"",SUMIFS(T_SelfStock_Log[Self_Qty],T_SelfStock_Log[Part Name],$A41,T_SelfStock_Log[WeekIndex],64))</f>
        <v/>
      </c>
      <c r="BN41" s="13">
        <f>IF(COUNTIFS(T_SelfStock_Log[Part Name],$A41,T_SelfStock_Log[WeekIndex],65)=0,"",SUMIFS(T_SelfStock_Log[Self_Qty],T_SelfStock_Log[Part Name],$A41,T_SelfStock_Log[WeekIndex],65))</f>
        <v/>
      </c>
      <c r="BO41" s="13">
        <f>IF(COUNTIFS(T_SelfStock_Log[Part Name],$A41,T_SelfStock_Log[WeekIndex],66)=0,"",SUMIFS(T_SelfStock_Log[Self_Qty],T_SelfStock_Log[Part Name],$A41,T_SelfStock_Log[WeekIndex],66))</f>
        <v/>
      </c>
      <c r="BP41" s="13">
        <f>IF(COUNTIFS(T_SelfStock_Log[Part Name],$A41,T_SelfStock_Log[WeekIndex],67)=0,"",SUMIFS(T_SelfStock_Log[Self_Qty],T_SelfStock_Log[Part Name],$A41,T_SelfStock_Log[WeekIndex],67))</f>
        <v/>
      </c>
      <c r="BQ41" s="13">
        <f>IF(COUNTIFS(T_SelfStock_Log[Part Name],$A41,T_SelfStock_Log[WeekIndex],68)=0,"",SUMIFS(T_SelfStock_Log[Self_Qty],T_SelfStock_Log[Part Name],$A41,T_SelfStock_Log[WeekIndex],68))</f>
        <v/>
      </c>
      <c r="BR41" s="13">
        <f>IF(COUNTIFS(T_SelfStock_Log[Part Name],$A41,T_SelfStock_Log[WeekIndex],69)=0,"",SUMIFS(T_SelfStock_Log[Self_Qty],T_SelfStock_Log[Part Name],$A41,T_SelfStock_Log[WeekIndex],69))</f>
        <v/>
      </c>
      <c r="BS41" s="13">
        <f>IF(COUNTIFS(T_SelfStock_Log[Part Name],$A41,T_SelfStock_Log[WeekIndex],70)=0,"",SUMIFS(T_SelfStock_Log[Self_Qty],T_SelfStock_Log[Part Name],$A41,T_SelfStock_Log[WeekIndex],70))</f>
        <v/>
      </c>
      <c r="BT41" s="13">
        <f>IF(COUNTIFS(T_SelfStock_Log[Part Name],$A41,T_SelfStock_Log[WeekIndex],71)=0,"",SUMIFS(T_SelfStock_Log[Self_Qty],T_SelfStock_Log[Part Name],$A41,T_SelfStock_Log[WeekIndex],71))</f>
        <v/>
      </c>
      <c r="BU41" s="13">
        <f>IF(COUNTIFS(T_SelfStock_Log[Part Name],$A41,T_SelfStock_Log[WeekIndex],72)=0,"",SUMIFS(T_SelfStock_Log[Self_Qty],T_SelfStock_Log[Part Name],$A41,T_SelfStock_Log[WeekIndex],72))</f>
        <v/>
      </c>
      <c r="BV41" s="13">
        <f>IF(COUNTIFS(T_SelfStock_Log[Part Name],$A41,T_SelfStock_Log[WeekIndex],73)=0,"",SUMIFS(T_SelfStock_Log[Self_Qty],T_SelfStock_Log[Part Name],$A41,T_SelfStock_Log[WeekIndex],73))</f>
        <v/>
      </c>
      <c r="BW41" s="13">
        <f>IF(COUNTIFS(T_SelfStock_Log[Part Name],$A41,T_SelfStock_Log[WeekIndex],74)=0,"",SUMIFS(T_SelfStock_Log[Self_Qty],T_SelfStock_Log[Part Name],$A41,T_SelfStock_Log[WeekIndex],74))</f>
        <v/>
      </c>
      <c r="BX41" s="13">
        <f>IF(COUNTIFS(T_SelfStock_Log[Part Name],$A41,T_SelfStock_Log[WeekIndex],75)=0,"",SUMIFS(T_SelfStock_Log[Self_Qty],T_SelfStock_Log[Part Name],$A41,T_SelfStock_Log[WeekIndex],75))</f>
        <v/>
      </c>
      <c r="BY41" s="13">
        <f>IF(COUNTIFS(T_SelfStock_Log[Part Name],$A41,T_SelfStock_Log[WeekIndex],76)=0,"",SUMIFS(T_SelfStock_Log[Self_Qty],T_SelfStock_Log[Part Name],$A41,T_SelfStock_Log[WeekIndex],76))</f>
        <v/>
      </c>
      <c r="BZ41" s="13">
        <f>IF(COUNTIFS(T_SelfStock_Log[Part Name],$A41,T_SelfStock_Log[WeekIndex],77)=0,"",SUMIFS(T_SelfStock_Log[Self_Qty],T_SelfStock_Log[Part Name],$A41,T_SelfStock_Log[WeekIndex],77))</f>
        <v/>
      </c>
      <c r="CA41" s="13">
        <f>IF(COUNTIFS(T_SelfStock_Log[Part Name],$A41,T_SelfStock_Log[WeekIndex],78)=0,"",SUMIFS(T_SelfStock_Log[Self_Qty],T_SelfStock_Log[Part Name],$A41,T_SelfStock_Log[WeekIndex],78))</f>
        <v/>
      </c>
      <c r="CB41" s="13">
        <f>IF(COUNTIFS(T_SelfStock_Log[Part Name],$A41,T_SelfStock_Log[WeekIndex],79)=0,"",SUMIFS(T_SelfStock_Log[Self_Qty],T_SelfStock_Log[Part Name],$A41,T_SelfStock_Log[WeekIndex],79))</f>
        <v/>
      </c>
      <c r="CC41" s="13">
        <f>IF(COUNTIFS(T_SelfStock_Log[Part Name],$A41,T_SelfStock_Log[WeekIndex],80)=0,"",SUMIFS(T_SelfStock_Log[Self_Qty],T_SelfStock_Log[Part Name],$A41,T_SelfStock_Log[WeekIndex],80))</f>
        <v/>
      </c>
      <c r="CD41" s="13">
        <f>IF(COUNTIFS(T_SelfStock_Log[Part Name],$A41,T_SelfStock_Log[WeekIndex],81)=0,"",SUMIFS(T_SelfStock_Log[Self_Qty],T_SelfStock_Log[Part Name],$A41,T_SelfStock_Log[WeekIndex],81))</f>
        <v/>
      </c>
      <c r="CE41" s="13">
        <f>IF(COUNTIFS(T_SelfStock_Log[Part Name],$A41,T_SelfStock_Log[WeekIndex],82)=0,"",SUMIFS(T_SelfStock_Log[Self_Qty],T_SelfStock_Log[Part Name],$A41,T_SelfStock_Log[WeekIndex],82))</f>
        <v/>
      </c>
      <c r="CF41" s="13">
        <f>IF(COUNTIFS(T_SelfStock_Log[Part Name],$A41,T_SelfStock_Log[WeekIndex],83)=0,"",SUMIFS(T_SelfStock_Log[Self_Qty],T_SelfStock_Log[Part Name],$A41,T_SelfStock_Log[WeekIndex],83))</f>
        <v/>
      </c>
      <c r="CG41" s="13">
        <f>IF(COUNTIFS(T_SelfStock_Log[Part Name],$A41,T_SelfStock_Log[WeekIndex],84)=0,"",SUMIFS(T_SelfStock_Log[Self_Qty],T_SelfStock_Log[Part Name],$A41,T_SelfStock_Log[WeekIndex],84))</f>
        <v/>
      </c>
      <c r="CH41" s="13">
        <f>IF(COUNTIFS(T_SelfStock_Log[Part Name],$A41,T_SelfStock_Log[WeekIndex],85)=0,"",SUMIFS(T_SelfStock_Log[Self_Qty],T_SelfStock_Log[Part Name],$A41,T_SelfStock_Log[WeekIndex],85))</f>
        <v/>
      </c>
      <c r="CI41" s="13">
        <f>IF(COUNTIFS(T_SelfStock_Log[Part Name],$A41,T_SelfStock_Log[WeekIndex],86)=0,"",SUMIFS(T_SelfStock_Log[Self_Qty],T_SelfStock_Log[Part Name],$A41,T_SelfStock_Log[WeekIndex],86))</f>
        <v/>
      </c>
      <c r="CJ41" s="13">
        <f>IF(COUNTIFS(T_SelfStock_Log[Part Name],$A41,T_SelfStock_Log[WeekIndex],87)=0,"",SUMIFS(T_SelfStock_Log[Self_Qty],T_SelfStock_Log[Part Name],$A41,T_SelfStock_Log[WeekIndex],87))</f>
        <v/>
      </c>
      <c r="CK41" s="13">
        <f>IF(COUNTIFS(T_SelfStock_Log[Part Name],$A41,T_SelfStock_Log[WeekIndex],88)=0,"",SUMIFS(T_SelfStock_Log[Self_Qty],T_SelfStock_Log[Part Name],$A41,T_SelfStock_Log[WeekIndex],88))</f>
        <v/>
      </c>
      <c r="CL41" s="13">
        <f>IF(COUNTIFS(T_SelfStock_Log[Part Name],$A41,T_SelfStock_Log[WeekIndex],89)=0,"",SUMIFS(T_SelfStock_Log[Self_Qty],T_SelfStock_Log[Part Name],$A41,T_SelfStock_Log[WeekIndex],89))</f>
        <v/>
      </c>
      <c r="CM41" s="13">
        <f>IF(COUNTIFS(T_SelfStock_Log[Part Name],$A41,T_SelfStock_Log[WeekIndex],90)=0,"",SUMIFS(T_SelfStock_Log[Self_Qty],T_SelfStock_Log[Part Name],$A41,T_SelfStock_Log[WeekIndex],90))</f>
        <v/>
      </c>
      <c r="CN41" s="13">
        <f>IF(COUNTIFS(T_SelfStock_Log[Part Name],$A41,T_SelfStock_Log[WeekIndex],91)=0,"",SUMIFS(T_SelfStock_Log[Self_Qty],T_SelfStock_Log[Part Name],$A41,T_SelfStock_Log[WeekIndex],91))</f>
        <v/>
      </c>
      <c r="CO41" s="13">
        <f>IF(COUNTIFS(T_SelfStock_Log[Part Name],$A41,T_SelfStock_Log[WeekIndex],92)=0,"",SUMIFS(T_SelfStock_Log[Self_Qty],T_SelfStock_Log[Part Name],$A41,T_SelfStock_Log[WeekIndex],92))</f>
        <v/>
      </c>
      <c r="CP41" s="13">
        <f>IF(COUNTIFS(T_SelfStock_Log[Part Name],$A41,T_SelfStock_Log[WeekIndex],93)=0,"",SUMIFS(T_SelfStock_Log[Self_Qty],T_SelfStock_Log[Part Name],$A41,T_SelfStock_Log[WeekIndex],93))</f>
        <v/>
      </c>
      <c r="CQ41" s="13">
        <f>IF(COUNTIFS(T_SelfStock_Log[Part Name],$A41,T_SelfStock_Log[WeekIndex],94)=0,"",SUMIFS(T_SelfStock_Log[Self_Qty],T_SelfStock_Log[Part Name],$A41,T_SelfStock_Log[WeekIndex],94))</f>
        <v/>
      </c>
      <c r="CR41" s="13">
        <f>IF(COUNTIFS(T_SelfStock_Log[Part Name],$A41,T_SelfStock_Log[WeekIndex],95)=0,"",SUMIFS(T_SelfStock_Log[Self_Qty],T_SelfStock_Log[Part Name],$A41,T_SelfStock_Log[WeekIndex],95))</f>
        <v/>
      </c>
      <c r="CS41" s="13">
        <f>IF(COUNTIFS(T_SelfStock_Log[Part Name],$A41,T_SelfStock_Log[WeekIndex],96)=0,"",SUMIFS(T_SelfStock_Log[Self_Qty],T_SelfStock_Log[Part Name],$A41,T_SelfStock_Log[WeekIndex],96))</f>
        <v/>
      </c>
      <c r="CT41" s="13">
        <f>IF(COUNTIFS(T_SelfStock_Log[Part Name],$A41,T_SelfStock_Log[WeekIndex],97)=0,"",SUMIFS(T_SelfStock_Log[Self_Qty],T_SelfStock_Log[Part Name],$A41,T_SelfStock_Log[WeekIndex],97))</f>
        <v/>
      </c>
      <c r="CU41" s="13">
        <f>IF(COUNTIFS(T_SelfStock_Log[Part Name],$A41,T_SelfStock_Log[WeekIndex],98)=0,"",SUMIFS(T_SelfStock_Log[Self_Qty],T_SelfStock_Log[Part Name],$A41,T_SelfStock_Log[WeekIndex],98))</f>
        <v/>
      </c>
      <c r="CV41" s="13">
        <f>IF(COUNTIFS(T_SelfStock_Log[Part Name],$A41,T_SelfStock_Log[WeekIndex],99)=0,"",SUMIFS(T_SelfStock_Log[Self_Qty],T_SelfStock_Log[Part Name],$A41,T_SelfStock_Log[WeekIndex],99))</f>
        <v/>
      </c>
      <c r="CW41" s="13">
        <f>IF(COUNTIFS(T_SelfStock_Log[Part Name],$A41,T_SelfStock_Log[WeekIndex],100)=0,"",SUMIFS(T_SelfStock_Log[Self_Qty],T_SelfStock_Log[Part Name],$A41,T_SelfStock_Log[WeekIndex],100))</f>
        <v/>
      </c>
      <c r="CX41" s="13">
        <f>IF(COUNTIFS(T_SelfStock_Log[Part Name],$A41,T_SelfStock_Log[WeekIndex],101)=0,"",SUMIFS(T_SelfStock_Log[Self_Qty],T_SelfStock_Log[Part Name],$A41,T_SelfStock_Log[WeekIndex],101))</f>
        <v/>
      </c>
      <c r="CY41" s="13">
        <f>IF(COUNTIFS(T_SelfStock_Log[Part Name],$A41,T_SelfStock_Log[WeekIndex],102)=0,"",SUMIFS(T_SelfStock_Log[Self_Qty],T_SelfStock_Log[Part Name],$A41,T_SelfStock_Log[WeekIndex],102))</f>
        <v/>
      </c>
      <c r="CZ41" s="13">
        <f>IF(COUNTIFS(T_SelfStock_Log[Part Name],$A41,T_SelfStock_Log[WeekIndex],103)=0,"",SUMIFS(T_SelfStock_Log[Self_Qty],T_SelfStock_Log[Part Name],$A41,T_SelfStock_Log[WeekIndex],103))</f>
        <v/>
      </c>
      <c r="DA41" s="13">
        <f>IF(COUNTIFS(T_SelfStock_Log[Part Name],$A41,T_SelfStock_Log[WeekIndex],104)=0,"",SUMIFS(T_SelfStock_Log[Self_Qty],T_SelfStock_Log[Part Name],$A41,T_SelfStock_Log[WeekIndex],104))</f>
        <v/>
      </c>
    </row>
    <row r="42">
      <c r="A42" s="12" t="inlineStr">
        <is>
          <t>Ester Film</t>
        </is>
      </c>
      <c r="B42" s="12">
        <f>IF(COUNTIFS(T_SelfStock_Log[Part Name],$A42,T_SelfStock_Log[WeekIndex],1)=0,"",SUMIFS(T_SelfStock_Log[Self_Qty],T_SelfStock_Log[Part Name],$A42,T_SelfStock_Log[WeekIndex],1))</f>
        <v/>
      </c>
      <c r="C42" s="12">
        <f>IF(COUNTIFS(T_SelfStock_Log[Part Name],$A42,T_SelfStock_Log[WeekIndex],2)=0,"",SUMIFS(T_SelfStock_Log[Self_Qty],T_SelfStock_Log[Part Name],$A42,T_SelfStock_Log[WeekIndex],2))</f>
        <v/>
      </c>
      <c r="D42" s="12">
        <f>IF(COUNTIFS(T_SelfStock_Log[Part Name],$A42,T_SelfStock_Log[WeekIndex],3)=0,"",SUMIFS(T_SelfStock_Log[Self_Qty],T_SelfStock_Log[Part Name],$A42,T_SelfStock_Log[WeekIndex],3))</f>
        <v/>
      </c>
      <c r="E42" s="12">
        <f>IF(COUNTIFS(T_SelfStock_Log[Part Name],$A42,T_SelfStock_Log[WeekIndex],4)=0,"",SUMIFS(T_SelfStock_Log[Self_Qty],T_SelfStock_Log[Part Name],$A42,T_SelfStock_Log[WeekIndex],4))</f>
        <v/>
      </c>
      <c r="F42" s="12">
        <f>IF(COUNTIFS(T_SelfStock_Log[Part Name],$A42,T_SelfStock_Log[WeekIndex],5)=0,"",SUMIFS(T_SelfStock_Log[Self_Qty],T_SelfStock_Log[Part Name],$A42,T_SelfStock_Log[WeekIndex],5))</f>
        <v/>
      </c>
      <c r="G42" s="12">
        <f>IF(COUNTIFS(T_SelfStock_Log[Part Name],$A42,T_SelfStock_Log[WeekIndex],6)=0,"",SUMIFS(T_SelfStock_Log[Self_Qty],T_SelfStock_Log[Part Name],$A42,T_SelfStock_Log[WeekIndex],6))</f>
        <v/>
      </c>
      <c r="H42" s="12">
        <f>IF(COUNTIFS(T_SelfStock_Log[Part Name],$A42,T_SelfStock_Log[WeekIndex],7)=0,"",SUMIFS(T_SelfStock_Log[Self_Qty],T_SelfStock_Log[Part Name],$A42,T_SelfStock_Log[WeekIndex],7))</f>
        <v/>
      </c>
      <c r="I42" s="12">
        <f>IF(COUNTIFS(T_SelfStock_Log[Part Name],$A42,T_SelfStock_Log[WeekIndex],8)=0,"",SUMIFS(T_SelfStock_Log[Self_Qty],T_SelfStock_Log[Part Name],$A42,T_SelfStock_Log[WeekIndex],8))</f>
        <v/>
      </c>
      <c r="J42" s="12">
        <f>IF(COUNTIFS(T_SelfStock_Log[Part Name],$A42,T_SelfStock_Log[WeekIndex],9)=0,"",SUMIFS(T_SelfStock_Log[Self_Qty],T_SelfStock_Log[Part Name],$A42,T_SelfStock_Log[WeekIndex],9))</f>
        <v/>
      </c>
      <c r="K42" s="12">
        <f>IF(COUNTIFS(T_SelfStock_Log[Part Name],$A42,T_SelfStock_Log[WeekIndex],10)=0,"",SUMIFS(T_SelfStock_Log[Self_Qty],T_SelfStock_Log[Part Name],$A42,T_SelfStock_Log[WeekIndex],10))</f>
        <v/>
      </c>
      <c r="L42" s="12">
        <f>IF(COUNTIFS(T_SelfStock_Log[Part Name],$A42,T_SelfStock_Log[WeekIndex],11)=0,"",SUMIFS(T_SelfStock_Log[Self_Qty],T_SelfStock_Log[Part Name],$A42,T_SelfStock_Log[WeekIndex],11))</f>
        <v/>
      </c>
      <c r="M42" s="12">
        <f>IF(COUNTIFS(T_SelfStock_Log[Part Name],$A42,T_SelfStock_Log[WeekIndex],12)=0,"",SUMIFS(T_SelfStock_Log[Self_Qty],T_SelfStock_Log[Part Name],$A42,T_SelfStock_Log[WeekIndex],12))</f>
        <v/>
      </c>
      <c r="N42" s="12">
        <f>IF(COUNTIFS(T_SelfStock_Log[Part Name],$A42,T_SelfStock_Log[WeekIndex],13)=0,"",SUMIFS(T_SelfStock_Log[Self_Qty],T_SelfStock_Log[Part Name],$A42,T_SelfStock_Log[WeekIndex],13))</f>
        <v/>
      </c>
      <c r="O42" s="12">
        <f>IF(COUNTIFS(T_SelfStock_Log[Part Name],$A42,T_SelfStock_Log[WeekIndex],14)=0,"",SUMIFS(T_SelfStock_Log[Self_Qty],T_SelfStock_Log[Part Name],$A42,T_SelfStock_Log[WeekIndex],14))</f>
        <v/>
      </c>
      <c r="P42" s="12">
        <f>IF(COUNTIFS(T_SelfStock_Log[Part Name],$A42,T_SelfStock_Log[WeekIndex],15)=0,"",SUMIFS(T_SelfStock_Log[Self_Qty],T_SelfStock_Log[Part Name],$A42,T_SelfStock_Log[WeekIndex],15))</f>
        <v/>
      </c>
      <c r="Q42" s="12">
        <f>IF(COUNTIFS(T_SelfStock_Log[Part Name],$A42,T_SelfStock_Log[WeekIndex],16)=0,"",SUMIFS(T_SelfStock_Log[Self_Qty],T_SelfStock_Log[Part Name],$A42,T_SelfStock_Log[WeekIndex],16))</f>
        <v/>
      </c>
      <c r="R42" s="12">
        <f>IF(COUNTIFS(T_SelfStock_Log[Part Name],$A42,T_SelfStock_Log[WeekIndex],17)=0,"",SUMIFS(T_SelfStock_Log[Self_Qty],T_SelfStock_Log[Part Name],$A42,T_SelfStock_Log[WeekIndex],17))</f>
        <v/>
      </c>
      <c r="S42" s="12">
        <f>IF(COUNTIFS(T_SelfStock_Log[Part Name],$A42,T_SelfStock_Log[WeekIndex],18)=0,"",SUMIFS(T_SelfStock_Log[Self_Qty],T_SelfStock_Log[Part Name],$A42,T_SelfStock_Log[WeekIndex],18))</f>
        <v/>
      </c>
      <c r="T42" s="12">
        <f>IF(COUNTIFS(T_SelfStock_Log[Part Name],$A42,T_SelfStock_Log[WeekIndex],19)=0,"",SUMIFS(T_SelfStock_Log[Self_Qty],T_SelfStock_Log[Part Name],$A42,T_SelfStock_Log[WeekIndex],19))</f>
        <v/>
      </c>
      <c r="U42" s="12">
        <f>IF(COUNTIFS(T_SelfStock_Log[Part Name],$A42,T_SelfStock_Log[WeekIndex],20)=0,"",SUMIFS(T_SelfStock_Log[Self_Qty],T_SelfStock_Log[Part Name],$A42,T_SelfStock_Log[WeekIndex],20))</f>
        <v/>
      </c>
      <c r="V42" s="12">
        <f>IF(COUNTIFS(T_SelfStock_Log[Part Name],$A42,T_SelfStock_Log[WeekIndex],21)=0,"",SUMIFS(T_SelfStock_Log[Self_Qty],T_SelfStock_Log[Part Name],$A42,T_SelfStock_Log[WeekIndex],21))</f>
        <v/>
      </c>
      <c r="W42" s="12">
        <f>IF(COUNTIFS(T_SelfStock_Log[Part Name],$A42,T_SelfStock_Log[WeekIndex],22)=0,"",SUMIFS(T_SelfStock_Log[Self_Qty],T_SelfStock_Log[Part Name],$A42,T_SelfStock_Log[WeekIndex],22))</f>
        <v/>
      </c>
      <c r="X42" s="12">
        <f>IF(COUNTIFS(T_SelfStock_Log[Part Name],$A42,T_SelfStock_Log[WeekIndex],23)=0,"",SUMIFS(T_SelfStock_Log[Self_Qty],T_SelfStock_Log[Part Name],$A42,T_SelfStock_Log[WeekIndex],23))</f>
        <v/>
      </c>
      <c r="Y42" s="12">
        <f>IF(COUNTIFS(T_SelfStock_Log[Part Name],$A42,T_SelfStock_Log[WeekIndex],24)=0,"",SUMIFS(T_SelfStock_Log[Self_Qty],T_SelfStock_Log[Part Name],$A42,T_SelfStock_Log[WeekIndex],24))</f>
        <v/>
      </c>
      <c r="Z42" s="12">
        <f>IF(COUNTIFS(T_SelfStock_Log[Part Name],$A42,T_SelfStock_Log[WeekIndex],25)=0,"",SUMIFS(T_SelfStock_Log[Self_Qty],T_SelfStock_Log[Part Name],$A42,T_SelfStock_Log[WeekIndex],25))</f>
        <v/>
      </c>
      <c r="AA42" s="12">
        <f>IF(COUNTIFS(T_SelfStock_Log[Part Name],$A42,T_SelfStock_Log[WeekIndex],26)=0,"",SUMIFS(T_SelfStock_Log[Self_Qty],T_SelfStock_Log[Part Name],$A42,T_SelfStock_Log[WeekIndex],26))</f>
        <v/>
      </c>
      <c r="AB42" s="12">
        <f>IF(COUNTIFS(T_SelfStock_Log[Part Name],$A42,T_SelfStock_Log[WeekIndex],27)=0,"",SUMIFS(T_SelfStock_Log[Self_Qty],T_SelfStock_Log[Part Name],$A42,T_SelfStock_Log[WeekIndex],27))</f>
        <v/>
      </c>
      <c r="AC42" s="12">
        <f>IF(COUNTIFS(T_SelfStock_Log[Part Name],$A42,T_SelfStock_Log[WeekIndex],28)=0,"",SUMIFS(T_SelfStock_Log[Self_Qty],T_SelfStock_Log[Part Name],$A42,T_SelfStock_Log[WeekIndex],28))</f>
        <v/>
      </c>
      <c r="AD42" s="12">
        <f>IF(COUNTIFS(T_SelfStock_Log[Part Name],$A42,T_SelfStock_Log[WeekIndex],29)=0,"",SUMIFS(T_SelfStock_Log[Self_Qty],T_SelfStock_Log[Part Name],$A42,T_SelfStock_Log[WeekIndex],29))</f>
        <v/>
      </c>
      <c r="AE42" s="12">
        <f>IF(COUNTIFS(T_SelfStock_Log[Part Name],$A42,T_SelfStock_Log[WeekIndex],30)=0,"",SUMIFS(T_SelfStock_Log[Self_Qty],T_SelfStock_Log[Part Name],$A42,T_SelfStock_Log[WeekIndex],30))</f>
        <v/>
      </c>
      <c r="AF42" s="12">
        <f>IF(COUNTIFS(T_SelfStock_Log[Part Name],$A42,T_SelfStock_Log[WeekIndex],31)=0,"",SUMIFS(T_SelfStock_Log[Self_Qty],T_SelfStock_Log[Part Name],$A42,T_SelfStock_Log[WeekIndex],31))</f>
        <v/>
      </c>
      <c r="AG42" s="12">
        <f>IF(COUNTIFS(T_SelfStock_Log[Part Name],$A42,T_SelfStock_Log[WeekIndex],32)=0,"",SUMIFS(T_SelfStock_Log[Self_Qty],T_SelfStock_Log[Part Name],$A42,T_SelfStock_Log[WeekIndex],32))</f>
        <v/>
      </c>
      <c r="AH42" s="12">
        <f>IF(COUNTIFS(T_SelfStock_Log[Part Name],$A42,T_SelfStock_Log[WeekIndex],33)=0,"",SUMIFS(T_SelfStock_Log[Self_Qty],T_SelfStock_Log[Part Name],$A42,T_SelfStock_Log[WeekIndex],33))</f>
        <v/>
      </c>
      <c r="AI42" s="12">
        <f>IF(COUNTIFS(T_SelfStock_Log[Part Name],$A42,T_SelfStock_Log[WeekIndex],34)=0,"",SUMIFS(T_SelfStock_Log[Self_Qty],T_SelfStock_Log[Part Name],$A42,T_SelfStock_Log[WeekIndex],34))</f>
        <v/>
      </c>
      <c r="AJ42" s="12">
        <f>IF(COUNTIFS(T_SelfStock_Log[Part Name],$A42,T_SelfStock_Log[WeekIndex],35)=0,"",SUMIFS(T_SelfStock_Log[Self_Qty],T_SelfStock_Log[Part Name],$A42,T_SelfStock_Log[WeekIndex],35))</f>
        <v/>
      </c>
      <c r="AK42" s="12">
        <f>IF(COUNTIFS(T_SelfStock_Log[Part Name],$A42,T_SelfStock_Log[WeekIndex],36)=0,"",SUMIFS(T_SelfStock_Log[Self_Qty],T_SelfStock_Log[Part Name],$A42,T_SelfStock_Log[WeekIndex],36))</f>
        <v/>
      </c>
      <c r="AL42" s="12">
        <f>IF(COUNTIFS(T_SelfStock_Log[Part Name],$A42,T_SelfStock_Log[WeekIndex],37)=0,"",SUMIFS(T_SelfStock_Log[Self_Qty],T_SelfStock_Log[Part Name],$A42,T_SelfStock_Log[WeekIndex],37))</f>
        <v/>
      </c>
      <c r="AM42" s="12">
        <f>IF(COUNTIFS(T_SelfStock_Log[Part Name],$A42,T_SelfStock_Log[WeekIndex],38)=0,"",SUMIFS(T_SelfStock_Log[Self_Qty],T_SelfStock_Log[Part Name],$A42,T_SelfStock_Log[WeekIndex],38))</f>
        <v/>
      </c>
      <c r="AN42" s="12">
        <f>IF(COUNTIFS(T_SelfStock_Log[Part Name],$A42,T_SelfStock_Log[WeekIndex],39)=0,"",SUMIFS(T_SelfStock_Log[Self_Qty],T_SelfStock_Log[Part Name],$A42,T_SelfStock_Log[WeekIndex],39))</f>
        <v/>
      </c>
      <c r="AO42" s="12">
        <f>IF(COUNTIFS(T_SelfStock_Log[Part Name],$A42,T_SelfStock_Log[WeekIndex],40)=0,"",SUMIFS(T_SelfStock_Log[Self_Qty],T_SelfStock_Log[Part Name],$A42,T_SelfStock_Log[WeekIndex],40))</f>
        <v/>
      </c>
      <c r="AP42" s="12">
        <f>IF(COUNTIFS(T_SelfStock_Log[Part Name],$A42,T_SelfStock_Log[WeekIndex],41)=0,"",SUMIFS(T_SelfStock_Log[Self_Qty],T_SelfStock_Log[Part Name],$A42,T_SelfStock_Log[WeekIndex],41))</f>
        <v/>
      </c>
      <c r="AQ42" s="12">
        <f>IF(COUNTIFS(T_SelfStock_Log[Part Name],$A42,T_SelfStock_Log[WeekIndex],42)=0,"",SUMIFS(T_SelfStock_Log[Self_Qty],T_SelfStock_Log[Part Name],$A42,T_SelfStock_Log[WeekIndex],42))</f>
        <v/>
      </c>
      <c r="AR42" s="12">
        <f>IF(COUNTIFS(T_SelfStock_Log[Part Name],$A42,T_SelfStock_Log[WeekIndex],43)=0,"",SUMIFS(T_SelfStock_Log[Self_Qty],T_SelfStock_Log[Part Name],$A42,T_SelfStock_Log[WeekIndex],43))</f>
        <v/>
      </c>
      <c r="AS42" s="12">
        <f>IF(COUNTIFS(T_SelfStock_Log[Part Name],$A42,T_SelfStock_Log[WeekIndex],44)=0,"",SUMIFS(T_SelfStock_Log[Self_Qty],T_SelfStock_Log[Part Name],$A42,T_SelfStock_Log[WeekIndex],44))</f>
        <v/>
      </c>
      <c r="AT42" s="12">
        <f>IF(COUNTIFS(T_SelfStock_Log[Part Name],$A42,T_SelfStock_Log[WeekIndex],45)=0,"",SUMIFS(T_SelfStock_Log[Self_Qty],T_SelfStock_Log[Part Name],$A42,T_SelfStock_Log[WeekIndex],45))</f>
        <v/>
      </c>
      <c r="AU42" s="12">
        <f>IF(COUNTIFS(T_SelfStock_Log[Part Name],$A42,T_SelfStock_Log[WeekIndex],46)=0,"",SUMIFS(T_SelfStock_Log[Self_Qty],T_SelfStock_Log[Part Name],$A42,T_SelfStock_Log[WeekIndex],46))</f>
        <v/>
      </c>
      <c r="AV42" s="12">
        <f>IF(COUNTIFS(T_SelfStock_Log[Part Name],$A42,T_SelfStock_Log[WeekIndex],47)=0,"",SUMIFS(T_SelfStock_Log[Self_Qty],T_SelfStock_Log[Part Name],$A42,T_SelfStock_Log[WeekIndex],47))</f>
        <v/>
      </c>
      <c r="AW42" s="12">
        <f>IF(COUNTIFS(T_SelfStock_Log[Part Name],$A42,T_SelfStock_Log[WeekIndex],48)=0,"",SUMIFS(T_SelfStock_Log[Self_Qty],T_SelfStock_Log[Part Name],$A42,T_SelfStock_Log[WeekIndex],48))</f>
        <v/>
      </c>
      <c r="AX42" s="12">
        <f>IF(COUNTIFS(T_SelfStock_Log[Part Name],$A42,T_SelfStock_Log[WeekIndex],49)=0,"",SUMIFS(T_SelfStock_Log[Self_Qty],T_SelfStock_Log[Part Name],$A42,T_SelfStock_Log[WeekIndex],49))</f>
        <v/>
      </c>
      <c r="AY42" s="12">
        <f>IF(COUNTIFS(T_SelfStock_Log[Part Name],$A42,T_SelfStock_Log[WeekIndex],50)=0,"",SUMIFS(T_SelfStock_Log[Self_Qty],T_SelfStock_Log[Part Name],$A42,T_SelfStock_Log[WeekIndex],50))</f>
        <v/>
      </c>
      <c r="AZ42" s="12">
        <f>IF(COUNTIFS(T_SelfStock_Log[Part Name],$A42,T_SelfStock_Log[WeekIndex],51)=0,"",SUMIFS(T_SelfStock_Log[Self_Qty],T_SelfStock_Log[Part Name],$A42,T_SelfStock_Log[WeekIndex],51))</f>
        <v/>
      </c>
      <c r="BA42" s="12">
        <f>IF(COUNTIFS(T_SelfStock_Log[Part Name],$A42,T_SelfStock_Log[WeekIndex],52)=0,"",SUMIFS(T_SelfStock_Log[Self_Qty],T_SelfStock_Log[Part Name],$A42,T_SelfStock_Log[WeekIndex],52))</f>
        <v/>
      </c>
      <c r="BB42" s="12">
        <f>IF(COUNTIFS(T_SelfStock_Log[Part Name],$A42,T_SelfStock_Log[WeekIndex],53)=0,"",SUMIFS(T_SelfStock_Log[Self_Qty],T_SelfStock_Log[Part Name],$A42,T_SelfStock_Log[WeekIndex],53))</f>
        <v/>
      </c>
      <c r="BC42" s="12">
        <f>IF(COUNTIFS(T_SelfStock_Log[Part Name],$A42,T_SelfStock_Log[WeekIndex],54)=0,"",SUMIFS(T_SelfStock_Log[Self_Qty],T_SelfStock_Log[Part Name],$A42,T_SelfStock_Log[WeekIndex],54))</f>
        <v/>
      </c>
      <c r="BD42" s="12">
        <f>IF(COUNTIFS(T_SelfStock_Log[Part Name],$A42,T_SelfStock_Log[WeekIndex],55)=0,"",SUMIFS(T_SelfStock_Log[Self_Qty],T_SelfStock_Log[Part Name],$A42,T_SelfStock_Log[WeekIndex],55))</f>
        <v/>
      </c>
      <c r="BE42" s="12">
        <f>IF(COUNTIFS(T_SelfStock_Log[Part Name],$A42,T_SelfStock_Log[WeekIndex],56)=0,"",SUMIFS(T_SelfStock_Log[Self_Qty],T_SelfStock_Log[Part Name],$A42,T_SelfStock_Log[WeekIndex],56))</f>
        <v/>
      </c>
      <c r="BF42" s="12">
        <f>IF(COUNTIFS(T_SelfStock_Log[Part Name],$A42,T_SelfStock_Log[WeekIndex],57)=0,"",SUMIFS(T_SelfStock_Log[Self_Qty],T_SelfStock_Log[Part Name],$A42,T_SelfStock_Log[WeekIndex],57))</f>
        <v/>
      </c>
      <c r="BG42" s="12">
        <f>IF(COUNTIFS(T_SelfStock_Log[Part Name],$A42,T_SelfStock_Log[WeekIndex],58)=0,"",SUMIFS(T_SelfStock_Log[Self_Qty],T_SelfStock_Log[Part Name],$A42,T_SelfStock_Log[WeekIndex],58))</f>
        <v/>
      </c>
      <c r="BH42" s="12">
        <f>IF(COUNTIFS(T_SelfStock_Log[Part Name],$A42,T_SelfStock_Log[WeekIndex],59)=0,"",SUMIFS(T_SelfStock_Log[Self_Qty],T_SelfStock_Log[Part Name],$A42,T_SelfStock_Log[WeekIndex],59))</f>
        <v/>
      </c>
      <c r="BI42" s="12">
        <f>IF(COUNTIFS(T_SelfStock_Log[Part Name],$A42,T_SelfStock_Log[WeekIndex],60)=0,"",SUMIFS(T_SelfStock_Log[Self_Qty],T_SelfStock_Log[Part Name],$A42,T_SelfStock_Log[WeekIndex],60))</f>
        <v/>
      </c>
      <c r="BJ42" s="12">
        <f>IF(COUNTIFS(T_SelfStock_Log[Part Name],$A42,T_SelfStock_Log[WeekIndex],61)=0,"",SUMIFS(T_SelfStock_Log[Self_Qty],T_SelfStock_Log[Part Name],$A42,T_SelfStock_Log[WeekIndex],61))</f>
        <v/>
      </c>
      <c r="BK42" s="12">
        <f>IF(COUNTIFS(T_SelfStock_Log[Part Name],$A42,T_SelfStock_Log[WeekIndex],62)=0,"",SUMIFS(T_SelfStock_Log[Self_Qty],T_SelfStock_Log[Part Name],$A42,T_SelfStock_Log[WeekIndex],62))</f>
        <v/>
      </c>
      <c r="BL42" s="12">
        <f>IF(COUNTIFS(T_SelfStock_Log[Part Name],$A42,T_SelfStock_Log[WeekIndex],63)=0,"",SUMIFS(T_SelfStock_Log[Self_Qty],T_SelfStock_Log[Part Name],$A42,T_SelfStock_Log[WeekIndex],63))</f>
        <v/>
      </c>
      <c r="BM42" s="12">
        <f>IF(COUNTIFS(T_SelfStock_Log[Part Name],$A42,T_SelfStock_Log[WeekIndex],64)=0,"",SUMIFS(T_SelfStock_Log[Self_Qty],T_SelfStock_Log[Part Name],$A42,T_SelfStock_Log[WeekIndex],64))</f>
        <v/>
      </c>
      <c r="BN42" s="12">
        <f>IF(COUNTIFS(T_SelfStock_Log[Part Name],$A42,T_SelfStock_Log[WeekIndex],65)=0,"",SUMIFS(T_SelfStock_Log[Self_Qty],T_SelfStock_Log[Part Name],$A42,T_SelfStock_Log[WeekIndex],65))</f>
        <v/>
      </c>
      <c r="BO42" s="12">
        <f>IF(COUNTIFS(T_SelfStock_Log[Part Name],$A42,T_SelfStock_Log[WeekIndex],66)=0,"",SUMIFS(T_SelfStock_Log[Self_Qty],T_SelfStock_Log[Part Name],$A42,T_SelfStock_Log[WeekIndex],66))</f>
        <v/>
      </c>
      <c r="BP42" s="12">
        <f>IF(COUNTIFS(T_SelfStock_Log[Part Name],$A42,T_SelfStock_Log[WeekIndex],67)=0,"",SUMIFS(T_SelfStock_Log[Self_Qty],T_SelfStock_Log[Part Name],$A42,T_SelfStock_Log[WeekIndex],67))</f>
        <v/>
      </c>
      <c r="BQ42" s="12">
        <f>IF(COUNTIFS(T_SelfStock_Log[Part Name],$A42,T_SelfStock_Log[WeekIndex],68)=0,"",SUMIFS(T_SelfStock_Log[Self_Qty],T_SelfStock_Log[Part Name],$A42,T_SelfStock_Log[WeekIndex],68))</f>
        <v/>
      </c>
      <c r="BR42" s="12">
        <f>IF(COUNTIFS(T_SelfStock_Log[Part Name],$A42,T_SelfStock_Log[WeekIndex],69)=0,"",SUMIFS(T_SelfStock_Log[Self_Qty],T_SelfStock_Log[Part Name],$A42,T_SelfStock_Log[WeekIndex],69))</f>
        <v/>
      </c>
      <c r="BS42" s="12">
        <f>IF(COUNTIFS(T_SelfStock_Log[Part Name],$A42,T_SelfStock_Log[WeekIndex],70)=0,"",SUMIFS(T_SelfStock_Log[Self_Qty],T_SelfStock_Log[Part Name],$A42,T_SelfStock_Log[WeekIndex],70))</f>
        <v/>
      </c>
      <c r="BT42" s="12">
        <f>IF(COUNTIFS(T_SelfStock_Log[Part Name],$A42,T_SelfStock_Log[WeekIndex],71)=0,"",SUMIFS(T_SelfStock_Log[Self_Qty],T_SelfStock_Log[Part Name],$A42,T_SelfStock_Log[WeekIndex],71))</f>
        <v/>
      </c>
      <c r="BU42" s="12">
        <f>IF(COUNTIFS(T_SelfStock_Log[Part Name],$A42,T_SelfStock_Log[WeekIndex],72)=0,"",SUMIFS(T_SelfStock_Log[Self_Qty],T_SelfStock_Log[Part Name],$A42,T_SelfStock_Log[WeekIndex],72))</f>
        <v/>
      </c>
      <c r="BV42" s="12">
        <f>IF(COUNTIFS(T_SelfStock_Log[Part Name],$A42,T_SelfStock_Log[WeekIndex],73)=0,"",SUMIFS(T_SelfStock_Log[Self_Qty],T_SelfStock_Log[Part Name],$A42,T_SelfStock_Log[WeekIndex],73))</f>
        <v/>
      </c>
      <c r="BW42" s="12">
        <f>IF(COUNTIFS(T_SelfStock_Log[Part Name],$A42,T_SelfStock_Log[WeekIndex],74)=0,"",SUMIFS(T_SelfStock_Log[Self_Qty],T_SelfStock_Log[Part Name],$A42,T_SelfStock_Log[WeekIndex],74))</f>
        <v/>
      </c>
      <c r="BX42" s="12">
        <f>IF(COUNTIFS(T_SelfStock_Log[Part Name],$A42,T_SelfStock_Log[WeekIndex],75)=0,"",SUMIFS(T_SelfStock_Log[Self_Qty],T_SelfStock_Log[Part Name],$A42,T_SelfStock_Log[WeekIndex],75))</f>
        <v/>
      </c>
      <c r="BY42" s="12">
        <f>IF(COUNTIFS(T_SelfStock_Log[Part Name],$A42,T_SelfStock_Log[WeekIndex],76)=0,"",SUMIFS(T_SelfStock_Log[Self_Qty],T_SelfStock_Log[Part Name],$A42,T_SelfStock_Log[WeekIndex],76))</f>
        <v/>
      </c>
      <c r="BZ42" s="12">
        <f>IF(COUNTIFS(T_SelfStock_Log[Part Name],$A42,T_SelfStock_Log[WeekIndex],77)=0,"",SUMIFS(T_SelfStock_Log[Self_Qty],T_SelfStock_Log[Part Name],$A42,T_SelfStock_Log[WeekIndex],77))</f>
        <v/>
      </c>
      <c r="CA42" s="12">
        <f>IF(COUNTIFS(T_SelfStock_Log[Part Name],$A42,T_SelfStock_Log[WeekIndex],78)=0,"",SUMIFS(T_SelfStock_Log[Self_Qty],T_SelfStock_Log[Part Name],$A42,T_SelfStock_Log[WeekIndex],78))</f>
        <v/>
      </c>
      <c r="CB42" s="12">
        <f>IF(COUNTIFS(T_SelfStock_Log[Part Name],$A42,T_SelfStock_Log[WeekIndex],79)=0,"",SUMIFS(T_SelfStock_Log[Self_Qty],T_SelfStock_Log[Part Name],$A42,T_SelfStock_Log[WeekIndex],79))</f>
        <v/>
      </c>
      <c r="CC42" s="12">
        <f>IF(COUNTIFS(T_SelfStock_Log[Part Name],$A42,T_SelfStock_Log[WeekIndex],80)=0,"",SUMIFS(T_SelfStock_Log[Self_Qty],T_SelfStock_Log[Part Name],$A42,T_SelfStock_Log[WeekIndex],80))</f>
        <v/>
      </c>
      <c r="CD42" s="12">
        <f>IF(COUNTIFS(T_SelfStock_Log[Part Name],$A42,T_SelfStock_Log[WeekIndex],81)=0,"",SUMIFS(T_SelfStock_Log[Self_Qty],T_SelfStock_Log[Part Name],$A42,T_SelfStock_Log[WeekIndex],81))</f>
        <v/>
      </c>
      <c r="CE42" s="12">
        <f>IF(COUNTIFS(T_SelfStock_Log[Part Name],$A42,T_SelfStock_Log[WeekIndex],82)=0,"",SUMIFS(T_SelfStock_Log[Self_Qty],T_SelfStock_Log[Part Name],$A42,T_SelfStock_Log[WeekIndex],82))</f>
        <v/>
      </c>
      <c r="CF42" s="12">
        <f>IF(COUNTIFS(T_SelfStock_Log[Part Name],$A42,T_SelfStock_Log[WeekIndex],83)=0,"",SUMIFS(T_SelfStock_Log[Self_Qty],T_SelfStock_Log[Part Name],$A42,T_SelfStock_Log[WeekIndex],83))</f>
        <v/>
      </c>
      <c r="CG42" s="12">
        <f>IF(COUNTIFS(T_SelfStock_Log[Part Name],$A42,T_SelfStock_Log[WeekIndex],84)=0,"",SUMIFS(T_SelfStock_Log[Self_Qty],T_SelfStock_Log[Part Name],$A42,T_SelfStock_Log[WeekIndex],84))</f>
        <v/>
      </c>
      <c r="CH42" s="12">
        <f>IF(COUNTIFS(T_SelfStock_Log[Part Name],$A42,T_SelfStock_Log[WeekIndex],85)=0,"",SUMIFS(T_SelfStock_Log[Self_Qty],T_SelfStock_Log[Part Name],$A42,T_SelfStock_Log[WeekIndex],85))</f>
        <v/>
      </c>
      <c r="CI42" s="12">
        <f>IF(COUNTIFS(T_SelfStock_Log[Part Name],$A42,T_SelfStock_Log[WeekIndex],86)=0,"",SUMIFS(T_SelfStock_Log[Self_Qty],T_SelfStock_Log[Part Name],$A42,T_SelfStock_Log[WeekIndex],86))</f>
        <v/>
      </c>
      <c r="CJ42" s="12">
        <f>IF(COUNTIFS(T_SelfStock_Log[Part Name],$A42,T_SelfStock_Log[WeekIndex],87)=0,"",SUMIFS(T_SelfStock_Log[Self_Qty],T_SelfStock_Log[Part Name],$A42,T_SelfStock_Log[WeekIndex],87))</f>
        <v/>
      </c>
      <c r="CK42" s="12">
        <f>IF(COUNTIFS(T_SelfStock_Log[Part Name],$A42,T_SelfStock_Log[WeekIndex],88)=0,"",SUMIFS(T_SelfStock_Log[Self_Qty],T_SelfStock_Log[Part Name],$A42,T_SelfStock_Log[WeekIndex],88))</f>
        <v/>
      </c>
      <c r="CL42" s="12">
        <f>IF(COUNTIFS(T_SelfStock_Log[Part Name],$A42,T_SelfStock_Log[WeekIndex],89)=0,"",SUMIFS(T_SelfStock_Log[Self_Qty],T_SelfStock_Log[Part Name],$A42,T_SelfStock_Log[WeekIndex],89))</f>
        <v/>
      </c>
      <c r="CM42" s="12">
        <f>IF(COUNTIFS(T_SelfStock_Log[Part Name],$A42,T_SelfStock_Log[WeekIndex],90)=0,"",SUMIFS(T_SelfStock_Log[Self_Qty],T_SelfStock_Log[Part Name],$A42,T_SelfStock_Log[WeekIndex],90))</f>
        <v/>
      </c>
      <c r="CN42" s="12">
        <f>IF(COUNTIFS(T_SelfStock_Log[Part Name],$A42,T_SelfStock_Log[WeekIndex],91)=0,"",SUMIFS(T_SelfStock_Log[Self_Qty],T_SelfStock_Log[Part Name],$A42,T_SelfStock_Log[WeekIndex],91))</f>
        <v/>
      </c>
      <c r="CO42" s="12">
        <f>IF(COUNTIFS(T_SelfStock_Log[Part Name],$A42,T_SelfStock_Log[WeekIndex],92)=0,"",SUMIFS(T_SelfStock_Log[Self_Qty],T_SelfStock_Log[Part Name],$A42,T_SelfStock_Log[WeekIndex],92))</f>
        <v/>
      </c>
      <c r="CP42" s="12">
        <f>IF(COUNTIFS(T_SelfStock_Log[Part Name],$A42,T_SelfStock_Log[WeekIndex],93)=0,"",SUMIFS(T_SelfStock_Log[Self_Qty],T_SelfStock_Log[Part Name],$A42,T_SelfStock_Log[WeekIndex],93))</f>
        <v/>
      </c>
      <c r="CQ42" s="12">
        <f>IF(COUNTIFS(T_SelfStock_Log[Part Name],$A42,T_SelfStock_Log[WeekIndex],94)=0,"",SUMIFS(T_SelfStock_Log[Self_Qty],T_SelfStock_Log[Part Name],$A42,T_SelfStock_Log[WeekIndex],94))</f>
        <v/>
      </c>
      <c r="CR42" s="12">
        <f>IF(COUNTIFS(T_SelfStock_Log[Part Name],$A42,T_SelfStock_Log[WeekIndex],95)=0,"",SUMIFS(T_SelfStock_Log[Self_Qty],T_SelfStock_Log[Part Name],$A42,T_SelfStock_Log[WeekIndex],95))</f>
        <v/>
      </c>
      <c r="CS42" s="12">
        <f>IF(COUNTIFS(T_SelfStock_Log[Part Name],$A42,T_SelfStock_Log[WeekIndex],96)=0,"",SUMIFS(T_SelfStock_Log[Self_Qty],T_SelfStock_Log[Part Name],$A42,T_SelfStock_Log[WeekIndex],96))</f>
        <v/>
      </c>
      <c r="CT42" s="12">
        <f>IF(COUNTIFS(T_SelfStock_Log[Part Name],$A42,T_SelfStock_Log[WeekIndex],97)=0,"",SUMIFS(T_SelfStock_Log[Self_Qty],T_SelfStock_Log[Part Name],$A42,T_SelfStock_Log[WeekIndex],97))</f>
        <v/>
      </c>
      <c r="CU42" s="12">
        <f>IF(COUNTIFS(T_SelfStock_Log[Part Name],$A42,T_SelfStock_Log[WeekIndex],98)=0,"",SUMIFS(T_SelfStock_Log[Self_Qty],T_SelfStock_Log[Part Name],$A42,T_SelfStock_Log[WeekIndex],98))</f>
        <v/>
      </c>
      <c r="CV42" s="12">
        <f>IF(COUNTIFS(T_SelfStock_Log[Part Name],$A42,T_SelfStock_Log[WeekIndex],99)=0,"",SUMIFS(T_SelfStock_Log[Self_Qty],T_SelfStock_Log[Part Name],$A42,T_SelfStock_Log[WeekIndex],99))</f>
        <v/>
      </c>
      <c r="CW42" s="12">
        <f>IF(COUNTIFS(T_SelfStock_Log[Part Name],$A42,T_SelfStock_Log[WeekIndex],100)=0,"",SUMIFS(T_SelfStock_Log[Self_Qty],T_SelfStock_Log[Part Name],$A42,T_SelfStock_Log[WeekIndex],100))</f>
        <v/>
      </c>
      <c r="CX42" s="12">
        <f>IF(COUNTIFS(T_SelfStock_Log[Part Name],$A42,T_SelfStock_Log[WeekIndex],101)=0,"",SUMIFS(T_SelfStock_Log[Self_Qty],T_SelfStock_Log[Part Name],$A42,T_SelfStock_Log[WeekIndex],101))</f>
        <v/>
      </c>
      <c r="CY42" s="12">
        <f>IF(COUNTIFS(T_SelfStock_Log[Part Name],$A42,T_SelfStock_Log[WeekIndex],102)=0,"",SUMIFS(T_SelfStock_Log[Self_Qty],T_SelfStock_Log[Part Name],$A42,T_SelfStock_Log[WeekIndex],102))</f>
        <v/>
      </c>
      <c r="CZ42" s="12">
        <f>IF(COUNTIFS(T_SelfStock_Log[Part Name],$A42,T_SelfStock_Log[WeekIndex],103)=0,"",SUMIFS(T_SelfStock_Log[Self_Qty],T_SelfStock_Log[Part Name],$A42,T_SelfStock_Log[WeekIndex],103))</f>
        <v/>
      </c>
      <c r="DA42" s="12">
        <f>IF(COUNTIFS(T_SelfStock_Log[Part Name],$A42,T_SelfStock_Log[WeekIndex],104)=0,"",SUMIFS(T_SelfStock_Log[Self_Qty],T_SelfStock_Log[Part Name],$A42,T_SelfStock_Log[WeekIndex],104))</f>
        <v/>
      </c>
    </row>
    <row r="43">
      <c r="A43" s="13" t="inlineStr">
        <is>
          <t>PP Film</t>
        </is>
      </c>
      <c r="B43" s="13">
        <f>IF(COUNTIFS(T_SelfStock_Log[Part Name],$A43,T_SelfStock_Log[WeekIndex],1)=0,"",SUMIFS(T_SelfStock_Log[Self_Qty],T_SelfStock_Log[Part Name],$A43,T_SelfStock_Log[WeekIndex],1))</f>
        <v/>
      </c>
      <c r="C43" s="13">
        <f>IF(COUNTIFS(T_SelfStock_Log[Part Name],$A43,T_SelfStock_Log[WeekIndex],2)=0,"",SUMIFS(T_SelfStock_Log[Self_Qty],T_SelfStock_Log[Part Name],$A43,T_SelfStock_Log[WeekIndex],2))</f>
        <v/>
      </c>
      <c r="D43" s="13">
        <f>IF(COUNTIFS(T_SelfStock_Log[Part Name],$A43,T_SelfStock_Log[WeekIndex],3)=0,"",SUMIFS(T_SelfStock_Log[Self_Qty],T_SelfStock_Log[Part Name],$A43,T_SelfStock_Log[WeekIndex],3))</f>
        <v/>
      </c>
      <c r="E43" s="13">
        <f>IF(COUNTIFS(T_SelfStock_Log[Part Name],$A43,T_SelfStock_Log[WeekIndex],4)=0,"",SUMIFS(T_SelfStock_Log[Self_Qty],T_SelfStock_Log[Part Name],$A43,T_SelfStock_Log[WeekIndex],4))</f>
        <v/>
      </c>
      <c r="F43" s="13">
        <f>IF(COUNTIFS(T_SelfStock_Log[Part Name],$A43,T_SelfStock_Log[WeekIndex],5)=0,"",SUMIFS(T_SelfStock_Log[Self_Qty],T_SelfStock_Log[Part Name],$A43,T_SelfStock_Log[WeekIndex],5))</f>
        <v/>
      </c>
      <c r="G43" s="13">
        <f>IF(COUNTIFS(T_SelfStock_Log[Part Name],$A43,T_SelfStock_Log[WeekIndex],6)=0,"",SUMIFS(T_SelfStock_Log[Self_Qty],T_SelfStock_Log[Part Name],$A43,T_SelfStock_Log[WeekIndex],6))</f>
        <v/>
      </c>
      <c r="H43" s="13">
        <f>IF(COUNTIFS(T_SelfStock_Log[Part Name],$A43,T_SelfStock_Log[WeekIndex],7)=0,"",SUMIFS(T_SelfStock_Log[Self_Qty],T_SelfStock_Log[Part Name],$A43,T_SelfStock_Log[WeekIndex],7))</f>
        <v/>
      </c>
      <c r="I43" s="13">
        <f>IF(COUNTIFS(T_SelfStock_Log[Part Name],$A43,T_SelfStock_Log[WeekIndex],8)=0,"",SUMIFS(T_SelfStock_Log[Self_Qty],T_SelfStock_Log[Part Name],$A43,T_SelfStock_Log[WeekIndex],8))</f>
        <v/>
      </c>
      <c r="J43" s="13">
        <f>IF(COUNTIFS(T_SelfStock_Log[Part Name],$A43,T_SelfStock_Log[WeekIndex],9)=0,"",SUMIFS(T_SelfStock_Log[Self_Qty],T_SelfStock_Log[Part Name],$A43,T_SelfStock_Log[WeekIndex],9))</f>
        <v/>
      </c>
      <c r="K43" s="13">
        <f>IF(COUNTIFS(T_SelfStock_Log[Part Name],$A43,T_SelfStock_Log[WeekIndex],10)=0,"",SUMIFS(T_SelfStock_Log[Self_Qty],T_SelfStock_Log[Part Name],$A43,T_SelfStock_Log[WeekIndex],10))</f>
        <v/>
      </c>
      <c r="L43" s="13">
        <f>IF(COUNTIFS(T_SelfStock_Log[Part Name],$A43,T_SelfStock_Log[WeekIndex],11)=0,"",SUMIFS(T_SelfStock_Log[Self_Qty],T_SelfStock_Log[Part Name],$A43,T_SelfStock_Log[WeekIndex],11))</f>
        <v/>
      </c>
      <c r="M43" s="13">
        <f>IF(COUNTIFS(T_SelfStock_Log[Part Name],$A43,T_SelfStock_Log[WeekIndex],12)=0,"",SUMIFS(T_SelfStock_Log[Self_Qty],T_SelfStock_Log[Part Name],$A43,T_SelfStock_Log[WeekIndex],12))</f>
        <v/>
      </c>
      <c r="N43" s="13">
        <f>IF(COUNTIFS(T_SelfStock_Log[Part Name],$A43,T_SelfStock_Log[WeekIndex],13)=0,"",SUMIFS(T_SelfStock_Log[Self_Qty],T_SelfStock_Log[Part Name],$A43,T_SelfStock_Log[WeekIndex],13))</f>
        <v/>
      </c>
      <c r="O43" s="13">
        <f>IF(COUNTIFS(T_SelfStock_Log[Part Name],$A43,T_SelfStock_Log[WeekIndex],14)=0,"",SUMIFS(T_SelfStock_Log[Self_Qty],T_SelfStock_Log[Part Name],$A43,T_SelfStock_Log[WeekIndex],14))</f>
        <v/>
      </c>
      <c r="P43" s="13">
        <f>IF(COUNTIFS(T_SelfStock_Log[Part Name],$A43,T_SelfStock_Log[WeekIndex],15)=0,"",SUMIFS(T_SelfStock_Log[Self_Qty],T_SelfStock_Log[Part Name],$A43,T_SelfStock_Log[WeekIndex],15))</f>
        <v/>
      </c>
      <c r="Q43" s="13">
        <f>IF(COUNTIFS(T_SelfStock_Log[Part Name],$A43,T_SelfStock_Log[WeekIndex],16)=0,"",SUMIFS(T_SelfStock_Log[Self_Qty],T_SelfStock_Log[Part Name],$A43,T_SelfStock_Log[WeekIndex],16))</f>
        <v/>
      </c>
      <c r="R43" s="13">
        <f>IF(COUNTIFS(T_SelfStock_Log[Part Name],$A43,T_SelfStock_Log[WeekIndex],17)=0,"",SUMIFS(T_SelfStock_Log[Self_Qty],T_SelfStock_Log[Part Name],$A43,T_SelfStock_Log[WeekIndex],17))</f>
        <v/>
      </c>
      <c r="S43" s="13">
        <f>IF(COUNTIFS(T_SelfStock_Log[Part Name],$A43,T_SelfStock_Log[WeekIndex],18)=0,"",SUMIFS(T_SelfStock_Log[Self_Qty],T_SelfStock_Log[Part Name],$A43,T_SelfStock_Log[WeekIndex],18))</f>
        <v/>
      </c>
      <c r="T43" s="13">
        <f>IF(COUNTIFS(T_SelfStock_Log[Part Name],$A43,T_SelfStock_Log[WeekIndex],19)=0,"",SUMIFS(T_SelfStock_Log[Self_Qty],T_SelfStock_Log[Part Name],$A43,T_SelfStock_Log[WeekIndex],19))</f>
        <v/>
      </c>
      <c r="U43" s="13">
        <f>IF(COUNTIFS(T_SelfStock_Log[Part Name],$A43,T_SelfStock_Log[WeekIndex],20)=0,"",SUMIFS(T_SelfStock_Log[Self_Qty],T_SelfStock_Log[Part Name],$A43,T_SelfStock_Log[WeekIndex],20))</f>
        <v/>
      </c>
      <c r="V43" s="13">
        <f>IF(COUNTIFS(T_SelfStock_Log[Part Name],$A43,T_SelfStock_Log[WeekIndex],21)=0,"",SUMIFS(T_SelfStock_Log[Self_Qty],T_SelfStock_Log[Part Name],$A43,T_SelfStock_Log[WeekIndex],21))</f>
        <v/>
      </c>
      <c r="W43" s="13">
        <f>IF(COUNTIFS(T_SelfStock_Log[Part Name],$A43,T_SelfStock_Log[WeekIndex],22)=0,"",SUMIFS(T_SelfStock_Log[Self_Qty],T_SelfStock_Log[Part Name],$A43,T_SelfStock_Log[WeekIndex],22))</f>
        <v/>
      </c>
      <c r="X43" s="13">
        <f>IF(COUNTIFS(T_SelfStock_Log[Part Name],$A43,T_SelfStock_Log[WeekIndex],23)=0,"",SUMIFS(T_SelfStock_Log[Self_Qty],T_SelfStock_Log[Part Name],$A43,T_SelfStock_Log[WeekIndex],23))</f>
        <v/>
      </c>
      <c r="Y43" s="13">
        <f>IF(COUNTIFS(T_SelfStock_Log[Part Name],$A43,T_SelfStock_Log[WeekIndex],24)=0,"",SUMIFS(T_SelfStock_Log[Self_Qty],T_SelfStock_Log[Part Name],$A43,T_SelfStock_Log[WeekIndex],24))</f>
        <v/>
      </c>
      <c r="Z43" s="13">
        <f>IF(COUNTIFS(T_SelfStock_Log[Part Name],$A43,T_SelfStock_Log[WeekIndex],25)=0,"",SUMIFS(T_SelfStock_Log[Self_Qty],T_SelfStock_Log[Part Name],$A43,T_SelfStock_Log[WeekIndex],25))</f>
        <v/>
      </c>
      <c r="AA43" s="13">
        <f>IF(COUNTIFS(T_SelfStock_Log[Part Name],$A43,T_SelfStock_Log[WeekIndex],26)=0,"",SUMIFS(T_SelfStock_Log[Self_Qty],T_SelfStock_Log[Part Name],$A43,T_SelfStock_Log[WeekIndex],26))</f>
        <v/>
      </c>
      <c r="AB43" s="13">
        <f>IF(COUNTIFS(T_SelfStock_Log[Part Name],$A43,T_SelfStock_Log[WeekIndex],27)=0,"",SUMIFS(T_SelfStock_Log[Self_Qty],T_SelfStock_Log[Part Name],$A43,T_SelfStock_Log[WeekIndex],27))</f>
        <v/>
      </c>
      <c r="AC43" s="13">
        <f>IF(COUNTIFS(T_SelfStock_Log[Part Name],$A43,T_SelfStock_Log[WeekIndex],28)=0,"",SUMIFS(T_SelfStock_Log[Self_Qty],T_SelfStock_Log[Part Name],$A43,T_SelfStock_Log[WeekIndex],28))</f>
        <v/>
      </c>
      <c r="AD43" s="13">
        <f>IF(COUNTIFS(T_SelfStock_Log[Part Name],$A43,T_SelfStock_Log[WeekIndex],29)=0,"",SUMIFS(T_SelfStock_Log[Self_Qty],T_SelfStock_Log[Part Name],$A43,T_SelfStock_Log[WeekIndex],29))</f>
        <v/>
      </c>
      <c r="AE43" s="13">
        <f>IF(COUNTIFS(T_SelfStock_Log[Part Name],$A43,T_SelfStock_Log[WeekIndex],30)=0,"",SUMIFS(T_SelfStock_Log[Self_Qty],T_SelfStock_Log[Part Name],$A43,T_SelfStock_Log[WeekIndex],30))</f>
        <v/>
      </c>
      <c r="AF43" s="13">
        <f>IF(COUNTIFS(T_SelfStock_Log[Part Name],$A43,T_SelfStock_Log[WeekIndex],31)=0,"",SUMIFS(T_SelfStock_Log[Self_Qty],T_SelfStock_Log[Part Name],$A43,T_SelfStock_Log[WeekIndex],31))</f>
        <v/>
      </c>
      <c r="AG43" s="13">
        <f>IF(COUNTIFS(T_SelfStock_Log[Part Name],$A43,T_SelfStock_Log[WeekIndex],32)=0,"",SUMIFS(T_SelfStock_Log[Self_Qty],T_SelfStock_Log[Part Name],$A43,T_SelfStock_Log[WeekIndex],32))</f>
        <v/>
      </c>
      <c r="AH43" s="13">
        <f>IF(COUNTIFS(T_SelfStock_Log[Part Name],$A43,T_SelfStock_Log[WeekIndex],33)=0,"",SUMIFS(T_SelfStock_Log[Self_Qty],T_SelfStock_Log[Part Name],$A43,T_SelfStock_Log[WeekIndex],33))</f>
        <v/>
      </c>
      <c r="AI43" s="13">
        <f>IF(COUNTIFS(T_SelfStock_Log[Part Name],$A43,T_SelfStock_Log[WeekIndex],34)=0,"",SUMIFS(T_SelfStock_Log[Self_Qty],T_SelfStock_Log[Part Name],$A43,T_SelfStock_Log[WeekIndex],34))</f>
        <v/>
      </c>
      <c r="AJ43" s="13">
        <f>IF(COUNTIFS(T_SelfStock_Log[Part Name],$A43,T_SelfStock_Log[WeekIndex],35)=0,"",SUMIFS(T_SelfStock_Log[Self_Qty],T_SelfStock_Log[Part Name],$A43,T_SelfStock_Log[WeekIndex],35))</f>
        <v/>
      </c>
      <c r="AK43" s="13">
        <f>IF(COUNTIFS(T_SelfStock_Log[Part Name],$A43,T_SelfStock_Log[WeekIndex],36)=0,"",SUMIFS(T_SelfStock_Log[Self_Qty],T_SelfStock_Log[Part Name],$A43,T_SelfStock_Log[WeekIndex],36))</f>
        <v/>
      </c>
      <c r="AL43" s="13">
        <f>IF(COUNTIFS(T_SelfStock_Log[Part Name],$A43,T_SelfStock_Log[WeekIndex],37)=0,"",SUMIFS(T_SelfStock_Log[Self_Qty],T_SelfStock_Log[Part Name],$A43,T_SelfStock_Log[WeekIndex],37))</f>
        <v/>
      </c>
      <c r="AM43" s="13">
        <f>IF(COUNTIFS(T_SelfStock_Log[Part Name],$A43,T_SelfStock_Log[WeekIndex],38)=0,"",SUMIFS(T_SelfStock_Log[Self_Qty],T_SelfStock_Log[Part Name],$A43,T_SelfStock_Log[WeekIndex],38))</f>
        <v/>
      </c>
      <c r="AN43" s="13">
        <f>IF(COUNTIFS(T_SelfStock_Log[Part Name],$A43,T_SelfStock_Log[WeekIndex],39)=0,"",SUMIFS(T_SelfStock_Log[Self_Qty],T_SelfStock_Log[Part Name],$A43,T_SelfStock_Log[WeekIndex],39))</f>
        <v/>
      </c>
      <c r="AO43" s="13">
        <f>IF(COUNTIFS(T_SelfStock_Log[Part Name],$A43,T_SelfStock_Log[WeekIndex],40)=0,"",SUMIFS(T_SelfStock_Log[Self_Qty],T_SelfStock_Log[Part Name],$A43,T_SelfStock_Log[WeekIndex],40))</f>
        <v/>
      </c>
      <c r="AP43" s="13">
        <f>IF(COUNTIFS(T_SelfStock_Log[Part Name],$A43,T_SelfStock_Log[WeekIndex],41)=0,"",SUMIFS(T_SelfStock_Log[Self_Qty],T_SelfStock_Log[Part Name],$A43,T_SelfStock_Log[WeekIndex],41))</f>
        <v/>
      </c>
      <c r="AQ43" s="13">
        <f>IF(COUNTIFS(T_SelfStock_Log[Part Name],$A43,T_SelfStock_Log[WeekIndex],42)=0,"",SUMIFS(T_SelfStock_Log[Self_Qty],T_SelfStock_Log[Part Name],$A43,T_SelfStock_Log[WeekIndex],42))</f>
        <v/>
      </c>
      <c r="AR43" s="13">
        <f>IF(COUNTIFS(T_SelfStock_Log[Part Name],$A43,T_SelfStock_Log[WeekIndex],43)=0,"",SUMIFS(T_SelfStock_Log[Self_Qty],T_SelfStock_Log[Part Name],$A43,T_SelfStock_Log[WeekIndex],43))</f>
        <v/>
      </c>
      <c r="AS43" s="13">
        <f>IF(COUNTIFS(T_SelfStock_Log[Part Name],$A43,T_SelfStock_Log[WeekIndex],44)=0,"",SUMIFS(T_SelfStock_Log[Self_Qty],T_SelfStock_Log[Part Name],$A43,T_SelfStock_Log[WeekIndex],44))</f>
        <v/>
      </c>
      <c r="AT43" s="13">
        <f>IF(COUNTIFS(T_SelfStock_Log[Part Name],$A43,T_SelfStock_Log[WeekIndex],45)=0,"",SUMIFS(T_SelfStock_Log[Self_Qty],T_SelfStock_Log[Part Name],$A43,T_SelfStock_Log[WeekIndex],45))</f>
        <v/>
      </c>
      <c r="AU43" s="13">
        <f>IF(COUNTIFS(T_SelfStock_Log[Part Name],$A43,T_SelfStock_Log[WeekIndex],46)=0,"",SUMIFS(T_SelfStock_Log[Self_Qty],T_SelfStock_Log[Part Name],$A43,T_SelfStock_Log[WeekIndex],46))</f>
        <v/>
      </c>
      <c r="AV43" s="13">
        <f>IF(COUNTIFS(T_SelfStock_Log[Part Name],$A43,T_SelfStock_Log[WeekIndex],47)=0,"",SUMIFS(T_SelfStock_Log[Self_Qty],T_SelfStock_Log[Part Name],$A43,T_SelfStock_Log[WeekIndex],47))</f>
        <v/>
      </c>
      <c r="AW43" s="13">
        <f>IF(COUNTIFS(T_SelfStock_Log[Part Name],$A43,T_SelfStock_Log[WeekIndex],48)=0,"",SUMIFS(T_SelfStock_Log[Self_Qty],T_SelfStock_Log[Part Name],$A43,T_SelfStock_Log[WeekIndex],48))</f>
        <v/>
      </c>
      <c r="AX43" s="13">
        <f>IF(COUNTIFS(T_SelfStock_Log[Part Name],$A43,T_SelfStock_Log[WeekIndex],49)=0,"",SUMIFS(T_SelfStock_Log[Self_Qty],T_SelfStock_Log[Part Name],$A43,T_SelfStock_Log[WeekIndex],49))</f>
        <v/>
      </c>
      <c r="AY43" s="13">
        <f>IF(COUNTIFS(T_SelfStock_Log[Part Name],$A43,T_SelfStock_Log[WeekIndex],50)=0,"",SUMIFS(T_SelfStock_Log[Self_Qty],T_SelfStock_Log[Part Name],$A43,T_SelfStock_Log[WeekIndex],50))</f>
        <v/>
      </c>
      <c r="AZ43" s="13">
        <f>IF(COUNTIFS(T_SelfStock_Log[Part Name],$A43,T_SelfStock_Log[WeekIndex],51)=0,"",SUMIFS(T_SelfStock_Log[Self_Qty],T_SelfStock_Log[Part Name],$A43,T_SelfStock_Log[WeekIndex],51))</f>
        <v/>
      </c>
      <c r="BA43" s="13">
        <f>IF(COUNTIFS(T_SelfStock_Log[Part Name],$A43,T_SelfStock_Log[WeekIndex],52)=0,"",SUMIFS(T_SelfStock_Log[Self_Qty],T_SelfStock_Log[Part Name],$A43,T_SelfStock_Log[WeekIndex],52))</f>
        <v/>
      </c>
      <c r="BB43" s="13">
        <f>IF(COUNTIFS(T_SelfStock_Log[Part Name],$A43,T_SelfStock_Log[WeekIndex],53)=0,"",SUMIFS(T_SelfStock_Log[Self_Qty],T_SelfStock_Log[Part Name],$A43,T_SelfStock_Log[WeekIndex],53))</f>
        <v/>
      </c>
      <c r="BC43" s="13">
        <f>IF(COUNTIFS(T_SelfStock_Log[Part Name],$A43,T_SelfStock_Log[WeekIndex],54)=0,"",SUMIFS(T_SelfStock_Log[Self_Qty],T_SelfStock_Log[Part Name],$A43,T_SelfStock_Log[WeekIndex],54))</f>
        <v/>
      </c>
      <c r="BD43" s="13">
        <f>IF(COUNTIFS(T_SelfStock_Log[Part Name],$A43,T_SelfStock_Log[WeekIndex],55)=0,"",SUMIFS(T_SelfStock_Log[Self_Qty],T_SelfStock_Log[Part Name],$A43,T_SelfStock_Log[WeekIndex],55))</f>
        <v/>
      </c>
      <c r="BE43" s="13">
        <f>IF(COUNTIFS(T_SelfStock_Log[Part Name],$A43,T_SelfStock_Log[WeekIndex],56)=0,"",SUMIFS(T_SelfStock_Log[Self_Qty],T_SelfStock_Log[Part Name],$A43,T_SelfStock_Log[WeekIndex],56))</f>
        <v/>
      </c>
      <c r="BF43" s="13">
        <f>IF(COUNTIFS(T_SelfStock_Log[Part Name],$A43,T_SelfStock_Log[WeekIndex],57)=0,"",SUMIFS(T_SelfStock_Log[Self_Qty],T_SelfStock_Log[Part Name],$A43,T_SelfStock_Log[WeekIndex],57))</f>
        <v/>
      </c>
      <c r="BG43" s="13">
        <f>IF(COUNTIFS(T_SelfStock_Log[Part Name],$A43,T_SelfStock_Log[WeekIndex],58)=0,"",SUMIFS(T_SelfStock_Log[Self_Qty],T_SelfStock_Log[Part Name],$A43,T_SelfStock_Log[WeekIndex],58))</f>
        <v/>
      </c>
      <c r="BH43" s="13">
        <f>IF(COUNTIFS(T_SelfStock_Log[Part Name],$A43,T_SelfStock_Log[WeekIndex],59)=0,"",SUMIFS(T_SelfStock_Log[Self_Qty],T_SelfStock_Log[Part Name],$A43,T_SelfStock_Log[WeekIndex],59))</f>
        <v/>
      </c>
      <c r="BI43" s="13">
        <f>IF(COUNTIFS(T_SelfStock_Log[Part Name],$A43,T_SelfStock_Log[WeekIndex],60)=0,"",SUMIFS(T_SelfStock_Log[Self_Qty],T_SelfStock_Log[Part Name],$A43,T_SelfStock_Log[WeekIndex],60))</f>
        <v/>
      </c>
      <c r="BJ43" s="13">
        <f>IF(COUNTIFS(T_SelfStock_Log[Part Name],$A43,T_SelfStock_Log[WeekIndex],61)=0,"",SUMIFS(T_SelfStock_Log[Self_Qty],T_SelfStock_Log[Part Name],$A43,T_SelfStock_Log[WeekIndex],61))</f>
        <v/>
      </c>
      <c r="BK43" s="13">
        <f>IF(COUNTIFS(T_SelfStock_Log[Part Name],$A43,T_SelfStock_Log[WeekIndex],62)=0,"",SUMIFS(T_SelfStock_Log[Self_Qty],T_SelfStock_Log[Part Name],$A43,T_SelfStock_Log[WeekIndex],62))</f>
        <v/>
      </c>
      <c r="BL43" s="13">
        <f>IF(COUNTIFS(T_SelfStock_Log[Part Name],$A43,T_SelfStock_Log[WeekIndex],63)=0,"",SUMIFS(T_SelfStock_Log[Self_Qty],T_SelfStock_Log[Part Name],$A43,T_SelfStock_Log[WeekIndex],63))</f>
        <v/>
      </c>
      <c r="BM43" s="13">
        <f>IF(COUNTIFS(T_SelfStock_Log[Part Name],$A43,T_SelfStock_Log[WeekIndex],64)=0,"",SUMIFS(T_SelfStock_Log[Self_Qty],T_SelfStock_Log[Part Name],$A43,T_SelfStock_Log[WeekIndex],64))</f>
        <v/>
      </c>
      <c r="BN43" s="13">
        <f>IF(COUNTIFS(T_SelfStock_Log[Part Name],$A43,T_SelfStock_Log[WeekIndex],65)=0,"",SUMIFS(T_SelfStock_Log[Self_Qty],T_SelfStock_Log[Part Name],$A43,T_SelfStock_Log[WeekIndex],65))</f>
        <v/>
      </c>
      <c r="BO43" s="13">
        <f>IF(COUNTIFS(T_SelfStock_Log[Part Name],$A43,T_SelfStock_Log[WeekIndex],66)=0,"",SUMIFS(T_SelfStock_Log[Self_Qty],T_SelfStock_Log[Part Name],$A43,T_SelfStock_Log[WeekIndex],66))</f>
        <v/>
      </c>
      <c r="BP43" s="13">
        <f>IF(COUNTIFS(T_SelfStock_Log[Part Name],$A43,T_SelfStock_Log[WeekIndex],67)=0,"",SUMIFS(T_SelfStock_Log[Self_Qty],T_SelfStock_Log[Part Name],$A43,T_SelfStock_Log[WeekIndex],67))</f>
        <v/>
      </c>
      <c r="BQ43" s="13">
        <f>IF(COUNTIFS(T_SelfStock_Log[Part Name],$A43,T_SelfStock_Log[WeekIndex],68)=0,"",SUMIFS(T_SelfStock_Log[Self_Qty],T_SelfStock_Log[Part Name],$A43,T_SelfStock_Log[WeekIndex],68))</f>
        <v/>
      </c>
      <c r="BR43" s="13">
        <f>IF(COUNTIFS(T_SelfStock_Log[Part Name],$A43,T_SelfStock_Log[WeekIndex],69)=0,"",SUMIFS(T_SelfStock_Log[Self_Qty],T_SelfStock_Log[Part Name],$A43,T_SelfStock_Log[WeekIndex],69))</f>
        <v/>
      </c>
      <c r="BS43" s="13">
        <f>IF(COUNTIFS(T_SelfStock_Log[Part Name],$A43,T_SelfStock_Log[WeekIndex],70)=0,"",SUMIFS(T_SelfStock_Log[Self_Qty],T_SelfStock_Log[Part Name],$A43,T_SelfStock_Log[WeekIndex],70))</f>
        <v/>
      </c>
      <c r="BT43" s="13">
        <f>IF(COUNTIFS(T_SelfStock_Log[Part Name],$A43,T_SelfStock_Log[WeekIndex],71)=0,"",SUMIFS(T_SelfStock_Log[Self_Qty],T_SelfStock_Log[Part Name],$A43,T_SelfStock_Log[WeekIndex],71))</f>
        <v/>
      </c>
      <c r="BU43" s="13">
        <f>IF(COUNTIFS(T_SelfStock_Log[Part Name],$A43,T_SelfStock_Log[WeekIndex],72)=0,"",SUMIFS(T_SelfStock_Log[Self_Qty],T_SelfStock_Log[Part Name],$A43,T_SelfStock_Log[WeekIndex],72))</f>
        <v/>
      </c>
      <c r="BV43" s="13">
        <f>IF(COUNTIFS(T_SelfStock_Log[Part Name],$A43,T_SelfStock_Log[WeekIndex],73)=0,"",SUMIFS(T_SelfStock_Log[Self_Qty],T_SelfStock_Log[Part Name],$A43,T_SelfStock_Log[WeekIndex],73))</f>
        <v/>
      </c>
      <c r="BW43" s="13">
        <f>IF(COUNTIFS(T_SelfStock_Log[Part Name],$A43,T_SelfStock_Log[WeekIndex],74)=0,"",SUMIFS(T_SelfStock_Log[Self_Qty],T_SelfStock_Log[Part Name],$A43,T_SelfStock_Log[WeekIndex],74))</f>
        <v/>
      </c>
      <c r="BX43" s="13">
        <f>IF(COUNTIFS(T_SelfStock_Log[Part Name],$A43,T_SelfStock_Log[WeekIndex],75)=0,"",SUMIFS(T_SelfStock_Log[Self_Qty],T_SelfStock_Log[Part Name],$A43,T_SelfStock_Log[WeekIndex],75))</f>
        <v/>
      </c>
      <c r="BY43" s="13">
        <f>IF(COUNTIFS(T_SelfStock_Log[Part Name],$A43,T_SelfStock_Log[WeekIndex],76)=0,"",SUMIFS(T_SelfStock_Log[Self_Qty],T_SelfStock_Log[Part Name],$A43,T_SelfStock_Log[WeekIndex],76))</f>
        <v/>
      </c>
      <c r="BZ43" s="13">
        <f>IF(COUNTIFS(T_SelfStock_Log[Part Name],$A43,T_SelfStock_Log[WeekIndex],77)=0,"",SUMIFS(T_SelfStock_Log[Self_Qty],T_SelfStock_Log[Part Name],$A43,T_SelfStock_Log[WeekIndex],77))</f>
        <v/>
      </c>
      <c r="CA43" s="13">
        <f>IF(COUNTIFS(T_SelfStock_Log[Part Name],$A43,T_SelfStock_Log[WeekIndex],78)=0,"",SUMIFS(T_SelfStock_Log[Self_Qty],T_SelfStock_Log[Part Name],$A43,T_SelfStock_Log[WeekIndex],78))</f>
        <v/>
      </c>
      <c r="CB43" s="13">
        <f>IF(COUNTIFS(T_SelfStock_Log[Part Name],$A43,T_SelfStock_Log[WeekIndex],79)=0,"",SUMIFS(T_SelfStock_Log[Self_Qty],T_SelfStock_Log[Part Name],$A43,T_SelfStock_Log[WeekIndex],79))</f>
        <v/>
      </c>
      <c r="CC43" s="13">
        <f>IF(COUNTIFS(T_SelfStock_Log[Part Name],$A43,T_SelfStock_Log[WeekIndex],80)=0,"",SUMIFS(T_SelfStock_Log[Self_Qty],T_SelfStock_Log[Part Name],$A43,T_SelfStock_Log[WeekIndex],80))</f>
        <v/>
      </c>
      <c r="CD43" s="13">
        <f>IF(COUNTIFS(T_SelfStock_Log[Part Name],$A43,T_SelfStock_Log[WeekIndex],81)=0,"",SUMIFS(T_SelfStock_Log[Self_Qty],T_SelfStock_Log[Part Name],$A43,T_SelfStock_Log[WeekIndex],81))</f>
        <v/>
      </c>
      <c r="CE43" s="13">
        <f>IF(COUNTIFS(T_SelfStock_Log[Part Name],$A43,T_SelfStock_Log[WeekIndex],82)=0,"",SUMIFS(T_SelfStock_Log[Self_Qty],T_SelfStock_Log[Part Name],$A43,T_SelfStock_Log[WeekIndex],82))</f>
        <v/>
      </c>
      <c r="CF43" s="13">
        <f>IF(COUNTIFS(T_SelfStock_Log[Part Name],$A43,T_SelfStock_Log[WeekIndex],83)=0,"",SUMIFS(T_SelfStock_Log[Self_Qty],T_SelfStock_Log[Part Name],$A43,T_SelfStock_Log[WeekIndex],83))</f>
        <v/>
      </c>
      <c r="CG43" s="13">
        <f>IF(COUNTIFS(T_SelfStock_Log[Part Name],$A43,T_SelfStock_Log[WeekIndex],84)=0,"",SUMIFS(T_SelfStock_Log[Self_Qty],T_SelfStock_Log[Part Name],$A43,T_SelfStock_Log[WeekIndex],84))</f>
        <v/>
      </c>
      <c r="CH43" s="13">
        <f>IF(COUNTIFS(T_SelfStock_Log[Part Name],$A43,T_SelfStock_Log[WeekIndex],85)=0,"",SUMIFS(T_SelfStock_Log[Self_Qty],T_SelfStock_Log[Part Name],$A43,T_SelfStock_Log[WeekIndex],85))</f>
        <v/>
      </c>
      <c r="CI43" s="13">
        <f>IF(COUNTIFS(T_SelfStock_Log[Part Name],$A43,T_SelfStock_Log[WeekIndex],86)=0,"",SUMIFS(T_SelfStock_Log[Self_Qty],T_SelfStock_Log[Part Name],$A43,T_SelfStock_Log[WeekIndex],86))</f>
        <v/>
      </c>
      <c r="CJ43" s="13">
        <f>IF(COUNTIFS(T_SelfStock_Log[Part Name],$A43,T_SelfStock_Log[WeekIndex],87)=0,"",SUMIFS(T_SelfStock_Log[Self_Qty],T_SelfStock_Log[Part Name],$A43,T_SelfStock_Log[WeekIndex],87))</f>
        <v/>
      </c>
      <c r="CK43" s="13">
        <f>IF(COUNTIFS(T_SelfStock_Log[Part Name],$A43,T_SelfStock_Log[WeekIndex],88)=0,"",SUMIFS(T_SelfStock_Log[Self_Qty],T_SelfStock_Log[Part Name],$A43,T_SelfStock_Log[WeekIndex],88))</f>
        <v/>
      </c>
      <c r="CL43" s="13">
        <f>IF(COUNTIFS(T_SelfStock_Log[Part Name],$A43,T_SelfStock_Log[WeekIndex],89)=0,"",SUMIFS(T_SelfStock_Log[Self_Qty],T_SelfStock_Log[Part Name],$A43,T_SelfStock_Log[WeekIndex],89))</f>
        <v/>
      </c>
      <c r="CM43" s="13">
        <f>IF(COUNTIFS(T_SelfStock_Log[Part Name],$A43,T_SelfStock_Log[WeekIndex],90)=0,"",SUMIFS(T_SelfStock_Log[Self_Qty],T_SelfStock_Log[Part Name],$A43,T_SelfStock_Log[WeekIndex],90))</f>
        <v/>
      </c>
      <c r="CN43" s="13">
        <f>IF(COUNTIFS(T_SelfStock_Log[Part Name],$A43,T_SelfStock_Log[WeekIndex],91)=0,"",SUMIFS(T_SelfStock_Log[Self_Qty],T_SelfStock_Log[Part Name],$A43,T_SelfStock_Log[WeekIndex],91))</f>
        <v/>
      </c>
      <c r="CO43" s="13">
        <f>IF(COUNTIFS(T_SelfStock_Log[Part Name],$A43,T_SelfStock_Log[WeekIndex],92)=0,"",SUMIFS(T_SelfStock_Log[Self_Qty],T_SelfStock_Log[Part Name],$A43,T_SelfStock_Log[WeekIndex],92))</f>
        <v/>
      </c>
      <c r="CP43" s="13">
        <f>IF(COUNTIFS(T_SelfStock_Log[Part Name],$A43,T_SelfStock_Log[WeekIndex],93)=0,"",SUMIFS(T_SelfStock_Log[Self_Qty],T_SelfStock_Log[Part Name],$A43,T_SelfStock_Log[WeekIndex],93))</f>
        <v/>
      </c>
      <c r="CQ43" s="13">
        <f>IF(COUNTIFS(T_SelfStock_Log[Part Name],$A43,T_SelfStock_Log[WeekIndex],94)=0,"",SUMIFS(T_SelfStock_Log[Self_Qty],T_SelfStock_Log[Part Name],$A43,T_SelfStock_Log[WeekIndex],94))</f>
        <v/>
      </c>
      <c r="CR43" s="13">
        <f>IF(COUNTIFS(T_SelfStock_Log[Part Name],$A43,T_SelfStock_Log[WeekIndex],95)=0,"",SUMIFS(T_SelfStock_Log[Self_Qty],T_SelfStock_Log[Part Name],$A43,T_SelfStock_Log[WeekIndex],95))</f>
        <v/>
      </c>
      <c r="CS43" s="13">
        <f>IF(COUNTIFS(T_SelfStock_Log[Part Name],$A43,T_SelfStock_Log[WeekIndex],96)=0,"",SUMIFS(T_SelfStock_Log[Self_Qty],T_SelfStock_Log[Part Name],$A43,T_SelfStock_Log[WeekIndex],96))</f>
        <v/>
      </c>
      <c r="CT43" s="13">
        <f>IF(COUNTIFS(T_SelfStock_Log[Part Name],$A43,T_SelfStock_Log[WeekIndex],97)=0,"",SUMIFS(T_SelfStock_Log[Self_Qty],T_SelfStock_Log[Part Name],$A43,T_SelfStock_Log[WeekIndex],97))</f>
        <v/>
      </c>
      <c r="CU43" s="13">
        <f>IF(COUNTIFS(T_SelfStock_Log[Part Name],$A43,T_SelfStock_Log[WeekIndex],98)=0,"",SUMIFS(T_SelfStock_Log[Self_Qty],T_SelfStock_Log[Part Name],$A43,T_SelfStock_Log[WeekIndex],98))</f>
        <v/>
      </c>
      <c r="CV43" s="13">
        <f>IF(COUNTIFS(T_SelfStock_Log[Part Name],$A43,T_SelfStock_Log[WeekIndex],99)=0,"",SUMIFS(T_SelfStock_Log[Self_Qty],T_SelfStock_Log[Part Name],$A43,T_SelfStock_Log[WeekIndex],99))</f>
        <v/>
      </c>
      <c r="CW43" s="13">
        <f>IF(COUNTIFS(T_SelfStock_Log[Part Name],$A43,T_SelfStock_Log[WeekIndex],100)=0,"",SUMIFS(T_SelfStock_Log[Self_Qty],T_SelfStock_Log[Part Name],$A43,T_SelfStock_Log[WeekIndex],100))</f>
        <v/>
      </c>
      <c r="CX43" s="13">
        <f>IF(COUNTIFS(T_SelfStock_Log[Part Name],$A43,T_SelfStock_Log[WeekIndex],101)=0,"",SUMIFS(T_SelfStock_Log[Self_Qty],T_SelfStock_Log[Part Name],$A43,T_SelfStock_Log[WeekIndex],101))</f>
        <v/>
      </c>
      <c r="CY43" s="13">
        <f>IF(COUNTIFS(T_SelfStock_Log[Part Name],$A43,T_SelfStock_Log[WeekIndex],102)=0,"",SUMIFS(T_SelfStock_Log[Self_Qty],T_SelfStock_Log[Part Name],$A43,T_SelfStock_Log[WeekIndex],102))</f>
        <v/>
      </c>
      <c r="CZ43" s="13">
        <f>IF(COUNTIFS(T_SelfStock_Log[Part Name],$A43,T_SelfStock_Log[WeekIndex],103)=0,"",SUMIFS(T_SelfStock_Log[Self_Qty],T_SelfStock_Log[Part Name],$A43,T_SelfStock_Log[WeekIndex],103))</f>
        <v/>
      </c>
      <c r="DA43" s="13">
        <f>IF(COUNTIFS(T_SelfStock_Log[Part Name],$A43,T_SelfStock_Log[WeekIndex],104)=0,"",SUMIFS(T_SelfStock_Log[Self_Qty],T_SelfStock_Log[Part Name],$A43,T_SelfStock_Log[WeekIndex],104))</f>
        <v/>
      </c>
    </row>
    <row r="44">
      <c r="A44" s="12" t="inlineStr">
        <is>
          <t>5SN</t>
        </is>
      </c>
      <c r="B44" s="12">
        <f>IF(COUNTIFS(T_SelfStock_Log[Part Name],$A44,T_SelfStock_Log[WeekIndex],1)=0,"",SUMIFS(T_SelfStock_Log[Self_Qty],T_SelfStock_Log[Part Name],$A44,T_SelfStock_Log[WeekIndex],1))</f>
        <v/>
      </c>
      <c r="C44" s="12">
        <f>IF(COUNTIFS(T_SelfStock_Log[Part Name],$A44,T_SelfStock_Log[WeekIndex],2)=0,"",SUMIFS(T_SelfStock_Log[Self_Qty],T_SelfStock_Log[Part Name],$A44,T_SelfStock_Log[WeekIndex],2))</f>
        <v/>
      </c>
      <c r="D44" s="12">
        <f>IF(COUNTIFS(T_SelfStock_Log[Part Name],$A44,T_SelfStock_Log[WeekIndex],3)=0,"",SUMIFS(T_SelfStock_Log[Self_Qty],T_SelfStock_Log[Part Name],$A44,T_SelfStock_Log[WeekIndex],3))</f>
        <v/>
      </c>
      <c r="E44" s="12">
        <f>IF(COUNTIFS(T_SelfStock_Log[Part Name],$A44,T_SelfStock_Log[WeekIndex],4)=0,"",SUMIFS(T_SelfStock_Log[Self_Qty],T_SelfStock_Log[Part Name],$A44,T_SelfStock_Log[WeekIndex],4))</f>
        <v/>
      </c>
      <c r="F44" s="12">
        <f>IF(COUNTIFS(T_SelfStock_Log[Part Name],$A44,T_SelfStock_Log[WeekIndex],5)=0,"",SUMIFS(T_SelfStock_Log[Self_Qty],T_SelfStock_Log[Part Name],$A44,T_SelfStock_Log[WeekIndex],5))</f>
        <v/>
      </c>
      <c r="G44" s="12">
        <f>IF(COUNTIFS(T_SelfStock_Log[Part Name],$A44,T_SelfStock_Log[WeekIndex],6)=0,"",SUMIFS(T_SelfStock_Log[Self_Qty],T_SelfStock_Log[Part Name],$A44,T_SelfStock_Log[WeekIndex],6))</f>
        <v/>
      </c>
      <c r="H44" s="12">
        <f>IF(COUNTIFS(T_SelfStock_Log[Part Name],$A44,T_SelfStock_Log[WeekIndex],7)=0,"",SUMIFS(T_SelfStock_Log[Self_Qty],T_SelfStock_Log[Part Name],$A44,T_SelfStock_Log[WeekIndex],7))</f>
        <v/>
      </c>
      <c r="I44" s="12">
        <f>IF(COUNTIFS(T_SelfStock_Log[Part Name],$A44,T_SelfStock_Log[WeekIndex],8)=0,"",SUMIFS(T_SelfStock_Log[Self_Qty],T_SelfStock_Log[Part Name],$A44,T_SelfStock_Log[WeekIndex],8))</f>
        <v/>
      </c>
      <c r="J44" s="12">
        <f>IF(COUNTIFS(T_SelfStock_Log[Part Name],$A44,T_SelfStock_Log[WeekIndex],9)=0,"",SUMIFS(T_SelfStock_Log[Self_Qty],T_SelfStock_Log[Part Name],$A44,T_SelfStock_Log[WeekIndex],9))</f>
        <v/>
      </c>
      <c r="K44" s="12">
        <f>IF(COUNTIFS(T_SelfStock_Log[Part Name],$A44,T_SelfStock_Log[WeekIndex],10)=0,"",SUMIFS(T_SelfStock_Log[Self_Qty],T_SelfStock_Log[Part Name],$A44,T_SelfStock_Log[WeekIndex],10))</f>
        <v/>
      </c>
      <c r="L44" s="12">
        <f>IF(COUNTIFS(T_SelfStock_Log[Part Name],$A44,T_SelfStock_Log[WeekIndex],11)=0,"",SUMIFS(T_SelfStock_Log[Self_Qty],T_SelfStock_Log[Part Name],$A44,T_SelfStock_Log[WeekIndex],11))</f>
        <v/>
      </c>
      <c r="M44" s="12">
        <f>IF(COUNTIFS(T_SelfStock_Log[Part Name],$A44,T_SelfStock_Log[WeekIndex],12)=0,"",SUMIFS(T_SelfStock_Log[Self_Qty],T_SelfStock_Log[Part Name],$A44,T_SelfStock_Log[WeekIndex],12))</f>
        <v/>
      </c>
      <c r="N44" s="12">
        <f>IF(COUNTIFS(T_SelfStock_Log[Part Name],$A44,T_SelfStock_Log[WeekIndex],13)=0,"",SUMIFS(T_SelfStock_Log[Self_Qty],T_SelfStock_Log[Part Name],$A44,T_SelfStock_Log[WeekIndex],13))</f>
        <v/>
      </c>
      <c r="O44" s="12">
        <f>IF(COUNTIFS(T_SelfStock_Log[Part Name],$A44,T_SelfStock_Log[WeekIndex],14)=0,"",SUMIFS(T_SelfStock_Log[Self_Qty],T_SelfStock_Log[Part Name],$A44,T_SelfStock_Log[WeekIndex],14))</f>
        <v/>
      </c>
      <c r="P44" s="12">
        <f>IF(COUNTIFS(T_SelfStock_Log[Part Name],$A44,T_SelfStock_Log[WeekIndex],15)=0,"",SUMIFS(T_SelfStock_Log[Self_Qty],T_SelfStock_Log[Part Name],$A44,T_SelfStock_Log[WeekIndex],15))</f>
        <v/>
      </c>
      <c r="Q44" s="12">
        <f>IF(COUNTIFS(T_SelfStock_Log[Part Name],$A44,T_SelfStock_Log[WeekIndex],16)=0,"",SUMIFS(T_SelfStock_Log[Self_Qty],T_SelfStock_Log[Part Name],$A44,T_SelfStock_Log[WeekIndex],16))</f>
        <v/>
      </c>
      <c r="R44" s="12">
        <f>IF(COUNTIFS(T_SelfStock_Log[Part Name],$A44,T_SelfStock_Log[WeekIndex],17)=0,"",SUMIFS(T_SelfStock_Log[Self_Qty],T_SelfStock_Log[Part Name],$A44,T_SelfStock_Log[WeekIndex],17))</f>
        <v/>
      </c>
      <c r="S44" s="12">
        <f>IF(COUNTIFS(T_SelfStock_Log[Part Name],$A44,T_SelfStock_Log[WeekIndex],18)=0,"",SUMIFS(T_SelfStock_Log[Self_Qty],T_SelfStock_Log[Part Name],$A44,T_SelfStock_Log[WeekIndex],18))</f>
        <v/>
      </c>
      <c r="T44" s="12">
        <f>IF(COUNTIFS(T_SelfStock_Log[Part Name],$A44,T_SelfStock_Log[WeekIndex],19)=0,"",SUMIFS(T_SelfStock_Log[Self_Qty],T_SelfStock_Log[Part Name],$A44,T_SelfStock_Log[WeekIndex],19))</f>
        <v/>
      </c>
      <c r="U44" s="12">
        <f>IF(COUNTIFS(T_SelfStock_Log[Part Name],$A44,T_SelfStock_Log[WeekIndex],20)=0,"",SUMIFS(T_SelfStock_Log[Self_Qty],T_SelfStock_Log[Part Name],$A44,T_SelfStock_Log[WeekIndex],20))</f>
        <v/>
      </c>
      <c r="V44" s="12">
        <f>IF(COUNTIFS(T_SelfStock_Log[Part Name],$A44,T_SelfStock_Log[WeekIndex],21)=0,"",SUMIFS(T_SelfStock_Log[Self_Qty],T_SelfStock_Log[Part Name],$A44,T_SelfStock_Log[WeekIndex],21))</f>
        <v/>
      </c>
      <c r="W44" s="12">
        <f>IF(COUNTIFS(T_SelfStock_Log[Part Name],$A44,T_SelfStock_Log[WeekIndex],22)=0,"",SUMIFS(T_SelfStock_Log[Self_Qty],T_SelfStock_Log[Part Name],$A44,T_SelfStock_Log[WeekIndex],22))</f>
        <v/>
      </c>
      <c r="X44" s="12">
        <f>IF(COUNTIFS(T_SelfStock_Log[Part Name],$A44,T_SelfStock_Log[WeekIndex],23)=0,"",SUMIFS(T_SelfStock_Log[Self_Qty],T_SelfStock_Log[Part Name],$A44,T_SelfStock_Log[WeekIndex],23))</f>
        <v/>
      </c>
      <c r="Y44" s="12">
        <f>IF(COUNTIFS(T_SelfStock_Log[Part Name],$A44,T_SelfStock_Log[WeekIndex],24)=0,"",SUMIFS(T_SelfStock_Log[Self_Qty],T_SelfStock_Log[Part Name],$A44,T_SelfStock_Log[WeekIndex],24))</f>
        <v/>
      </c>
      <c r="Z44" s="12">
        <f>IF(COUNTIFS(T_SelfStock_Log[Part Name],$A44,T_SelfStock_Log[WeekIndex],25)=0,"",SUMIFS(T_SelfStock_Log[Self_Qty],T_SelfStock_Log[Part Name],$A44,T_SelfStock_Log[WeekIndex],25))</f>
        <v/>
      </c>
      <c r="AA44" s="12">
        <f>IF(COUNTIFS(T_SelfStock_Log[Part Name],$A44,T_SelfStock_Log[WeekIndex],26)=0,"",SUMIFS(T_SelfStock_Log[Self_Qty],T_SelfStock_Log[Part Name],$A44,T_SelfStock_Log[WeekIndex],26))</f>
        <v/>
      </c>
      <c r="AB44" s="12">
        <f>IF(COUNTIFS(T_SelfStock_Log[Part Name],$A44,T_SelfStock_Log[WeekIndex],27)=0,"",SUMIFS(T_SelfStock_Log[Self_Qty],T_SelfStock_Log[Part Name],$A44,T_SelfStock_Log[WeekIndex],27))</f>
        <v/>
      </c>
      <c r="AC44" s="12">
        <f>IF(COUNTIFS(T_SelfStock_Log[Part Name],$A44,T_SelfStock_Log[WeekIndex],28)=0,"",SUMIFS(T_SelfStock_Log[Self_Qty],T_SelfStock_Log[Part Name],$A44,T_SelfStock_Log[WeekIndex],28))</f>
        <v/>
      </c>
      <c r="AD44" s="12">
        <f>IF(COUNTIFS(T_SelfStock_Log[Part Name],$A44,T_SelfStock_Log[WeekIndex],29)=0,"",SUMIFS(T_SelfStock_Log[Self_Qty],T_SelfStock_Log[Part Name],$A44,T_SelfStock_Log[WeekIndex],29))</f>
        <v/>
      </c>
      <c r="AE44" s="12">
        <f>IF(COUNTIFS(T_SelfStock_Log[Part Name],$A44,T_SelfStock_Log[WeekIndex],30)=0,"",SUMIFS(T_SelfStock_Log[Self_Qty],T_SelfStock_Log[Part Name],$A44,T_SelfStock_Log[WeekIndex],30))</f>
        <v/>
      </c>
      <c r="AF44" s="12">
        <f>IF(COUNTIFS(T_SelfStock_Log[Part Name],$A44,T_SelfStock_Log[WeekIndex],31)=0,"",SUMIFS(T_SelfStock_Log[Self_Qty],T_SelfStock_Log[Part Name],$A44,T_SelfStock_Log[WeekIndex],31))</f>
        <v/>
      </c>
      <c r="AG44" s="12">
        <f>IF(COUNTIFS(T_SelfStock_Log[Part Name],$A44,T_SelfStock_Log[WeekIndex],32)=0,"",SUMIFS(T_SelfStock_Log[Self_Qty],T_SelfStock_Log[Part Name],$A44,T_SelfStock_Log[WeekIndex],32))</f>
        <v/>
      </c>
      <c r="AH44" s="12">
        <f>IF(COUNTIFS(T_SelfStock_Log[Part Name],$A44,T_SelfStock_Log[WeekIndex],33)=0,"",SUMIFS(T_SelfStock_Log[Self_Qty],T_SelfStock_Log[Part Name],$A44,T_SelfStock_Log[WeekIndex],33))</f>
        <v/>
      </c>
      <c r="AI44" s="12">
        <f>IF(COUNTIFS(T_SelfStock_Log[Part Name],$A44,T_SelfStock_Log[WeekIndex],34)=0,"",SUMIFS(T_SelfStock_Log[Self_Qty],T_SelfStock_Log[Part Name],$A44,T_SelfStock_Log[WeekIndex],34))</f>
        <v/>
      </c>
      <c r="AJ44" s="12">
        <f>IF(COUNTIFS(T_SelfStock_Log[Part Name],$A44,T_SelfStock_Log[WeekIndex],35)=0,"",SUMIFS(T_SelfStock_Log[Self_Qty],T_SelfStock_Log[Part Name],$A44,T_SelfStock_Log[WeekIndex],35))</f>
        <v/>
      </c>
      <c r="AK44" s="12">
        <f>IF(COUNTIFS(T_SelfStock_Log[Part Name],$A44,T_SelfStock_Log[WeekIndex],36)=0,"",SUMIFS(T_SelfStock_Log[Self_Qty],T_SelfStock_Log[Part Name],$A44,T_SelfStock_Log[WeekIndex],36))</f>
        <v/>
      </c>
      <c r="AL44" s="12">
        <f>IF(COUNTIFS(T_SelfStock_Log[Part Name],$A44,T_SelfStock_Log[WeekIndex],37)=0,"",SUMIFS(T_SelfStock_Log[Self_Qty],T_SelfStock_Log[Part Name],$A44,T_SelfStock_Log[WeekIndex],37))</f>
        <v/>
      </c>
      <c r="AM44" s="12">
        <f>IF(COUNTIFS(T_SelfStock_Log[Part Name],$A44,T_SelfStock_Log[WeekIndex],38)=0,"",SUMIFS(T_SelfStock_Log[Self_Qty],T_SelfStock_Log[Part Name],$A44,T_SelfStock_Log[WeekIndex],38))</f>
        <v/>
      </c>
      <c r="AN44" s="12">
        <f>IF(COUNTIFS(T_SelfStock_Log[Part Name],$A44,T_SelfStock_Log[WeekIndex],39)=0,"",SUMIFS(T_SelfStock_Log[Self_Qty],T_SelfStock_Log[Part Name],$A44,T_SelfStock_Log[WeekIndex],39))</f>
        <v/>
      </c>
      <c r="AO44" s="12">
        <f>IF(COUNTIFS(T_SelfStock_Log[Part Name],$A44,T_SelfStock_Log[WeekIndex],40)=0,"",SUMIFS(T_SelfStock_Log[Self_Qty],T_SelfStock_Log[Part Name],$A44,T_SelfStock_Log[WeekIndex],40))</f>
        <v/>
      </c>
      <c r="AP44" s="12">
        <f>IF(COUNTIFS(T_SelfStock_Log[Part Name],$A44,T_SelfStock_Log[WeekIndex],41)=0,"",SUMIFS(T_SelfStock_Log[Self_Qty],T_SelfStock_Log[Part Name],$A44,T_SelfStock_Log[WeekIndex],41))</f>
        <v/>
      </c>
      <c r="AQ44" s="12">
        <f>IF(COUNTIFS(T_SelfStock_Log[Part Name],$A44,T_SelfStock_Log[WeekIndex],42)=0,"",SUMIFS(T_SelfStock_Log[Self_Qty],T_SelfStock_Log[Part Name],$A44,T_SelfStock_Log[WeekIndex],42))</f>
        <v/>
      </c>
      <c r="AR44" s="12">
        <f>IF(COUNTIFS(T_SelfStock_Log[Part Name],$A44,T_SelfStock_Log[WeekIndex],43)=0,"",SUMIFS(T_SelfStock_Log[Self_Qty],T_SelfStock_Log[Part Name],$A44,T_SelfStock_Log[WeekIndex],43))</f>
        <v/>
      </c>
      <c r="AS44" s="12">
        <f>IF(COUNTIFS(T_SelfStock_Log[Part Name],$A44,T_SelfStock_Log[WeekIndex],44)=0,"",SUMIFS(T_SelfStock_Log[Self_Qty],T_SelfStock_Log[Part Name],$A44,T_SelfStock_Log[WeekIndex],44))</f>
        <v/>
      </c>
      <c r="AT44" s="12">
        <f>IF(COUNTIFS(T_SelfStock_Log[Part Name],$A44,T_SelfStock_Log[WeekIndex],45)=0,"",SUMIFS(T_SelfStock_Log[Self_Qty],T_SelfStock_Log[Part Name],$A44,T_SelfStock_Log[WeekIndex],45))</f>
        <v/>
      </c>
      <c r="AU44" s="12">
        <f>IF(COUNTIFS(T_SelfStock_Log[Part Name],$A44,T_SelfStock_Log[WeekIndex],46)=0,"",SUMIFS(T_SelfStock_Log[Self_Qty],T_SelfStock_Log[Part Name],$A44,T_SelfStock_Log[WeekIndex],46))</f>
        <v/>
      </c>
      <c r="AV44" s="12">
        <f>IF(COUNTIFS(T_SelfStock_Log[Part Name],$A44,T_SelfStock_Log[WeekIndex],47)=0,"",SUMIFS(T_SelfStock_Log[Self_Qty],T_SelfStock_Log[Part Name],$A44,T_SelfStock_Log[WeekIndex],47))</f>
        <v/>
      </c>
      <c r="AW44" s="12">
        <f>IF(COUNTIFS(T_SelfStock_Log[Part Name],$A44,T_SelfStock_Log[WeekIndex],48)=0,"",SUMIFS(T_SelfStock_Log[Self_Qty],T_SelfStock_Log[Part Name],$A44,T_SelfStock_Log[WeekIndex],48))</f>
        <v/>
      </c>
      <c r="AX44" s="12">
        <f>IF(COUNTIFS(T_SelfStock_Log[Part Name],$A44,T_SelfStock_Log[WeekIndex],49)=0,"",SUMIFS(T_SelfStock_Log[Self_Qty],T_SelfStock_Log[Part Name],$A44,T_SelfStock_Log[WeekIndex],49))</f>
        <v/>
      </c>
      <c r="AY44" s="12">
        <f>IF(COUNTIFS(T_SelfStock_Log[Part Name],$A44,T_SelfStock_Log[WeekIndex],50)=0,"",SUMIFS(T_SelfStock_Log[Self_Qty],T_SelfStock_Log[Part Name],$A44,T_SelfStock_Log[WeekIndex],50))</f>
        <v/>
      </c>
      <c r="AZ44" s="12">
        <f>IF(COUNTIFS(T_SelfStock_Log[Part Name],$A44,T_SelfStock_Log[WeekIndex],51)=0,"",SUMIFS(T_SelfStock_Log[Self_Qty],T_SelfStock_Log[Part Name],$A44,T_SelfStock_Log[WeekIndex],51))</f>
        <v/>
      </c>
      <c r="BA44" s="12">
        <f>IF(COUNTIFS(T_SelfStock_Log[Part Name],$A44,T_SelfStock_Log[WeekIndex],52)=0,"",SUMIFS(T_SelfStock_Log[Self_Qty],T_SelfStock_Log[Part Name],$A44,T_SelfStock_Log[WeekIndex],52))</f>
        <v/>
      </c>
      <c r="BB44" s="12">
        <f>IF(COUNTIFS(T_SelfStock_Log[Part Name],$A44,T_SelfStock_Log[WeekIndex],53)=0,"",SUMIFS(T_SelfStock_Log[Self_Qty],T_SelfStock_Log[Part Name],$A44,T_SelfStock_Log[WeekIndex],53))</f>
        <v/>
      </c>
      <c r="BC44" s="12">
        <f>IF(COUNTIFS(T_SelfStock_Log[Part Name],$A44,T_SelfStock_Log[WeekIndex],54)=0,"",SUMIFS(T_SelfStock_Log[Self_Qty],T_SelfStock_Log[Part Name],$A44,T_SelfStock_Log[WeekIndex],54))</f>
        <v/>
      </c>
      <c r="BD44" s="12">
        <f>IF(COUNTIFS(T_SelfStock_Log[Part Name],$A44,T_SelfStock_Log[WeekIndex],55)=0,"",SUMIFS(T_SelfStock_Log[Self_Qty],T_SelfStock_Log[Part Name],$A44,T_SelfStock_Log[WeekIndex],55))</f>
        <v/>
      </c>
      <c r="BE44" s="12">
        <f>IF(COUNTIFS(T_SelfStock_Log[Part Name],$A44,T_SelfStock_Log[WeekIndex],56)=0,"",SUMIFS(T_SelfStock_Log[Self_Qty],T_SelfStock_Log[Part Name],$A44,T_SelfStock_Log[WeekIndex],56))</f>
        <v/>
      </c>
      <c r="BF44" s="12">
        <f>IF(COUNTIFS(T_SelfStock_Log[Part Name],$A44,T_SelfStock_Log[WeekIndex],57)=0,"",SUMIFS(T_SelfStock_Log[Self_Qty],T_SelfStock_Log[Part Name],$A44,T_SelfStock_Log[WeekIndex],57))</f>
        <v/>
      </c>
      <c r="BG44" s="12">
        <f>IF(COUNTIFS(T_SelfStock_Log[Part Name],$A44,T_SelfStock_Log[WeekIndex],58)=0,"",SUMIFS(T_SelfStock_Log[Self_Qty],T_SelfStock_Log[Part Name],$A44,T_SelfStock_Log[WeekIndex],58))</f>
        <v/>
      </c>
      <c r="BH44" s="12">
        <f>IF(COUNTIFS(T_SelfStock_Log[Part Name],$A44,T_SelfStock_Log[WeekIndex],59)=0,"",SUMIFS(T_SelfStock_Log[Self_Qty],T_SelfStock_Log[Part Name],$A44,T_SelfStock_Log[WeekIndex],59))</f>
        <v/>
      </c>
      <c r="BI44" s="12">
        <f>IF(COUNTIFS(T_SelfStock_Log[Part Name],$A44,T_SelfStock_Log[WeekIndex],60)=0,"",SUMIFS(T_SelfStock_Log[Self_Qty],T_SelfStock_Log[Part Name],$A44,T_SelfStock_Log[WeekIndex],60))</f>
        <v/>
      </c>
      <c r="BJ44" s="12">
        <f>IF(COUNTIFS(T_SelfStock_Log[Part Name],$A44,T_SelfStock_Log[WeekIndex],61)=0,"",SUMIFS(T_SelfStock_Log[Self_Qty],T_SelfStock_Log[Part Name],$A44,T_SelfStock_Log[WeekIndex],61))</f>
        <v/>
      </c>
      <c r="BK44" s="12">
        <f>IF(COUNTIFS(T_SelfStock_Log[Part Name],$A44,T_SelfStock_Log[WeekIndex],62)=0,"",SUMIFS(T_SelfStock_Log[Self_Qty],T_SelfStock_Log[Part Name],$A44,T_SelfStock_Log[WeekIndex],62))</f>
        <v/>
      </c>
      <c r="BL44" s="12">
        <f>IF(COUNTIFS(T_SelfStock_Log[Part Name],$A44,T_SelfStock_Log[WeekIndex],63)=0,"",SUMIFS(T_SelfStock_Log[Self_Qty],T_SelfStock_Log[Part Name],$A44,T_SelfStock_Log[WeekIndex],63))</f>
        <v/>
      </c>
      <c r="BM44" s="12">
        <f>IF(COUNTIFS(T_SelfStock_Log[Part Name],$A44,T_SelfStock_Log[WeekIndex],64)=0,"",SUMIFS(T_SelfStock_Log[Self_Qty],T_SelfStock_Log[Part Name],$A44,T_SelfStock_Log[WeekIndex],64))</f>
        <v/>
      </c>
      <c r="BN44" s="12">
        <f>IF(COUNTIFS(T_SelfStock_Log[Part Name],$A44,T_SelfStock_Log[WeekIndex],65)=0,"",SUMIFS(T_SelfStock_Log[Self_Qty],T_SelfStock_Log[Part Name],$A44,T_SelfStock_Log[WeekIndex],65))</f>
        <v/>
      </c>
      <c r="BO44" s="12">
        <f>IF(COUNTIFS(T_SelfStock_Log[Part Name],$A44,T_SelfStock_Log[WeekIndex],66)=0,"",SUMIFS(T_SelfStock_Log[Self_Qty],T_SelfStock_Log[Part Name],$A44,T_SelfStock_Log[WeekIndex],66))</f>
        <v/>
      </c>
      <c r="BP44" s="12">
        <f>IF(COUNTIFS(T_SelfStock_Log[Part Name],$A44,T_SelfStock_Log[WeekIndex],67)=0,"",SUMIFS(T_SelfStock_Log[Self_Qty],T_SelfStock_Log[Part Name],$A44,T_SelfStock_Log[WeekIndex],67))</f>
        <v/>
      </c>
      <c r="BQ44" s="12">
        <f>IF(COUNTIFS(T_SelfStock_Log[Part Name],$A44,T_SelfStock_Log[WeekIndex],68)=0,"",SUMIFS(T_SelfStock_Log[Self_Qty],T_SelfStock_Log[Part Name],$A44,T_SelfStock_Log[WeekIndex],68))</f>
        <v/>
      </c>
      <c r="BR44" s="12">
        <f>IF(COUNTIFS(T_SelfStock_Log[Part Name],$A44,T_SelfStock_Log[WeekIndex],69)=0,"",SUMIFS(T_SelfStock_Log[Self_Qty],T_SelfStock_Log[Part Name],$A44,T_SelfStock_Log[WeekIndex],69))</f>
        <v/>
      </c>
      <c r="BS44" s="12">
        <f>IF(COUNTIFS(T_SelfStock_Log[Part Name],$A44,T_SelfStock_Log[WeekIndex],70)=0,"",SUMIFS(T_SelfStock_Log[Self_Qty],T_SelfStock_Log[Part Name],$A44,T_SelfStock_Log[WeekIndex],70))</f>
        <v/>
      </c>
      <c r="BT44" s="12">
        <f>IF(COUNTIFS(T_SelfStock_Log[Part Name],$A44,T_SelfStock_Log[WeekIndex],71)=0,"",SUMIFS(T_SelfStock_Log[Self_Qty],T_SelfStock_Log[Part Name],$A44,T_SelfStock_Log[WeekIndex],71))</f>
        <v/>
      </c>
      <c r="BU44" s="12">
        <f>IF(COUNTIFS(T_SelfStock_Log[Part Name],$A44,T_SelfStock_Log[WeekIndex],72)=0,"",SUMIFS(T_SelfStock_Log[Self_Qty],T_SelfStock_Log[Part Name],$A44,T_SelfStock_Log[WeekIndex],72))</f>
        <v/>
      </c>
      <c r="BV44" s="12">
        <f>IF(COUNTIFS(T_SelfStock_Log[Part Name],$A44,T_SelfStock_Log[WeekIndex],73)=0,"",SUMIFS(T_SelfStock_Log[Self_Qty],T_SelfStock_Log[Part Name],$A44,T_SelfStock_Log[WeekIndex],73))</f>
        <v/>
      </c>
      <c r="BW44" s="12">
        <f>IF(COUNTIFS(T_SelfStock_Log[Part Name],$A44,T_SelfStock_Log[WeekIndex],74)=0,"",SUMIFS(T_SelfStock_Log[Self_Qty],T_SelfStock_Log[Part Name],$A44,T_SelfStock_Log[WeekIndex],74))</f>
        <v/>
      </c>
      <c r="BX44" s="12">
        <f>IF(COUNTIFS(T_SelfStock_Log[Part Name],$A44,T_SelfStock_Log[WeekIndex],75)=0,"",SUMIFS(T_SelfStock_Log[Self_Qty],T_SelfStock_Log[Part Name],$A44,T_SelfStock_Log[WeekIndex],75))</f>
        <v/>
      </c>
      <c r="BY44" s="12">
        <f>IF(COUNTIFS(T_SelfStock_Log[Part Name],$A44,T_SelfStock_Log[WeekIndex],76)=0,"",SUMIFS(T_SelfStock_Log[Self_Qty],T_SelfStock_Log[Part Name],$A44,T_SelfStock_Log[WeekIndex],76))</f>
        <v/>
      </c>
      <c r="BZ44" s="12">
        <f>IF(COUNTIFS(T_SelfStock_Log[Part Name],$A44,T_SelfStock_Log[WeekIndex],77)=0,"",SUMIFS(T_SelfStock_Log[Self_Qty],T_SelfStock_Log[Part Name],$A44,T_SelfStock_Log[WeekIndex],77))</f>
        <v/>
      </c>
      <c r="CA44" s="12">
        <f>IF(COUNTIFS(T_SelfStock_Log[Part Name],$A44,T_SelfStock_Log[WeekIndex],78)=0,"",SUMIFS(T_SelfStock_Log[Self_Qty],T_SelfStock_Log[Part Name],$A44,T_SelfStock_Log[WeekIndex],78))</f>
        <v/>
      </c>
      <c r="CB44" s="12">
        <f>IF(COUNTIFS(T_SelfStock_Log[Part Name],$A44,T_SelfStock_Log[WeekIndex],79)=0,"",SUMIFS(T_SelfStock_Log[Self_Qty],T_SelfStock_Log[Part Name],$A44,T_SelfStock_Log[WeekIndex],79))</f>
        <v/>
      </c>
      <c r="CC44" s="12">
        <f>IF(COUNTIFS(T_SelfStock_Log[Part Name],$A44,T_SelfStock_Log[WeekIndex],80)=0,"",SUMIFS(T_SelfStock_Log[Self_Qty],T_SelfStock_Log[Part Name],$A44,T_SelfStock_Log[WeekIndex],80))</f>
        <v/>
      </c>
      <c r="CD44" s="12">
        <f>IF(COUNTIFS(T_SelfStock_Log[Part Name],$A44,T_SelfStock_Log[WeekIndex],81)=0,"",SUMIFS(T_SelfStock_Log[Self_Qty],T_SelfStock_Log[Part Name],$A44,T_SelfStock_Log[WeekIndex],81))</f>
        <v/>
      </c>
      <c r="CE44" s="12">
        <f>IF(COUNTIFS(T_SelfStock_Log[Part Name],$A44,T_SelfStock_Log[WeekIndex],82)=0,"",SUMIFS(T_SelfStock_Log[Self_Qty],T_SelfStock_Log[Part Name],$A44,T_SelfStock_Log[WeekIndex],82))</f>
        <v/>
      </c>
      <c r="CF44" s="12">
        <f>IF(COUNTIFS(T_SelfStock_Log[Part Name],$A44,T_SelfStock_Log[WeekIndex],83)=0,"",SUMIFS(T_SelfStock_Log[Self_Qty],T_SelfStock_Log[Part Name],$A44,T_SelfStock_Log[WeekIndex],83))</f>
        <v/>
      </c>
      <c r="CG44" s="12">
        <f>IF(COUNTIFS(T_SelfStock_Log[Part Name],$A44,T_SelfStock_Log[WeekIndex],84)=0,"",SUMIFS(T_SelfStock_Log[Self_Qty],T_SelfStock_Log[Part Name],$A44,T_SelfStock_Log[WeekIndex],84))</f>
        <v/>
      </c>
      <c r="CH44" s="12">
        <f>IF(COUNTIFS(T_SelfStock_Log[Part Name],$A44,T_SelfStock_Log[WeekIndex],85)=0,"",SUMIFS(T_SelfStock_Log[Self_Qty],T_SelfStock_Log[Part Name],$A44,T_SelfStock_Log[WeekIndex],85))</f>
        <v/>
      </c>
      <c r="CI44" s="12">
        <f>IF(COUNTIFS(T_SelfStock_Log[Part Name],$A44,T_SelfStock_Log[WeekIndex],86)=0,"",SUMIFS(T_SelfStock_Log[Self_Qty],T_SelfStock_Log[Part Name],$A44,T_SelfStock_Log[WeekIndex],86))</f>
        <v/>
      </c>
      <c r="CJ44" s="12">
        <f>IF(COUNTIFS(T_SelfStock_Log[Part Name],$A44,T_SelfStock_Log[WeekIndex],87)=0,"",SUMIFS(T_SelfStock_Log[Self_Qty],T_SelfStock_Log[Part Name],$A44,T_SelfStock_Log[WeekIndex],87))</f>
        <v/>
      </c>
      <c r="CK44" s="12">
        <f>IF(COUNTIFS(T_SelfStock_Log[Part Name],$A44,T_SelfStock_Log[WeekIndex],88)=0,"",SUMIFS(T_SelfStock_Log[Self_Qty],T_SelfStock_Log[Part Name],$A44,T_SelfStock_Log[WeekIndex],88))</f>
        <v/>
      </c>
      <c r="CL44" s="12">
        <f>IF(COUNTIFS(T_SelfStock_Log[Part Name],$A44,T_SelfStock_Log[WeekIndex],89)=0,"",SUMIFS(T_SelfStock_Log[Self_Qty],T_SelfStock_Log[Part Name],$A44,T_SelfStock_Log[WeekIndex],89))</f>
        <v/>
      </c>
      <c r="CM44" s="12">
        <f>IF(COUNTIFS(T_SelfStock_Log[Part Name],$A44,T_SelfStock_Log[WeekIndex],90)=0,"",SUMIFS(T_SelfStock_Log[Self_Qty],T_SelfStock_Log[Part Name],$A44,T_SelfStock_Log[WeekIndex],90))</f>
        <v/>
      </c>
      <c r="CN44" s="12">
        <f>IF(COUNTIFS(T_SelfStock_Log[Part Name],$A44,T_SelfStock_Log[WeekIndex],91)=0,"",SUMIFS(T_SelfStock_Log[Self_Qty],T_SelfStock_Log[Part Name],$A44,T_SelfStock_Log[WeekIndex],91))</f>
        <v/>
      </c>
      <c r="CO44" s="12">
        <f>IF(COUNTIFS(T_SelfStock_Log[Part Name],$A44,T_SelfStock_Log[WeekIndex],92)=0,"",SUMIFS(T_SelfStock_Log[Self_Qty],T_SelfStock_Log[Part Name],$A44,T_SelfStock_Log[WeekIndex],92))</f>
        <v/>
      </c>
      <c r="CP44" s="12">
        <f>IF(COUNTIFS(T_SelfStock_Log[Part Name],$A44,T_SelfStock_Log[WeekIndex],93)=0,"",SUMIFS(T_SelfStock_Log[Self_Qty],T_SelfStock_Log[Part Name],$A44,T_SelfStock_Log[WeekIndex],93))</f>
        <v/>
      </c>
      <c r="CQ44" s="12">
        <f>IF(COUNTIFS(T_SelfStock_Log[Part Name],$A44,T_SelfStock_Log[WeekIndex],94)=0,"",SUMIFS(T_SelfStock_Log[Self_Qty],T_SelfStock_Log[Part Name],$A44,T_SelfStock_Log[WeekIndex],94))</f>
        <v/>
      </c>
      <c r="CR44" s="12">
        <f>IF(COUNTIFS(T_SelfStock_Log[Part Name],$A44,T_SelfStock_Log[WeekIndex],95)=0,"",SUMIFS(T_SelfStock_Log[Self_Qty],T_SelfStock_Log[Part Name],$A44,T_SelfStock_Log[WeekIndex],95))</f>
        <v/>
      </c>
      <c r="CS44" s="12">
        <f>IF(COUNTIFS(T_SelfStock_Log[Part Name],$A44,T_SelfStock_Log[WeekIndex],96)=0,"",SUMIFS(T_SelfStock_Log[Self_Qty],T_SelfStock_Log[Part Name],$A44,T_SelfStock_Log[WeekIndex],96))</f>
        <v/>
      </c>
      <c r="CT44" s="12">
        <f>IF(COUNTIFS(T_SelfStock_Log[Part Name],$A44,T_SelfStock_Log[WeekIndex],97)=0,"",SUMIFS(T_SelfStock_Log[Self_Qty],T_SelfStock_Log[Part Name],$A44,T_SelfStock_Log[WeekIndex],97))</f>
        <v/>
      </c>
      <c r="CU44" s="12">
        <f>IF(COUNTIFS(T_SelfStock_Log[Part Name],$A44,T_SelfStock_Log[WeekIndex],98)=0,"",SUMIFS(T_SelfStock_Log[Self_Qty],T_SelfStock_Log[Part Name],$A44,T_SelfStock_Log[WeekIndex],98))</f>
        <v/>
      </c>
      <c r="CV44" s="12">
        <f>IF(COUNTIFS(T_SelfStock_Log[Part Name],$A44,T_SelfStock_Log[WeekIndex],99)=0,"",SUMIFS(T_SelfStock_Log[Self_Qty],T_SelfStock_Log[Part Name],$A44,T_SelfStock_Log[WeekIndex],99))</f>
        <v/>
      </c>
      <c r="CW44" s="12">
        <f>IF(COUNTIFS(T_SelfStock_Log[Part Name],$A44,T_SelfStock_Log[WeekIndex],100)=0,"",SUMIFS(T_SelfStock_Log[Self_Qty],T_SelfStock_Log[Part Name],$A44,T_SelfStock_Log[WeekIndex],100))</f>
        <v/>
      </c>
      <c r="CX44" s="12">
        <f>IF(COUNTIFS(T_SelfStock_Log[Part Name],$A44,T_SelfStock_Log[WeekIndex],101)=0,"",SUMIFS(T_SelfStock_Log[Self_Qty],T_SelfStock_Log[Part Name],$A44,T_SelfStock_Log[WeekIndex],101))</f>
        <v/>
      </c>
      <c r="CY44" s="12">
        <f>IF(COUNTIFS(T_SelfStock_Log[Part Name],$A44,T_SelfStock_Log[WeekIndex],102)=0,"",SUMIFS(T_SelfStock_Log[Self_Qty],T_SelfStock_Log[Part Name],$A44,T_SelfStock_Log[WeekIndex],102))</f>
        <v/>
      </c>
      <c r="CZ44" s="12">
        <f>IF(COUNTIFS(T_SelfStock_Log[Part Name],$A44,T_SelfStock_Log[WeekIndex],103)=0,"",SUMIFS(T_SelfStock_Log[Self_Qty],T_SelfStock_Log[Part Name],$A44,T_SelfStock_Log[WeekIndex],103))</f>
        <v/>
      </c>
      <c r="DA44" s="12">
        <f>IF(COUNTIFS(T_SelfStock_Log[Part Name],$A44,T_SelfStock_Log[WeekIndex],104)=0,"",SUMIFS(T_SelfStock_Log[Self_Qty],T_SelfStock_Log[Part Name],$A44,T_SelfStock_Log[WeekIndex],104))</f>
        <v/>
      </c>
    </row>
    <row r="45">
      <c r="A45" s="13" t="inlineStr">
        <is>
          <t>1JN</t>
        </is>
      </c>
      <c r="B45" s="13">
        <f>IF(COUNTIFS(T_SelfStock_Log[Part Name],$A45,T_SelfStock_Log[WeekIndex],1)=0,"",SUMIFS(T_SelfStock_Log[Self_Qty],T_SelfStock_Log[Part Name],$A45,T_SelfStock_Log[WeekIndex],1))</f>
        <v/>
      </c>
      <c r="C45" s="13">
        <f>IF(COUNTIFS(T_SelfStock_Log[Part Name],$A45,T_SelfStock_Log[WeekIndex],2)=0,"",SUMIFS(T_SelfStock_Log[Self_Qty],T_SelfStock_Log[Part Name],$A45,T_SelfStock_Log[WeekIndex],2))</f>
        <v/>
      </c>
      <c r="D45" s="13">
        <f>IF(COUNTIFS(T_SelfStock_Log[Part Name],$A45,T_SelfStock_Log[WeekIndex],3)=0,"",SUMIFS(T_SelfStock_Log[Self_Qty],T_SelfStock_Log[Part Name],$A45,T_SelfStock_Log[WeekIndex],3))</f>
        <v/>
      </c>
      <c r="E45" s="13">
        <f>IF(COUNTIFS(T_SelfStock_Log[Part Name],$A45,T_SelfStock_Log[WeekIndex],4)=0,"",SUMIFS(T_SelfStock_Log[Self_Qty],T_SelfStock_Log[Part Name],$A45,T_SelfStock_Log[WeekIndex],4))</f>
        <v/>
      </c>
      <c r="F45" s="13">
        <f>IF(COUNTIFS(T_SelfStock_Log[Part Name],$A45,T_SelfStock_Log[WeekIndex],5)=0,"",SUMIFS(T_SelfStock_Log[Self_Qty],T_SelfStock_Log[Part Name],$A45,T_SelfStock_Log[WeekIndex],5))</f>
        <v/>
      </c>
      <c r="G45" s="13">
        <f>IF(COUNTIFS(T_SelfStock_Log[Part Name],$A45,T_SelfStock_Log[WeekIndex],6)=0,"",SUMIFS(T_SelfStock_Log[Self_Qty],T_SelfStock_Log[Part Name],$A45,T_SelfStock_Log[WeekIndex],6))</f>
        <v/>
      </c>
      <c r="H45" s="13">
        <f>IF(COUNTIFS(T_SelfStock_Log[Part Name],$A45,T_SelfStock_Log[WeekIndex],7)=0,"",SUMIFS(T_SelfStock_Log[Self_Qty],T_SelfStock_Log[Part Name],$A45,T_SelfStock_Log[WeekIndex],7))</f>
        <v/>
      </c>
      <c r="I45" s="13">
        <f>IF(COUNTIFS(T_SelfStock_Log[Part Name],$A45,T_SelfStock_Log[WeekIndex],8)=0,"",SUMIFS(T_SelfStock_Log[Self_Qty],T_SelfStock_Log[Part Name],$A45,T_SelfStock_Log[WeekIndex],8))</f>
        <v/>
      </c>
      <c r="J45" s="13">
        <f>IF(COUNTIFS(T_SelfStock_Log[Part Name],$A45,T_SelfStock_Log[WeekIndex],9)=0,"",SUMIFS(T_SelfStock_Log[Self_Qty],T_SelfStock_Log[Part Name],$A45,T_SelfStock_Log[WeekIndex],9))</f>
        <v/>
      </c>
      <c r="K45" s="13">
        <f>IF(COUNTIFS(T_SelfStock_Log[Part Name],$A45,T_SelfStock_Log[WeekIndex],10)=0,"",SUMIFS(T_SelfStock_Log[Self_Qty],T_SelfStock_Log[Part Name],$A45,T_SelfStock_Log[WeekIndex],10))</f>
        <v/>
      </c>
      <c r="L45" s="13">
        <f>IF(COUNTIFS(T_SelfStock_Log[Part Name],$A45,T_SelfStock_Log[WeekIndex],11)=0,"",SUMIFS(T_SelfStock_Log[Self_Qty],T_SelfStock_Log[Part Name],$A45,T_SelfStock_Log[WeekIndex],11))</f>
        <v/>
      </c>
      <c r="M45" s="13">
        <f>IF(COUNTIFS(T_SelfStock_Log[Part Name],$A45,T_SelfStock_Log[WeekIndex],12)=0,"",SUMIFS(T_SelfStock_Log[Self_Qty],T_SelfStock_Log[Part Name],$A45,T_SelfStock_Log[WeekIndex],12))</f>
        <v/>
      </c>
      <c r="N45" s="13">
        <f>IF(COUNTIFS(T_SelfStock_Log[Part Name],$A45,T_SelfStock_Log[WeekIndex],13)=0,"",SUMIFS(T_SelfStock_Log[Self_Qty],T_SelfStock_Log[Part Name],$A45,T_SelfStock_Log[WeekIndex],13))</f>
        <v/>
      </c>
      <c r="O45" s="13">
        <f>IF(COUNTIFS(T_SelfStock_Log[Part Name],$A45,T_SelfStock_Log[WeekIndex],14)=0,"",SUMIFS(T_SelfStock_Log[Self_Qty],T_SelfStock_Log[Part Name],$A45,T_SelfStock_Log[WeekIndex],14))</f>
        <v/>
      </c>
      <c r="P45" s="13">
        <f>IF(COUNTIFS(T_SelfStock_Log[Part Name],$A45,T_SelfStock_Log[WeekIndex],15)=0,"",SUMIFS(T_SelfStock_Log[Self_Qty],T_SelfStock_Log[Part Name],$A45,T_SelfStock_Log[WeekIndex],15))</f>
        <v/>
      </c>
      <c r="Q45" s="13">
        <f>IF(COUNTIFS(T_SelfStock_Log[Part Name],$A45,T_SelfStock_Log[WeekIndex],16)=0,"",SUMIFS(T_SelfStock_Log[Self_Qty],T_SelfStock_Log[Part Name],$A45,T_SelfStock_Log[WeekIndex],16))</f>
        <v/>
      </c>
      <c r="R45" s="13">
        <f>IF(COUNTIFS(T_SelfStock_Log[Part Name],$A45,T_SelfStock_Log[WeekIndex],17)=0,"",SUMIFS(T_SelfStock_Log[Self_Qty],T_SelfStock_Log[Part Name],$A45,T_SelfStock_Log[WeekIndex],17))</f>
        <v/>
      </c>
      <c r="S45" s="13">
        <f>IF(COUNTIFS(T_SelfStock_Log[Part Name],$A45,T_SelfStock_Log[WeekIndex],18)=0,"",SUMIFS(T_SelfStock_Log[Self_Qty],T_SelfStock_Log[Part Name],$A45,T_SelfStock_Log[WeekIndex],18))</f>
        <v/>
      </c>
      <c r="T45" s="13">
        <f>IF(COUNTIFS(T_SelfStock_Log[Part Name],$A45,T_SelfStock_Log[WeekIndex],19)=0,"",SUMIFS(T_SelfStock_Log[Self_Qty],T_SelfStock_Log[Part Name],$A45,T_SelfStock_Log[WeekIndex],19))</f>
        <v/>
      </c>
      <c r="U45" s="13">
        <f>IF(COUNTIFS(T_SelfStock_Log[Part Name],$A45,T_SelfStock_Log[WeekIndex],20)=0,"",SUMIFS(T_SelfStock_Log[Self_Qty],T_SelfStock_Log[Part Name],$A45,T_SelfStock_Log[WeekIndex],20))</f>
        <v/>
      </c>
      <c r="V45" s="13">
        <f>IF(COUNTIFS(T_SelfStock_Log[Part Name],$A45,T_SelfStock_Log[WeekIndex],21)=0,"",SUMIFS(T_SelfStock_Log[Self_Qty],T_SelfStock_Log[Part Name],$A45,T_SelfStock_Log[WeekIndex],21))</f>
        <v/>
      </c>
      <c r="W45" s="13">
        <f>IF(COUNTIFS(T_SelfStock_Log[Part Name],$A45,T_SelfStock_Log[WeekIndex],22)=0,"",SUMIFS(T_SelfStock_Log[Self_Qty],T_SelfStock_Log[Part Name],$A45,T_SelfStock_Log[WeekIndex],22))</f>
        <v/>
      </c>
      <c r="X45" s="13">
        <f>IF(COUNTIFS(T_SelfStock_Log[Part Name],$A45,T_SelfStock_Log[WeekIndex],23)=0,"",SUMIFS(T_SelfStock_Log[Self_Qty],T_SelfStock_Log[Part Name],$A45,T_SelfStock_Log[WeekIndex],23))</f>
        <v/>
      </c>
      <c r="Y45" s="13">
        <f>IF(COUNTIFS(T_SelfStock_Log[Part Name],$A45,T_SelfStock_Log[WeekIndex],24)=0,"",SUMIFS(T_SelfStock_Log[Self_Qty],T_SelfStock_Log[Part Name],$A45,T_SelfStock_Log[WeekIndex],24))</f>
        <v/>
      </c>
      <c r="Z45" s="13">
        <f>IF(COUNTIFS(T_SelfStock_Log[Part Name],$A45,T_SelfStock_Log[WeekIndex],25)=0,"",SUMIFS(T_SelfStock_Log[Self_Qty],T_SelfStock_Log[Part Name],$A45,T_SelfStock_Log[WeekIndex],25))</f>
        <v/>
      </c>
      <c r="AA45" s="13">
        <f>IF(COUNTIFS(T_SelfStock_Log[Part Name],$A45,T_SelfStock_Log[WeekIndex],26)=0,"",SUMIFS(T_SelfStock_Log[Self_Qty],T_SelfStock_Log[Part Name],$A45,T_SelfStock_Log[WeekIndex],26))</f>
        <v/>
      </c>
      <c r="AB45" s="13">
        <f>IF(COUNTIFS(T_SelfStock_Log[Part Name],$A45,T_SelfStock_Log[WeekIndex],27)=0,"",SUMIFS(T_SelfStock_Log[Self_Qty],T_SelfStock_Log[Part Name],$A45,T_SelfStock_Log[WeekIndex],27))</f>
        <v/>
      </c>
      <c r="AC45" s="13">
        <f>IF(COUNTIFS(T_SelfStock_Log[Part Name],$A45,T_SelfStock_Log[WeekIndex],28)=0,"",SUMIFS(T_SelfStock_Log[Self_Qty],T_SelfStock_Log[Part Name],$A45,T_SelfStock_Log[WeekIndex],28))</f>
        <v/>
      </c>
      <c r="AD45" s="13">
        <f>IF(COUNTIFS(T_SelfStock_Log[Part Name],$A45,T_SelfStock_Log[WeekIndex],29)=0,"",SUMIFS(T_SelfStock_Log[Self_Qty],T_SelfStock_Log[Part Name],$A45,T_SelfStock_Log[WeekIndex],29))</f>
        <v/>
      </c>
      <c r="AE45" s="13">
        <f>IF(COUNTIFS(T_SelfStock_Log[Part Name],$A45,T_SelfStock_Log[WeekIndex],30)=0,"",SUMIFS(T_SelfStock_Log[Self_Qty],T_SelfStock_Log[Part Name],$A45,T_SelfStock_Log[WeekIndex],30))</f>
        <v/>
      </c>
      <c r="AF45" s="13">
        <f>IF(COUNTIFS(T_SelfStock_Log[Part Name],$A45,T_SelfStock_Log[WeekIndex],31)=0,"",SUMIFS(T_SelfStock_Log[Self_Qty],T_SelfStock_Log[Part Name],$A45,T_SelfStock_Log[WeekIndex],31))</f>
        <v/>
      </c>
      <c r="AG45" s="13">
        <f>IF(COUNTIFS(T_SelfStock_Log[Part Name],$A45,T_SelfStock_Log[WeekIndex],32)=0,"",SUMIFS(T_SelfStock_Log[Self_Qty],T_SelfStock_Log[Part Name],$A45,T_SelfStock_Log[WeekIndex],32))</f>
        <v/>
      </c>
      <c r="AH45" s="13">
        <f>IF(COUNTIFS(T_SelfStock_Log[Part Name],$A45,T_SelfStock_Log[WeekIndex],33)=0,"",SUMIFS(T_SelfStock_Log[Self_Qty],T_SelfStock_Log[Part Name],$A45,T_SelfStock_Log[WeekIndex],33))</f>
        <v/>
      </c>
      <c r="AI45" s="13">
        <f>IF(COUNTIFS(T_SelfStock_Log[Part Name],$A45,T_SelfStock_Log[WeekIndex],34)=0,"",SUMIFS(T_SelfStock_Log[Self_Qty],T_SelfStock_Log[Part Name],$A45,T_SelfStock_Log[WeekIndex],34))</f>
        <v/>
      </c>
      <c r="AJ45" s="13">
        <f>IF(COUNTIFS(T_SelfStock_Log[Part Name],$A45,T_SelfStock_Log[WeekIndex],35)=0,"",SUMIFS(T_SelfStock_Log[Self_Qty],T_SelfStock_Log[Part Name],$A45,T_SelfStock_Log[WeekIndex],35))</f>
        <v/>
      </c>
      <c r="AK45" s="13">
        <f>IF(COUNTIFS(T_SelfStock_Log[Part Name],$A45,T_SelfStock_Log[WeekIndex],36)=0,"",SUMIFS(T_SelfStock_Log[Self_Qty],T_SelfStock_Log[Part Name],$A45,T_SelfStock_Log[WeekIndex],36))</f>
        <v/>
      </c>
      <c r="AL45" s="13">
        <f>IF(COUNTIFS(T_SelfStock_Log[Part Name],$A45,T_SelfStock_Log[WeekIndex],37)=0,"",SUMIFS(T_SelfStock_Log[Self_Qty],T_SelfStock_Log[Part Name],$A45,T_SelfStock_Log[WeekIndex],37))</f>
        <v/>
      </c>
      <c r="AM45" s="13">
        <f>IF(COUNTIFS(T_SelfStock_Log[Part Name],$A45,T_SelfStock_Log[WeekIndex],38)=0,"",SUMIFS(T_SelfStock_Log[Self_Qty],T_SelfStock_Log[Part Name],$A45,T_SelfStock_Log[WeekIndex],38))</f>
        <v/>
      </c>
      <c r="AN45" s="13">
        <f>IF(COUNTIFS(T_SelfStock_Log[Part Name],$A45,T_SelfStock_Log[WeekIndex],39)=0,"",SUMIFS(T_SelfStock_Log[Self_Qty],T_SelfStock_Log[Part Name],$A45,T_SelfStock_Log[WeekIndex],39))</f>
        <v/>
      </c>
      <c r="AO45" s="13">
        <f>IF(COUNTIFS(T_SelfStock_Log[Part Name],$A45,T_SelfStock_Log[WeekIndex],40)=0,"",SUMIFS(T_SelfStock_Log[Self_Qty],T_SelfStock_Log[Part Name],$A45,T_SelfStock_Log[WeekIndex],40))</f>
        <v/>
      </c>
      <c r="AP45" s="13">
        <f>IF(COUNTIFS(T_SelfStock_Log[Part Name],$A45,T_SelfStock_Log[WeekIndex],41)=0,"",SUMIFS(T_SelfStock_Log[Self_Qty],T_SelfStock_Log[Part Name],$A45,T_SelfStock_Log[WeekIndex],41))</f>
        <v/>
      </c>
      <c r="AQ45" s="13">
        <f>IF(COUNTIFS(T_SelfStock_Log[Part Name],$A45,T_SelfStock_Log[WeekIndex],42)=0,"",SUMIFS(T_SelfStock_Log[Self_Qty],T_SelfStock_Log[Part Name],$A45,T_SelfStock_Log[WeekIndex],42))</f>
        <v/>
      </c>
      <c r="AR45" s="13">
        <f>IF(COUNTIFS(T_SelfStock_Log[Part Name],$A45,T_SelfStock_Log[WeekIndex],43)=0,"",SUMIFS(T_SelfStock_Log[Self_Qty],T_SelfStock_Log[Part Name],$A45,T_SelfStock_Log[WeekIndex],43))</f>
        <v/>
      </c>
      <c r="AS45" s="13">
        <f>IF(COUNTIFS(T_SelfStock_Log[Part Name],$A45,T_SelfStock_Log[WeekIndex],44)=0,"",SUMIFS(T_SelfStock_Log[Self_Qty],T_SelfStock_Log[Part Name],$A45,T_SelfStock_Log[WeekIndex],44))</f>
        <v/>
      </c>
      <c r="AT45" s="13">
        <f>IF(COUNTIFS(T_SelfStock_Log[Part Name],$A45,T_SelfStock_Log[WeekIndex],45)=0,"",SUMIFS(T_SelfStock_Log[Self_Qty],T_SelfStock_Log[Part Name],$A45,T_SelfStock_Log[WeekIndex],45))</f>
        <v/>
      </c>
      <c r="AU45" s="13">
        <f>IF(COUNTIFS(T_SelfStock_Log[Part Name],$A45,T_SelfStock_Log[WeekIndex],46)=0,"",SUMIFS(T_SelfStock_Log[Self_Qty],T_SelfStock_Log[Part Name],$A45,T_SelfStock_Log[WeekIndex],46))</f>
        <v/>
      </c>
      <c r="AV45" s="13">
        <f>IF(COUNTIFS(T_SelfStock_Log[Part Name],$A45,T_SelfStock_Log[WeekIndex],47)=0,"",SUMIFS(T_SelfStock_Log[Self_Qty],T_SelfStock_Log[Part Name],$A45,T_SelfStock_Log[WeekIndex],47))</f>
        <v/>
      </c>
      <c r="AW45" s="13">
        <f>IF(COUNTIFS(T_SelfStock_Log[Part Name],$A45,T_SelfStock_Log[WeekIndex],48)=0,"",SUMIFS(T_SelfStock_Log[Self_Qty],T_SelfStock_Log[Part Name],$A45,T_SelfStock_Log[WeekIndex],48))</f>
        <v/>
      </c>
      <c r="AX45" s="13">
        <f>IF(COUNTIFS(T_SelfStock_Log[Part Name],$A45,T_SelfStock_Log[WeekIndex],49)=0,"",SUMIFS(T_SelfStock_Log[Self_Qty],T_SelfStock_Log[Part Name],$A45,T_SelfStock_Log[WeekIndex],49))</f>
        <v/>
      </c>
      <c r="AY45" s="13">
        <f>IF(COUNTIFS(T_SelfStock_Log[Part Name],$A45,T_SelfStock_Log[WeekIndex],50)=0,"",SUMIFS(T_SelfStock_Log[Self_Qty],T_SelfStock_Log[Part Name],$A45,T_SelfStock_Log[WeekIndex],50))</f>
        <v/>
      </c>
      <c r="AZ45" s="13">
        <f>IF(COUNTIFS(T_SelfStock_Log[Part Name],$A45,T_SelfStock_Log[WeekIndex],51)=0,"",SUMIFS(T_SelfStock_Log[Self_Qty],T_SelfStock_Log[Part Name],$A45,T_SelfStock_Log[WeekIndex],51))</f>
        <v/>
      </c>
      <c r="BA45" s="13">
        <f>IF(COUNTIFS(T_SelfStock_Log[Part Name],$A45,T_SelfStock_Log[WeekIndex],52)=0,"",SUMIFS(T_SelfStock_Log[Self_Qty],T_SelfStock_Log[Part Name],$A45,T_SelfStock_Log[WeekIndex],52))</f>
        <v/>
      </c>
      <c r="BB45" s="13">
        <f>IF(COUNTIFS(T_SelfStock_Log[Part Name],$A45,T_SelfStock_Log[WeekIndex],53)=0,"",SUMIFS(T_SelfStock_Log[Self_Qty],T_SelfStock_Log[Part Name],$A45,T_SelfStock_Log[WeekIndex],53))</f>
        <v/>
      </c>
      <c r="BC45" s="13">
        <f>IF(COUNTIFS(T_SelfStock_Log[Part Name],$A45,T_SelfStock_Log[WeekIndex],54)=0,"",SUMIFS(T_SelfStock_Log[Self_Qty],T_SelfStock_Log[Part Name],$A45,T_SelfStock_Log[WeekIndex],54))</f>
        <v/>
      </c>
      <c r="BD45" s="13">
        <f>IF(COUNTIFS(T_SelfStock_Log[Part Name],$A45,T_SelfStock_Log[WeekIndex],55)=0,"",SUMIFS(T_SelfStock_Log[Self_Qty],T_SelfStock_Log[Part Name],$A45,T_SelfStock_Log[WeekIndex],55))</f>
        <v/>
      </c>
      <c r="BE45" s="13">
        <f>IF(COUNTIFS(T_SelfStock_Log[Part Name],$A45,T_SelfStock_Log[WeekIndex],56)=0,"",SUMIFS(T_SelfStock_Log[Self_Qty],T_SelfStock_Log[Part Name],$A45,T_SelfStock_Log[WeekIndex],56))</f>
        <v/>
      </c>
      <c r="BF45" s="13">
        <f>IF(COUNTIFS(T_SelfStock_Log[Part Name],$A45,T_SelfStock_Log[WeekIndex],57)=0,"",SUMIFS(T_SelfStock_Log[Self_Qty],T_SelfStock_Log[Part Name],$A45,T_SelfStock_Log[WeekIndex],57))</f>
        <v/>
      </c>
      <c r="BG45" s="13">
        <f>IF(COUNTIFS(T_SelfStock_Log[Part Name],$A45,T_SelfStock_Log[WeekIndex],58)=0,"",SUMIFS(T_SelfStock_Log[Self_Qty],T_SelfStock_Log[Part Name],$A45,T_SelfStock_Log[WeekIndex],58))</f>
        <v/>
      </c>
      <c r="BH45" s="13">
        <f>IF(COUNTIFS(T_SelfStock_Log[Part Name],$A45,T_SelfStock_Log[WeekIndex],59)=0,"",SUMIFS(T_SelfStock_Log[Self_Qty],T_SelfStock_Log[Part Name],$A45,T_SelfStock_Log[WeekIndex],59))</f>
        <v/>
      </c>
      <c r="BI45" s="13">
        <f>IF(COUNTIFS(T_SelfStock_Log[Part Name],$A45,T_SelfStock_Log[WeekIndex],60)=0,"",SUMIFS(T_SelfStock_Log[Self_Qty],T_SelfStock_Log[Part Name],$A45,T_SelfStock_Log[WeekIndex],60))</f>
        <v/>
      </c>
      <c r="BJ45" s="13">
        <f>IF(COUNTIFS(T_SelfStock_Log[Part Name],$A45,T_SelfStock_Log[WeekIndex],61)=0,"",SUMIFS(T_SelfStock_Log[Self_Qty],T_SelfStock_Log[Part Name],$A45,T_SelfStock_Log[WeekIndex],61))</f>
        <v/>
      </c>
      <c r="BK45" s="13">
        <f>IF(COUNTIFS(T_SelfStock_Log[Part Name],$A45,T_SelfStock_Log[WeekIndex],62)=0,"",SUMIFS(T_SelfStock_Log[Self_Qty],T_SelfStock_Log[Part Name],$A45,T_SelfStock_Log[WeekIndex],62))</f>
        <v/>
      </c>
      <c r="BL45" s="13">
        <f>IF(COUNTIFS(T_SelfStock_Log[Part Name],$A45,T_SelfStock_Log[WeekIndex],63)=0,"",SUMIFS(T_SelfStock_Log[Self_Qty],T_SelfStock_Log[Part Name],$A45,T_SelfStock_Log[WeekIndex],63))</f>
        <v/>
      </c>
      <c r="BM45" s="13">
        <f>IF(COUNTIFS(T_SelfStock_Log[Part Name],$A45,T_SelfStock_Log[WeekIndex],64)=0,"",SUMIFS(T_SelfStock_Log[Self_Qty],T_SelfStock_Log[Part Name],$A45,T_SelfStock_Log[WeekIndex],64))</f>
        <v/>
      </c>
      <c r="BN45" s="13">
        <f>IF(COUNTIFS(T_SelfStock_Log[Part Name],$A45,T_SelfStock_Log[WeekIndex],65)=0,"",SUMIFS(T_SelfStock_Log[Self_Qty],T_SelfStock_Log[Part Name],$A45,T_SelfStock_Log[WeekIndex],65))</f>
        <v/>
      </c>
      <c r="BO45" s="13">
        <f>IF(COUNTIFS(T_SelfStock_Log[Part Name],$A45,T_SelfStock_Log[WeekIndex],66)=0,"",SUMIFS(T_SelfStock_Log[Self_Qty],T_SelfStock_Log[Part Name],$A45,T_SelfStock_Log[WeekIndex],66))</f>
        <v/>
      </c>
      <c r="BP45" s="13">
        <f>IF(COUNTIFS(T_SelfStock_Log[Part Name],$A45,T_SelfStock_Log[WeekIndex],67)=0,"",SUMIFS(T_SelfStock_Log[Self_Qty],T_SelfStock_Log[Part Name],$A45,T_SelfStock_Log[WeekIndex],67))</f>
        <v/>
      </c>
      <c r="BQ45" s="13">
        <f>IF(COUNTIFS(T_SelfStock_Log[Part Name],$A45,T_SelfStock_Log[WeekIndex],68)=0,"",SUMIFS(T_SelfStock_Log[Self_Qty],T_SelfStock_Log[Part Name],$A45,T_SelfStock_Log[WeekIndex],68))</f>
        <v/>
      </c>
      <c r="BR45" s="13">
        <f>IF(COUNTIFS(T_SelfStock_Log[Part Name],$A45,T_SelfStock_Log[WeekIndex],69)=0,"",SUMIFS(T_SelfStock_Log[Self_Qty],T_SelfStock_Log[Part Name],$A45,T_SelfStock_Log[WeekIndex],69))</f>
        <v/>
      </c>
      <c r="BS45" s="13">
        <f>IF(COUNTIFS(T_SelfStock_Log[Part Name],$A45,T_SelfStock_Log[WeekIndex],70)=0,"",SUMIFS(T_SelfStock_Log[Self_Qty],T_SelfStock_Log[Part Name],$A45,T_SelfStock_Log[WeekIndex],70))</f>
        <v/>
      </c>
      <c r="BT45" s="13">
        <f>IF(COUNTIFS(T_SelfStock_Log[Part Name],$A45,T_SelfStock_Log[WeekIndex],71)=0,"",SUMIFS(T_SelfStock_Log[Self_Qty],T_SelfStock_Log[Part Name],$A45,T_SelfStock_Log[WeekIndex],71))</f>
        <v/>
      </c>
      <c r="BU45" s="13">
        <f>IF(COUNTIFS(T_SelfStock_Log[Part Name],$A45,T_SelfStock_Log[WeekIndex],72)=0,"",SUMIFS(T_SelfStock_Log[Self_Qty],T_SelfStock_Log[Part Name],$A45,T_SelfStock_Log[WeekIndex],72))</f>
        <v/>
      </c>
      <c r="BV45" s="13">
        <f>IF(COUNTIFS(T_SelfStock_Log[Part Name],$A45,T_SelfStock_Log[WeekIndex],73)=0,"",SUMIFS(T_SelfStock_Log[Self_Qty],T_SelfStock_Log[Part Name],$A45,T_SelfStock_Log[WeekIndex],73))</f>
        <v/>
      </c>
      <c r="BW45" s="13">
        <f>IF(COUNTIFS(T_SelfStock_Log[Part Name],$A45,T_SelfStock_Log[WeekIndex],74)=0,"",SUMIFS(T_SelfStock_Log[Self_Qty],T_SelfStock_Log[Part Name],$A45,T_SelfStock_Log[WeekIndex],74))</f>
        <v/>
      </c>
      <c r="BX45" s="13">
        <f>IF(COUNTIFS(T_SelfStock_Log[Part Name],$A45,T_SelfStock_Log[WeekIndex],75)=0,"",SUMIFS(T_SelfStock_Log[Self_Qty],T_SelfStock_Log[Part Name],$A45,T_SelfStock_Log[WeekIndex],75))</f>
        <v/>
      </c>
      <c r="BY45" s="13">
        <f>IF(COUNTIFS(T_SelfStock_Log[Part Name],$A45,T_SelfStock_Log[WeekIndex],76)=0,"",SUMIFS(T_SelfStock_Log[Self_Qty],T_SelfStock_Log[Part Name],$A45,T_SelfStock_Log[WeekIndex],76))</f>
        <v/>
      </c>
      <c r="BZ45" s="13">
        <f>IF(COUNTIFS(T_SelfStock_Log[Part Name],$A45,T_SelfStock_Log[WeekIndex],77)=0,"",SUMIFS(T_SelfStock_Log[Self_Qty],T_SelfStock_Log[Part Name],$A45,T_SelfStock_Log[WeekIndex],77))</f>
        <v/>
      </c>
      <c r="CA45" s="13">
        <f>IF(COUNTIFS(T_SelfStock_Log[Part Name],$A45,T_SelfStock_Log[WeekIndex],78)=0,"",SUMIFS(T_SelfStock_Log[Self_Qty],T_SelfStock_Log[Part Name],$A45,T_SelfStock_Log[WeekIndex],78))</f>
        <v/>
      </c>
      <c r="CB45" s="13">
        <f>IF(COUNTIFS(T_SelfStock_Log[Part Name],$A45,T_SelfStock_Log[WeekIndex],79)=0,"",SUMIFS(T_SelfStock_Log[Self_Qty],T_SelfStock_Log[Part Name],$A45,T_SelfStock_Log[WeekIndex],79))</f>
        <v/>
      </c>
      <c r="CC45" s="13">
        <f>IF(COUNTIFS(T_SelfStock_Log[Part Name],$A45,T_SelfStock_Log[WeekIndex],80)=0,"",SUMIFS(T_SelfStock_Log[Self_Qty],T_SelfStock_Log[Part Name],$A45,T_SelfStock_Log[WeekIndex],80))</f>
        <v/>
      </c>
      <c r="CD45" s="13">
        <f>IF(COUNTIFS(T_SelfStock_Log[Part Name],$A45,T_SelfStock_Log[WeekIndex],81)=0,"",SUMIFS(T_SelfStock_Log[Self_Qty],T_SelfStock_Log[Part Name],$A45,T_SelfStock_Log[WeekIndex],81))</f>
        <v/>
      </c>
      <c r="CE45" s="13">
        <f>IF(COUNTIFS(T_SelfStock_Log[Part Name],$A45,T_SelfStock_Log[WeekIndex],82)=0,"",SUMIFS(T_SelfStock_Log[Self_Qty],T_SelfStock_Log[Part Name],$A45,T_SelfStock_Log[WeekIndex],82))</f>
        <v/>
      </c>
      <c r="CF45" s="13">
        <f>IF(COUNTIFS(T_SelfStock_Log[Part Name],$A45,T_SelfStock_Log[WeekIndex],83)=0,"",SUMIFS(T_SelfStock_Log[Self_Qty],T_SelfStock_Log[Part Name],$A45,T_SelfStock_Log[WeekIndex],83))</f>
        <v/>
      </c>
      <c r="CG45" s="13">
        <f>IF(COUNTIFS(T_SelfStock_Log[Part Name],$A45,T_SelfStock_Log[WeekIndex],84)=0,"",SUMIFS(T_SelfStock_Log[Self_Qty],T_SelfStock_Log[Part Name],$A45,T_SelfStock_Log[WeekIndex],84))</f>
        <v/>
      </c>
      <c r="CH45" s="13">
        <f>IF(COUNTIFS(T_SelfStock_Log[Part Name],$A45,T_SelfStock_Log[WeekIndex],85)=0,"",SUMIFS(T_SelfStock_Log[Self_Qty],T_SelfStock_Log[Part Name],$A45,T_SelfStock_Log[WeekIndex],85))</f>
        <v/>
      </c>
      <c r="CI45" s="13">
        <f>IF(COUNTIFS(T_SelfStock_Log[Part Name],$A45,T_SelfStock_Log[WeekIndex],86)=0,"",SUMIFS(T_SelfStock_Log[Self_Qty],T_SelfStock_Log[Part Name],$A45,T_SelfStock_Log[WeekIndex],86))</f>
        <v/>
      </c>
      <c r="CJ45" s="13">
        <f>IF(COUNTIFS(T_SelfStock_Log[Part Name],$A45,T_SelfStock_Log[WeekIndex],87)=0,"",SUMIFS(T_SelfStock_Log[Self_Qty],T_SelfStock_Log[Part Name],$A45,T_SelfStock_Log[WeekIndex],87))</f>
        <v/>
      </c>
      <c r="CK45" s="13">
        <f>IF(COUNTIFS(T_SelfStock_Log[Part Name],$A45,T_SelfStock_Log[WeekIndex],88)=0,"",SUMIFS(T_SelfStock_Log[Self_Qty],T_SelfStock_Log[Part Name],$A45,T_SelfStock_Log[WeekIndex],88))</f>
        <v/>
      </c>
      <c r="CL45" s="13">
        <f>IF(COUNTIFS(T_SelfStock_Log[Part Name],$A45,T_SelfStock_Log[WeekIndex],89)=0,"",SUMIFS(T_SelfStock_Log[Self_Qty],T_SelfStock_Log[Part Name],$A45,T_SelfStock_Log[WeekIndex],89))</f>
        <v/>
      </c>
      <c r="CM45" s="13">
        <f>IF(COUNTIFS(T_SelfStock_Log[Part Name],$A45,T_SelfStock_Log[WeekIndex],90)=0,"",SUMIFS(T_SelfStock_Log[Self_Qty],T_SelfStock_Log[Part Name],$A45,T_SelfStock_Log[WeekIndex],90))</f>
        <v/>
      </c>
      <c r="CN45" s="13">
        <f>IF(COUNTIFS(T_SelfStock_Log[Part Name],$A45,T_SelfStock_Log[WeekIndex],91)=0,"",SUMIFS(T_SelfStock_Log[Self_Qty],T_SelfStock_Log[Part Name],$A45,T_SelfStock_Log[WeekIndex],91))</f>
        <v/>
      </c>
      <c r="CO45" s="13">
        <f>IF(COUNTIFS(T_SelfStock_Log[Part Name],$A45,T_SelfStock_Log[WeekIndex],92)=0,"",SUMIFS(T_SelfStock_Log[Self_Qty],T_SelfStock_Log[Part Name],$A45,T_SelfStock_Log[WeekIndex],92))</f>
        <v/>
      </c>
      <c r="CP45" s="13">
        <f>IF(COUNTIFS(T_SelfStock_Log[Part Name],$A45,T_SelfStock_Log[WeekIndex],93)=0,"",SUMIFS(T_SelfStock_Log[Self_Qty],T_SelfStock_Log[Part Name],$A45,T_SelfStock_Log[WeekIndex],93))</f>
        <v/>
      </c>
      <c r="CQ45" s="13">
        <f>IF(COUNTIFS(T_SelfStock_Log[Part Name],$A45,T_SelfStock_Log[WeekIndex],94)=0,"",SUMIFS(T_SelfStock_Log[Self_Qty],T_SelfStock_Log[Part Name],$A45,T_SelfStock_Log[WeekIndex],94))</f>
        <v/>
      </c>
      <c r="CR45" s="13">
        <f>IF(COUNTIFS(T_SelfStock_Log[Part Name],$A45,T_SelfStock_Log[WeekIndex],95)=0,"",SUMIFS(T_SelfStock_Log[Self_Qty],T_SelfStock_Log[Part Name],$A45,T_SelfStock_Log[WeekIndex],95))</f>
        <v/>
      </c>
      <c r="CS45" s="13">
        <f>IF(COUNTIFS(T_SelfStock_Log[Part Name],$A45,T_SelfStock_Log[WeekIndex],96)=0,"",SUMIFS(T_SelfStock_Log[Self_Qty],T_SelfStock_Log[Part Name],$A45,T_SelfStock_Log[WeekIndex],96))</f>
        <v/>
      </c>
      <c r="CT45" s="13">
        <f>IF(COUNTIFS(T_SelfStock_Log[Part Name],$A45,T_SelfStock_Log[WeekIndex],97)=0,"",SUMIFS(T_SelfStock_Log[Self_Qty],T_SelfStock_Log[Part Name],$A45,T_SelfStock_Log[WeekIndex],97))</f>
        <v/>
      </c>
      <c r="CU45" s="13">
        <f>IF(COUNTIFS(T_SelfStock_Log[Part Name],$A45,T_SelfStock_Log[WeekIndex],98)=0,"",SUMIFS(T_SelfStock_Log[Self_Qty],T_SelfStock_Log[Part Name],$A45,T_SelfStock_Log[WeekIndex],98))</f>
        <v/>
      </c>
      <c r="CV45" s="13">
        <f>IF(COUNTIFS(T_SelfStock_Log[Part Name],$A45,T_SelfStock_Log[WeekIndex],99)=0,"",SUMIFS(T_SelfStock_Log[Self_Qty],T_SelfStock_Log[Part Name],$A45,T_SelfStock_Log[WeekIndex],99))</f>
        <v/>
      </c>
      <c r="CW45" s="13">
        <f>IF(COUNTIFS(T_SelfStock_Log[Part Name],$A45,T_SelfStock_Log[WeekIndex],100)=0,"",SUMIFS(T_SelfStock_Log[Self_Qty],T_SelfStock_Log[Part Name],$A45,T_SelfStock_Log[WeekIndex],100))</f>
        <v/>
      </c>
      <c r="CX45" s="13">
        <f>IF(COUNTIFS(T_SelfStock_Log[Part Name],$A45,T_SelfStock_Log[WeekIndex],101)=0,"",SUMIFS(T_SelfStock_Log[Self_Qty],T_SelfStock_Log[Part Name],$A45,T_SelfStock_Log[WeekIndex],101))</f>
        <v/>
      </c>
      <c r="CY45" s="13">
        <f>IF(COUNTIFS(T_SelfStock_Log[Part Name],$A45,T_SelfStock_Log[WeekIndex],102)=0,"",SUMIFS(T_SelfStock_Log[Self_Qty],T_SelfStock_Log[Part Name],$A45,T_SelfStock_Log[WeekIndex],102))</f>
        <v/>
      </c>
      <c r="CZ45" s="13">
        <f>IF(COUNTIFS(T_SelfStock_Log[Part Name],$A45,T_SelfStock_Log[WeekIndex],103)=0,"",SUMIFS(T_SelfStock_Log[Self_Qty],T_SelfStock_Log[Part Name],$A45,T_SelfStock_Log[WeekIndex],103))</f>
        <v/>
      </c>
      <c r="DA45" s="13">
        <f>IF(COUNTIFS(T_SelfStock_Log[Part Name],$A45,T_SelfStock_Log[WeekIndex],104)=0,"",SUMIFS(T_SelfStock_Log[Self_Qty],T_SelfStock_Log[Part Name],$A45,T_SelfStock_Log[WeekIndex],104))</f>
        <v/>
      </c>
    </row>
    <row r="46">
      <c r="A46" s="12" t="inlineStr">
        <is>
          <t>V03</t>
        </is>
      </c>
      <c r="B46" s="12">
        <f>IF(COUNTIFS(T_SelfStock_Log[Part Name],$A46,T_SelfStock_Log[WeekIndex],1)=0,"",SUMIFS(T_SelfStock_Log[Self_Qty],T_SelfStock_Log[Part Name],$A46,T_SelfStock_Log[WeekIndex],1))</f>
        <v/>
      </c>
      <c r="C46" s="12">
        <f>IF(COUNTIFS(T_SelfStock_Log[Part Name],$A46,T_SelfStock_Log[WeekIndex],2)=0,"",SUMIFS(T_SelfStock_Log[Self_Qty],T_SelfStock_Log[Part Name],$A46,T_SelfStock_Log[WeekIndex],2))</f>
        <v/>
      </c>
      <c r="D46" s="12">
        <f>IF(COUNTIFS(T_SelfStock_Log[Part Name],$A46,T_SelfStock_Log[WeekIndex],3)=0,"",SUMIFS(T_SelfStock_Log[Self_Qty],T_SelfStock_Log[Part Name],$A46,T_SelfStock_Log[WeekIndex],3))</f>
        <v/>
      </c>
      <c r="E46" s="12">
        <f>IF(COUNTIFS(T_SelfStock_Log[Part Name],$A46,T_SelfStock_Log[WeekIndex],4)=0,"",SUMIFS(T_SelfStock_Log[Self_Qty],T_SelfStock_Log[Part Name],$A46,T_SelfStock_Log[WeekIndex],4))</f>
        <v/>
      </c>
      <c r="F46" s="12">
        <f>IF(COUNTIFS(T_SelfStock_Log[Part Name],$A46,T_SelfStock_Log[WeekIndex],5)=0,"",SUMIFS(T_SelfStock_Log[Self_Qty],T_SelfStock_Log[Part Name],$A46,T_SelfStock_Log[WeekIndex],5))</f>
        <v/>
      </c>
      <c r="G46" s="12">
        <f>IF(COUNTIFS(T_SelfStock_Log[Part Name],$A46,T_SelfStock_Log[WeekIndex],6)=0,"",SUMIFS(T_SelfStock_Log[Self_Qty],T_SelfStock_Log[Part Name],$A46,T_SelfStock_Log[WeekIndex],6))</f>
        <v/>
      </c>
      <c r="H46" s="12">
        <f>IF(COUNTIFS(T_SelfStock_Log[Part Name],$A46,T_SelfStock_Log[WeekIndex],7)=0,"",SUMIFS(T_SelfStock_Log[Self_Qty],T_SelfStock_Log[Part Name],$A46,T_SelfStock_Log[WeekIndex],7))</f>
        <v/>
      </c>
      <c r="I46" s="12">
        <f>IF(COUNTIFS(T_SelfStock_Log[Part Name],$A46,T_SelfStock_Log[WeekIndex],8)=0,"",SUMIFS(T_SelfStock_Log[Self_Qty],T_SelfStock_Log[Part Name],$A46,T_SelfStock_Log[WeekIndex],8))</f>
        <v/>
      </c>
      <c r="J46" s="12">
        <f>IF(COUNTIFS(T_SelfStock_Log[Part Name],$A46,T_SelfStock_Log[WeekIndex],9)=0,"",SUMIFS(T_SelfStock_Log[Self_Qty],T_SelfStock_Log[Part Name],$A46,T_SelfStock_Log[WeekIndex],9))</f>
        <v/>
      </c>
      <c r="K46" s="12">
        <f>IF(COUNTIFS(T_SelfStock_Log[Part Name],$A46,T_SelfStock_Log[WeekIndex],10)=0,"",SUMIFS(T_SelfStock_Log[Self_Qty],T_SelfStock_Log[Part Name],$A46,T_SelfStock_Log[WeekIndex],10))</f>
        <v/>
      </c>
      <c r="L46" s="12">
        <f>IF(COUNTIFS(T_SelfStock_Log[Part Name],$A46,T_SelfStock_Log[WeekIndex],11)=0,"",SUMIFS(T_SelfStock_Log[Self_Qty],T_SelfStock_Log[Part Name],$A46,T_SelfStock_Log[WeekIndex],11))</f>
        <v/>
      </c>
      <c r="M46" s="12">
        <f>IF(COUNTIFS(T_SelfStock_Log[Part Name],$A46,T_SelfStock_Log[WeekIndex],12)=0,"",SUMIFS(T_SelfStock_Log[Self_Qty],T_SelfStock_Log[Part Name],$A46,T_SelfStock_Log[WeekIndex],12))</f>
        <v/>
      </c>
      <c r="N46" s="12">
        <f>IF(COUNTIFS(T_SelfStock_Log[Part Name],$A46,T_SelfStock_Log[WeekIndex],13)=0,"",SUMIFS(T_SelfStock_Log[Self_Qty],T_SelfStock_Log[Part Name],$A46,T_SelfStock_Log[WeekIndex],13))</f>
        <v/>
      </c>
      <c r="O46" s="12">
        <f>IF(COUNTIFS(T_SelfStock_Log[Part Name],$A46,T_SelfStock_Log[WeekIndex],14)=0,"",SUMIFS(T_SelfStock_Log[Self_Qty],T_SelfStock_Log[Part Name],$A46,T_SelfStock_Log[WeekIndex],14))</f>
        <v/>
      </c>
      <c r="P46" s="12">
        <f>IF(COUNTIFS(T_SelfStock_Log[Part Name],$A46,T_SelfStock_Log[WeekIndex],15)=0,"",SUMIFS(T_SelfStock_Log[Self_Qty],T_SelfStock_Log[Part Name],$A46,T_SelfStock_Log[WeekIndex],15))</f>
        <v/>
      </c>
      <c r="Q46" s="12">
        <f>IF(COUNTIFS(T_SelfStock_Log[Part Name],$A46,T_SelfStock_Log[WeekIndex],16)=0,"",SUMIFS(T_SelfStock_Log[Self_Qty],T_SelfStock_Log[Part Name],$A46,T_SelfStock_Log[WeekIndex],16))</f>
        <v/>
      </c>
      <c r="R46" s="12">
        <f>IF(COUNTIFS(T_SelfStock_Log[Part Name],$A46,T_SelfStock_Log[WeekIndex],17)=0,"",SUMIFS(T_SelfStock_Log[Self_Qty],T_SelfStock_Log[Part Name],$A46,T_SelfStock_Log[WeekIndex],17))</f>
        <v/>
      </c>
      <c r="S46" s="12">
        <f>IF(COUNTIFS(T_SelfStock_Log[Part Name],$A46,T_SelfStock_Log[WeekIndex],18)=0,"",SUMIFS(T_SelfStock_Log[Self_Qty],T_SelfStock_Log[Part Name],$A46,T_SelfStock_Log[WeekIndex],18))</f>
        <v/>
      </c>
      <c r="T46" s="12">
        <f>IF(COUNTIFS(T_SelfStock_Log[Part Name],$A46,T_SelfStock_Log[WeekIndex],19)=0,"",SUMIFS(T_SelfStock_Log[Self_Qty],T_SelfStock_Log[Part Name],$A46,T_SelfStock_Log[WeekIndex],19))</f>
        <v/>
      </c>
      <c r="U46" s="12">
        <f>IF(COUNTIFS(T_SelfStock_Log[Part Name],$A46,T_SelfStock_Log[WeekIndex],20)=0,"",SUMIFS(T_SelfStock_Log[Self_Qty],T_SelfStock_Log[Part Name],$A46,T_SelfStock_Log[WeekIndex],20))</f>
        <v/>
      </c>
      <c r="V46" s="12">
        <f>IF(COUNTIFS(T_SelfStock_Log[Part Name],$A46,T_SelfStock_Log[WeekIndex],21)=0,"",SUMIFS(T_SelfStock_Log[Self_Qty],T_SelfStock_Log[Part Name],$A46,T_SelfStock_Log[WeekIndex],21))</f>
        <v/>
      </c>
      <c r="W46" s="12">
        <f>IF(COUNTIFS(T_SelfStock_Log[Part Name],$A46,T_SelfStock_Log[WeekIndex],22)=0,"",SUMIFS(T_SelfStock_Log[Self_Qty],T_SelfStock_Log[Part Name],$A46,T_SelfStock_Log[WeekIndex],22))</f>
        <v/>
      </c>
      <c r="X46" s="12">
        <f>IF(COUNTIFS(T_SelfStock_Log[Part Name],$A46,T_SelfStock_Log[WeekIndex],23)=0,"",SUMIFS(T_SelfStock_Log[Self_Qty],T_SelfStock_Log[Part Name],$A46,T_SelfStock_Log[WeekIndex],23))</f>
        <v/>
      </c>
      <c r="Y46" s="12">
        <f>IF(COUNTIFS(T_SelfStock_Log[Part Name],$A46,T_SelfStock_Log[WeekIndex],24)=0,"",SUMIFS(T_SelfStock_Log[Self_Qty],T_SelfStock_Log[Part Name],$A46,T_SelfStock_Log[WeekIndex],24))</f>
        <v/>
      </c>
      <c r="Z46" s="12">
        <f>IF(COUNTIFS(T_SelfStock_Log[Part Name],$A46,T_SelfStock_Log[WeekIndex],25)=0,"",SUMIFS(T_SelfStock_Log[Self_Qty],T_SelfStock_Log[Part Name],$A46,T_SelfStock_Log[WeekIndex],25))</f>
        <v/>
      </c>
      <c r="AA46" s="12">
        <f>IF(COUNTIFS(T_SelfStock_Log[Part Name],$A46,T_SelfStock_Log[WeekIndex],26)=0,"",SUMIFS(T_SelfStock_Log[Self_Qty],T_SelfStock_Log[Part Name],$A46,T_SelfStock_Log[WeekIndex],26))</f>
        <v/>
      </c>
      <c r="AB46" s="12">
        <f>IF(COUNTIFS(T_SelfStock_Log[Part Name],$A46,T_SelfStock_Log[WeekIndex],27)=0,"",SUMIFS(T_SelfStock_Log[Self_Qty],T_SelfStock_Log[Part Name],$A46,T_SelfStock_Log[WeekIndex],27))</f>
        <v/>
      </c>
      <c r="AC46" s="12">
        <f>IF(COUNTIFS(T_SelfStock_Log[Part Name],$A46,T_SelfStock_Log[WeekIndex],28)=0,"",SUMIFS(T_SelfStock_Log[Self_Qty],T_SelfStock_Log[Part Name],$A46,T_SelfStock_Log[WeekIndex],28))</f>
        <v/>
      </c>
      <c r="AD46" s="12">
        <f>IF(COUNTIFS(T_SelfStock_Log[Part Name],$A46,T_SelfStock_Log[WeekIndex],29)=0,"",SUMIFS(T_SelfStock_Log[Self_Qty],T_SelfStock_Log[Part Name],$A46,T_SelfStock_Log[WeekIndex],29))</f>
        <v/>
      </c>
      <c r="AE46" s="12">
        <f>IF(COUNTIFS(T_SelfStock_Log[Part Name],$A46,T_SelfStock_Log[WeekIndex],30)=0,"",SUMIFS(T_SelfStock_Log[Self_Qty],T_SelfStock_Log[Part Name],$A46,T_SelfStock_Log[WeekIndex],30))</f>
        <v/>
      </c>
      <c r="AF46" s="12">
        <f>IF(COUNTIFS(T_SelfStock_Log[Part Name],$A46,T_SelfStock_Log[WeekIndex],31)=0,"",SUMIFS(T_SelfStock_Log[Self_Qty],T_SelfStock_Log[Part Name],$A46,T_SelfStock_Log[WeekIndex],31))</f>
        <v/>
      </c>
      <c r="AG46" s="12">
        <f>IF(COUNTIFS(T_SelfStock_Log[Part Name],$A46,T_SelfStock_Log[WeekIndex],32)=0,"",SUMIFS(T_SelfStock_Log[Self_Qty],T_SelfStock_Log[Part Name],$A46,T_SelfStock_Log[WeekIndex],32))</f>
        <v/>
      </c>
      <c r="AH46" s="12">
        <f>IF(COUNTIFS(T_SelfStock_Log[Part Name],$A46,T_SelfStock_Log[WeekIndex],33)=0,"",SUMIFS(T_SelfStock_Log[Self_Qty],T_SelfStock_Log[Part Name],$A46,T_SelfStock_Log[WeekIndex],33))</f>
        <v/>
      </c>
      <c r="AI46" s="12">
        <f>IF(COUNTIFS(T_SelfStock_Log[Part Name],$A46,T_SelfStock_Log[WeekIndex],34)=0,"",SUMIFS(T_SelfStock_Log[Self_Qty],T_SelfStock_Log[Part Name],$A46,T_SelfStock_Log[WeekIndex],34))</f>
        <v/>
      </c>
      <c r="AJ46" s="12">
        <f>IF(COUNTIFS(T_SelfStock_Log[Part Name],$A46,T_SelfStock_Log[WeekIndex],35)=0,"",SUMIFS(T_SelfStock_Log[Self_Qty],T_SelfStock_Log[Part Name],$A46,T_SelfStock_Log[WeekIndex],35))</f>
        <v/>
      </c>
      <c r="AK46" s="12">
        <f>IF(COUNTIFS(T_SelfStock_Log[Part Name],$A46,T_SelfStock_Log[WeekIndex],36)=0,"",SUMIFS(T_SelfStock_Log[Self_Qty],T_SelfStock_Log[Part Name],$A46,T_SelfStock_Log[WeekIndex],36))</f>
        <v/>
      </c>
      <c r="AL46" s="12">
        <f>IF(COUNTIFS(T_SelfStock_Log[Part Name],$A46,T_SelfStock_Log[WeekIndex],37)=0,"",SUMIFS(T_SelfStock_Log[Self_Qty],T_SelfStock_Log[Part Name],$A46,T_SelfStock_Log[WeekIndex],37))</f>
        <v/>
      </c>
      <c r="AM46" s="12">
        <f>IF(COUNTIFS(T_SelfStock_Log[Part Name],$A46,T_SelfStock_Log[WeekIndex],38)=0,"",SUMIFS(T_SelfStock_Log[Self_Qty],T_SelfStock_Log[Part Name],$A46,T_SelfStock_Log[WeekIndex],38))</f>
        <v/>
      </c>
      <c r="AN46" s="12">
        <f>IF(COUNTIFS(T_SelfStock_Log[Part Name],$A46,T_SelfStock_Log[WeekIndex],39)=0,"",SUMIFS(T_SelfStock_Log[Self_Qty],T_SelfStock_Log[Part Name],$A46,T_SelfStock_Log[WeekIndex],39))</f>
        <v/>
      </c>
      <c r="AO46" s="12">
        <f>IF(COUNTIFS(T_SelfStock_Log[Part Name],$A46,T_SelfStock_Log[WeekIndex],40)=0,"",SUMIFS(T_SelfStock_Log[Self_Qty],T_SelfStock_Log[Part Name],$A46,T_SelfStock_Log[WeekIndex],40))</f>
        <v/>
      </c>
      <c r="AP46" s="12">
        <f>IF(COUNTIFS(T_SelfStock_Log[Part Name],$A46,T_SelfStock_Log[WeekIndex],41)=0,"",SUMIFS(T_SelfStock_Log[Self_Qty],T_SelfStock_Log[Part Name],$A46,T_SelfStock_Log[WeekIndex],41))</f>
        <v/>
      </c>
      <c r="AQ46" s="12">
        <f>IF(COUNTIFS(T_SelfStock_Log[Part Name],$A46,T_SelfStock_Log[WeekIndex],42)=0,"",SUMIFS(T_SelfStock_Log[Self_Qty],T_SelfStock_Log[Part Name],$A46,T_SelfStock_Log[WeekIndex],42))</f>
        <v/>
      </c>
      <c r="AR46" s="12">
        <f>IF(COUNTIFS(T_SelfStock_Log[Part Name],$A46,T_SelfStock_Log[WeekIndex],43)=0,"",SUMIFS(T_SelfStock_Log[Self_Qty],T_SelfStock_Log[Part Name],$A46,T_SelfStock_Log[WeekIndex],43))</f>
        <v/>
      </c>
      <c r="AS46" s="12">
        <f>IF(COUNTIFS(T_SelfStock_Log[Part Name],$A46,T_SelfStock_Log[WeekIndex],44)=0,"",SUMIFS(T_SelfStock_Log[Self_Qty],T_SelfStock_Log[Part Name],$A46,T_SelfStock_Log[WeekIndex],44))</f>
        <v/>
      </c>
      <c r="AT46" s="12">
        <f>IF(COUNTIFS(T_SelfStock_Log[Part Name],$A46,T_SelfStock_Log[WeekIndex],45)=0,"",SUMIFS(T_SelfStock_Log[Self_Qty],T_SelfStock_Log[Part Name],$A46,T_SelfStock_Log[WeekIndex],45))</f>
        <v/>
      </c>
      <c r="AU46" s="12">
        <f>IF(COUNTIFS(T_SelfStock_Log[Part Name],$A46,T_SelfStock_Log[WeekIndex],46)=0,"",SUMIFS(T_SelfStock_Log[Self_Qty],T_SelfStock_Log[Part Name],$A46,T_SelfStock_Log[WeekIndex],46))</f>
        <v/>
      </c>
      <c r="AV46" s="12">
        <f>IF(COUNTIFS(T_SelfStock_Log[Part Name],$A46,T_SelfStock_Log[WeekIndex],47)=0,"",SUMIFS(T_SelfStock_Log[Self_Qty],T_SelfStock_Log[Part Name],$A46,T_SelfStock_Log[WeekIndex],47))</f>
        <v/>
      </c>
      <c r="AW46" s="12">
        <f>IF(COUNTIFS(T_SelfStock_Log[Part Name],$A46,T_SelfStock_Log[WeekIndex],48)=0,"",SUMIFS(T_SelfStock_Log[Self_Qty],T_SelfStock_Log[Part Name],$A46,T_SelfStock_Log[WeekIndex],48))</f>
        <v/>
      </c>
      <c r="AX46" s="12">
        <f>IF(COUNTIFS(T_SelfStock_Log[Part Name],$A46,T_SelfStock_Log[WeekIndex],49)=0,"",SUMIFS(T_SelfStock_Log[Self_Qty],T_SelfStock_Log[Part Name],$A46,T_SelfStock_Log[WeekIndex],49))</f>
        <v/>
      </c>
      <c r="AY46" s="12">
        <f>IF(COUNTIFS(T_SelfStock_Log[Part Name],$A46,T_SelfStock_Log[WeekIndex],50)=0,"",SUMIFS(T_SelfStock_Log[Self_Qty],T_SelfStock_Log[Part Name],$A46,T_SelfStock_Log[WeekIndex],50))</f>
        <v/>
      </c>
      <c r="AZ46" s="12">
        <f>IF(COUNTIFS(T_SelfStock_Log[Part Name],$A46,T_SelfStock_Log[WeekIndex],51)=0,"",SUMIFS(T_SelfStock_Log[Self_Qty],T_SelfStock_Log[Part Name],$A46,T_SelfStock_Log[WeekIndex],51))</f>
        <v/>
      </c>
      <c r="BA46" s="12">
        <f>IF(COUNTIFS(T_SelfStock_Log[Part Name],$A46,T_SelfStock_Log[WeekIndex],52)=0,"",SUMIFS(T_SelfStock_Log[Self_Qty],T_SelfStock_Log[Part Name],$A46,T_SelfStock_Log[WeekIndex],52))</f>
        <v/>
      </c>
      <c r="BB46" s="12">
        <f>IF(COUNTIFS(T_SelfStock_Log[Part Name],$A46,T_SelfStock_Log[WeekIndex],53)=0,"",SUMIFS(T_SelfStock_Log[Self_Qty],T_SelfStock_Log[Part Name],$A46,T_SelfStock_Log[WeekIndex],53))</f>
        <v/>
      </c>
      <c r="BC46" s="12">
        <f>IF(COUNTIFS(T_SelfStock_Log[Part Name],$A46,T_SelfStock_Log[WeekIndex],54)=0,"",SUMIFS(T_SelfStock_Log[Self_Qty],T_SelfStock_Log[Part Name],$A46,T_SelfStock_Log[WeekIndex],54))</f>
        <v/>
      </c>
      <c r="BD46" s="12">
        <f>IF(COUNTIFS(T_SelfStock_Log[Part Name],$A46,T_SelfStock_Log[WeekIndex],55)=0,"",SUMIFS(T_SelfStock_Log[Self_Qty],T_SelfStock_Log[Part Name],$A46,T_SelfStock_Log[WeekIndex],55))</f>
        <v/>
      </c>
      <c r="BE46" s="12">
        <f>IF(COUNTIFS(T_SelfStock_Log[Part Name],$A46,T_SelfStock_Log[WeekIndex],56)=0,"",SUMIFS(T_SelfStock_Log[Self_Qty],T_SelfStock_Log[Part Name],$A46,T_SelfStock_Log[WeekIndex],56))</f>
        <v/>
      </c>
      <c r="BF46" s="12">
        <f>IF(COUNTIFS(T_SelfStock_Log[Part Name],$A46,T_SelfStock_Log[WeekIndex],57)=0,"",SUMIFS(T_SelfStock_Log[Self_Qty],T_SelfStock_Log[Part Name],$A46,T_SelfStock_Log[WeekIndex],57))</f>
        <v/>
      </c>
      <c r="BG46" s="12">
        <f>IF(COUNTIFS(T_SelfStock_Log[Part Name],$A46,T_SelfStock_Log[WeekIndex],58)=0,"",SUMIFS(T_SelfStock_Log[Self_Qty],T_SelfStock_Log[Part Name],$A46,T_SelfStock_Log[WeekIndex],58))</f>
        <v/>
      </c>
      <c r="BH46" s="12">
        <f>IF(COUNTIFS(T_SelfStock_Log[Part Name],$A46,T_SelfStock_Log[WeekIndex],59)=0,"",SUMIFS(T_SelfStock_Log[Self_Qty],T_SelfStock_Log[Part Name],$A46,T_SelfStock_Log[WeekIndex],59))</f>
        <v/>
      </c>
      <c r="BI46" s="12">
        <f>IF(COUNTIFS(T_SelfStock_Log[Part Name],$A46,T_SelfStock_Log[WeekIndex],60)=0,"",SUMIFS(T_SelfStock_Log[Self_Qty],T_SelfStock_Log[Part Name],$A46,T_SelfStock_Log[WeekIndex],60))</f>
        <v/>
      </c>
      <c r="BJ46" s="12">
        <f>IF(COUNTIFS(T_SelfStock_Log[Part Name],$A46,T_SelfStock_Log[WeekIndex],61)=0,"",SUMIFS(T_SelfStock_Log[Self_Qty],T_SelfStock_Log[Part Name],$A46,T_SelfStock_Log[WeekIndex],61))</f>
        <v/>
      </c>
      <c r="BK46" s="12">
        <f>IF(COUNTIFS(T_SelfStock_Log[Part Name],$A46,T_SelfStock_Log[WeekIndex],62)=0,"",SUMIFS(T_SelfStock_Log[Self_Qty],T_SelfStock_Log[Part Name],$A46,T_SelfStock_Log[WeekIndex],62))</f>
        <v/>
      </c>
      <c r="BL46" s="12">
        <f>IF(COUNTIFS(T_SelfStock_Log[Part Name],$A46,T_SelfStock_Log[WeekIndex],63)=0,"",SUMIFS(T_SelfStock_Log[Self_Qty],T_SelfStock_Log[Part Name],$A46,T_SelfStock_Log[WeekIndex],63))</f>
        <v/>
      </c>
      <c r="BM46" s="12">
        <f>IF(COUNTIFS(T_SelfStock_Log[Part Name],$A46,T_SelfStock_Log[WeekIndex],64)=0,"",SUMIFS(T_SelfStock_Log[Self_Qty],T_SelfStock_Log[Part Name],$A46,T_SelfStock_Log[WeekIndex],64))</f>
        <v/>
      </c>
      <c r="BN46" s="12">
        <f>IF(COUNTIFS(T_SelfStock_Log[Part Name],$A46,T_SelfStock_Log[WeekIndex],65)=0,"",SUMIFS(T_SelfStock_Log[Self_Qty],T_SelfStock_Log[Part Name],$A46,T_SelfStock_Log[WeekIndex],65))</f>
        <v/>
      </c>
      <c r="BO46" s="12">
        <f>IF(COUNTIFS(T_SelfStock_Log[Part Name],$A46,T_SelfStock_Log[WeekIndex],66)=0,"",SUMIFS(T_SelfStock_Log[Self_Qty],T_SelfStock_Log[Part Name],$A46,T_SelfStock_Log[WeekIndex],66))</f>
        <v/>
      </c>
      <c r="BP46" s="12">
        <f>IF(COUNTIFS(T_SelfStock_Log[Part Name],$A46,T_SelfStock_Log[WeekIndex],67)=0,"",SUMIFS(T_SelfStock_Log[Self_Qty],T_SelfStock_Log[Part Name],$A46,T_SelfStock_Log[WeekIndex],67))</f>
        <v/>
      </c>
      <c r="BQ46" s="12">
        <f>IF(COUNTIFS(T_SelfStock_Log[Part Name],$A46,T_SelfStock_Log[WeekIndex],68)=0,"",SUMIFS(T_SelfStock_Log[Self_Qty],T_SelfStock_Log[Part Name],$A46,T_SelfStock_Log[WeekIndex],68))</f>
        <v/>
      </c>
      <c r="BR46" s="12">
        <f>IF(COUNTIFS(T_SelfStock_Log[Part Name],$A46,T_SelfStock_Log[WeekIndex],69)=0,"",SUMIFS(T_SelfStock_Log[Self_Qty],T_SelfStock_Log[Part Name],$A46,T_SelfStock_Log[WeekIndex],69))</f>
        <v/>
      </c>
      <c r="BS46" s="12">
        <f>IF(COUNTIFS(T_SelfStock_Log[Part Name],$A46,T_SelfStock_Log[WeekIndex],70)=0,"",SUMIFS(T_SelfStock_Log[Self_Qty],T_SelfStock_Log[Part Name],$A46,T_SelfStock_Log[WeekIndex],70))</f>
        <v/>
      </c>
      <c r="BT46" s="12">
        <f>IF(COUNTIFS(T_SelfStock_Log[Part Name],$A46,T_SelfStock_Log[WeekIndex],71)=0,"",SUMIFS(T_SelfStock_Log[Self_Qty],T_SelfStock_Log[Part Name],$A46,T_SelfStock_Log[WeekIndex],71))</f>
        <v/>
      </c>
      <c r="BU46" s="12">
        <f>IF(COUNTIFS(T_SelfStock_Log[Part Name],$A46,T_SelfStock_Log[WeekIndex],72)=0,"",SUMIFS(T_SelfStock_Log[Self_Qty],T_SelfStock_Log[Part Name],$A46,T_SelfStock_Log[WeekIndex],72))</f>
        <v/>
      </c>
      <c r="BV46" s="12">
        <f>IF(COUNTIFS(T_SelfStock_Log[Part Name],$A46,T_SelfStock_Log[WeekIndex],73)=0,"",SUMIFS(T_SelfStock_Log[Self_Qty],T_SelfStock_Log[Part Name],$A46,T_SelfStock_Log[WeekIndex],73))</f>
        <v/>
      </c>
      <c r="BW46" s="12">
        <f>IF(COUNTIFS(T_SelfStock_Log[Part Name],$A46,T_SelfStock_Log[WeekIndex],74)=0,"",SUMIFS(T_SelfStock_Log[Self_Qty],T_SelfStock_Log[Part Name],$A46,T_SelfStock_Log[WeekIndex],74))</f>
        <v/>
      </c>
      <c r="BX46" s="12">
        <f>IF(COUNTIFS(T_SelfStock_Log[Part Name],$A46,T_SelfStock_Log[WeekIndex],75)=0,"",SUMIFS(T_SelfStock_Log[Self_Qty],T_SelfStock_Log[Part Name],$A46,T_SelfStock_Log[WeekIndex],75))</f>
        <v/>
      </c>
      <c r="BY46" s="12">
        <f>IF(COUNTIFS(T_SelfStock_Log[Part Name],$A46,T_SelfStock_Log[WeekIndex],76)=0,"",SUMIFS(T_SelfStock_Log[Self_Qty],T_SelfStock_Log[Part Name],$A46,T_SelfStock_Log[WeekIndex],76))</f>
        <v/>
      </c>
      <c r="BZ46" s="12">
        <f>IF(COUNTIFS(T_SelfStock_Log[Part Name],$A46,T_SelfStock_Log[WeekIndex],77)=0,"",SUMIFS(T_SelfStock_Log[Self_Qty],T_SelfStock_Log[Part Name],$A46,T_SelfStock_Log[WeekIndex],77))</f>
        <v/>
      </c>
      <c r="CA46" s="12">
        <f>IF(COUNTIFS(T_SelfStock_Log[Part Name],$A46,T_SelfStock_Log[WeekIndex],78)=0,"",SUMIFS(T_SelfStock_Log[Self_Qty],T_SelfStock_Log[Part Name],$A46,T_SelfStock_Log[WeekIndex],78))</f>
        <v/>
      </c>
      <c r="CB46" s="12">
        <f>IF(COUNTIFS(T_SelfStock_Log[Part Name],$A46,T_SelfStock_Log[WeekIndex],79)=0,"",SUMIFS(T_SelfStock_Log[Self_Qty],T_SelfStock_Log[Part Name],$A46,T_SelfStock_Log[WeekIndex],79))</f>
        <v/>
      </c>
      <c r="CC46" s="12">
        <f>IF(COUNTIFS(T_SelfStock_Log[Part Name],$A46,T_SelfStock_Log[WeekIndex],80)=0,"",SUMIFS(T_SelfStock_Log[Self_Qty],T_SelfStock_Log[Part Name],$A46,T_SelfStock_Log[WeekIndex],80))</f>
        <v/>
      </c>
      <c r="CD46" s="12">
        <f>IF(COUNTIFS(T_SelfStock_Log[Part Name],$A46,T_SelfStock_Log[WeekIndex],81)=0,"",SUMIFS(T_SelfStock_Log[Self_Qty],T_SelfStock_Log[Part Name],$A46,T_SelfStock_Log[WeekIndex],81))</f>
        <v/>
      </c>
      <c r="CE46" s="12">
        <f>IF(COUNTIFS(T_SelfStock_Log[Part Name],$A46,T_SelfStock_Log[WeekIndex],82)=0,"",SUMIFS(T_SelfStock_Log[Self_Qty],T_SelfStock_Log[Part Name],$A46,T_SelfStock_Log[WeekIndex],82))</f>
        <v/>
      </c>
      <c r="CF46" s="12">
        <f>IF(COUNTIFS(T_SelfStock_Log[Part Name],$A46,T_SelfStock_Log[WeekIndex],83)=0,"",SUMIFS(T_SelfStock_Log[Self_Qty],T_SelfStock_Log[Part Name],$A46,T_SelfStock_Log[WeekIndex],83))</f>
        <v/>
      </c>
      <c r="CG46" s="12">
        <f>IF(COUNTIFS(T_SelfStock_Log[Part Name],$A46,T_SelfStock_Log[WeekIndex],84)=0,"",SUMIFS(T_SelfStock_Log[Self_Qty],T_SelfStock_Log[Part Name],$A46,T_SelfStock_Log[WeekIndex],84))</f>
        <v/>
      </c>
      <c r="CH46" s="12">
        <f>IF(COUNTIFS(T_SelfStock_Log[Part Name],$A46,T_SelfStock_Log[WeekIndex],85)=0,"",SUMIFS(T_SelfStock_Log[Self_Qty],T_SelfStock_Log[Part Name],$A46,T_SelfStock_Log[WeekIndex],85))</f>
        <v/>
      </c>
      <c r="CI46" s="12">
        <f>IF(COUNTIFS(T_SelfStock_Log[Part Name],$A46,T_SelfStock_Log[WeekIndex],86)=0,"",SUMIFS(T_SelfStock_Log[Self_Qty],T_SelfStock_Log[Part Name],$A46,T_SelfStock_Log[WeekIndex],86))</f>
        <v/>
      </c>
      <c r="CJ46" s="12">
        <f>IF(COUNTIFS(T_SelfStock_Log[Part Name],$A46,T_SelfStock_Log[WeekIndex],87)=0,"",SUMIFS(T_SelfStock_Log[Self_Qty],T_SelfStock_Log[Part Name],$A46,T_SelfStock_Log[WeekIndex],87))</f>
        <v/>
      </c>
      <c r="CK46" s="12">
        <f>IF(COUNTIFS(T_SelfStock_Log[Part Name],$A46,T_SelfStock_Log[WeekIndex],88)=0,"",SUMIFS(T_SelfStock_Log[Self_Qty],T_SelfStock_Log[Part Name],$A46,T_SelfStock_Log[WeekIndex],88))</f>
        <v/>
      </c>
      <c r="CL46" s="12">
        <f>IF(COUNTIFS(T_SelfStock_Log[Part Name],$A46,T_SelfStock_Log[WeekIndex],89)=0,"",SUMIFS(T_SelfStock_Log[Self_Qty],T_SelfStock_Log[Part Name],$A46,T_SelfStock_Log[WeekIndex],89))</f>
        <v/>
      </c>
      <c r="CM46" s="12">
        <f>IF(COUNTIFS(T_SelfStock_Log[Part Name],$A46,T_SelfStock_Log[WeekIndex],90)=0,"",SUMIFS(T_SelfStock_Log[Self_Qty],T_SelfStock_Log[Part Name],$A46,T_SelfStock_Log[WeekIndex],90))</f>
        <v/>
      </c>
      <c r="CN46" s="12">
        <f>IF(COUNTIFS(T_SelfStock_Log[Part Name],$A46,T_SelfStock_Log[WeekIndex],91)=0,"",SUMIFS(T_SelfStock_Log[Self_Qty],T_SelfStock_Log[Part Name],$A46,T_SelfStock_Log[WeekIndex],91))</f>
        <v/>
      </c>
      <c r="CO46" s="12">
        <f>IF(COUNTIFS(T_SelfStock_Log[Part Name],$A46,T_SelfStock_Log[WeekIndex],92)=0,"",SUMIFS(T_SelfStock_Log[Self_Qty],T_SelfStock_Log[Part Name],$A46,T_SelfStock_Log[WeekIndex],92))</f>
        <v/>
      </c>
      <c r="CP46" s="12">
        <f>IF(COUNTIFS(T_SelfStock_Log[Part Name],$A46,T_SelfStock_Log[WeekIndex],93)=0,"",SUMIFS(T_SelfStock_Log[Self_Qty],T_SelfStock_Log[Part Name],$A46,T_SelfStock_Log[WeekIndex],93))</f>
        <v/>
      </c>
      <c r="CQ46" s="12">
        <f>IF(COUNTIFS(T_SelfStock_Log[Part Name],$A46,T_SelfStock_Log[WeekIndex],94)=0,"",SUMIFS(T_SelfStock_Log[Self_Qty],T_SelfStock_Log[Part Name],$A46,T_SelfStock_Log[WeekIndex],94))</f>
        <v/>
      </c>
      <c r="CR46" s="12">
        <f>IF(COUNTIFS(T_SelfStock_Log[Part Name],$A46,T_SelfStock_Log[WeekIndex],95)=0,"",SUMIFS(T_SelfStock_Log[Self_Qty],T_SelfStock_Log[Part Name],$A46,T_SelfStock_Log[WeekIndex],95))</f>
        <v/>
      </c>
      <c r="CS46" s="12">
        <f>IF(COUNTIFS(T_SelfStock_Log[Part Name],$A46,T_SelfStock_Log[WeekIndex],96)=0,"",SUMIFS(T_SelfStock_Log[Self_Qty],T_SelfStock_Log[Part Name],$A46,T_SelfStock_Log[WeekIndex],96))</f>
        <v/>
      </c>
      <c r="CT46" s="12">
        <f>IF(COUNTIFS(T_SelfStock_Log[Part Name],$A46,T_SelfStock_Log[WeekIndex],97)=0,"",SUMIFS(T_SelfStock_Log[Self_Qty],T_SelfStock_Log[Part Name],$A46,T_SelfStock_Log[WeekIndex],97))</f>
        <v/>
      </c>
      <c r="CU46" s="12">
        <f>IF(COUNTIFS(T_SelfStock_Log[Part Name],$A46,T_SelfStock_Log[WeekIndex],98)=0,"",SUMIFS(T_SelfStock_Log[Self_Qty],T_SelfStock_Log[Part Name],$A46,T_SelfStock_Log[WeekIndex],98))</f>
        <v/>
      </c>
      <c r="CV46" s="12">
        <f>IF(COUNTIFS(T_SelfStock_Log[Part Name],$A46,T_SelfStock_Log[WeekIndex],99)=0,"",SUMIFS(T_SelfStock_Log[Self_Qty],T_SelfStock_Log[Part Name],$A46,T_SelfStock_Log[WeekIndex],99))</f>
        <v/>
      </c>
      <c r="CW46" s="12">
        <f>IF(COUNTIFS(T_SelfStock_Log[Part Name],$A46,T_SelfStock_Log[WeekIndex],100)=0,"",SUMIFS(T_SelfStock_Log[Self_Qty],T_SelfStock_Log[Part Name],$A46,T_SelfStock_Log[WeekIndex],100))</f>
        <v/>
      </c>
      <c r="CX46" s="12">
        <f>IF(COUNTIFS(T_SelfStock_Log[Part Name],$A46,T_SelfStock_Log[WeekIndex],101)=0,"",SUMIFS(T_SelfStock_Log[Self_Qty],T_SelfStock_Log[Part Name],$A46,T_SelfStock_Log[WeekIndex],101))</f>
        <v/>
      </c>
      <c r="CY46" s="12">
        <f>IF(COUNTIFS(T_SelfStock_Log[Part Name],$A46,T_SelfStock_Log[WeekIndex],102)=0,"",SUMIFS(T_SelfStock_Log[Self_Qty],T_SelfStock_Log[Part Name],$A46,T_SelfStock_Log[WeekIndex],102))</f>
        <v/>
      </c>
      <c r="CZ46" s="12">
        <f>IF(COUNTIFS(T_SelfStock_Log[Part Name],$A46,T_SelfStock_Log[WeekIndex],103)=0,"",SUMIFS(T_SelfStock_Log[Self_Qty],T_SelfStock_Log[Part Name],$A46,T_SelfStock_Log[WeekIndex],103))</f>
        <v/>
      </c>
      <c r="DA46" s="12">
        <f>IF(COUNTIFS(T_SelfStock_Log[Part Name],$A46,T_SelfStock_Log[WeekIndex],104)=0,"",SUMIFS(T_SelfStock_Log[Self_Qty],T_SelfStock_Log[Part Name],$A46,T_SelfStock_Log[WeekIndex],104))</f>
        <v/>
      </c>
    </row>
    <row r="47">
      <c r="A47" s="13" t="inlineStr">
        <is>
          <t>V19</t>
        </is>
      </c>
      <c r="B47" s="13">
        <f>IF(COUNTIFS(T_SelfStock_Log[Part Name],$A47,T_SelfStock_Log[WeekIndex],1)=0,"",SUMIFS(T_SelfStock_Log[Self_Qty],T_SelfStock_Log[Part Name],$A47,T_SelfStock_Log[WeekIndex],1))</f>
        <v/>
      </c>
      <c r="C47" s="13">
        <f>IF(COUNTIFS(T_SelfStock_Log[Part Name],$A47,T_SelfStock_Log[WeekIndex],2)=0,"",SUMIFS(T_SelfStock_Log[Self_Qty],T_SelfStock_Log[Part Name],$A47,T_SelfStock_Log[WeekIndex],2))</f>
        <v/>
      </c>
      <c r="D47" s="13">
        <f>IF(COUNTIFS(T_SelfStock_Log[Part Name],$A47,T_SelfStock_Log[WeekIndex],3)=0,"",SUMIFS(T_SelfStock_Log[Self_Qty],T_SelfStock_Log[Part Name],$A47,T_SelfStock_Log[WeekIndex],3))</f>
        <v/>
      </c>
      <c r="E47" s="13">
        <f>IF(COUNTIFS(T_SelfStock_Log[Part Name],$A47,T_SelfStock_Log[WeekIndex],4)=0,"",SUMIFS(T_SelfStock_Log[Self_Qty],T_SelfStock_Log[Part Name],$A47,T_SelfStock_Log[WeekIndex],4))</f>
        <v/>
      </c>
      <c r="F47" s="13">
        <f>IF(COUNTIFS(T_SelfStock_Log[Part Name],$A47,T_SelfStock_Log[WeekIndex],5)=0,"",SUMIFS(T_SelfStock_Log[Self_Qty],T_SelfStock_Log[Part Name],$A47,T_SelfStock_Log[WeekIndex],5))</f>
        <v/>
      </c>
      <c r="G47" s="13">
        <f>IF(COUNTIFS(T_SelfStock_Log[Part Name],$A47,T_SelfStock_Log[WeekIndex],6)=0,"",SUMIFS(T_SelfStock_Log[Self_Qty],T_SelfStock_Log[Part Name],$A47,T_SelfStock_Log[WeekIndex],6))</f>
        <v/>
      </c>
      <c r="H47" s="13">
        <f>IF(COUNTIFS(T_SelfStock_Log[Part Name],$A47,T_SelfStock_Log[WeekIndex],7)=0,"",SUMIFS(T_SelfStock_Log[Self_Qty],T_SelfStock_Log[Part Name],$A47,T_SelfStock_Log[WeekIndex],7))</f>
        <v/>
      </c>
      <c r="I47" s="13">
        <f>IF(COUNTIFS(T_SelfStock_Log[Part Name],$A47,T_SelfStock_Log[WeekIndex],8)=0,"",SUMIFS(T_SelfStock_Log[Self_Qty],T_SelfStock_Log[Part Name],$A47,T_SelfStock_Log[WeekIndex],8))</f>
        <v/>
      </c>
      <c r="J47" s="13">
        <f>IF(COUNTIFS(T_SelfStock_Log[Part Name],$A47,T_SelfStock_Log[WeekIndex],9)=0,"",SUMIFS(T_SelfStock_Log[Self_Qty],T_SelfStock_Log[Part Name],$A47,T_SelfStock_Log[WeekIndex],9))</f>
        <v/>
      </c>
      <c r="K47" s="13">
        <f>IF(COUNTIFS(T_SelfStock_Log[Part Name],$A47,T_SelfStock_Log[WeekIndex],10)=0,"",SUMIFS(T_SelfStock_Log[Self_Qty],T_SelfStock_Log[Part Name],$A47,T_SelfStock_Log[WeekIndex],10))</f>
        <v/>
      </c>
      <c r="L47" s="13">
        <f>IF(COUNTIFS(T_SelfStock_Log[Part Name],$A47,T_SelfStock_Log[WeekIndex],11)=0,"",SUMIFS(T_SelfStock_Log[Self_Qty],T_SelfStock_Log[Part Name],$A47,T_SelfStock_Log[WeekIndex],11))</f>
        <v/>
      </c>
      <c r="M47" s="13">
        <f>IF(COUNTIFS(T_SelfStock_Log[Part Name],$A47,T_SelfStock_Log[WeekIndex],12)=0,"",SUMIFS(T_SelfStock_Log[Self_Qty],T_SelfStock_Log[Part Name],$A47,T_SelfStock_Log[WeekIndex],12))</f>
        <v/>
      </c>
      <c r="N47" s="13">
        <f>IF(COUNTIFS(T_SelfStock_Log[Part Name],$A47,T_SelfStock_Log[WeekIndex],13)=0,"",SUMIFS(T_SelfStock_Log[Self_Qty],T_SelfStock_Log[Part Name],$A47,T_SelfStock_Log[WeekIndex],13))</f>
        <v/>
      </c>
      <c r="O47" s="13">
        <f>IF(COUNTIFS(T_SelfStock_Log[Part Name],$A47,T_SelfStock_Log[WeekIndex],14)=0,"",SUMIFS(T_SelfStock_Log[Self_Qty],T_SelfStock_Log[Part Name],$A47,T_SelfStock_Log[WeekIndex],14))</f>
        <v/>
      </c>
      <c r="P47" s="13">
        <f>IF(COUNTIFS(T_SelfStock_Log[Part Name],$A47,T_SelfStock_Log[WeekIndex],15)=0,"",SUMIFS(T_SelfStock_Log[Self_Qty],T_SelfStock_Log[Part Name],$A47,T_SelfStock_Log[WeekIndex],15))</f>
        <v/>
      </c>
      <c r="Q47" s="13">
        <f>IF(COUNTIFS(T_SelfStock_Log[Part Name],$A47,T_SelfStock_Log[WeekIndex],16)=0,"",SUMIFS(T_SelfStock_Log[Self_Qty],T_SelfStock_Log[Part Name],$A47,T_SelfStock_Log[WeekIndex],16))</f>
        <v/>
      </c>
      <c r="R47" s="13">
        <f>IF(COUNTIFS(T_SelfStock_Log[Part Name],$A47,T_SelfStock_Log[WeekIndex],17)=0,"",SUMIFS(T_SelfStock_Log[Self_Qty],T_SelfStock_Log[Part Name],$A47,T_SelfStock_Log[WeekIndex],17))</f>
        <v/>
      </c>
      <c r="S47" s="13">
        <f>IF(COUNTIFS(T_SelfStock_Log[Part Name],$A47,T_SelfStock_Log[WeekIndex],18)=0,"",SUMIFS(T_SelfStock_Log[Self_Qty],T_SelfStock_Log[Part Name],$A47,T_SelfStock_Log[WeekIndex],18))</f>
        <v/>
      </c>
      <c r="T47" s="13">
        <f>IF(COUNTIFS(T_SelfStock_Log[Part Name],$A47,T_SelfStock_Log[WeekIndex],19)=0,"",SUMIFS(T_SelfStock_Log[Self_Qty],T_SelfStock_Log[Part Name],$A47,T_SelfStock_Log[WeekIndex],19))</f>
        <v/>
      </c>
      <c r="U47" s="13">
        <f>IF(COUNTIFS(T_SelfStock_Log[Part Name],$A47,T_SelfStock_Log[WeekIndex],20)=0,"",SUMIFS(T_SelfStock_Log[Self_Qty],T_SelfStock_Log[Part Name],$A47,T_SelfStock_Log[WeekIndex],20))</f>
        <v/>
      </c>
      <c r="V47" s="13">
        <f>IF(COUNTIFS(T_SelfStock_Log[Part Name],$A47,T_SelfStock_Log[WeekIndex],21)=0,"",SUMIFS(T_SelfStock_Log[Self_Qty],T_SelfStock_Log[Part Name],$A47,T_SelfStock_Log[WeekIndex],21))</f>
        <v/>
      </c>
      <c r="W47" s="13">
        <f>IF(COUNTIFS(T_SelfStock_Log[Part Name],$A47,T_SelfStock_Log[WeekIndex],22)=0,"",SUMIFS(T_SelfStock_Log[Self_Qty],T_SelfStock_Log[Part Name],$A47,T_SelfStock_Log[WeekIndex],22))</f>
        <v/>
      </c>
      <c r="X47" s="13">
        <f>IF(COUNTIFS(T_SelfStock_Log[Part Name],$A47,T_SelfStock_Log[WeekIndex],23)=0,"",SUMIFS(T_SelfStock_Log[Self_Qty],T_SelfStock_Log[Part Name],$A47,T_SelfStock_Log[WeekIndex],23))</f>
        <v/>
      </c>
      <c r="Y47" s="13">
        <f>IF(COUNTIFS(T_SelfStock_Log[Part Name],$A47,T_SelfStock_Log[WeekIndex],24)=0,"",SUMIFS(T_SelfStock_Log[Self_Qty],T_SelfStock_Log[Part Name],$A47,T_SelfStock_Log[WeekIndex],24))</f>
        <v/>
      </c>
      <c r="Z47" s="13">
        <f>IF(COUNTIFS(T_SelfStock_Log[Part Name],$A47,T_SelfStock_Log[WeekIndex],25)=0,"",SUMIFS(T_SelfStock_Log[Self_Qty],T_SelfStock_Log[Part Name],$A47,T_SelfStock_Log[WeekIndex],25))</f>
        <v/>
      </c>
      <c r="AA47" s="13">
        <f>IF(COUNTIFS(T_SelfStock_Log[Part Name],$A47,T_SelfStock_Log[WeekIndex],26)=0,"",SUMIFS(T_SelfStock_Log[Self_Qty],T_SelfStock_Log[Part Name],$A47,T_SelfStock_Log[WeekIndex],26))</f>
        <v/>
      </c>
      <c r="AB47" s="13">
        <f>IF(COUNTIFS(T_SelfStock_Log[Part Name],$A47,T_SelfStock_Log[WeekIndex],27)=0,"",SUMIFS(T_SelfStock_Log[Self_Qty],T_SelfStock_Log[Part Name],$A47,T_SelfStock_Log[WeekIndex],27))</f>
        <v/>
      </c>
      <c r="AC47" s="13">
        <f>IF(COUNTIFS(T_SelfStock_Log[Part Name],$A47,T_SelfStock_Log[WeekIndex],28)=0,"",SUMIFS(T_SelfStock_Log[Self_Qty],T_SelfStock_Log[Part Name],$A47,T_SelfStock_Log[WeekIndex],28))</f>
        <v/>
      </c>
      <c r="AD47" s="13">
        <f>IF(COUNTIFS(T_SelfStock_Log[Part Name],$A47,T_SelfStock_Log[WeekIndex],29)=0,"",SUMIFS(T_SelfStock_Log[Self_Qty],T_SelfStock_Log[Part Name],$A47,T_SelfStock_Log[WeekIndex],29))</f>
        <v/>
      </c>
      <c r="AE47" s="13">
        <f>IF(COUNTIFS(T_SelfStock_Log[Part Name],$A47,T_SelfStock_Log[WeekIndex],30)=0,"",SUMIFS(T_SelfStock_Log[Self_Qty],T_SelfStock_Log[Part Name],$A47,T_SelfStock_Log[WeekIndex],30))</f>
        <v/>
      </c>
      <c r="AF47" s="13">
        <f>IF(COUNTIFS(T_SelfStock_Log[Part Name],$A47,T_SelfStock_Log[WeekIndex],31)=0,"",SUMIFS(T_SelfStock_Log[Self_Qty],T_SelfStock_Log[Part Name],$A47,T_SelfStock_Log[WeekIndex],31))</f>
        <v/>
      </c>
      <c r="AG47" s="13">
        <f>IF(COUNTIFS(T_SelfStock_Log[Part Name],$A47,T_SelfStock_Log[WeekIndex],32)=0,"",SUMIFS(T_SelfStock_Log[Self_Qty],T_SelfStock_Log[Part Name],$A47,T_SelfStock_Log[WeekIndex],32))</f>
        <v/>
      </c>
      <c r="AH47" s="13">
        <f>IF(COUNTIFS(T_SelfStock_Log[Part Name],$A47,T_SelfStock_Log[WeekIndex],33)=0,"",SUMIFS(T_SelfStock_Log[Self_Qty],T_SelfStock_Log[Part Name],$A47,T_SelfStock_Log[WeekIndex],33))</f>
        <v/>
      </c>
      <c r="AI47" s="13">
        <f>IF(COUNTIFS(T_SelfStock_Log[Part Name],$A47,T_SelfStock_Log[WeekIndex],34)=0,"",SUMIFS(T_SelfStock_Log[Self_Qty],T_SelfStock_Log[Part Name],$A47,T_SelfStock_Log[WeekIndex],34))</f>
        <v/>
      </c>
      <c r="AJ47" s="13">
        <f>IF(COUNTIFS(T_SelfStock_Log[Part Name],$A47,T_SelfStock_Log[WeekIndex],35)=0,"",SUMIFS(T_SelfStock_Log[Self_Qty],T_SelfStock_Log[Part Name],$A47,T_SelfStock_Log[WeekIndex],35))</f>
        <v/>
      </c>
      <c r="AK47" s="13">
        <f>IF(COUNTIFS(T_SelfStock_Log[Part Name],$A47,T_SelfStock_Log[WeekIndex],36)=0,"",SUMIFS(T_SelfStock_Log[Self_Qty],T_SelfStock_Log[Part Name],$A47,T_SelfStock_Log[WeekIndex],36))</f>
        <v/>
      </c>
      <c r="AL47" s="13">
        <f>IF(COUNTIFS(T_SelfStock_Log[Part Name],$A47,T_SelfStock_Log[WeekIndex],37)=0,"",SUMIFS(T_SelfStock_Log[Self_Qty],T_SelfStock_Log[Part Name],$A47,T_SelfStock_Log[WeekIndex],37))</f>
        <v/>
      </c>
      <c r="AM47" s="13">
        <f>IF(COUNTIFS(T_SelfStock_Log[Part Name],$A47,T_SelfStock_Log[WeekIndex],38)=0,"",SUMIFS(T_SelfStock_Log[Self_Qty],T_SelfStock_Log[Part Name],$A47,T_SelfStock_Log[WeekIndex],38))</f>
        <v/>
      </c>
      <c r="AN47" s="13">
        <f>IF(COUNTIFS(T_SelfStock_Log[Part Name],$A47,T_SelfStock_Log[WeekIndex],39)=0,"",SUMIFS(T_SelfStock_Log[Self_Qty],T_SelfStock_Log[Part Name],$A47,T_SelfStock_Log[WeekIndex],39))</f>
        <v/>
      </c>
      <c r="AO47" s="13">
        <f>IF(COUNTIFS(T_SelfStock_Log[Part Name],$A47,T_SelfStock_Log[WeekIndex],40)=0,"",SUMIFS(T_SelfStock_Log[Self_Qty],T_SelfStock_Log[Part Name],$A47,T_SelfStock_Log[WeekIndex],40))</f>
        <v/>
      </c>
      <c r="AP47" s="13">
        <f>IF(COUNTIFS(T_SelfStock_Log[Part Name],$A47,T_SelfStock_Log[WeekIndex],41)=0,"",SUMIFS(T_SelfStock_Log[Self_Qty],T_SelfStock_Log[Part Name],$A47,T_SelfStock_Log[WeekIndex],41))</f>
        <v/>
      </c>
      <c r="AQ47" s="13">
        <f>IF(COUNTIFS(T_SelfStock_Log[Part Name],$A47,T_SelfStock_Log[WeekIndex],42)=0,"",SUMIFS(T_SelfStock_Log[Self_Qty],T_SelfStock_Log[Part Name],$A47,T_SelfStock_Log[WeekIndex],42))</f>
        <v/>
      </c>
      <c r="AR47" s="13">
        <f>IF(COUNTIFS(T_SelfStock_Log[Part Name],$A47,T_SelfStock_Log[WeekIndex],43)=0,"",SUMIFS(T_SelfStock_Log[Self_Qty],T_SelfStock_Log[Part Name],$A47,T_SelfStock_Log[WeekIndex],43))</f>
        <v/>
      </c>
      <c r="AS47" s="13">
        <f>IF(COUNTIFS(T_SelfStock_Log[Part Name],$A47,T_SelfStock_Log[WeekIndex],44)=0,"",SUMIFS(T_SelfStock_Log[Self_Qty],T_SelfStock_Log[Part Name],$A47,T_SelfStock_Log[WeekIndex],44))</f>
        <v/>
      </c>
      <c r="AT47" s="13">
        <f>IF(COUNTIFS(T_SelfStock_Log[Part Name],$A47,T_SelfStock_Log[WeekIndex],45)=0,"",SUMIFS(T_SelfStock_Log[Self_Qty],T_SelfStock_Log[Part Name],$A47,T_SelfStock_Log[WeekIndex],45))</f>
        <v/>
      </c>
      <c r="AU47" s="13">
        <f>IF(COUNTIFS(T_SelfStock_Log[Part Name],$A47,T_SelfStock_Log[WeekIndex],46)=0,"",SUMIFS(T_SelfStock_Log[Self_Qty],T_SelfStock_Log[Part Name],$A47,T_SelfStock_Log[WeekIndex],46))</f>
        <v/>
      </c>
      <c r="AV47" s="13">
        <f>IF(COUNTIFS(T_SelfStock_Log[Part Name],$A47,T_SelfStock_Log[WeekIndex],47)=0,"",SUMIFS(T_SelfStock_Log[Self_Qty],T_SelfStock_Log[Part Name],$A47,T_SelfStock_Log[WeekIndex],47))</f>
        <v/>
      </c>
      <c r="AW47" s="13">
        <f>IF(COUNTIFS(T_SelfStock_Log[Part Name],$A47,T_SelfStock_Log[WeekIndex],48)=0,"",SUMIFS(T_SelfStock_Log[Self_Qty],T_SelfStock_Log[Part Name],$A47,T_SelfStock_Log[WeekIndex],48))</f>
        <v/>
      </c>
      <c r="AX47" s="13">
        <f>IF(COUNTIFS(T_SelfStock_Log[Part Name],$A47,T_SelfStock_Log[WeekIndex],49)=0,"",SUMIFS(T_SelfStock_Log[Self_Qty],T_SelfStock_Log[Part Name],$A47,T_SelfStock_Log[WeekIndex],49))</f>
        <v/>
      </c>
      <c r="AY47" s="13">
        <f>IF(COUNTIFS(T_SelfStock_Log[Part Name],$A47,T_SelfStock_Log[WeekIndex],50)=0,"",SUMIFS(T_SelfStock_Log[Self_Qty],T_SelfStock_Log[Part Name],$A47,T_SelfStock_Log[WeekIndex],50))</f>
        <v/>
      </c>
      <c r="AZ47" s="13">
        <f>IF(COUNTIFS(T_SelfStock_Log[Part Name],$A47,T_SelfStock_Log[WeekIndex],51)=0,"",SUMIFS(T_SelfStock_Log[Self_Qty],T_SelfStock_Log[Part Name],$A47,T_SelfStock_Log[WeekIndex],51))</f>
        <v/>
      </c>
      <c r="BA47" s="13">
        <f>IF(COUNTIFS(T_SelfStock_Log[Part Name],$A47,T_SelfStock_Log[WeekIndex],52)=0,"",SUMIFS(T_SelfStock_Log[Self_Qty],T_SelfStock_Log[Part Name],$A47,T_SelfStock_Log[WeekIndex],52))</f>
        <v/>
      </c>
      <c r="BB47" s="13">
        <f>IF(COUNTIFS(T_SelfStock_Log[Part Name],$A47,T_SelfStock_Log[WeekIndex],53)=0,"",SUMIFS(T_SelfStock_Log[Self_Qty],T_SelfStock_Log[Part Name],$A47,T_SelfStock_Log[WeekIndex],53))</f>
        <v/>
      </c>
      <c r="BC47" s="13">
        <f>IF(COUNTIFS(T_SelfStock_Log[Part Name],$A47,T_SelfStock_Log[WeekIndex],54)=0,"",SUMIFS(T_SelfStock_Log[Self_Qty],T_SelfStock_Log[Part Name],$A47,T_SelfStock_Log[WeekIndex],54))</f>
        <v/>
      </c>
      <c r="BD47" s="13">
        <f>IF(COUNTIFS(T_SelfStock_Log[Part Name],$A47,T_SelfStock_Log[WeekIndex],55)=0,"",SUMIFS(T_SelfStock_Log[Self_Qty],T_SelfStock_Log[Part Name],$A47,T_SelfStock_Log[WeekIndex],55))</f>
        <v/>
      </c>
      <c r="BE47" s="13">
        <f>IF(COUNTIFS(T_SelfStock_Log[Part Name],$A47,T_SelfStock_Log[WeekIndex],56)=0,"",SUMIFS(T_SelfStock_Log[Self_Qty],T_SelfStock_Log[Part Name],$A47,T_SelfStock_Log[WeekIndex],56))</f>
        <v/>
      </c>
      <c r="BF47" s="13">
        <f>IF(COUNTIFS(T_SelfStock_Log[Part Name],$A47,T_SelfStock_Log[WeekIndex],57)=0,"",SUMIFS(T_SelfStock_Log[Self_Qty],T_SelfStock_Log[Part Name],$A47,T_SelfStock_Log[WeekIndex],57))</f>
        <v/>
      </c>
      <c r="BG47" s="13">
        <f>IF(COUNTIFS(T_SelfStock_Log[Part Name],$A47,T_SelfStock_Log[WeekIndex],58)=0,"",SUMIFS(T_SelfStock_Log[Self_Qty],T_SelfStock_Log[Part Name],$A47,T_SelfStock_Log[WeekIndex],58))</f>
        <v/>
      </c>
      <c r="BH47" s="13">
        <f>IF(COUNTIFS(T_SelfStock_Log[Part Name],$A47,T_SelfStock_Log[WeekIndex],59)=0,"",SUMIFS(T_SelfStock_Log[Self_Qty],T_SelfStock_Log[Part Name],$A47,T_SelfStock_Log[WeekIndex],59))</f>
        <v/>
      </c>
      <c r="BI47" s="13">
        <f>IF(COUNTIFS(T_SelfStock_Log[Part Name],$A47,T_SelfStock_Log[WeekIndex],60)=0,"",SUMIFS(T_SelfStock_Log[Self_Qty],T_SelfStock_Log[Part Name],$A47,T_SelfStock_Log[WeekIndex],60))</f>
        <v/>
      </c>
      <c r="BJ47" s="13">
        <f>IF(COUNTIFS(T_SelfStock_Log[Part Name],$A47,T_SelfStock_Log[WeekIndex],61)=0,"",SUMIFS(T_SelfStock_Log[Self_Qty],T_SelfStock_Log[Part Name],$A47,T_SelfStock_Log[WeekIndex],61))</f>
        <v/>
      </c>
      <c r="BK47" s="13">
        <f>IF(COUNTIFS(T_SelfStock_Log[Part Name],$A47,T_SelfStock_Log[WeekIndex],62)=0,"",SUMIFS(T_SelfStock_Log[Self_Qty],T_SelfStock_Log[Part Name],$A47,T_SelfStock_Log[WeekIndex],62))</f>
        <v/>
      </c>
      <c r="BL47" s="13">
        <f>IF(COUNTIFS(T_SelfStock_Log[Part Name],$A47,T_SelfStock_Log[WeekIndex],63)=0,"",SUMIFS(T_SelfStock_Log[Self_Qty],T_SelfStock_Log[Part Name],$A47,T_SelfStock_Log[WeekIndex],63))</f>
        <v/>
      </c>
      <c r="BM47" s="13">
        <f>IF(COUNTIFS(T_SelfStock_Log[Part Name],$A47,T_SelfStock_Log[WeekIndex],64)=0,"",SUMIFS(T_SelfStock_Log[Self_Qty],T_SelfStock_Log[Part Name],$A47,T_SelfStock_Log[WeekIndex],64))</f>
        <v/>
      </c>
      <c r="BN47" s="13">
        <f>IF(COUNTIFS(T_SelfStock_Log[Part Name],$A47,T_SelfStock_Log[WeekIndex],65)=0,"",SUMIFS(T_SelfStock_Log[Self_Qty],T_SelfStock_Log[Part Name],$A47,T_SelfStock_Log[WeekIndex],65))</f>
        <v/>
      </c>
      <c r="BO47" s="13">
        <f>IF(COUNTIFS(T_SelfStock_Log[Part Name],$A47,T_SelfStock_Log[WeekIndex],66)=0,"",SUMIFS(T_SelfStock_Log[Self_Qty],T_SelfStock_Log[Part Name],$A47,T_SelfStock_Log[WeekIndex],66))</f>
        <v/>
      </c>
      <c r="BP47" s="13">
        <f>IF(COUNTIFS(T_SelfStock_Log[Part Name],$A47,T_SelfStock_Log[WeekIndex],67)=0,"",SUMIFS(T_SelfStock_Log[Self_Qty],T_SelfStock_Log[Part Name],$A47,T_SelfStock_Log[WeekIndex],67))</f>
        <v/>
      </c>
      <c r="BQ47" s="13">
        <f>IF(COUNTIFS(T_SelfStock_Log[Part Name],$A47,T_SelfStock_Log[WeekIndex],68)=0,"",SUMIFS(T_SelfStock_Log[Self_Qty],T_SelfStock_Log[Part Name],$A47,T_SelfStock_Log[WeekIndex],68))</f>
        <v/>
      </c>
      <c r="BR47" s="13">
        <f>IF(COUNTIFS(T_SelfStock_Log[Part Name],$A47,T_SelfStock_Log[WeekIndex],69)=0,"",SUMIFS(T_SelfStock_Log[Self_Qty],T_SelfStock_Log[Part Name],$A47,T_SelfStock_Log[WeekIndex],69))</f>
        <v/>
      </c>
      <c r="BS47" s="13">
        <f>IF(COUNTIFS(T_SelfStock_Log[Part Name],$A47,T_SelfStock_Log[WeekIndex],70)=0,"",SUMIFS(T_SelfStock_Log[Self_Qty],T_SelfStock_Log[Part Name],$A47,T_SelfStock_Log[WeekIndex],70))</f>
        <v/>
      </c>
      <c r="BT47" s="13">
        <f>IF(COUNTIFS(T_SelfStock_Log[Part Name],$A47,T_SelfStock_Log[WeekIndex],71)=0,"",SUMIFS(T_SelfStock_Log[Self_Qty],T_SelfStock_Log[Part Name],$A47,T_SelfStock_Log[WeekIndex],71))</f>
        <v/>
      </c>
      <c r="BU47" s="13">
        <f>IF(COUNTIFS(T_SelfStock_Log[Part Name],$A47,T_SelfStock_Log[WeekIndex],72)=0,"",SUMIFS(T_SelfStock_Log[Self_Qty],T_SelfStock_Log[Part Name],$A47,T_SelfStock_Log[WeekIndex],72))</f>
        <v/>
      </c>
      <c r="BV47" s="13">
        <f>IF(COUNTIFS(T_SelfStock_Log[Part Name],$A47,T_SelfStock_Log[WeekIndex],73)=0,"",SUMIFS(T_SelfStock_Log[Self_Qty],T_SelfStock_Log[Part Name],$A47,T_SelfStock_Log[WeekIndex],73))</f>
        <v/>
      </c>
      <c r="BW47" s="13">
        <f>IF(COUNTIFS(T_SelfStock_Log[Part Name],$A47,T_SelfStock_Log[WeekIndex],74)=0,"",SUMIFS(T_SelfStock_Log[Self_Qty],T_SelfStock_Log[Part Name],$A47,T_SelfStock_Log[WeekIndex],74))</f>
        <v/>
      </c>
      <c r="BX47" s="13">
        <f>IF(COUNTIFS(T_SelfStock_Log[Part Name],$A47,T_SelfStock_Log[WeekIndex],75)=0,"",SUMIFS(T_SelfStock_Log[Self_Qty],T_SelfStock_Log[Part Name],$A47,T_SelfStock_Log[WeekIndex],75))</f>
        <v/>
      </c>
      <c r="BY47" s="13">
        <f>IF(COUNTIFS(T_SelfStock_Log[Part Name],$A47,T_SelfStock_Log[WeekIndex],76)=0,"",SUMIFS(T_SelfStock_Log[Self_Qty],T_SelfStock_Log[Part Name],$A47,T_SelfStock_Log[WeekIndex],76))</f>
        <v/>
      </c>
      <c r="BZ47" s="13">
        <f>IF(COUNTIFS(T_SelfStock_Log[Part Name],$A47,T_SelfStock_Log[WeekIndex],77)=0,"",SUMIFS(T_SelfStock_Log[Self_Qty],T_SelfStock_Log[Part Name],$A47,T_SelfStock_Log[WeekIndex],77))</f>
        <v/>
      </c>
      <c r="CA47" s="13">
        <f>IF(COUNTIFS(T_SelfStock_Log[Part Name],$A47,T_SelfStock_Log[WeekIndex],78)=0,"",SUMIFS(T_SelfStock_Log[Self_Qty],T_SelfStock_Log[Part Name],$A47,T_SelfStock_Log[WeekIndex],78))</f>
        <v/>
      </c>
      <c r="CB47" s="13">
        <f>IF(COUNTIFS(T_SelfStock_Log[Part Name],$A47,T_SelfStock_Log[WeekIndex],79)=0,"",SUMIFS(T_SelfStock_Log[Self_Qty],T_SelfStock_Log[Part Name],$A47,T_SelfStock_Log[WeekIndex],79))</f>
        <v/>
      </c>
      <c r="CC47" s="13">
        <f>IF(COUNTIFS(T_SelfStock_Log[Part Name],$A47,T_SelfStock_Log[WeekIndex],80)=0,"",SUMIFS(T_SelfStock_Log[Self_Qty],T_SelfStock_Log[Part Name],$A47,T_SelfStock_Log[WeekIndex],80))</f>
        <v/>
      </c>
      <c r="CD47" s="13">
        <f>IF(COUNTIFS(T_SelfStock_Log[Part Name],$A47,T_SelfStock_Log[WeekIndex],81)=0,"",SUMIFS(T_SelfStock_Log[Self_Qty],T_SelfStock_Log[Part Name],$A47,T_SelfStock_Log[WeekIndex],81))</f>
        <v/>
      </c>
      <c r="CE47" s="13">
        <f>IF(COUNTIFS(T_SelfStock_Log[Part Name],$A47,T_SelfStock_Log[WeekIndex],82)=0,"",SUMIFS(T_SelfStock_Log[Self_Qty],T_SelfStock_Log[Part Name],$A47,T_SelfStock_Log[WeekIndex],82))</f>
        <v/>
      </c>
      <c r="CF47" s="13">
        <f>IF(COUNTIFS(T_SelfStock_Log[Part Name],$A47,T_SelfStock_Log[WeekIndex],83)=0,"",SUMIFS(T_SelfStock_Log[Self_Qty],T_SelfStock_Log[Part Name],$A47,T_SelfStock_Log[WeekIndex],83))</f>
        <v/>
      </c>
      <c r="CG47" s="13">
        <f>IF(COUNTIFS(T_SelfStock_Log[Part Name],$A47,T_SelfStock_Log[WeekIndex],84)=0,"",SUMIFS(T_SelfStock_Log[Self_Qty],T_SelfStock_Log[Part Name],$A47,T_SelfStock_Log[WeekIndex],84))</f>
        <v/>
      </c>
      <c r="CH47" s="13">
        <f>IF(COUNTIFS(T_SelfStock_Log[Part Name],$A47,T_SelfStock_Log[WeekIndex],85)=0,"",SUMIFS(T_SelfStock_Log[Self_Qty],T_SelfStock_Log[Part Name],$A47,T_SelfStock_Log[WeekIndex],85))</f>
        <v/>
      </c>
      <c r="CI47" s="13">
        <f>IF(COUNTIFS(T_SelfStock_Log[Part Name],$A47,T_SelfStock_Log[WeekIndex],86)=0,"",SUMIFS(T_SelfStock_Log[Self_Qty],T_SelfStock_Log[Part Name],$A47,T_SelfStock_Log[WeekIndex],86))</f>
        <v/>
      </c>
      <c r="CJ47" s="13">
        <f>IF(COUNTIFS(T_SelfStock_Log[Part Name],$A47,T_SelfStock_Log[WeekIndex],87)=0,"",SUMIFS(T_SelfStock_Log[Self_Qty],T_SelfStock_Log[Part Name],$A47,T_SelfStock_Log[WeekIndex],87))</f>
        <v/>
      </c>
      <c r="CK47" s="13">
        <f>IF(COUNTIFS(T_SelfStock_Log[Part Name],$A47,T_SelfStock_Log[WeekIndex],88)=0,"",SUMIFS(T_SelfStock_Log[Self_Qty],T_SelfStock_Log[Part Name],$A47,T_SelfStock_Log[WeekIndex],88))</f>
        <v/>
      </c>
      <c r="CL47" s="13">
        <f>IF(COUNTIFS(T_SelfStock_Log[Part Name],$A47,T_SelfStock_Log[WeekIndex],89)=0,"",SUMIFS(T_SelfStock_Log[Self_Qty],T_SelfStock_Log[Part Name],$A47,T_SelfStock_Log[WeekIndex],89))</f>
        <v/>
      </c>
      <c r="CM47" s="13">
        <f>IF(COUNTIFS(T_SelfStock_Log[Part Name],$A47,T_SelfStock_Log[WeekIndex],90)=0,"",SUMIFS(T_SelfStock_Log[Self_Qty],T_SelfStock_Log[Part Name],$A47,T_SelfStock_Log[WeekIndex],90))</f>
        <v/>
      </c>
      <c r="CN47" s="13">
        <f>IF(COUNTIFS(T_SelfStock_Log[Part Name],$A47,T_SelfStock_Log[WeekIndex],91)=0,"",SUMIFS(T_SelfStock_Log[Self_Qty],T_SelfStock_Log[Part Name],$A47,T_SelfStock_Log[WeekIndex],91))</f>
        <v/>
      </c>
      <c r="CO47" s="13">
        <f>IF(COUNTIFS(T_SelfStock_Log[Part Name],$A47,T_SelfStock_Log[WeekIndex],92)=0,"",SUMIFS(T_SelfStock_Log[Self_Qty],T_SelfStock_Log[Part Name],$A47,T_SelfStock_Log[WeekIndex],92))</f>
        <v/>
      </c>
      <c r="CP47" s="13">
        <f>IF(COUNTIFS(T_SelfStock_Log[Part Name],$A47,T_SelfStock_Log[WeekIndex],93)=0,"",SUMIFS(T_SelfStock_Log[Self_Qty],T_SelfStock_Log[Part Name],$A47,T_SelfStock_Log[WeekIndex],93))</f>
        <v/>
      </c>
      <c r="CQ47" s="13">
        <f>IF(COUNTIFS(T_SelfStock_Log[Part Name],$A47,T_SelfStock_Log[WeekIndex],94)=0,"",SUMIFS(T_SelfStock_Log[Self_Qty],T_SelfStock_Log[Part Name],$A47,T_SelfStock_Log[WeekIndex],94))</f>
        <v/>
      </c>
      <c r="CR47" s="13">
        <f>IF(COUNTIFS(T_SelfStock_Log[Part Name],$A47,T_SelfStock_Log[WeekIndex],95)=0,"",SUMIFS(T_SelfStock_Log[Self_Qty],T_SelfStock_Log[Part Name],$A47,T_SelfStock_Log[WeekIndex],95))</f>
        <v/>
      </c>
      <c r="CS47" s="13">
        <f>IF(COUNTIFS(T_SelfStock_Log[Part Name],$A47,T_SelfStock_Log[WeekIndex],96)=0,"",SUMIFS(T_SelfStock_Log[Self_Qty],T_SelfStock_Log[Part Name],$A47,T_SelfStock_Log[WeekIndex],96))</f>
        <v/>
      </c>
      <c r="CT47" s="13">
        <f>IF(COUNTIFS(T_SelfStock_Log[Part Name],$A47,T_SelfStock_Log[WeekIndex],97)=0,"",SUMIFS(T_SelfStock_Log[Self_Qty],T_SelfStock_Log[Part Name],$A47,T_SelfStock_Log[WeekIndex],97))</f>
        <v/>
      </c>
      <c r="CU47" s="13">
        <f>IF(COUNTIFS(T_SelfStock_Log[Part Name],$A47,T_SelfStock_Log[WeekIndex],98)=0,"",SUMIFS(T_SelfStock_Log[Self_Qty],T_SelfStock_Log[Part Name],$A47,T_SelfStock_Log[WeekIndex],98))</f>
        <v/>
      </c>
      <c r="CV47" s="13">
        <f>IF(COUNTIFS(T_SelfStock_Log[Part Name],$A47,T_SelfStock_Log[WeekIndex],99)=0,"",SUMIFS(T_SelfStock_Log[Self_Qty],T_SelfStock_Log[Part Name],$A47,T_SelfStock_Log[WeekIndex],99))</f>
        <v/>
      </c>
      <c r="CW47" s="13">
        <f>IF(COUNTIFS(T_SelfStock_Log[Part Name],$A47,T_SelfStock_Log[WeekIndex],100)=0,"",SUMIFS(T_SelfStock_Log[Self_Qty],T_SelfStock_Log[Part Name],$A47,T_SelfStock_Log[WeekIndex],100))</f>
        <v/>
      </c>
      <c r="CX47" s="13">
        <f>IF(COUNTIFS(T_SelfStock_Log[Part Name],$A47,T_SelfStock_Log[WeekIndex],101)=0,"",SUMIFS(T_SelfStock_Log[Self_Qty],T_SelfStock_Log[Part Name],$A47,T_SelfStock_Log[WeekIndex],101))</f>
        <v/>
      </c>
      <c r="CY47" s="13">
        <f>IF(COUNTIFS(T_SelfStock_Log[Part Name],$A47,T_SelfStock_Log[WeekIndex],102)=0,"",SUMIFS(T_SelfStock_Log[Self_Qty],T_SelfStock_Log[Part Name],$A47,T_SelfStock_Log[WeekIndex],102))</f>
        <v/>
      </c>
      <c r="CZ47" s="13">
        <f>IF(COUNTIFS(T_SelfStock_Log[Part Name],$A47,T_SelfStock_Log[WeekIndex],103)=0,"",SUMIFS(T_SelfStock_Log[Self_Qty],T_SelfStock_Log[Part Name],$A47,T_SelfStock_Log[WeekIndex],103))</f>
        <v/>
      </c>
      <c r="DA47" s="13">
        <f>IF(COUNTIFS(T_SelfStock_Log[Part Name],$A47,T_SelfStock_Log[WeekIndex],104)=0,"",SUMIFS(T_SelfStock_Log[Self_Qty],T_SelfStock_Log[Part Name],$A47,T_SelfStock_Log[WeekIndex],104))</f>
        <v/>
      </c>
    </row>
    <row r="48">
      <c r="A48" s="12" t="inlineStr">
        <is>
          <t>3TP</t>
        </is>
      </c>
      <c r="B48" s="12">
        <f>IF(COUNTIFS(T_SelfStock_Log[Part Name],$A48,T_SelfStock_Log[WeekIndex],1)=0,"",SUMIFS(T_SelfStock_Log[Self_Qty],T_SelfStock_Log[Part Name],$A48,T_SelfStock_Log[WeekIndex],1))</f>
        <v/>
      </c>
      <c r="C48" s="12">
        <f>IF(COUNTIFS(T_SelfStock_Log[Part Name],$A48,T_SelfStock_Log[WeekIndex],2)=0,"",SUMIFS(T_SelfStock_Log[Self_Qty],T_SelfStock_Log[Part Name],$A48,T_SelfStock_Log[WeekIndex],2))</f>
        <v/>
      </c>
      <c r="D48" s="12">
        <f>IF(COUNTIFS(T_SelfStock_Log[Part Name],$A48,T_SelfStock_Log[WeekIndex],3)=0,"",SUMIFS(T_SelfStock_Log[Self_Qty],T_SelfStock_Log[Part Name],$A48,T_SelfStock_Log[WeekIndex],3))</f>
        <v/>
      </c>
      <c r="E48" s="12">
        <f>IF(COUNTIFS(T_SelfStock_Log[Part Name],$A48,T_SelfStock_Log[WeekIndex],4)=0,"",SUMIFS(T_SelfStock_Log[Self_Qty],T_SelfStock_Log[Part Name],$A48,T_SelfStock_Log[WeekIndex],4))</f>
        <v/>
      </c>
      <c r="F48" s="12">
        <f>IF(COUNTIFS(T_SelfStock_Log[Part Name],$A48,T_SelfStock_Log[WeekIndex],5)=0,"",SUMIFS(T_SelfStock_Log[Self_Qty],T_SelfStock_Log[Part Name],$A48,T_SelfStock_Log[WeekIndex],5))</f>
        <v/>
      </c>
      <c r="G48" s="12">
        <f>IF(COUNTIFS(T_SelfStock_Log[Part Name],$A48,T_SelfStock_Log[WeekIndex],6)=0,"",SUMIFS(T_SelfStock_Log[Self_Qty],T_SelfStock_Log[Part Name],$A48,T_SelfStock_Log[WeekIndex],6))</f>
        <v/>
      </c>
      <c r="H48" s="12">
        <f>IF(COUNTIFS(T_SelfStock_Log[Part Name],$A48,T_SelfStock_Log[WeekIndex],7)=0,"",SUMIFS(T_SelfStock_Log[Self_Qty],T_SelfStock_Log[Part Name],$A48,T_SelfStock_Log[WeekIndex],7))</f>
        <v/>
      </c>
      <c r="I48" s="12">
        <f>IF(COUNTIFS(T_SelfStock_Log[Part Name],$A48,T_SelfStock_Log[WeekIndex],8)=0,"",SUMIFS(T_SelfStock_Log[Self_Qty],T_SelfStock_Log[Part Name],$A48,T_SelfStock_Log[WeekIndex],8))</f>
        <v/>
      </c>
      <c r="J48" s="12">
        <f>IF(COUNTIFS(T_SelfStock_Log[Part Name],$A48,T_SelfStock_Log[WeekIndex],9)=0,"",SUMIFS(T_SelfStock_Log[Self_Qty],T_SelfStock_Log[Part Name],$A48,T_SelfStock_Log[WeekIndex],9))</f>
        <v/>
      </c>
      <c r="K48" s="12">
        <f>IF(COUNTIFS(T_SelfStock_Log[Part Name],$A48,T_SelfStock_Log[WeekIndex],10)=0,"",SUMIFS(T_SelfStock_Log[Self_Qty],T_SelfStock_Log[Part Name],$A48,T_SelfStock_Log[WeekIndex],10))</f>
        <v/>
      </c>
      <c r="L48" s="12">
        <f>IF(COUNTIFS(T_SelfStock_Log[Part Name],$A48,T_SelfStock_Log[WeekIndex],11)=0,"",SUMIFS(T_SelfStock_Log[Self_Qty],T_SelfStock_Log[Part Name],$A48,T_SelfStock_Log[WeekIndex],11))</f>
        <v/>
      </c>
      <c r="M48" s="12">
        <f>IF(COUNTIFS(T_SelfStock_Log[Part Name],$A48,T_SelfStock_Log[WeekIndex],12)=0,"",SUMIFS(T_SelfStock_Log[Self_Qty],T_SelfStock_Log[Part Name],$A48,T_SelfStock_Log[WeekIndex],12))</f>
        <v/>
      </c>
      <c r="N48" s="12">
        <f>IF(COUNTIFS(T_SelfStock_Log[Part Name],$A48,T_SelfStock_Log[WeekIndex],13)=0,"",SUMIFS(T_SelfStock_Log[Self_Qty],T_SelfStock_Log[Part Name],$A48,T_SelfStock_Log[WeekIndex],13))</f>
        <v/>
      </c>
      <c r="O48" s="12">
        <f>IF(COUNTIFS(T_SelfStock_Log[Part Name],$A48,T_SelfStock_Log[WeekIndex],14)=0,"",SUMIFS(T_SelfStock_Log[Self_Qty],T_SelfStock_Log[Part Name],$A48,T_SelfStock_Log[WeekIndex],14))</f>
        <v/>
      </c>
      <c r="P48" s="12">
        <f>IF(COUNTIFS(T_SelfStock_Log[Part Name],$A48,T_SelfStock_Log[WeekIndex],15)=0,"",SUMIFS(T_SelfStock_Log[Self_Qty],T_SelfStock_Log[Part Name],$A48,T_SelfStock_Log[WeekIndex],15))</f>
        <v/>
      </c>
      <c r="Q48" s="12">
        <f>IF(COUNTIFS(T_SelfStock_Log[Part Name],$A48,T_SelfStock_Log[WeekIndex],16)=0,"",SUMIFS(T_SelfStock_Log[Self_Qty],T_SelfStock_Log[Part Name],$A48,T_SelfStock_Log[WeekIndex],16))</f>
        <v/>
      </c>
      <c r="R48" s="12">
        <f>IF(COUNTIFS(T_SelfStock_Log[Part Name],$A48,T_SelfStock_Log[WeekIndex],17)=0,"",SUMIFS(T_SelfStock_Log[Self_Qty],T_SelfStock_Log[Part Name],$A48,T_SelfStock_Log[WeekIndex],17))</f>
        <v/>
      </c>
      <c r="S48" s="12">
        <f>IF(COUNTIFS(T_SelfStock_Log[Part Name],$A48,T_SelfStock_Log[WeekIndex],18)=0,"",SUMIFS(T_SelfStock_Log[Self_Qty],T_SelfStock_Log[Part Name],$A48,T_SelfStock_Log[WeekIndex],18))</f>
        <v/>
      </c>
      <c r="T48" s="12">
        <f>IF(COUNTIFS(T_SelfStock_Log[Part Name],$A48,T_SelfStock_Log[WeekIndex],19)=0,"",SUMIFS(T_SelfStock_Log[Self_Qty],T_SelfStock_Log[Part Name],$A48,T_SelfStock_Log[WeekIndex],19))</f>
        <v/>
      </c>
      <c r="U48" s="12">
        <f>IF(COUNTIFS(T_SelfStock_Log[Part Name],$A48,T_SelfStock_Log[WeekIndex],20)=0,"",SUMIFS(T_SelfStock_Log[Self_Qty],T_SelfStock_Log[Part Name],$A48,T_SelfStock_Log[WeekIndex],20))</f>
        <v/>
      </c>
      <c r="V48" s="12">
        <f>IF(COUNTIFS(T_SelfStock_Log[Part Name],$A48,T_SelfStock_Log[WeekIndex],21)=0,"",SUMIFS(T_SelfStock_Log[Self_Qty],T_SelfStock_Log[Part Name],$A48,T_SelfStock_Log[WeekIndex],21))</f>
        <v/>
      </c>
      <c r="W48" s="12">
        <f>IF(COUNTIFS(T_SelfStock_Log[Part Name],$A48,T_SelfStock_Log[WeekIndex],22)=0,"",SUMIFS(T_SelfStock_Log[Self_Qty],T_SelfStock_Log[Part Name],$A48,T_SelfStock_Log[WeekIndex],22))</f>
        <v/>
      </c>
      <c r="X48" s="12">
        <f>IF(COUNTIFS(T_SelfStock_Log[Part Name],$A48,T_SelfStock_Log[WeekIndex],23)=0,"",SUMIFS(T_SelfStock_Log[Self_Qty],T_SelfStock_Log[Part Name],$A48,T_SelfStock_Log[WeekIndex],23))</f>
        <v/>
      </c>
      <c r="Y48" s="12">
        <f>IF(COUNTIFS(T_SelfStock_Log[Part Name],$A48,T_SelfStock_Log[WeekIndex],24)=0,"",SUMIFS(T_SelfStock_Log[Self_Qty],T_SelfStock_Log[Part Name],$A48,T_SelfStock_Log[WeekIndex],24))</f>
        <v/>
      </c>
      <c r="Z48" s="12">
        <f>IF(COUNTIFS(T_SelfStock_Log[Part Name],$A48,T_SelfStock_Log[WeekIndex],25)=0,"",SUMIFS(T_SelfStock_Log[Self_Qty],T_SelfStock_Log[Part Name],$A48,T_SelfStock_Log[WeekIndex],25))</f>
        <v/>
      </c>
      <c r="AA48" s="12">
        <f>IF(COUNTIFS(T_SelfStock_Log[Part Name],$A48,T_SelfStock_Log[WeekIndex],26)=0,"",SUMIFS(T_SelfStock_Log[Self_Qty],T_SelfStock_Log[Part Name],$A48,T_SelfStock_Log[WeekIndex],26))</f>
        <v/>
      </c>
      <c r="AB48" s="12">
        <f>IF(COUNTIFS(T_SelfStock_Log[Part Name],$A48,T_SelfStock_Log[WeekIndex],27)=0,"",SUMIFS(T_SelfStock_Log[Self_Qty],T_SelfStock_Log[Part Name],$A48,T_SelfStock_Log[WeekIndex],27))</f>
        <v/>
      </c>
      <c r="AC48" s="12">
        <f>IF(COUNTIFS(T_SelfStock_Log[Part Name],$A48,T_SelfStock_Log[WeekIndex],28)=0,"",SUMIFS(T_SelfStock_Log[Self_Qty],T_SelfStock_Log[Part Name],$A48,T_SelfStock_Log[WeekIndex],28))</f>
        <v/>
      </c>
      <c r="AD48" s="12">
        <f>IF(COUNTIFS(T_SelfStock_Log[Part Name],$A48,T_SelfStock_Log[WeekIndex],29)=0,"",SUMIFS(T_SelfStock_Log[Self_Qty],T_SelfStock_Log[Part Name],$A48,T_SelfStock_Log[WeekIndex],29))</f>
        <v/>
      </c>
      <c r="AE48" s="12">
        <f>IF(COUNTIFS(T_SelfStock_Log[Part Name],$A48,T_SelfStock_Log[WeekIndex],30)=0,"",SUMIFS(T_SelfStock_Log[Self_Qty],T_SelfStock_Log[Part Name],$A48,T_SelfStock_Log[WeekIndex],30))</f>
        <v/>
      </c>
      <c r="AF48" s="12">
        <f>IF(COUNTIFS(T_SelfStock_Log[Part Name],$A48,T_SelfStock_Log[WeekIndex],31)=0,"",SUMIFS(T_SelfStock_Log[Self_Qty],T_SelfStock_Log[Part Name],$A48,T_SelfStock_Log[WeekIndex],31))</f>
        <v/>
      </c>
      <c r="AG48" s="12">
        <f>IF(COUNTIFS(T_SelfStock_Log[Part Name],$A48,T_SelfStock_Log[WeekIndex],32)=0,"",SUMIFS(T_SelfStock_Log[Self_Qty],T_SelfStock_Log[Part Name],$A48,T_SelfStock_Log[WeekIndex],32))</f>
        <v/>
      </c>
      <c r="AH48" s="12">
        <f>IF(COUNTIFS(T_SelfStock_Log[Part Name],$A48,T_SelfStock_Log[WeekIndex],33)=0,"",SUMIFS(T_SelfStock_Log[Self_Qty],T_SelfStock_Log[Part Name],$A48,T_SelfStock_Log[WeekIndex],33))</f>
        <v/>
      </c>
      <c r="AI48" s="12">
        <f>IF(COUNTIFS(T_SelfStock_Log[Part Name],$A48,T_SelfStock_Log[WeekIndex],34)=0,"",SUMIFS(T_SelfStock_Log[Self_Qty],T_SelfStock_Log[Part Name],$A48,T_SelfStock_Log[WeekIndex],34))</f>
        <v/>
      </c>
      <c r="AJ48" s="12">
        <f>IF(COUNTIFS(T_SelfStock_Log[Part Name],$A48,T_SelfStock_Log[WeekIndex],35)=0,"",SUMIFS(T_SelfStock_Log[Self_Qty],T_SelfStock_Log[Part Name],$A48,T_SelfStock_Log[WeekIndex],35))</f>
        <v/>
      </c>
      <c r="AK48" s="12">
        <f>IF(COUNTIFS(T_SelfStock_Log[Part Name],$A48,T_SelfStock_Log[WeekIndex],36)=0,"",SUMIFS(T_SelfStock_Log[Self_Qty],T_SelfStock_Log[Part Name],$A48,T_SelfStock_Log[WeekIndex],36))</f>
        <v/>
      </c>
      <c r="AL48" s="12">
        <f>IF(COUNTIFS(T_SelfStock_Log[Part Name],$A48,T_SelfStock_Log[WeekIndex],37)=0,"",SUMIFS(T_SelfStock_Log[Self_Qty],T_SelfStock_Log[Part Name],$A48,T_SelfStock_Log[WeekIndex],37))</f>
        <v/>
      </c>
      <c r="AM48" s="12">
        <f>IF(COUNTIFS(T_SelfStock_Log[Part Name],$A48,T_SelfStock_Log[WeekIndex],38)=0,"",SUMIFS(T_SelfStock_Log[Self_Qty],T_SelfStock_Log[Part Name],$A48,T_SelfStock_Log[WeekIndex],38))</f>
        <v/>
      </c>
      <c r="AN48" s="12">
        <f>IF(COUNTIFS(T_SelfStock_Log[Part Name],$A48,T_SelfStock_Log[WeekIndex],39)=0,"",SUMIFS(T_SelfStock_Log[Self_Qty],T_SelfStock_Log[Part Name],$A48,T_SelfStock_Log[WeekIndex],39))</f>
        <v/>
      </c>
      <c r="AO48" s="12">
        <f>IF(COUNTIFS(T_SelfStock_Log[Part Name],$A48,T_SelfStock_Log[WeekIndex],40)=0,"",SUMIFS(T_SelfStock_Log[Self_Qty],T_SelfStock_Log[Part Name],$A48,T_SelfStock_Log[WeekIndex],40))</f>
        <v/>
      </c>
      <c r="AP48" s="12">
        <f>IF(COUNTIFS(T_SelfStock_Log[Part Name],$A48,T_SelfStock_Log[WeekIndex],41)=0,"",SUMIFS(T_SelfStock_Log[Self_Qty],T_SelfStock_Log[Part Name],$A48,T_SelfStock_Log[WeekIndex],41))</f>
        <v/>
      </c>
      <c r="AQ48" s="12">
        <f>IF(COUNTIFS(T_SelfStock_Log[Part Name],$A48,T_SelfStock_Log[WeekIndex],42)=0,"",SUMIFS(T_SelfStock_Log[Self_Qty],T_SelfStock_Log[Part Name],$A48,T_SelfStock_Log[WeekIndex],42))</f>
        <v/>
      </c>
      <c r="AR48" s="12">
        <f>IF(COUNTIFS(T_SelfStock_Log[Part Name],$A48,T_SelfStock_Log[WeekIndex],43)=0,"",SUMIFS(T_SelfStock_Log[Self_Qty],T_SelfStock_Log[Part Name],$A48,T_SelfStock_Log[WeekIndex],43))</f>
        <v/>
      </c>
      <c r="AS48" s="12">
        <f>IF(COUNTIFS(T_SelfStock_Log[Part Name],$A48,T_SelfStock_Log[WeekIndex],44)=0,"",SUMIFS(T_SelfStock_Log[Self_Qty],T_SelfStock_Log[Part Name],$A48,T_SelfStock_Log[WeekIndex],44))</f>
        <v/>
      </c>
      <c r="AT48" s="12">
        <f>IF(COUNTIFS(T_SelfStock_Log[Part Name],$A48,T_SelfStock_Log[WeekIndex],45)=0,"",SUMIFS(T_SelfStock_Log[Self_Qty],T_SelfStock_Log[Part Name],$A48,T_SelfStock_Log[WeekIndex],45))</f>
        <v/>
      </c>
      <c r="AU48" s="12">
        <f>IF(COUNTIFS(T_SelfStock_Log[Part Name],$A48,T_SelfStock_Log[WeekIndex],46)=0,"",SUMIFS(T_SelfStock_Log[Self_Qty],T_SelfStock_Log[Part Name],$A48,T_SelfStock_Log[WeekIndex],46))</f>
        <v/>
      </c>
      <c r="AV48" s="12">
        <f>IF(COUNTIFS(T_SelfStock_Log[Part Name],$A48,T_SelfStock_Log[WeekIndex],47)=0,"",SUMIFS(T_SelfStock_Log[Self_Qty],T_SelfStock_Log[Part Name],$A48,T_SelfStock_Log[WeekIndex],47))</f>
        <v/>
      </c>
      <c r="AW48" s="12">
        <f>IF(COUNTIFS(T_SelfStock_Log[Part Name],$A48,T_SelfStock_Log[WeekIndex],48)=0,"",SUMIFS(T_SelfStock_Log[Self_Qty],T_SelfStock_Log[Part Name],$A48,T_SelfStock_Log[WeekIndex],48))</f>
        <v/>
      </c>
      <c r="AX48" s="12">
        <f>IF(COUNTIFS(T_SelfStock_Log[Part Name],$A48,T_SelfStock_Log[WeekIndex],49)=0,"",SUMIFS(T_SelfStock_Log[Self_Qty],T_SelfStock_Log[Part Name],$A48,T_SelfStock_Log[WeekIndex],49))</f>
        <v/>
      </c>
      <c r="AY48" s="12">
        <f>IF(COUNTIFS(T_SelfStock_Log[Part Name],$A48,T_SelfStock_Log[WeekIndex],50)=0,"",SUMIFS(T_SelfStock_Log[Self_Qty],T_SelfStock_Log[Part Name],$A48,T_SelfStock_Log[WeekIndex],50))</f>
        <v/>
      </c>
      <c r="AZ48" s="12">
        <f>IF(COUNTIFS(T_SelfStock_Log[Part Name],$A48,T_SelfStock_Log[WeekIndex],51)=0,"",SUMIFS(T_SelfStock_Log[Self_Qty],T_SelfStock_Log[Part Name],$A48,T_SelfStock_Log[WeekIndex],51))</f>
        <v/>
      </c>
      <c r="BA48" s="12">
        <f>IF(COUNTIFS(T_SelfStock_Log[Part Name],$A48,T_SelfStock_Log[WeekIndex],52)=0,"",SUMIFS(T_SelfStock_Log[Self_Qty],T_SelfStock_Log[Part Name],$A48,T_SelfStock_Log[WeekIndex],52))</f>
        <v/>
      </c>
      <c r="BB48" s="12">
        <f>IF(COUNTIFS(T_SelfStock_Log[Part Name],$A48,T_SelfStock_Log[WeekIndex],53)=0,"",SUMIFS(T_SelfStock_Log[Self_Qty],T_SelfStock_Log[Part Name],$A48,T_SelfStock_Log[WeekIndex],53))</f>
        <v/>
      </c>
      <c r="BC48" s="12">
        <f>IF(COUNTIFS(T_SelfStock_Log[Part Name],$A48,T_SelfStock_Log[WeekIndex],54)=0,"",SUMIFS(T_SelfStock_Log[Self_Qty],T_SelfStock_Log[Part Name],$A48,T_SelfStock_Log[WeekIndex],54))</f>
        <v/>
      </c>
      <c r="BD48" s="12">
        <f>IF(COUNTIFS(T_SelfStock_Log[Part Name],$A48,T_SelfStock_Log[WeekIndex],55)=0,"",SUMIFS(T_SelfStock_Log[Self_Qty],T_SelfStock_Log[Part Name],$A48,T_SelfStock_Log[WeekIndex],55))</f>
        <v/>
      </c>
      <c r="BE48" s="12">
        <f>IF(COUNTIFS(T_SelfStock_Log[Part Name],$A48,T_SelfStock_Log[WeekIndex],56)=0,"",SUMIFS(T_SelfStock_Log[Self_Qty],T_SelfStock_Log[Part Name],$A48,T_SelfStock_Log[WeekIndex],56))</f>
        <v/>
      </c>
      <c r="BF48" s="12">
        <f>IF(COUNTIFS(T_SelfStock_Log[Part Name],$A48,T_SelfStock_Log[WeekIndex],57)=0,"",SUMIFS(T_SelfStock_Log[Self_Qty],T_SelfStock_Log[Part Name],$A48,T_SelfStock_Log[WeekIndex],57))</f>
        <v/>
      </c>
      <c r="BG48" s="12">
        <f>IF(COUNTIFS(T_SelfStock_Log[Part Name],$A48,T_SelfStock_Log[WeekIndex],58)=0,"",SUMIFS(T_SelfStock_Log[Self_Qty],T_SelfStock_Log[Part Name],$A48,T_SelfStock_Log[WeekIndex],58))</f>
        <v/>
      </c>
      <c r="BH48" s="12">
        <f>IF(COUNTIFS(T_SelfStock_Log[Part Name],$A48,T_SelfStock_Log[WeekIndex],59)=0,"",SUMIFS(T_SelfStock_Log[Self_Qty],T_SelfStock_Log[Part Name],$A48,T_SelfStock_Log[WeekIndex],59))</f>
        <v/>
      </c>
      <c r="BI48" s="12">
        <f>IF(COUNTIFS(T_SelfStock_Log[Part Name],$A48,T_SelfStock_Log[WeekIndex],60)=0,"",SUMIFS(T_SelfStock_Log[Self_Qty],T_SelfStock_Log[Part Name],$A48,T_SelfStock_Log[WeekIndex],60))</f>
        <v/>
      </c>
      <c r="BJ48" s="12">
        <f>IF(COUNTIFS(T_SelfStock_Log[Part Name],$A48,T_SelfStock_Log[WeekIndex],61)=0,"",SUMIFS(T_SelfStock_Log[Self_Qty],T_SelfStock_Log[Part Name],$A48,T_SelfStock_Log[WeekIndex],61))</f>
        <v/>
      </c>
      <c r="BK48" s="12">
        <f>IF(COUNTIFS(T_SelfStock_Log[Part Name],$A48,T_SelfStock_Log[WeekIndex],62)=0,"",SUMIFS(T_SelfStock_Log[Self_Qty],T_SelfStock_Log[Part Name],$A48,T_SelfStock_Log[WeekIndex],62))</f>
        <v/>
      </c>
      <c r="BL48" s="12">
        <f>IF(COUNTIFS(T_SelfStock_Log[Part Name],$A48,T_SelfStock_Log[WeekIndex],63)=0,"",SUMIFS(T_SelfStock_Log[Self_Qty],T_SelfStock_Log[Part Name],$A48,T_SelfStock_Log[WeekIndex],63))</f>
        <v/>
      </c>
      <c r="BM48" s="12">
        <f>IF(COUNTIFS(T_SelfStock_Log[Part Name],$A48,T_SelfStock_Log[WeekIndex],64)=0,"",SUMIFS(T_SelfStock_Log[Self_Qty],T_SelfStock_Log[Part Name],$A48,T_SelfStock_Log[WeekIndex],64))</f>
        <v/>
      </c>
      <c r="BN48" s="12">
        <f>IF(COUNTIFS(T_SelfStock_Log[Part Name],$A48,T_SelfStock_Log[WeekIndex],65)=0,"",SUMIFS(T_SelfStock_Log[Self_Qty],T_SelfStock_Log[Part Name],$A48,T_SelfStock_Log[WeekIndex],65))</f>
        <v/>
      </c>
      <c r="BO48" s="12">
        <f>IF(COUNTIFS(T_SelfStock_Log[Part Name],$A48,T_SelfStock_Log[WeekIndex],66)=0,"",SUMIFS(T_SelfStock_Log[Self_Qty],T_SelfStock_Log[Part Name],$A48,T_SelfStock_Log[WeekIndex],66))</f>
        <v/>
      </c>
      <c r="BP48" s="12">
        <f>IF(COUNTIFS(T_SelfStock_Log[Part Name],$A48,T_SelfStock_Log[WeekIndex],67)=0,"",SUMIFS(T_SelfStock_Log[Self_Qty],T_SelfStock_Log[Part Name],$A48,T_SelfStock_Log[WeekIndex],67))</f>
        <v/>
      </c>
      <c r="BQ48" s="12">
        <f>IF(COUNTIFS(T_SelfStock_Log[Part Name],$A48,T_SelfStock_Log[WeekIndex],68)=0,"",SUMIFS(T_SelfStock_Log[Self_Qty],T_SelfStock_Log[Part Name],$A48,T_SelfStock_Log[WeekIndex],68))</f>
        <v/>
      </c>
      <c r="BR48" s="12">
        <f>IF(COUNTIFS(T_SelfStock_Log[Part Name],$A48,T_SelfStock_Log[WeekIndex],69)=0,"",SUMIFS(T_SelfStock_Log[Self_Qty],T_SelfStock_Log[Part Name],$A48,T_SelfStock_Log[WeekIndex],69))</f>
        <v/>
      </c>
      <c r="BS48" s="12">
        <f>IF(COUNTIFS(T_SelfStock_Log[Part Name],$A48,T_SelfStock_Log[WeekIndex],70)=0,"",SUMIFS(T_SelfStock_Log[Self_Qty],T_SelfStock_Log[Part Name],$A48,T_SelfStock_Log[WeekIndex],70))</f>
        <v/>
      </c>
      <c r="BT48" s="12">
        <f>IF(COUNTIFS(T_SelfStock_Log[Part Name],$A48,T_SelfStock_Log[WeekIndex],71)=0,"",SUMIFS(T_SelfStock_Log[Self_Qty],T_SelfStock_Log[Part Name],$A48,T_SelfStock_Log[WeekIndex],71))</f>
        <v/>
      </c>
      <c r="BU48" s="12">
        <f>IF(COUNTIFS(T_SelfStock_Log[Part Name],$A48,T_SelfStock_Log[WeekIndex],72)=0,"",SUMIFS(T_SelfStock_Log[Self_Qty],T_SelfStock_Log[Part Name],$A48,T_SelfStock_Log[WeekIndex],72))</f>
        <v/>
      </c>
      <c r="BV48" s="12">
        <f>IF(COUNTIFS(T_SelfStock_Log[Part Name],$A48,T_SelfStock_Log[WeekIndex],73)=0,"",SUMIFS(T_SelfStock_Log[Self_Qty],T_SelfStock_Log[Part Name],$A48,T_SelfStock_Log[WeekIndex],73))</f>
        <v/>
      </c>
      <c r="BW48" s="12">
        <f>IF(COUNTIFS(T_SelfStock_Log[Part Name],$A48,T_SelfStock_Log[WeekIndex],74)=0,"",SUMIFS(T_SelfStock_Log[Self_Qty],T_SelfStock_Log[Part Name],$A48,T_SelfStock_Log[WeekIndex],74))</f>
        <v/>
      </c>
      <c r="BX48" s="12">
        <f>IF(COUNTIFS(T_SelfStock_Log[Part Name],$A48,T_SelfStock_Log[WeekIndex],75)=0,"",SUMIFS(T_SelfStock_Log[Self_Qty],T_SelfStock_Log[Part Name],$A48,T_SelfStock_Log[WeekIndex],75))</f>
        <v/>
      </c>
      <c r="BY48" s="12">
        <f>IF(COUNTIFS(T_SelfStock_Log[Part Name],$A48,T_SelfStock_Log[WeekIndex],76)=0,"",SUMIFS(T_SelfStock_Log[Self_Qty],T_SelfStock_Log[Part Name],$A48,T_SelfStock_Log[WeekIndex],76))</f>
        <v/>
      </c>
      <c r="BZ48" s="12">
        <f>IF(COUNTIFS(T_SelfStock_Log[Part Name],$A48,T_SelfStock_Log[WeekIndex],77)=0,"",SUMIFS(T_SelfStock_Log[Self_Qty],T_SelfStock_Log[Part Name],$A48,T_SelfStock_Log[WeekIndex],77))</f>
        <v/>
      </c>
      <c r="CA48" s="12">
        <f>IF(COUNTIFS(T_SelfStock_Log[Part Name],$A48,T_SelfStock_Log[WeekIndex],78)=0,"",SUMIFS(T_SelfStock_Log[Self_Qty],T_SelfStock_Log[Part Name],$A48,T_SelfStock_Log[WeekIndex],78))</f>
        <v/>
      </c>
      <c r="CB48" s="12">
        <f>IF(COUNTIFS(T_SelfStock_Log[Part Name],$A48,T_SelfStock_Log[WeekIndex],79)=0,"",SUMIFS(T_SelfStock_Log[Self_Qty],T_SelfStock_Log[Part Name],$A48,T_SelfStock_Log[WeekIndex],79))</f>
        <v/>
      </c>
      <c r="CC48" s="12">
        <f>IF(COUNTIFS(T_SelfStock_Log[Part Name],$A48,T_SelfStock_Log[WeekIndex],80)=0,"",SUMIFS(T_SelfStock_Log[Self_Qty],T_SelfStock_Log[Part Name],$A48,T_SelfStock_Log[WeekIndex],80))</f>
        <v/>
      </c>
      <c r="CD48" s="12">
        <f>IF(COUNTIFS(T_SelfStock_Log[Part Name],$A48,T_SelfStock_Log[WeekIndex],81)=0,"",SUMIFS(T_SelfStock_Log[Self_Qty],T_SelfStock_Log[Part Name],$A48,T_SelfStock_Log[WeekIndex],81))</f>
        <v/>
      </c>
      <c r="CE48" s="12">
        <f>IF(COUNTIFS(T_SelfStock_Log[Part Name],$A48,T_SelfStock_Log[WeekIndex],82)=0,"",SUMIFS(T_SelfStock_Log[Self_Qty],T_SelfStock_Log[Part Name],$A48,T_SelfStock_Log[WeekIndex],82))</f>
        <v/>
      </c>
      <c r="CF48" s="12">
        <f>IF(COUNTIFS(T_SelfStock_Log[Part Name],$A48,T_SelfStock_Log[WeekIndex],83)=0,"",SUMIFS(T_SelfStock_Log[Self_Qty],T_SelfStock_Log[Part Name],$A48,T_SelfStock_Log[WeekIndex],83))</f>
        <v/>
      </c>
      <c r="CG48" s="12">
        <f>IF(COUNTIFS(T_SelfStock_Log[Part Name],$A48,T_SelfStock_Log[WeekIndex],84)=0,"",SUMIFS(T_SelfStock_Log[Self_Qty],T_SelfStock_Log[Part Name],$A48,T_SelfStock_Log[WeekIndex],84))</f>
        <v/>
      </c>
      <c r="CH48" s="12">
        <f>IF(COUNTIFS(T_SelfStock_Log[Part Name],$A48,T_SelfStock_Log[WeekIndex],85)=0,"",SUMIFS(T_SelfStock_Log[Self_Qty],T_SelfStock_Log[Part Name],$A48,T_SelfStock_Log[WeekIndex],85))</f>
        <v/>
      </c>
      <c r="CI48" s="12">
        <f>IF(COUNTIFS(T_SelfStock_Log[Part Name],$A48,T_SelfStock_Log[WeekIndex],86)=0,"",SUMIFS(T_SelfStock_Log[Self_Qty],T_SelfStock_Log[Part Name],$A48,T_SelfStock_Log[WeekIndex],86))</f>
        <v/>
      </c>
      <c r="CJ48" s="12">
        <f>IF(COUNTIFS(T_SelfStock_Log[Part Name],$A48,T_SelfStock_Log[WeekIndex],87)=0,"",SUMIFS(T_SelfStock_Log[Self_Qty],T_SelfStock_Log[Part Name],$A48,T_SelfStock_Log[WeekIndex],87))</f>
        <v/>
      </c>
      <c r="CK48" s="12">
        <f>IF(COUNTIFS(T_SelfStock_Log[Part Name],$A48,T_SelfStock_Log[WeekIndex],88)=0,"",SUMIFS(T_SelfStock_Log[Self_Qty],T_SelfStock_Log[Part Name],$A48,T_SelfStock_Log[WeekIndex],88))</f>
        <v/>
      </c>
      <c r="CL48" s="12">
        <f>IF(COUNTIFS(T_SelfStock_Log[Part Name],$A48,T_SelfStock_Log[WeekIndex],89)=0,"",SUMIFS(T_SelfStock_Log[Self_Qty],T_SelfStock_Log[Part Name],$A48,T_SelfStock_Log[WeekIndex],89))</f>
        <v/>
      </c>
      <c r="CM48" s="12">
        <f>IF(COUNTIFS(T_SelfStock_Log[Part Name],$A48,T_SelfStock_Log[WeekIndex],90)=0,"",SUMIFS(T_SelfStock_Log[Self_Qty],T_SelfStock_Log[Part Name],$A48,T_SelfStock_Log[WeekIndex],90))</f>
        <v/>
      </c>
      <c r="CN48" s="12">
        <f>IF(COUNTIFS(T_SelfStock_Log[Part Name],$A48,T_SelfStock_Log[WeekIndex],91)=0,"",SUMIFS(T_SelfStock_Log[Self_Qty],T_SelfStock_Log[Part Name],$A48,T_SelfStock_Log[WeekIndex],91))</f>
        <v/>
      </c>
      <c r="CO48" s="12">
        <f>IF(COUNTIFS(T_SelfStock_Log[Part Name],$A48,T_SelfStock_Log[WeekIndex],92)=0,"",SUMIFS(T_SelfStock_Log[Self_Qty],T_SelfStock_Log[Part Name],$A48,T_SelfStock_Log[WeekIndex],92))</f>
        <v/>
      </c>
      <c r="CP48" s="12">
        <f>IF(COUNTIFS(T_SelfStock_Log[Part Name],$A48,T_SelfStock_Log[WeekIndex],93)=0,"",SUMIFS(T_SelfStock_Log[Self_Qty],T_SelfStock_Log[Part Name],$A48,T_SelfStock_Log[WeekIndex],93))</f>
        <v/>
      </c>
      <c r="CQ48" s="12">
        <f>IF(COUNTIFS(T_SelfStock_Log[Part Name],$A48,T_SelfStock_Log[WeekIndex],94)=0,"",SUMIFS(T_SelfStock_Log[Self_Qty],T_SelfStock_Log[Part Name],$A48,T_SelfStock_Log[WeekIndex],94))</f>
        <v/>
      </c>
      <c r="CR48" s="12">
        <f>IF(COUNTIFS(T_SelfStock_Log[Part Name],$A48,T_SelfStock_Log[WeekIndex],95)=0,"",SUMIFS(T_SelfStock_Log[Self_Qty],T_SelfStock_Log[Part Name],$A48,T_SelfStock_Log[WeekIndex],95))</f>
        <v/>
      </c>
      <c r="CS48" s="12">
        <f>IF(COUNTIFS(T_SelfStock_Log[Part Name],$A48,T_SelfStock_Log[WeekIndex],96)=0,"",SUMIFS(T_SelfStock_Log[Self_Qty],T_SelfStock_Log[Part Name],$A48,T_SelfStock_Log[WeekIndex],96))</f>
        <v/>
      </c>
      <c r="CT48" s="12">
        <f>IF(COUNTIFS(T_SelfStock_Log[Part Name],$A48,T_SelfStock_Log[WeekIndex],97)=0,"",SUMIFS(T_SelfStock_Log[Self_Qty],T_SelfStock_Log[Part Name],$A48,T_SelfStock_Log[WeekIndex],97))</f>
        <v/>
      </c>
      <c r="CU48" s="12">
        <f>IF(COUNTIFS(T_SelfStock_Log[Part Name],$A48,T_SelfStock_Log[WeekIndex],98)=0,"",SUMIFS(T_SelfStock_Log[Self_Qty],T_SelfStock_Log[Part Name],$A48,T_SelfStock_Log[WeekIndex],98))</f>
        <v/>
      </c>
      <c r="CV48" s="12">
        <f>IF(COUNTIFS(T_SelfStock_Log[Part Name],$A48,T_SelfStock_Log[WeekIndex],99)=0,"",SUMIFS(T_SelfStock_Log[Self_Qty],T_SelfStock_Log[Part Name],$A48,T_SelfStock_Log[WeekIndex],99))</f>
        <v/>
      </c>
      <c r="CW48" s="12">
        <f>IF(COUNTIFS(T_SelfStock_Log[Part Name],$A48,T_SelfStock_Log[WeekIndex],100)=0,"",SUMIFS(T_SelfStock_Log[Self_Qty],T_SelfStock_Log[Part Name],$A48,T_SelfStock_Log[WeekIndex],100))</f>
        <v/>
      </c>
      <c r="CX48" s="12">
        <f>IF(COUNTIFS(T_SelfStock_Log[Part Name],$A48,T_SelfStock_Log[WeekIndex],101)=0,"",SUMIFS(T_SelfStock_Log[Self_Qty],T_SelfStock_Log[Part Name],$A48,T_SelfStock_Log[WeekIndex],101))</f>
        <v/>
      </c>
      <c r="CY48" s="12">
        <f>IF(COUNTIFS(T_SelfStock_Log[Part Name],$A48,T_SelfStock_Log[WeekIndex],102)=0,"",SUMIFS(T_SelfStock_Log[Self_Qty],T_SelfStock_Log[Part Name],$A48,T_SelfStock_Log[WeekIndex],102))</f>
        <v/>
      </c>
      <c r="CZ48" s="12">
        <f>IF(COUNTIFS(T_SelfStock_Log[Part Name],$A48,T_SelfStock_Log[WeekIndex],103)=0,"",SUMIFS(T_SelfStock_Log[Self_Qty],T_SelfStock_Log[Part Name],$A48,T_SelfStock_Log[WeekIndex],103))</f>
        <v/>
      </c>
      <c r="DA48" s="12">
        <f>IF(COUNTIFS(T_SelfStock_Log[Part Name],$A48,T_SelfStock_Log[WeekIndex],104)=0,"",SUMIFS(T_SelfStock_Log[Self_Qty],T_SelfStock_Log[Part Name],$A48,T_SelfStock_Log[WeekIndex],104))</f>
        <v/>
      </c>
    </row>
    <row r="49">
      <c r="A49" s="13" t="inlineStr">
        <is>
          <t>A043</t>
        </is>
      </c>
      <c r="B49" s="13">
        <f>IF(COUNTIFS(T_SelfStock_Log[Part Name],$A49,T_SelfStock_Log[WeekIndex],1)=0,"",SUMIFS(T_SelfStock_Log[Self_Qty],T_SelfStock_Log[Part Name],$A49,T_SelfStock_Log[WeekIndex],1))</f>
        <v/>
      </c>
      <c r="C49" s="13">
        <f>IF(COUNTIFS(T_SelfStock_Log[Part Name],$A49,T_SelfStock_Log[WeekIndex],2)=0,"",SUMIFS(T_SelfStock_Log[Self_Qty],T_SelfStock_Log[Part Name],$A49,T_SelfStock_Log[WeekIndex],2))</f>
        <v/>
      </c>
      <c r="D49" s="13">
        <f>IF(COUNTIFS(T_SelfStock_Log[Part Name],$A49,T_SelfStock_Log[WeekIndex],3)=0,"",SUMIFS(T_SelfStock_Log[Self_Qty],T_SelfStock_Log[Part Name],$A49,T_SelfStock_Log[WeekIndex],3))</f>
        <v/>
      </c>
      <c r="E49" s="13">
        <f>IF(COUNTIFS(T_SelfStock_Log[Part Name],$A49,T_SelfStock_Log[WeekIndex],4)=0,"",SUMIFS(T_SelfStock_Log[Self_Qty],T_SelfStock_Log[Part Name],$A49,T_SelfStock_Log[WeekIndex],4))</f>
        <v/>
      </c>
      <c r="F49" s="13">
        <f>IF(COUNTIFS(T_SelfStock_Log[Part Name],$A49,T_SelfStock_Log[WeekIndex],5)=0,"",SUMIFS(T_SelfStock_Log[Self_Qty],T_SelfStock_Log[Part Name],$A49,T_SelfStock_Log[WeekIndex],5))</f>
        <v/>
      </c>
      <c r="G49" s="13">
        <f>IF(COUNTIFS(T_SelfStock_Log[Part Name],$A49,T_SelfStock_Log[WeekIndex],6)=0,"",SUMIFS(T_SelfStock_Log[Self_Qty],T_SelfStock_Log[Part Name],$A49,T_SelfStock_Log[WeekIndex],6))</f>
        <v/>
      </c>
      <c r="H49" s="13">
        <f>IF(COUNTIFS(T_SelfStock_Log[Part Name],$A49,T_SelfStock_Log[WeekIndex],7)=0,"",SUMIFS(T_SelfStock_Log[Self_Qty],T_SelfStock_Log[Part Name],$A49,T_SelfStock_Log[WeekIndex],7))</f>
        <v/>
      </c>
      <c r="I49" s="13">
        <f>IF(COUNTIFS(T_SelfStock_Log[Part Name],$A49,T_SelfStock_Log[WeekIndex],8)=0,"",SUMIFS(T_SelfStock_Log[Self_Qty],T_SelfStock_Log[Part Name],$A49,T_SelfStock_Log[WeekIndex],8))</f>
        <v/>
      </c>
      <c r="J49" s="13">
        <f>IF(COUNTIFS(T_SelfStock_Log[Part Name],$A49,T_SelfStock_Log[WeekIndex],9)=0,"",SUMIFS(T_SelfStock_Log[Self_Qty],T_SelfStock_Log[Part Name],$A49,T_SelfStock_Log[WeekIndex],9))</f>
        <v/>
      </c>
      <c r="K49" s="13">
        <f>IF(COUNTIFS(T_SelfStock_Log[Part Name],$A49,T_SelfStock_Log[WeekIndex],10)=0,"",SUMIFS(T_SelfStock_Log[Self_Qty],T_SelfStock_Log[Part Name],$A49,T_SelfStock_Log[WeekIndex],10))</f>
        <v/>
      </c>
      <c r="L49" s="13">
        <f>IF(COUNTIFS(T_SelfStock_Log[Part Name],$A49,T_SelfStock_Log[WeekIndex],11)=0,"",SUMIFS(T_SelfStock_Log[Self_Qty],T_SelfStock_Log[Part Name],$A49,T_SelfStock_Log[WeekIndex],11))</f>
        <v/>
      </c>
      <c r="M49" s="13">
        <f>IF(COUNTIFS(T_SelfStock_Log[Part Name],$A49,T_SelfStock_Log[WeekIndex],12)=0,"",SUMIFS(T_SelfStock_Log[Self_Qty],T_SelfStock_Log[Part Name],$A49,T_SelfStock_Log[WeekIndex],12))</f>
        <v/>
      </c>
      <c r="N49" s="13">
        <f>IF(COUNTIFS(T_SelfStock_Log[Part Name],$A49,T_SelfStock_Log[WeekIndex],13)=0,"",SUMIFS(T_SelfStock_Log[Self_Qty],T_SelfStock_Log[Part Name],$A49,T_SelfStock_Log[WeekIndex],13))</f>
        <v/>
      </c>
      <c r="O49" s="13">
        <f>IF(COUNTIFS(T_SelfStock_Log[Part Name],$A49,T_SelfStock_Log[WeekIndex],14)=0,"",SUMIFS(T_SelfStock_Log[Self_Qty],T_SelfStock_Log[Part Name],$A49,T_SelfStock_Log[WeekIndex],14))</f>
        <v/>
      </c>
      <c r="P49" s="13">
        <f>IF(COUNTIFS(T_SelfStock_Log[Part Name],$A49,T_SelfStock_Log[WeekIndex],15)=0,"",SUMIFS(T_SelfStock_Log[Self_Qty],T_SelfStock_Log[Part Name],$A49,T_SelfStock_Log[WeekIndex],15))</f>
        <v/>
      </c>
      <c r="Q49" s="13">
        <f>IF(COUNTIFS(T_SelfStock_Log[Part Name],$A49,T_SelfStock_Log[WeekIndex],16)=0,"",SUMIFS(T_SelfStock_Log[Self_Qty],T_SelfStock_Log[Part Name],$A49,T_SelfStock_Log[WeekIndex],16))</f>
        <v/>
      </c>
      <c r="R49" s="13">
        <f>IF(COUNTIFS(T_SelfStock_Log[Part Name],$A49,T_SelfStock_Log[WeekIndex],17)=0,"",SUMIFS(T_SelfStock_Log[Self_Qty],T_SelfStock_Log[Part Name],$A49,T_SelfStock_Log[WeekIndex],17))</f>
        <v/>
      </c>
      <c r="S49" s="13">
        <f>IF(COUNTIFS(T_SelfStock_Log[Part Name],$A49,T_SelfStock_Log[WeekIndex],18)=0,"",SUMIFS(T_SelfStock_Log[Self_Qty],T_SelfStock_Log[Part Name],$A49,T_SelfStock_Log[WeekIndex],18))</f>
        <v/>
      </c>
      <c r="T49" s="13">
        <f>IF(COUNTIFS(T_SelfStock_Log[Part Name],$A49,T_SelfStock_Log[WeekIndex],19)=0,"",SUMIFS(T_SelfStock_Log[Self_Qty],T_SelfStock_Log[Part Name],$A49,T_SelfStock_Log[WeekIndex],19))</f>
        <v/>
      </c>
      <c r="U49" s="13">
        <f>IF(COUNTIFS(T_SelfStock_Log[Part Name],$A49,T_SelfStock_Log[WeekIndex],20)=0,"",SUMIFS(T_SelfStock_Log[Self_Qty],T_SelfStock_Log[Part Name],$A49,T_SelfStock_Log[WeekIndex],20))</f>
        <v/>
      </c>
      <c r="V49" s="13">
        <f>IF(COUNTIFS(T_SelfStock_Log[Part Name],$A49,T_SelfStock_Log[WeekIndex],21)=0,"",SUMIFS(T_SelfStock_Log[Self_Qty],T_SelfStock_Log[Part Name],$A49,T_SelfStock_Log[WeekIndex],21))</f>
        <v/>
      </c>
      <c r="W49" s="13">
        <f>IF(COUNTIFS(T_SelfStock_Log[Part Name],$A49,T_SelfStock_Log[WeekIndex],22)=0,"",SUMIFS(T_SelfStock_Log[Self_Qty],T_SelfStock_Log[Part Name],$A49,T_SelfStock_Log[WeekIndex],22))</f>
        <v/>
      </c>
      <c r="X49" s="13">
        <f>IF(COUNTIFS(T_SelfStock_Log[Part Name],$A49,T_SelfStock_Log[WeekIndex],23)=0,"",SUMIFS(T_SelfStock_Log[Self_Qty],T_SelfStock_Log[Part Name],$A49,T_SelfStock_Log[WeekIndex],23))</f>
        <v/>
      </c>
      <c r="Y49" s="13">
        <f>IF(COUNTIFS(T_SelfStock_Log[Part Name],$A49,T_SelfStock_Log[WeekIndex],24)=0,"",SUMIFS(T_SelfStock_Log[Self_Qty],T_SelfStock_Log[Part Name],$A49,T_SelfStock_Log[WeekIndex],24))</f>
        <v/>
      </c>
      <c r="Z49" s="13">
        <f>IF(COUNTIFS(T_SelfStock_Log[Part Name],$A49,T_SelfStock_Log[WeekIndex],25)=0,"",SUMIFS(T_SelfStock_Log[Self_Qty],T_SelfStock_Log[Part Name],$A49,T_SelfStock_Log[WeekIndex],25))</f>
        <v/>
      </c>
      <c r="AA49" s="13">
        <f>IF(COUNTIFS(T_SelfStock_Log[Part Name],$A49,T_SelfStock_Log[WeekIndex],26)=0,"",SUMIFS(T_SelfStock_Log[Self_Qty],T_SelfStock_Log[Part Name],$A49,T_SelfStock_Log[WeekIndex],26))</f>
        <v/>
      </c>
      <c r="AB49" s="13">
        <f>IF(COUNTIFS(T_SelfStock_Log[Part Name],$A49,T_SelfStock_Log[WeekIndex],27)=0,"",SUMIFS(T_SelfStock_Log[Self_Qty],T_SelfStock_Log[Part Name],$A49,T_SelfStock_Log[WeekIndex],27))</f>
        <v/>
      </c>
      <c r="AC49" s="13">
        <f>IF(COUNTIFS(T_SelfStock_Log[Part Name],$A49,T_SelfStock_Log[WeekIndex],28)=0,"",SUMIFS(T_SelfStock_Log[Self_Qty],T_SelfStock_Log[Part Name],$A49,T_SelfStock_Log[WeekIndex],28))</f>
        <v/>
      </c>
      <c r="AD49" s="13">
        <f>IF(COUNTIFS(T_SelfStock_Log[Part Name],$A49,T_SelfStock_Log[WeekIndex],29)=0,"",SUMIFS(T_SelfStock_Log[Self_Qty],T_SelfStock_Log[Part Name],$A49,T_SelfStock_Log[WeekIndex],29))</f>
        <v/>
      </c>
      <c r="AE49" s="13">
        <f>IF(COUNTIFS(T_SelfStock_Log[Part Name],$A49,T_SelfStock_Log[WeekIndex],30)=0,"",SUMIFS(T_SelfStock_Log[Self_Qty],T_SelfStock_Log[Part Name],$A49,T_SelfStock_Log[WeekIndex],30))</f>
        <v/>
      </c>
      <c r="AF49" s="13">
        <f>IF(COUNTIFS(T_SelfStock_Log[Part Name],$A49,T_SelfStock_Log[WeekIndex],31)=0,"",SUMIFS(T_SelfStock_Log[Self_Qty],T_SelfStock_Log[Part Name],$A49,T_SelfStock_Log[WeekIndex],31))</f>
        <v/>
      </c>
      <c r="AG49" s="13">
        <f>IF(COUNTIFS(T_SelfStock_Log[Part Name],$A49,T_SelfStock_Log[WeekIndex],32)=0,"",SUMIFS(T_SelfStock_Log[Self_Qty],T_SelfStock_Log[Part Name],$A49,T_SelfStock_Log[WeekIndex],32))</f>
        <v/>
      </c>
      <c r="AH49" s="13">
        <f>IF(COUNTIFS(T_SelfStock_Log[Part Name],$A49,T_SelfStock_Log[WeekIndex],33)=0,"",SUMIFS(T_SelfStock_Log[Self_Qty],T_SelfStock_Log[Part Name],$A49,T_SelfStock_Log[WeekIndex],33))</f>
        <v/>
      </c>
      <c r="AI49" s="13">
        <f>IF(COUNTIFS(T_SelfStock_Log[Part Name],$A49,T_SelfStock_Log[WeekIndex],34)=0,"",SUMIFS(T_SelfStock_Log[Self_Qty],T_SelfStock_Log[Part Name],$A49,T_SelfStock_Log[WeekIndex],34))</f>
        <v/>
      </c>
      <c r="AJ49" s="13">
        <f>IF(COUNTIFS(T_SelfStock_Log[Part Name],$A49,T_SelfStock_Log[WeekIndex],35)=0,"",SUMIFS(T_SelfStock_Log[Self_Qty],T_SelfStock_Log[Part Name],$A49,T_SelfStock_Log[WeekIndex],35))</f>
        <v/>
      </c>
      <c r="AK49" s="13">
        <f>IF(COUNTIFS(T_SelfStock_Log[Part Name],$A49,T_SelfStock_Log[WeekIndex],36)=0,"",SUMIFS(T_SelfStock_Log[Self_Qty],T_SelfStock_Log[Part Name],$A49,T_SelfStock_Log[WeekIndex],36))</f>
        <v/>
      </c>
      <c r="AL49" s="13">
        <f>IF(COUNTIFS(T_SelfStock_Log[Part Name],$A49,T_SelfStock_Log[WeekIndex],37)=0,"",SUMIFS(T_SelfStock_Log[Self_Qty],T_SelfStock_Log[Part Name],$A49,T_SelfStock_Log[WeekIndex],37))</f>
        <v/>
      </c>
      <c r="AM49" s="13">
        <f>IF(COUNTIFS(T_SelfStock_Log[Part Name],$A49,T_SelfStock_Log[WeekIndex],38)=0,"",SUMIFS(T_SelfStock_Log[Self_Qty],T_SelfStock_Log[Part Name],$A49,T_SelfStock_Log[WeekIndex],38))</f>
        <v/>
      </c>
      <c r="AN49" s="13">
        <f>IF(COUNTIFS(T_SelfStock_Log[Part Name],$A49,T_SelfStock_Log[WeekIndex],39)=0,"",SUMIFS(T_SelfStock_Log[Self_Qty],T_SelfStock_Log[Part Name],$A49,T_SelfStock_Log[WeekIndex],39))</f>
        <v/>
      </c>
      <c r="AO49" s="13">
        <f>IF(COUNTIFS(T_SelfStock_Log[Part Name],$A49,T_SelfStock_Log[WeekIndex],40)=0,"",SUMIFS(T_SelfStock_Log[Self_Qty],T_SelfStock_Log[Part Name],$A49,T_SelfStock_Log[WeekIndex],40))</f>
        <v/>
      </c>
      <c r="AP49" s="13">
        <f>IF(COUNTIFS(T_SelfStock_Log[Part Name],$A49,T_SelfStock_Log[WeekIndex],41)=0,"",SUMIFS(T_SelfStock_Log[Self_Qty],T_SelfStock_Log[Part Name],$A49,T_SelfStock_Log[WeekIndex],41))</f>
        <v/>
      </c>
      <c r="AQ49" s="13">
        <f>IF(COUNTIFS(T_SelfStock_Log[Part Name],$A49,T_SelfStock_Log[WeekIndex],42)=0,"",SUMIFS(T_SelfStock_Log[Self_Qty],T_SelfStock_Log[Part Name],$A49,T_SelfStock_Log[WeekIndex],42))</f>
        <v/>
      </c>
      <c r="AR49" s="13">
        <f>IF(COUNTIFS(T_SelfStock_Log[Part Name],$A49,T_SelfStock_Log[WeekIndex],43)=0,"",SUMIFS(T_SelfStock_Log[Self_Qty],T_SelfStock_Log[Part Name],$A49,T_SelfStock_Log[WeekIndex],43))</f>
        <v/>
      </c>
      <c r="AS49" s="13">
        <f>IF(COUNTIFS(T_SelfStock_Log[Part Name],$A49,T_SelfStock_Log[WeekIndex],44)=0,"",SUMIFS(T_SelfStock_Log[Self_Qty],T_SelfStock_Log[Part Name],$A49,T_SelfStock_Log[WeekIndex],44))</f>
        <v/>
      </c>
      <c r="AT49" s="13">
        <f>IF(COUNTIFS(T_SelfStock_Log[Part Name],$A49,T_SelfStock_Log[WeekIndex],45)=0,"",SUMIFS(T_SelfStock_Log[Self_Qty],T_SelfStock_Log[Part Name],$A49,T_SelfStock_Log[WeekIndex],45))</f>
        <v/>
      </c>
      <c r="AU49" s="13">
        <f>IF(COUNTIFS(T_SelfStock_Log[Part Name],$A49,T_SelfStock_Log[WeekIndex],46)=0,"",SUMIFS(T_SelfStock_Log[Self_Qty],T_SelfStock_Log[Part Name],$A49,T_SelfStock_Log[WeekIndex],46))</f>
        <v/>
      </c>
      <c r="AV49" s="13">
        <f>IF(COUNTIFS(T_SelfStock_Log[Part Name],$A49,T_SelfStock_Log[WeekIndex],47)=0,"",SUMIFS(T_SelfStock_Log[Self_Qty],T_SelfStock_Log[Part Name],$A49,T_SelfStock_Log[WeekIndex],47))</f>
        <v/>
      </c>
      <c r="AW49" s="13">
        <f>IF(COUNTIFS(T_SelfStock_Log[Part Name],$A49,T_SelfStock_Log[WeekIndex],48)=0,"",SUMIFS(T_SelfStock_Log[Self_Qty],T_SelfStock_Log[Part Name],$A49,T_SelfStock_Log[WeekIndex],48))</f>
        <v/>
      </c>
      <c r="AX49" s="13">
        <f>IF(COUNTIFS(T_SelfStock_Log[Part Name],$A49,T_SelfStock_Log[WeekIndex],49)=0,"",SUMIFS(T_SelfStock_Log[Self_Qty],T_SelfStock_Log[Part Name],$A49,T_SelfStock_Log[WeekIndex],49))</f>
        <v/>
      </c>
      <c r="AY49" s="13">
        <f>IF(COUNTIFS(T_SelfStock_Log[Part Name],$A49,T_SelfStock_Log[WeekIndex],50)=0,"",SUMIFS(T_SelfStock_Log[Self_Qty],T_SelfStock_Log[Part Name],$A49,T_SelfStock_Log[WeekIndex],50))</f>
        <v/>
      </c>
      <c r="AZ49" s="13">
        <f>IF(COUNTIFS(T_SelfStock_Log[Part Name],$A49,T_SelfStock_Log[WeekIndex],51)=0,"",SUMIFS(T_SelfStock_Log[Self_Qty],T_SelfStock_Log[Part Name],$A49,T_SelfStock_Log[WeekIndex],51))</f>
        <v/>
      </c>
      <c r="BA49" s="13">
        <f>IF(COUNTIFS(T_SelfStock_Log[Part Name],$A49,T_SelfStock_Log[WeekIndex],52)=0,"",SUMIFS(T_SelfStock_Log[Self_Qty],T_SelfStock_Log[Part Name],$A49,T_SelfStock_Log[WeekIndex],52))</f>
        <v/>
      </c>
      <c r="BB49" s="13">
        <f>IF(COUNTIFS(T_SelfStock_Log[Part Name],$A49,T_SelfStock_Log[WeekIndex],53)=0,"",SUMIFS(T_SelfStock_Log[Self_Qty],T_SelfStock_Log[Part Name],$A49,T_SelfStock_Log[WeekIndex],53))</f>
        <v/>
      </c>
      <c r="BC49" s="13">
        <f>IF(COUNTIFS(T_SelfStock_Log[Part Name],$A49,T_SelfStock_Log[WeekIndex],54)=0,"",SUMIFS(T_SelfStock_Log[Self_Qty],T_SelfStock_Log[Part Name],$A49,T_SelfStock_Log[WeekIndex],54))</f>
        <v/>
      </c>
      <c r="BD49" s="13">
        <f>IF(COUNTIFS(T_SelfStock_Log[Part Name],$A49,T_SelfStock_Log[WeekIndex],55)=0,"",SUMIFS(T_SelfStock_Log[Self_Qty],T_SelfStock_Log[Part Name],$A49,T_SelfStock_Log[WeekIndex],55))</f>
        <v/>
      </c>
      <c r="BE49" s="13">
        <f>IF(COUNTIFS(T_SelfStock_Log[Part Name],$A49,T_SelfStock_Log[WeekIndex],56)=0,"",SUMIFS(T_SelfStock_Log[Self_Qty],T_SelfStock_Log[Part Name],$A49,T_SelfStock_Log[WeekIndex],56))</f>
        <v/>
      </c>
      <c r="BF49" s="13">
        <f>IF(COUNTIFS(T_SelfStock_Log[Part Name],$A49,T_SelfStock_Log[WeekIndex],57)=0,"",SUMIFS(T_SelfStock_Log[Self_Qty],T_SelfStock_Log[Part Name],$A49,T_SelfStock_Log[WeekIndex],57))</f>
        <v/>
      </c>
      <c r="BG49" s="13">
        <f>IF(COUNTIFS(T_SelfStock_Log[Part Name],$A49,T_SelfStock_Log[WeekIndex],58)=0,"",SUMIFS(T_SelfStock_Log[Self_Qty],T_SelfStock_Log[Part Name],$A49,T_SelfStock_Log[WeekIndex],58))</f>
        <v/>
      </c>
      <c r="BH49" s="13">
        <f>IF(COUNTIFS(T_SelfStock_Log[Part Name],$A49,T_SelfStock_Log[WeekIndex],59)=0,"",SUMIFS(T_SelfStock_Log[Self_Qty],T_SelfStock_Log[Part Name],$A49,T_SelfStock_Log[WeekIndex],59))</f>
        <v/>
      </c>
      <c r="BI49" s="13">
        <f>IF(COUNTIFS(T_SelfStock_Log[Part Name],$A49,T_SelfStock_Log[WeekIndex],60)=0,"",SUMIFS(T_SelfStock_Log[Self_Qty],T_SelfStock_Log[Part Name],$A49,T_SelfStock_Log[WeekIndex],60))</f>
        <v/>
      </c>
      <c r="BJ49" s="13">
        <f>IF(COUNTIFS(T_SelfStock_Log[Part Name],$A49,T_SelfStock_Log[WeekIndex],61)=0,"",SUMIFS(T_SelfStock_Log[Self_Qty],T_SelfStock_Log[Part Name],$A49,T_SelfStock_Log[WeekIndex],61))</f>
        <v/>
      </c>
      <c r="BK49" s="13">
        <f>IF(COUNTIFS(T_SelfStock_Log[Part Name],$A49,T_SelfStock_Log[WeekIndex],62)=0,"",SUMIFS(T_SelfStock_Log[Self_Qty],T_SelfStock_Log[Part Name],$A49,T_SelfStock_Log[WeekIndex],62))</f>
        <v/>
      </c>
      <c r="BL49" s="13">
        <f>IF(COUNTIFS(T_SelfStock_Log[Part Name],$A49,T_SelfStock_Log[WeekIndex],63)=0,"",SUMIFS(T_SelfStock_Log[Self_Qty],T_SelfStock_Log[Part Name],$A49,T_SelfStock_Log[WeekIndex],63))</f>
        <v/>
      </c>
      <c r="BM49" s="13">
        <f>IF(COUNTIFS(T_SelfStock_Log[Part Name],$A49,T_SelfStock_Log[WeekIndex],64)=0,"",SUMIFS(T_SelfStock_Log[Self_Qty],T_SelfStock_Log[Part Name],$A49,T_SelfStock_Log[WeekIndex],64))</f>
        <v/>
      </c>
      <c r="BN49" s="13">
        <f>IF(COUNTIFS(T_SelfStock_Log[Part Name],$A49,T_SelfStock_Log[WeekIndex],65)=0,"",SUMIFS(T_SelfStock_Log[Self_Qty],T_SelfStock_Log[Part Name],$A49,T_SelfStock_Log[WeekIndex],65))</f>
        <v/>
      </c>
      <c r="BO49" s="13">
        <f>IF(COUNTIFS(T_SelfStock_Log[Part Name],$A49,T_SelfStock_Log[WeekIndex],66)=0,"",SUMIFS(T_SelfStock_Log[Self_Qty],T_SelfStock_Log[Part Name],$A49,T_SelfStock_Log[WeekIndex],66))</f>
        <v/>
      </c>
      <c r="BP49" s="13">
        <f>IF(COUNTIFS(T_SelfStock_Log[Part Name],$A49,T_SelfStock_Log[WeekIndex],67)=0,"",SUMIFS(T_SelfStock_Log[Self_Qty],T_SelfStock_Log[Part Name],$A49,T_SelfStock_Log[WeekIndex],67))</f>
        <v/>
      </c>
      <c r="BQ49" s="13">
        <f>IF(COUNTIFS(T_SelfStock_Log[Part Name],$A49,T_SelfStock_Log[WeekIndex],68)=0,"",SUMIFS(T_SelfStock_Log[Self_Qty],T_SelfStock_Log[Part Name],$A49,T_SelfStock_Log[WeekIndex],68))</f>
        <v/>
      </c>
      <c r="BR49" s="13">
        <f>IF(COUNTIFS(T_SelfStock_Log[Part Name],$A49,T_SelfStock_Log[WeekIndex],69)=0,"",SUMIFS(T_SelfStock_Log[Self_Qty],T_SelfStock_Log[Part Name],$A49,T_SelfStock_Log[WeekIndex],69))</f>
        <v/>
      </c>
      <c r="BS49" s="13">
        <f>IF(COUNTIFS(T_SelfStock_Log[Part Name],$A49,T_SelfStock_Log[WeekIndex],70)=0,"",SUMIFS(T_SelfStock_Log[Self_Qty],T_SelfStock_Log[Part Name],$A49,T_SelfStock_Log[WeekIndex],70))</f>
        <v/>
      </c>
      <c r="BT49" s="13">
        <f>IF(COUNTIFS(T_SelfStock_Log[Part Name],$A49,T_SelfStock_Log[WeekIndex],71)=0,"",SUMIFS(T_SelfStock_Log[Self_Qty],T_SelfStock_Log[Part Name],$A49,T_SelfStock_Log[WeekIndex],71))</f>
        <v/>
      </c>
      <c r="BU49" s="13">
        <f>IF(COUNTIFS(T_SelfStock_Log[Part Name],$A49,T_SelfStock_Log[WeekIndex],72)=0,"",SUMIFS(T_SelfStock_Log[Self_Qty],T_SelfStock_Log[Part Name],$A49,T_SelfStock_Log[WeekIndex],72))</f>
        <v/>
      </c>
      <c r="BV49" s="13">
        <f>IF(COUNTIFS(T_SelfStock_Log[Part Name],$A49,T_SelfStock_Log[WeekIndex],73)=0,"",SUMIFS(T_SelfStock_Log[Self_Qty],T_SelfStock_Log[Part Name],$A49,T_SelfStock_Log[WeekIndex],73))</f>
        <v/>
      </c>
      <c r="BW49" s="13">
        <f>IF(COUNTIFS(T_SelfStock_Log[Part Name],$A49,T_SelfStock_Log[WeekIndex],74)=0,"",SUMIFS(T_SelfStock_Log[Self_Qty],T_SelfStock_Log[Part Name],$A49,T_SelfStock_Log[WeekIndex],74))</f>
        <v/>
      </c>
      <c r="BX49" s="13">
        <f>IF(COUNTIFS(T_SelfStock_Log[Part Name],$A49,T_SelfStock_Log[WeekIndex],75)=0,"",SUMIFS(T_SelfStock_Log[Self_Qty],T_SelfStock_Log[Part Name],$A49,T_SelfStock_Log[WeekIndex],75))</f>
        <v/>
      </c>
      <c r="BY49" s="13">
        <f>IF(COUNTIFS(T_SelfStock_Log[Part Name],$A49,T_SelfStock_Log[WeekIndex],76)=0,"",SUMIFS(T_SelfStock_Log[Self_Qty],T_SelfStock_Log[Part Name],$A49,T_SelfStock_Log[WeekIndex],76))</f>
        <v/>
      </c>
      <c r="BZ49" s="13">
        <f>IF(COUNTIFS(T_SelfStock_Log[Part Name],$A49,T_SelfStock_Log[WeekIndex],77)=0,"",SUMIFS(T_SelfStock_Log[Self_Qty],T_SelfStock_Log[Part Name],$A49,T_SelfStock_Log[WeekIndex],77))</f>
        <v/>
      </c>
      <c r="CA49" s="13">
        <f>IF(COUNTIFS(T_SelfStock_Log[Part Name],$A49,T_SelfStock_Log[WeekIndex],78)=0,"",SUMIFS(T_SelfStock_Log[Self_Qty],T_SelfStock_Log[Part Name],$A49,T_SelfStock_Log[WeekIndex],78))</f>
        <v/>
      </c>
      <c r="CB49" s="13">
        <f>IF(COUNTIFS(T_SelfStock_Log[Part Name],$A49,T_SelfStock_Log[WeekIndex],79)=0,"",SUMIFS(T_SelfStock_Log[Self_Qty],T_SelfStock_Log[Part Name],$A49,T_SelfStock_Log[WeekIndex],79))</f>
        <v/>
      </c>
      <c r="CC49" s="13">
        <f>IF(COUNTIFS(T_SelfStock_Log[Part Name],$A49,T_SelfStock_Log[WeekIndex],80)=0,"",SUMIFS(T_SelfStock_Log[Self_Qty],T_SelfStock_Log[Part Name],$A49,T_SelfStock_Log[WeekIndex],80))</f>
        <v/>
      </c>
      <c r="CD49" s="13">
        <f>IF(COUNTIFS(T_SelfStock_Log[Part Name],$A49,T_SelfStock_Log[WeekIndex],81)=0,"",SUMIFS(T_SelfStock_Log[Self_Qty],T_SelfStock_Log[Part Name],$A49,T_SelfStock_Log[WeekIndex],81))</f>
        <v/>
      </c>
      <c r="CE49" s="13">
        <f>IF(COUNTIFS(T_SelfStock_Log[Part Name],$A49,T_SelfStock_Log[WeekIndex],82)=0,"",SUMIFS(T_SelfStock_Log[Self_Qty],T_SelfStock_Log[Part Name],$A49,T_SelfStock_Log[WeekIndex],82))</f>
        <v/>
      </c>
      <c r="CF49" s="13">
        <f>IF(COUNTIFS(T_SelfStock_Log[Part Name],$A49,T_SelfStock_Log[WeekIndex],83)=0,"",SUMIFS(T_SelfStock_Log[Self_Qty],T_SelfStock_Log[Part Name],$A49,T_SelfStock_Log[WeekIndex],83))</f>
        <v/>
      </c>
      <c r="CG49" s="13">
        <f>IF(COUNTIFS(T_SelfStock_Log[Part Name],$A49,T_SelfStock_Log[WeekIndex],84)=0,"",SUMIFS(T_SelfStock_Log[Self_Qty],T_SelfStock_Log[Part Name],$A49,T_SelfStock_Log[WeekIndex],84))</f>
        <v/>
      </c>
      <c r="CH49" s="13">
        <f>IF(COUNTIFS(T_SelfStock_Log[Part Name],$A49,T_SelfStock_Log[WeekIndex],85)=0,"",SUMIFS(T_SelfStock_Log[Self_Qty],T_SelfStock_Log[Part Name],$A49,T_SelfStock_Log[WeekIndex],85))</f>
        <v/>
      </c>
      <c r="CI49" s="13">
        <f>IF(COUNTIFS(T_SelfStock_Log[Part Name],$A49,T_SelfStock_Log[WeekIndex],86)=0,"",SUMIFS(T_SelfStock_Log[Self_Qty],T_SelfStock_Log[Part Name],$A49,T_SelfStock_Log[WeekIndex],86))</f>
        <v/>
      </c>
      <c r="CJ49" s="13">
        <f>IF(COUNTIFS(T_SelfStock_Log[Part Name],$A49,T_SelfStock_Log[WeekIndex],87)=0,"",SUMIFS(T_SelfStock_Log[Self_Qty],T_SelfStock_Log[Part Name],$A49,T_SelfStock_Log[WeekIndex],87))</f>
        <v/>
      </c>
      <c r="CK49" s="13">
        <f>IF(COUNTIFS(T_SelfStock_Log[Part Name],$A49,T_SelfStock_Log[WeekIndex],88)=0,"",SUMIFS(T_SelfStock_Log[Self_Qty],T_SelfStock_Log[Part Name],$A49,T_SelfStock_Log[WeekIndex],88))</f>
        <v/>
      </c>
      <c r="CL49" s="13">
        <f>IF(COUNTIFS(T_SelfStock_Log[Part Name],$A49,T_SelfStock_Log[WeekIndex],89)=0,"",SUMIFS(T_SelfStock_Log[Self_Qty],T_SelfStock_Log[Part Name],$A49,T_SelfStock_Log[WeekIndex],89))</f>
        <v/>
      </c>
      <c r="CM49" s="13">
        <f>IF(COUNTIFS(T_SelfStock_Log[Part Name],$A49,T_SelfStock_Log[WeekIndex],90)=0,"",SUMIFS(T_SelfStock_Log[Self_Qty],T_SelfStock_Log[Part Name],$A49,T_SelfStock_Log[WeekIndex],90))</f>
        <v/>
      </c>
      <c r="CN49" s="13">
        <f>IF(COUNTIFS(T_SelfStock_Log[Part Name],$A49,T_SelfStock_Log[WeekIndex],91)=0,"",SUMIFS(T_SelfStock_Log[Self_Qty],T_SelfStock_Log[Part Name],$A49,T_SelfStock_Log[WeekIndex],91))</f>
        <v/>
      </c>
      <c r="CO49" s="13">
        <f>IF(COUNTIFS(T_SelfStock_Log[Part Name],$A49,T_SelfStock_Log[WeekIndex],92)=0,"",SUMIFS(T_SelfStock_Log[Self_Qty],T_SelfStock_Log[Part Name],$A49,T_SelfStock_Log[WeekIndex],92))</f>
        <v/>
      </c>
      <c r="CP49" s="13">
        <f>IF(COUNTIFS(T_SelfStock_Log[Part Name],$A49,T_SelfStock_Log[WeekIndex],93)=0,"",SUMIFS(T_SelfStock_Log[Self_Qty],T_SelfStock_Log[Part Name],$A49,T_SelfStock_Log[WeekIndex],93))</f>
        <v/>
      </c>
      <c r="CQ49" s="13">
        <f>IF(COUNTIFS(T_SelfStock_Log[Part Name],$A49,T_SelfStock_Log[WeekIndex],94)=0,"",SUMIFS(T_SelfStock_Log[Self_Qty],T_SelfStock_Log[Part Name],$A49,T_SelfStock_Log[WeekIndex],94))</f>
        <v/>
      </c>
      <c r="CR49" s="13">
        <f>IF(COUNTIFS(T_SelfStock_Log[Part Name],$A49,T_SelfStock_Log[WeekIndex],95)=0,"",SUMIFS(T_SelfStock_Log[Self_Qty],T_SelfStock_Log[Part Name],$A49,T_SelfStock_Log[WeekIndex],95))</f>
        <v/>
      </c>
      <c r="CS49" s="13">
        <f>IF(COUNTIFS(T_SelfStock_Log[Part Name],$A49,T_SelfStock_Log[WeekIndex],96)=0,"",SUMIFS(T_SelfStock_Log[Self_Qty],T_SelfStock_Log[Part Name],$A49,T_SelfStock_Log[WeekIndex],96))</f>
        <v/>
      </c>
      <c r="CT49" s="13">
        <f>IF(COUNTIFS(T_SelfStock_Log[Part Name],$A49,T_SelfStock_Log[WeekIndex],97)=0,"",SUMIFS(T_SelfStock_Log[Self_Qty],T_SelfStock_Log[Part Name],$A49,T_SelfStock_Log[WeekIndex],97))</f>
        <v/>
      </c>
      <c r="CU49" s="13">
        <f>IF(COUNTIFS(T_SelfStock_Log[Part Name],$A49,T_SelfStock_Log[WeekIndex],98)=0,"",SUMIFS(T_SelfStock_Log[Self_Qty],T_SelfStock_Log[Part Name],$A49,T_SelfStock_Log[WeekIndex],98))</f>
        <v/>
      </c>
      <c r="CV49" s="13">
        <f>IF(COUNTIFS(T_SelfStock_Log[Part Name],$A49,T_SelfStock_Log[WeekIndex],99)=0,"",SUMIFS(T_SelfStock_Log[Self_Qty],T_SelfStock_Log[Part Name],$A49,T_SelfStock_Log[WeekIndex],99))</f>
        <v/>
      </c>
      <c r="CW49" s="13">
        <f>IF(COUNTIFS(T_SelfStock_Log[Part Name],$A49,T_SelfStock_Log[WeekIndex],100)=0,"",SUMIFS(T_SelfStock_Log[Self_Qty],T_SelfStock_Log[Part Name],$A49,T_SelfStock_Log[WeekIndex],100))</f>
        <v/>
      </c>
      <c r="CX49" s="13">
        <f>IF(COUNTIFS(T_SelfStock_Log[Part Name],$A49,T_SelfStock_Log[WeekIndex],101)=0,"",SUMIFS(T_SelfStock_Log[Self_Qty],T_SelfStock_Log[Part Name],$A49,T_SelfStock_Log[WeekIndex],101))</f>
        <v/>
      </c>
      <c r="CY49" s="13">
        <f>IF(COUNTIFS(T_SelfStock_Log[Part Name],$A49,T_SelfStock_Log[WeekIndex],102)=0,"",SUMIFS(T_SelfStock_Log[Self_Qty],T_SelfStock_Log[Part Name],$A49,T_SelfStock_Log[WeekIndex],102))</f>
        <v/>
      </c>
      <c r="CZ49" s="13">
        <f>IF(COUNTIFS(T_SelfStock_Log[Part Name],$A49,T_SelfStock_Log[WeekIndex],103)=0,"",SUMIFS(T_SelfStock_Log[Self_Qty],T_SelfStock_Log[Part Name],$A49,T_SelfStock_Log[WeekIndex],103))</f>
        <v/>
      </c>
      <c r="DA49" s="13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IF(COUNTIFS(T_TTAFStock_Log[Part Name],$A6,T_TTAFStock_Log[WeekIndex],1)=0,"",SUMIFS(T_TTAFStock_Log[TTAF_Qty],T_TTAFStock_Log[Part Name],$A6,T_TTAFStock_Log[WeekIndex],1))</f>
        <v/>
      </c>
      <c r="C6" s="12">
        <f>IF(COUNTIFS(T_TTAFStock_Log[Part Name],$A6,T_TTAFStock_Log[WeekIndex],2)=0,"",SUMIFS(T_TTAFStock_Log[TTAF_Qty],T_TTAFStock_Log[Part Name],$A6,T_TTAFStock_Log[WeekIndex],2))</f>
        <v/>
      </c>
      <c r="D6" s="12">
        <f>IF(COUNTIFS(T_TTAFStock_Log[Part Name],$A6,T_TTAFStock_Log[WeekIndex],3)=0,"",SUMIFS(T_TTAFStock_Log[TTAF_Qty],T_TTAFStock_Log[Part Name],$A6,T_TTAFStock_Log[WeekIndex],3))</f>
        <v/>
      </c>
      <c r="E6" s="12">
        <f>IF(COUNTIFS(T_TTAFStock_Log[Part Name],$A6,T_TTAFStock_Log[WeekIndex],4)=0,"",SUMIFS(T_TTAFStock_Log[TTAF_Qty],T_TTAFStock_Log[Part Name],$A6,T_TTAFStock_Log[WeekIndex],4))</f>
        <v/>
      </c>
      <c r="F6" s="12">
        <f>IF(COUNTIFS(T_TTAFStock_Log[Part Name],$A6,T_TTAFStock_Log[WeekIndex],5)=0,"",SUMIFS(T_TTAFStock_Log[TTAF_Qty],T_TTAFStock_Log[Part Name],$A6,T_TTAFStock_Log[WeekIndex],5))</f>
        <v/>
      </c>
      <c r="G6" s="12">
        <f>IF(COUNTIFS(T_TTAFStock_Log[Part Name],$A6,T_TTAFStock_Log[WeekIndex],6)=0,"",SUMIFS(T_TTAFStock_Log[TTAF_Qty],T_TTAFStock_Log[Part Name],$A6,T_TTAFStock_Log[WeekIndex],6))</f>
        <v/>
      </c>
      <c r="H6" s="12">
        <f>IF(COUNTIFS(T_TTAFStock_Log[Part Name],$A6,T_TTAFStock_Log[WeekIndex],7)=0,"",SUMIFS(T_TTAFStock_Log[TTAF_Qty],T_TTAFStock_Log[Part Name],$A6,T_TTAFStock_Log[WeekIndex],7))</f>
        <v/>
      </c>
      <c r="I6" s="12">
        <f>IF(COUNTIFS(T_TTAFStock_Log[Part Name],$A6,T_TTAFStock_Log[WeekIndex],8)=0,"",SUMIFS(T_TTAFStock_Log[TTAF_Qty],T_TTAFStock_Log[Part Name],$A6,T_TTAFStock_Log[WeekIndex],8))</f>
        <v/>
      </c>
      <c r="J6" s="12">
        <f>IF(COUNTIFS(T_TTAFStock_Log[Part Name],$A6,T_TTAFStock_Log[WeekIndex],9)=0,"",SUMIFS(T_TTAFStock_Log[TTAF_Qty],T_TTAFStock_Log[Part Name],$A6,T_TTAFStock_Log[WeekIndex],9))</f>
        <v/>
      </c>
      <c r="K6" s="12">
        <f>IF(COUNTIFS(T_TTAFStock_Log[Part Name],$A6,T_TTAFStock_Log[WeekIndex],10)=0,"",SUMIFS(T_TTAFStock_Log[TTAF_Qty],T_TTAFStock_Log[Part Name],$A6,T_TTAFStock_Log[WeekIndex],10))</f>
        <v/>
      </c>
      <c r="L6" s="12">
        <f>IF(COUNTIFS(T_TTAFStock_Log[Part Name],$A6,T_TTAFStock_Log[WeekIndex],11)=0,"",SUMIFS(T_TTAFStock_Log[TTAF_Qty],T_TTAFStock_Log[Part Name],$A6,T_TTAFStock_Log[WeekIndex],11))</f>
        <v/>
      </c>
      <c r="M6" s="12">
        <f>IF(COUNTIFS(T_TTAFStock_Log[Part Name],$A6,T_TTAFStock_Log[WeekIndex],12)=0,"",SUMIFS(T_TTAFStock_Log[TTAF_Qty],T_TTAFStock_Log[Part Name],$A6,T_TTAFStock_Log[WeekIndex],12))</f>
        <v/>
      </c>
      <c r="N6" s="12">
        <f>IF(COUNTIFS(T_TTAFStock_Log[Part Name],$A6,T_TTAFStock_Log[WeekIndex],13)=0,"",SUMIFS(T_TTAFStock_Log[TTAF_Qty],T_TTAFStock_Log[Part Name],$A6,T_TTAFStock_Log[WeekIndex],13))</f>
        <v/>
      </c>
      <c r="O6" s="12">
        <f>IF(COUNTIFS(T_TTAFStock_Log[Part Name],$A6,T_TTAFStock_Log[WeekIndex],14)=0,"",SUMIFS(T_TTAFStock_Log[TTAF_Qty],T_TTAFStock_Log[Part Name],$A6,T_TTAFStock_Log[WeekIndex],14))</f>
        <v/>
      </c>
      <c r="P6" s="12">
        <f>IF(COUNTIFS(T_TTAFStock_Log[Part Name],$A6,T_TTAFStock_Log[WeekIndex],15)=0,"",SUMIFS(T_TTAFStock_Log[TTAF_Qty],T_TTAFStock_Log[Part Name],$A6,T_TTAFStock_Log[WeekIndex],15))</f>
        <v/>
      </c>
      <c r="Q6" s="12">
        <f>IF(COUNTIFS(T_TTAFStock_Log[Part Name],$A6,T_TTAFStock_Log[WeekIndex],16)=0,"",SUMIFS(T_TTAFStock_Log[TTAF_Qty],T_TTAFStock_Log[Part Name],$A6,T_TTAFStock_Log[WeekIndex],16))</f>
        <v/>
      </c>
      <c r="R6" s="12">
        <f>IF(COUNTIFS(T_TTAFStock_Log[Part Name],$A6,T_TTAFStock_Log[WeekIndex],17)=0,"",SUMIFS(T_TTAFStock_Log[TTAF_Qty],T_TTAFStock_Log[Part Name],$A6,T_TTAFStock_Log[WeekIndex],17))</f>
        <v/>
      </c>
      <c r="S6" s="12">
        <f>IF(COUNTIFS(T_TTAFStock_Log[Part Name],$A6,T_TTAFStock_Log[WeekIndex],18)=0,"",SUMIFS(T_TTAFStock_Log[TTAF_Qty],T_TTAFStock_Log[Part Name],$A6,T_TTAFStock_Log[WeekIndex],18))</f>
        <v/>
      </c>
      <c r="T6" s="12">
        <f>IF(COUNTIFS(T_TTAFStock_Log[Part Name],$A6,T_TTAFStock_Log[WeekIndex],19)=0,"",SUMIFS(T_TTAFStock_Log[TTAF_Qty],T_TTAFStock_Log[Part Name],$A6,T_TTAFStock_Log[WeekIndex],19))</f>
        <v/>
      </c>
      <c r="U6" s="12">
        <f>IF(COUNTIFS(T_TTAFStock_Log[Part Name],$A6,T_TTAFStock_Log[WeekIndex],20)=0,"",SUMIFS(T_TTAFStock_Log[TTAF_Qty],T_TTAFStock_Log[Part Name],$A6,T_TTAFStock_Log[WeekIndex],20))</f>
        <v/>
      </c>
      <c r="V6" s="12">
        <f>IF(COUNTIFS(T_TTAFStock_Log[Part Name],$A6,T_TTAFStock_Log[WeekIndex],21)=0,"",SUMIFS(T_TTAFStock_Log[TTAF_Qty],T_TTAFStock_Log[Part Name],$A6,T_TTAFStock_Log[WeekIndex],21))</f>
        <v/>
      </c>
      <c r="W6" s="12">
        <f>IF(COUNTIFS(T_TTAFStock_Log[Part Name],$A6,T_TTAFStock_Log[WeekIndex],22)=0,"",SUMIFS(T_TTAFStock_Log[TTAF_Qty],T_TTAFStock_Log[Part Name],$A6,T_TTAFStock_Log[WeekIndex],22))</f>
        <v/>
      </c>
      <c r="X6" s="12">
        <f>IF(COUNTIFS(T_TTAFStock_Log[Part Name],$A6,T_TTAFStock_Log[WeekIndex],23)=0,"",SUMIFS(T_TTAFStock_Log[TTAF_Qty],T_TTAFStock_Log[Part Name],$A6,T_TTAFStock_Log[WeekIndex],23))</f>
        <v/>
      </c>
      <c r="Y6" s="12">
        <f>IF(COUNTIFS(T_TTAFStock_Log[Part Name],$A6,T_TTAFStock_Log[WeekIndex],24)=0,"",SUMIFS(T_TTAFStock_Log[TTAF_Qty],T_TTAFStock_Log[Part Name],$A6,T_TTAFStock_Log[WeekIndex],24))</f>
        <v/>
      </c>
      <c r="Z6" s="12">
        <f>IF(COUNTIFS(T_TTAFStock_Log[Part Name],$A6,T_TTAFStock_Log[WeekIndex],25)=0,"",SUMIFS(T_TTAFStock_Log[TTAF_Qty],T_TTAFStock_Log[Part Name],$A6,T_TTAFStock_Log[WeekIndex],25))</f>
        <v/>
      </c>
      <c r="AA6" s="12">
        <f>IF(COUNTIFS(T_TTAFStock_Log[Part Name],$A6,T_TTAFStock_Log[WeekIndex],26)=0,"",SUMIFS(T_TTAFStock_Log[TTAF_Qty],T_TTAFStock_Log[Part Name],$A6,T_TTAFStock_Log[WeekIndex],26))</f>
        <v/>
      </c>
      <c r="AB6" s="12">
        <f>IF(COUNTIFS(T_TTAFStock_Log[Part Name],$A6,T_TTAFStock_Log[WeekIndex],27)=0,"",SUMIFS(T_TTAFStock_Log[TTAF_Qty],T_TTAFStock_Log[Part Name],$A6,T_TTAFStock_Log[WeekIndex],27))</f>
        <v/>
      </c>
      <c r="AC6" s="12">
        <f>IF(COUNTIFS(T_TTAFStock_Log[Part Name],$A6,T_TTAFStock_Log[WeekIndex],28)=0,"",SUMIFS(T_TTAFStock_Log[TTAF_Qty],T_TTAFStock_Log[Part Name],$A6,T_TTAFStock_Log[WeekIndex],28))</f>
        <v/>
      </c>
      <c r="AD6" s="12">
        <f>IF(COUNTIFS(T_TTAFStock_Log[Part Name],$A6,T_TTAFStock_Log[WeekIndex],29)=0,"",SUMIFS(T_TTAFStock_Log[TTAF_Qty],T_TTAFStock_Log[Part Name],$A6,T_TTAFStock_Log[WeekIndex],29))</f>
        <v/>
      </c>
      <c r="AE6" s="12">
        <f>IF(COUNTIFS(T_TTAFStock_Log[Part Name],$A6,T_TTAFStock_Log[WeekIndex],30)=0,"",SUMIFS(T_TTAFStock_Log[TTAF_Qty],T_TTAFStock_Log[Part Name],$A6,T_TTAFStock_Log[WeekIndex],30))</f>
        <v/>
      </c>
      <c r="AF6" s="12">
        <f>IF(COUNTIFS(T_TTAFStock_Log[Part Name],$A6,T_TTAFStock_Log[WeekIndex],31)=0,"",SUMIFS(T_TTAFStock_Log[TTAF_Qty],T_TTAFStock_Log[Part Name],$A6,T_TTAFStock_Log[WeekIndex],31))</f>
        <v/>
      </c>
      <c r="AG6" s="12">
        <f>IF(COUNTIFS(T_TTAFStock_Log[Part Name],$A6,T_TTAFStock_Log[WeekIndex],32)=0,"",SUMIFS(T_TTAFStock_Log[TTAF_Qty],T_TTAFStock_Log[Part Name],$A6,T_TTAFStock_Log[WeekIndex],32))</f>
        <v/>
      </c>
      <c r="AH6" s="12">
        <f>IF(COUNTIFS(T_TTAFStock_Log[Part Name],$A6,T_TTAFStock_Log[WeekIndex],33)=0,"",SUMIFS(T_TTAFStock_Log[TTAF_Qty],T_TTAFStock_Log[Part Name],$A6,T_TTAFStock_Log[WeekIndex],33))</f>
        <v/>
      </c>
      <c r="AI6" s="12">
        <f>IF(COUNTIFS(T_TTAFStock_Log[Part Name],$A6,T_TTAFStock_Log[WeekIndex],34)=0,"",SUMIFS(T_TTAFStock_Log[TTAF_Qty],T_TTAFStock_Log[Part Name],$A6,T_TTAFStock_Log[WeekIndex],34))</f>
        <v/>
      </c>
      <c r="AJ6" s="12">
        <f>IF(COUNTIFS(T_TTAFStock_Log[Part Name],$A6,T_TTAFStock_Log[WeekIndex],35)=0,"",SUMIFS(T_TTAFStock_Log[TTAF_Qty],T_TTAFStock_Log[Part Name],$A6,T_TTAFStock_Log[WeekIndex],35))</f>
        <v/>
      </c>
      <c r="AK6" s="12">
        <f>IF(COUNTIFS(T_TTAFStock_Log[Part Name],$A6,T_TTAFStock_Log[WeekIndex],36)=0,"",SUMIFS(T_TTAFStock_Log[TTAF_Qty],T_TTAFStock_Log[Part Name],$A6,T_TTAFStock_Log[WeekIndex],36))</f>
        <v/>
      </c>
      <c r="AL6" s="12">
        <f>IF(COUNTIFS(T_TTAFStock_Log[Part Name],$A6,T_TTAFStock_Log[WeekIndex],37)=0,"",SUMIFS(T_TTAFStock_Log[TTAF_Qty],T_TTAFStock_Log[Part Name],$A6,T_TTAFStock_Log[WeekIndex],37))</f>
        <v/>
      </c>
      <c r="AM6" s="12">
        <f>IF(COUNTIFS(T_TTAFStock_Log[Part Name],$A6,T_TTAFStock_Log[WeekIndex],38)=0,"",SUMIFS(T_TTAFStock_Log[TTAF_Qty],T_TTAFStock_Log[Part Name],$A6,T_TTAFStock_Log[WeekIndex],38))</f>
        <v/>
      </c>
      <c r="AN6" s="12">
        <f>IF(COUNTIFS(T_TTAFStock_Log[Part Name],$A6,T_TTAFStock_Log[WeekIndex],39)=0,"",SUMIFS(T_TTAFStock_Log[TTAF_Qty],T_TTAFStock_Log[Part Name],$A6,T_TTAFStock_Log[WeekIndex],39))</f>
        <v/>
      </c>
      <c r="AO6" s="12">
        <f>IF(COUNTIFS(T_TTAFStock_Log[Part Name],$A6,T_TTAFStock_Log[WeekIndex],40)=0,"",SUMIFS(T_TTAFStock_Log[TTAF_Qty],T_TTAFStock_Log[Part Name],$A6,T_TTAFStock_Log[WeekIndex],40))</f>
        <v/>
      </c>
      <c r="AP6" s="12">
        <f>IF(COUNTIFS(T_TTAFStock_Log[Part Name],$A6,T_TTAFStock_Log[WeekIndex],41)=0,"",SUMIFS(T_TTAFStock_Log[TTAF_Qty],T_TTAFStock_Log[Part Name],$A6,T_TTAFStock_Log[WeekIndex],41))</f>
        <v/>
      </c>
      <c r="AQ6" s="12">
        <f>IF(COUNTIFS(T_TTAFStock_Log[Part Name],$A6,T_TTAFStock_Log[WeekIndex],42)=0,"",SUMIFS(T_TTAFStock_Log[TTAF_Qty],T_TTAFStock_Log[Part Name],$A6,T_TTAFStock_Log[WeekIndex],42))</f>
        <v/>
      </c>
      <c r="AR6" s="12">
        <f>IF(COUNTIFS(T_TTAFStock_Log[Part Name],$A6,T_TTAFStock_Log[WeekIndex],43)=0,"",SUMIFS(T_TTAFStock_Log[TTAF_Qty],T_TTAFStock_Log[Part Name],$A6,T_TTAFStock_Log[WeekIndex],43))</f>
        <v/>
      </c>
      <c r="AS6" s="12">
        <f>IF(COUNTIFS(T_TTAFStock_Log[Part Name],$A6,T_TTAFStock_Log[WeekIndex],44)=0,"",SUMIFS(T_TTAFStock_Log[TTAF_Qty],T_TTAFStock_Log[Part Name],$A6,T_TTAFStock_Log[WeekIndex],44))</f>
        <v/>
      </c>
      <c r="AT6" s="12">
        <f>IF(COUNTIFS(T_TTAFStock_Log[Part Name],$A6,T_TTAFStock_Log[WeekIndex],45)=0,"",SUMIFS(T_TTAFStock_Log[TTAF_Qty],T_TTAFStock_Log[Part Name],$A6,T_TTAFStock_Log[WeekIndex],45))</f>
        <v/>
      </c>
      <c r="AU6" s="12">
        <f>IF(COUNTIFS(T_TTAFStock_Log[Part Name],$A6,T_TTAFStock_Log[WeekIndex],46)=0,"",SUMIFS(T_TTAFStock_Log[TTAF_Qty],T_TTAFStock_Log[Part Name],$A6,T_TTAFStock_Log[WeekIndex],46))</f>
        <v/>
      </c>
      <c r="AV6" s="12">
        <f>IF(COUNTIFS(T_TTAFStock_Log[Part Name],$A6,T_TTAFStock_Log[WeekIndex],47)=0,"",SUMIFS(T_TTAFStock_Log[TTAF_Qty],T_TTAFStock_Log[Part Name],$A6,T_TTAFStock_Log[WeekIndex],47))</f>
        <v/>
      </c>
      <c r="AW6" s="12">
        <f>IF(COUNTIFS(T_TTAFStock_Log[Part Name],$A6,T_TTAFStock_Log[WeekIndex],48)=0,"",SUMIFS(T_TTAFStock_Log[TTAF_Qty],T_TTAFStock_Log[Part Name],$A6,T_TTAFStock_Log[WeekIndex],48))</f>
        <v/>
      </c>
      <c r="AX6" s="12">
        <f>IF(COUNTIFS(T_TTAFStock_Log[Part Name],$A6,T_TTAFStock_Log[WeekIndex],49)=0,"",SUMIFS(T_TTAFStock_Log[TTAF_Qty],T_TTAFStock_Log[Part Name],$A6,T_TTAFStock_Log[WeekIndex],49))</f>
        <v/>
      </c>
      <c r="AY6" s="12">
        <f>IF(COUNTIFS(T_TTAFStock_Log[Part Name],$A6,T_TTAFStock_Log[WeekIndex],50)=0,"",SUMIFS(T_TTAFStock_Log[TTAF_Qty],T_TTAFStock_Log[Part Name],$A6,T_TTAFStock_Log[WeekIndex],50))</f>
        <v/>
      </c>
      <c r="AZ6" s="12">
        <f>IF(COUNTIFS(T_TTAFStock_Log[Part Name],$A6,T_TTAFStock_Log[WeekIndex],51)=0,"",SUMIFS(T_TTAFStock_Log[TTAF_Qty],T_TTAFStock_Log[Part Name],$A6,T_TTAFStock_Log[WeekIndex],51))</f>
        <v/>
      </c>
      <c r="BA6" s="12">
        <f>IF(COUNTIFS(T_TTAFStock_Log[Part Name],$A6,T_TTAFStock_Log[WeekIndex],52)=0,"",SUMIFS(T_TTAFStock_Log[TTAF_Qty],T_TTAFStock_Log[Part Name],$A6,T_TTAFStock_Log[WeekIndex],52))</f>
        <v/>
      </c>
      <c r="BB6" s="12">
        <f>IF(COUNTIFS(T_TTAFStock_Log[Part Name],$A6,T_TTAFStock_Log[WeekIndex],53)=0,"",SUMIFS(T_TTAFStock_Log[TTAF_Qty],T_TTAFStock_Log[Part Name],$A6,T_TTAFStock_Log[WeekIndex],53))</f>
        <v/>
      </c>
      <c r="BC6" s="12">
        <f>IF(COUNTIFS(T_TTAFStock_Log[Part Name],$A6,T_TTAFStock_Log[WeekIndex],54)=0,"",SUMIFS(T_TTAFStock_Log[TTAF_Qty],T_TTAFStock_Log[Part Name],$A6,T_TTAFStock_Log[WeekIndex],54))</f>
        <v/>
      </c>
      <c r="BD6" s="12">
        <f>IF(COUNTIFS(T_TTAFStock_Log[Part Name],$A6,T_TTAFStock_Log[WeekIndex],55)=0,"",SUMIFS(T_TTAFStock_Log[TTAF_Qty],T_TTAFStock_Log[Part Name],$A6,T_TTAFStock_Log[WeekIndex],55))</f>
        <v/>
      </c>
      <c r="BE6" s="12">
        <f>IF(COUNTIFS(T_TTAFStock_Log[Part Name],$A6,T_TTAFStock_Log[WeekIndex],56)=0,"",SUMIFS(T_TTAFStock_Log[TTAF_Qty],T_TTAFStock_Log[Part Name],$A6,T_TTAFStock_Log[WeekIndex],56))</f>
        <v/>
      </c>
      <c r="BF6" s="12">
        <f>IF(COUNTIFS(T_TTAFStock_Log[Part Name],$A6,T_TTAFStock_Log[WeekIndex],57)=0,"",SUMIFS(T_TTAFStock_Log[TTAF_Qty],T_TTAFStock_Log[Part Name],$A6,T_TTAFStock_Log[WeekIndex],57))</f>
        <v/>
      </c>
      <c r="BG6" s="12">
        <f>IF(COUNTIFS(T_TTAFStock_Log[Part Name],$A6,T_TTAFStock_Log[WeekIndex],58)=0,"",SUMIFS(T_TTAFStock_Log[TTAF_Qty],T_TTAFStock_Log[Part Name],$A6,T_TTAFStock_Log[WeekIndex],58))</f>
        <v/>
      </c>
      <c r="BH6" s="12">
        <f>IF(COUNTIFS(T_TTAFStock_Log[Part Name],$A6,T_TTAFStock_Log[WeekIndex],59)=0,"",SUMIFS(T_TTAFStock_Log[TTAF_Qty],T_TTAFStock_Log[Part Name],$A6,T_TTAFStock_Log[WeekIndex],59))</f>
        <v/>
      </c>
      <c r="BI6" s="12">
        <f>IF(COUNTIFS(T_TTAFStock_Log[Part Name],$A6,T_TTAFStock_Log[WeekIndex],60)=0,"",SUMIFS(T_TTAFStock_Log[TTAF_Qty],T_TTAFStock_Log[Part Name],$A6,T_TTAFStock_Log[WeekIndex],60))</f>
        <v/>
      </c>
      <c r="BJ6" s="12">
        <f>IF(COUNTIFS(T_TTAFStock_Log[Part Name],$A6,T_TTAFStock_Log[WeekIndex],61)=0,"",SUMIFS(T_TTAFStock_Log[TTAF_Qty],T_TTAFStock_Log[Part Name],$A6,T_TTAFStock_Log[WeekIndex],61))</f>
        <v/>
      </c>
      <c r="BK6" s="12">
        <f>IF(COUNTIFS(T_TTAFStock_Log[Part Name],$A6,T_TTAFStock_Log[WeekIndex],62)=0,"",SUMIFS(T_TTAFStock_Log[TTAF_Qty],T_TTAFStock_Log[Part Name],$A6,T_TTAFStock_Log[WeekIndex],62))</f>
        <v/>
      </c>
      <c r="BL6" s="12">
        <f>IF(COUNTIFS(T_TTAFStock_Log[Part Name],$A6,T_TTAFStock_Log[WeekIndex],63)=0,"",SUMIFS(T_TTAFStock_Log[TTAF_Qty],T_TTAFStock_Log[Part Name],$A6,T_TTAFStock_Log[WeekIndex],63))</f>
        <v/>
      </c>
      <c r="BM6" s="12">
        <f>IF(COUNTIFS(T_TTAFStock_Log[Part Name],$A6,T_TTAFStock_Log[WeekIndex],64)=0,"",SUMIFS(T_TTAFStock_Log[TTAF_Qty],T_TTAFStock_Log[Part Name],$A6,T_TTAFStock_Log[WeekIndex],64))</f>
        <v/>
      </c>
      <c r="BN6" s="12">
        <f>IF(COUNTIFS(T_TTAFStock_Log[Part Name],$A6,T_TTAFStock_Log[WeekIndex],65)=0,"",SUMIFS(T_TTAFStock_Log[TTAF_Qty],T_TTAFStock_Log[Part Name],$A6,T_TTAFStock_Log[WeekIndex],65))</f>
        <v/>
      </c>
      <c r="BO6" s="12">
        <f>IF(COUNTIFS(T_TTAFStock_Log[Part Name],$A6,T_TTAFStock_Log[WeekIndex],66)=0,"",SUMIFS(T_TTAFStock_Log[TTAF_Qty],T_TTAFStock_Log[Part Name],$A6,T_TTAFStock_Log[WeekIndex],66))</f>
        <v/>
      </c>
      <c r="BP6" s="12">
        <f>IF(COUNTIFS(T_TTAFStock_Log[Part Name],$A6,T_TTAFStock_Log[WeekIndex],67)=0,"",SUMIFS(T_TTAFStock_Log[TTAF_Qty],T_TTAFStock_Log[Part Name],$A6,T_TTAFStock_Log[WeekIndex],67))</f>
        <v/>
      </c>
      <c r="BQ6" s="12">
        <f>IF(COUNTIFS(T_TTAFStock_Log[Part Name],$A6,T_TTAFStock_Log[WeekIndex],68)=0,"",SUMIFS(T_TTAFStock_Log[TTAF_Qty],T_TTAFStock_Log[Part Name],$A6,T_TTAFStock_Log[WeekIndex],68))</f>
        <v/>
      </c>
      <c r="BR6" s="12">
        <f>IF(COUNTIFS(T_TTAFStock_Log[Part Name],$A6,T_TTAFStock_Log[WeekIndex],69)=0,"",SUMIFS(T_TTAFStock_Log[TTAF_Qty],T_TTAFStock_Log[Part Name],$A6,T_TTAFStock_Log[WeekIndex],69))</f>
        <v/>
      </c>
      <c r="BS6" s="12">
        <f>IF(COUNTIFS(T_TTAFStock_Log[Part Name],$A6,T_TTAFStock_Log[WeekIndex],70)=0,"",SUMIFS(T_TTAFStock_Log[TTAF_Qty],T_TTAFStock_Log[Part Name],$A6,T_TTAFStock_Log[WeekIndex],70))</f>
        <v/>
      </c>
      <c r="BT6" s="12">
        <f>IF(COUNTIFS(T_TTAFStock_Log[Part Name],$A6,T_TTAFStock_Log[WeekIndex],71)=0,"",SUMIFS(T_TTAFStock_Log[TTAF_Qty],T_TTAFStock_Log[Part Name],$A6,T_TTAFStock_Log[WeekIndex],71))</f>
        <v/>
      </c>
      <c r="BU6" s="12">
        <f>IF(COUNTIFS(T_TTAFStock_Log[Part Name],$A6,T_TTAFStock_Log[WeekIndex],72)=0,"",SUMIFS(T_TTAFStock_Log[TTAF_Qty],T_TTAFStock_Log[Part Name],$A6,T_TTAFStock_Log[WeekIndex],72))</f>
        <v/>
      </c>
      <c r="BV6" s="12">
        <f>IF(COUNTIFS(T_TTAFStock_Log[Part Name],$A6,T_TTAFStock_Log[WeekIndex],73)=0,"",SUMIFS(T_TTAFStock_Log[TTAF_Qty],T_TTAFStock_Log[Part Name],$A6,T_TTAFStock_Log[WeekIndex],73))</f>
        <v/>
      </c>
      <c r="BW6" s="12">
        <f>IF(COUNTIFS(T_TTAFStock_Log[Part Name],$A6,T_TTAFStock_Log[WeekIndex],74)=0,"",SUMIFS(T_TTAFStock_Log[TTAF_Qty],T_TTAFStock_Log[Part Name],$A6,T_TTAFStock_Log[WeekIndex],74))</f>
        <v/>
      </c>
      <c r="BX6" s="12">
        <f>IF(COUNTIFS(T_TTAFStock_Log[Part Name],$A6,T_TTAFStock_Log[WeekIndex],75)=0,"",SUMIFS(T_TTAFStock_Log[TTAF_Qty],T_TTAFStock_Log[Part Name],$A6,T_TTAFStock_Log[WeekIndex],75))</f>
        <v/>
      </c>
      <c r="BY6" s="12">
        <f>IF(COUNTIFS(T_TTAFStock_Log[Part Name],$A6,T_TTAFStock_Log[WeekIndex],76)=0,"",SUMIFS(T_TTAFStock_Log[TTAF_Qty],T_TTAFStock_Log[Part Name],$A6,T_TTAFStock_Log[WeekIndex],76))</f>
        <v/>
      </c>
      <c r="BZ6" s="12">
        <f>IF(COUNTIFS(T_TTAFStock_Log[Part Name],$A6,T_TTAFStock_Log[WeekIndex],77)=0,"",SUMIFS(T_TTAFStock_Log[TTAF_Qty],T_TTAFStock_Log[Part Name],$A6,T_TTAFStock_Log[WeekIndex],77))</f>
        <v/>
      </c>
      <c r="CA6" s="12">
        <f>IF(COUNTIFS(T_TTAFStock_Log[Part Name],$A6,T_TTAFStock_Log[WeekIndex],78)=0,"",SUMIFS(T_TTAFStock_Log[TTAF_Qty],T_TTAFStock_Log[Part Name],$A6,T_TTAFStock_Log[WeekIndex],78))</f>
        <v/>
      </c>
      <c r="CB6" s="12">
        <f>IF(COUNTIFS(T_TTAFStock_Log[Part Name],$A6,T_TTAFStock_Log[WeekIndex],79)=0,"",SUMIFS(T_TTAFStock_Log[TTAF_Qty],T_TTAFStock_Log[Part Name],$A6,T_TTAFStock_Log[WeekIndex],79))</f>
        <v/>
      </c>
      <c r="CC6" s="12">
        <f>IF(COUNTIFS(T_TTAFStock_Log[Part Name],$A6,T_TTAFStock_Log[WeekIndex],80)=0,"",SUMIFS(T_TTAFStock_Log[TTAF_Qty],T_TTAFStock_Log[Part Name],$A6,T_TTAFStock_Log[WeekIndex],80))</f>
        <v/>
      </c>
      <c r="CD6" s="12">
        <f>IF(COUNTIFS(T_TTAFStock_Log[Part Name],$A6,T_TTAFStock_Log[WeekIndex],81)=0,"",SUMIFS(T_TTAFStock_Log[TTAF_Qty],T_TTAFStock_Log[Part Name],$A6,T_TTAFStock_Log[WeekIndex],81))</f>
        <v/>
      </c>
      <c r="CE6" s="12">
        <f>IF(COUNTIFS(T_TTAFStock_Log[Part Name],$A6,T_TTAFStock_Log[WeekIndex],82)=0,"",SUMIFS(T_TTAFStock_Log[TTAF_Qty],T_TTAFStock_Log[Part Name],$A6,T_TTAFStock_Log[WeekIndex],82))</f>
        <v/>
      </c>
      <c r="CF6" s="12">
        <f>IF(COUNTIFS(T_TTAFStock_Log[Part Name],$A6,T_TTAFStock_Log[WeekIndex],83)=0,"",SUMIFS(T_TTAFStock_Log[TTAF_Qty],T_TTAFStock_Log[Part Name],$A6,T_TTAFStock_Log[WeekIndex],83))</f>
        <v/>
      </c>
      <c r="CG6" s="12">
        <f>IF(COUNTIFS(T_TTAFStock_Log[Part Name],$A6,T_TTAFStock_Log[WeekIndex],84)=0,"",SUMIFS(T_TTAFStock_Log[TTAF_Qty],T_TTAFStock_Log[Part Name],$A6,T_TTAFStock_Log[WeekIndex],84))</f>
        <v/>
      </c>
      <c r="CH6" s="12">
        <f>IF(COUNTIFS(T_TTAFStock_Log[Part Name],$A6,T_TTAFStock_Log[WeekIndex],85)=0,"",SUMIFS(T_TTAFStock_Log[TTAF_Qty],T_TTAFStock_Log[Part Name],$A6,T_TTAFStock_Log[WeekIndex],85))</f>
        <v/>
      </c>
      <c r="CI6" s="12">
        <f>IF(COUNTIFS(T_TTAFStock_Log[Part Name],$A6,T_TTAFStock_Log[WeekIndex],86)=0,"",SUMIFS(T_TTAFStock_Log[TTAF_Qty],T_TTAFStock_Log[Part Name],$A6,T_TTAFStock_Log[WeekIndex],86))</f>
        <v/>
      </c>
      <c r="CJ6" s="12">
        <f>IF(COUNTIFS(T_TTAFStock_Log[Part Name],$A6,T_TTAFStock_Log[WeekIndex],87)=0,"",SUMIFS(T_TTAFStock_Log[TTAF_Qty],T_TTAFStock_Log[Part Name],$A6,T_TTAFStock_Log[WeekIndex],87))</f>
        <v/>
      </c>
      <c r="CK6" s="12">
        <f>IF(COUNTIFS(T_TTAFStock_Log[Part Name],$A6,T_TTAFStock_Log[WeekIndex],88)=0,"",SUMIFS(T_TTAFStock_Log[TTAF_Qty],T_TTAFStock_Log[Part Name],$A6,T_TTAFStock_Log[WeekIndex],88))</f>
        <v/>
      </c>
      <c r="CL6" s="12">
        <f>IF(COUNTIFS(T_TTAFStock_Log[Part Name],$A6,T_TTAFStock_Log[WeekIndex],89)=0,"",SUMIFS(T_TTAFStock_Log[TTAF_Qty],T_TTAFStock_Log[Part Name],$A6,T_TTAFStock_Log[WeekIndex],89))</f>
        <v/>
      </c>
      <c r="CM6" s="12">
        <f>IF(COUNTIFS(T_TTAFStock_Log[Part Name],$A6,T_TTAFStock_Log[WeekIndex],90)=0,"",SUMIFS(T_TTAFStock_Log[TTAF_Qty],T_TTAFStock_Log[Part Name],$A6,T_TTAFStock_Log[WeekIndex],90))</f>
        <v/>
      </c>
      <c r="CN6" s="12">
        <f>IF(COUNTIFS(T_TTAFStock_Log[Part Name],$A6,T_TTAFStock_Log[WeekIndex],91)=0,"",SUMIFS(T_TTAFStock_Log[TTAF_Qty],T_TTAFStock_Log[Part Name],$A6,T_TTAFStock_Log[WeekIndex],91))</f>
        <v/>
      </c>
      <c r="CO6" s="12">
        <f>IF(COUNTIFS(T_TTAFStock_Log[Part Name],$A6,T_TTAFStock_Log[WeekIndex],92)=0,"",SUMIFS(T_TTAFStock_Log[TTAF_Qty],T_TTAFStock_Log[Part Name],$A6,T_TTAFStock_Log[WeekIndex],92))</f>
        <v/>
      </c>
      <c r="CP6" s="12">
        <f>IF(COUNTIFS(T_TTAFStock_Log[Part Name],$A6,T_TTAFStock_Log[WeekIndex],93)=0,"",SUMIFS(T_TTAFStock_Log[TTAF_Qty],T_TTAFStock_Log[Part Name],$A6,T_TTAFStock_Log[WeekIndex],93))</f>
        <v/>
      </c>
      <c r="CQ6" s="12">
        <f>IF(COUNTIFS(T_TTAFStock_Log[Part Name],$A6,T_TTAFStock_Log[WeekIndex],94)=0,"",SUMIFS(T_TTAFStock_Log[TTAF_Qty],T_TTAFStock_Log[Part Name],$A6,T_TTAFStock_Log[WeekIndex],94))</f>
        <v/>
      </c>
      <c r="CR6" s="12">
        <f>IF(COUNTIFS(T_TTAFStock_Log[Part Name],$A6,T_TTAFStock_Log[WeekIndex],95)=0,"",SUMIFS(T_TTAFStock_Log[TTAF_Qty],T_TTAFStock_Log[Part Name],$A6,T_TTAFStock_Log[WeekIndex],95))</f>
        <v/>
      </c>
      <c r="CS6" s="12">
        <f>IF(COUNTIFS(T_TTAFStock_Log[Part Name],$A6,T_TTAFStock_Log[WeekIndex],96)=0,"",SUMIFS(T_TTAFStock_Log[TTAF_Qty],T_TTAFStock_Log[Part Name],$A6,T_TTAFStock_Log[WeekIndex],96))</f>
        <v/>
      </c>
      <c r="CT6" s="12">
        <f>IF(COUNTIFS(T_TTAFStock_Log[Part Name],$A6,T_TTAFStock_Log[WeekIndex],97)=0,"",SUMIFS(T_TTAFStock_Log[TTAF_Qty],T_TTAFStock_Log[Part Name],$A6,T_TTAFStock_Log[WeekIndex],97))</f>
        <v/>
      </c>
      <c r="CU6" s="12">
        <f>IF(COUNTIFS(T_TTAFStock_Log[Part Name],$A6,T_TTAFStock_Log[WeekIndex],98)=0,"",SUMIFS(T_TTAFStock_Log[TTAF_Qty],T_TTAFStock_Log[Part Name],$A6,T_TTAFStock_Log[WeekIndex],98))</f>
        <v/>
      </c>
      <c r="CV6" s="12">
        <f>IF(COUNTIFS(T_TTAFStock_Log[Part Name],$A6,T_TTAFStock_Log[WeekIndex],99)=0,"",SUMIFS(T_TTAFStock_Log[TTAF_Qty],T_TTAFStock_Log[Part Name],$A6,T_TTAFStock_Log[WeekIndex],99))</f>
        <v/>
      </c>
      <c r="CW6" s="12">
        <f>IF(COUNTIFS(T_TTAFStock_Log[Part Name],$A6,T_TTAFStock_Log[WeekIndex],100)=0,"",SUMIFS(T_TTAFStock_Log[TTAF_Qty],T_TTAFStock_Log[Part Name],$A6,T_TTAFStock_Log[WeekIndex],100))</f>
        <v/>
      </c>
      <c r="CX6" s="12">
        <f>IF(COUNTIFS(T_TTAFStock_Log[Part Name],$A6,T_TTAFStock_Log[WeekIndex],101)=0,"",SUMIFS(T_TTAFStock_Log[TTAF_Qty],T_TTAFStock_Log[Part Name],$A6,T_TTAFStock_Log[WeekIndex],101))</f>
        <v/>
      </c>
      <c r="CY6" s="12">
        <f>IF(COUNTIFS(T_TTAFStock_Log[Part Name],$A6,T_TTAFStock_Log[WeekIndex],102)=0,"",SUMIFS(T_TTAFStock_Log[TTAF_Qty],T_TTAFStock_Log[Part Name],$A6,T_TTAFStock_Log[WeekIndex],102))</f>
        <v/>
      </c>
      <c r="CZ6" s="12">
        <f>IF(COUNTIFS(T_TTAFStock_Log[Part Name],$A6,T_TTAFStock_Log[WeekIndex],103)=0,"",SUMIFS(T_TTAFStock_Log[TTAF_Qty],T_TTAFStock_Log[Part Name],$A6,T_TTAFStock_Log[WeekIndex],103))</f>
        <v/>
      </c>
      <c r="DA6" s="12">
        <f>IF(COUNTIFS(T_TTAFStock_Log[Part Name],$A6,T_TTAFStock_Log[WeekIndex],104)=0,"",SUMIFS(T_TTAFStock_Log[TTAF_Qty],T_TTAFStock_Log[Part Name],$A6,T_TTAFStock_Log[WeekIndex],104))</f>
        <v/>
      </c>
    </row>
    <row r="7">
      <c r="A7" s="13" t="inlineStr">
        <is>
          <t>CHEM-1670</t>
        </is>
      </c>
      <c r="B7" s="13">
        <f>IF(COUNTIFS(T_TTAFStock_Log[Part Name],$A7,T_TTAFStock_Log[WeekIndex],1)=0,"",SUMIFS(T_TTAFStock_Log[TTAF_Qty],T_TTAFStock_Log[Part Name],$A7,T_TTAFStock_Log[WeekIndex],1))</f>
        <v/>
      </c>
      <c r="C7" s="13">
        <f>IF(COUNTIFS(T_TTAFStock_Log[Part Name],$A7,T_TTAFStock_Log[WeekIndex],2)=0,"",SUMIFS(T_TTAFStock_Log[TTAF_Qty],T_TTAFStock_Log[Part Name],$A7,T_TTAFStock_Log[WeekIndex],2))</f>
        <v/>
      </c>
      <c r="D7" s="13">
        <f>IF(COUNTIFS(T_TTAFStock_Log[Part Name],$A7,T_TTAFStock_Log[WeekIndex],3)=0,"",SUMIFS(T_TTAFStock_Log[TTAF_Qty],T_TTAFStock_Log[Part Name],$A7,T_TTAFStock_Log[WeekIndex],3))</f>
        <v/>
      </c>
      <c r="E7" s="13">
        <f>IF(COUNTIFS(T_TTAFStock_Log[Part Name],$A7,T_TTAFStock_Log[WeekIndex],4)=0,"",SUMIFS(T_TTAFStock_Log[TTAF_Qty],T_TTAFStock_Log[Part Name],$A7,T_TTAFStock_Log[WeekIndex],4))</f>
        <v/>
      </c>
      <c r="F7" s="13">
        <f>IF(COUNTIFS(T_TTAFStock_Log[Part Name],$A7,T_TTAFStock_Log[WeekIndex],5)=0,"",SUMIFS(T_TTAFStock_Log[TTAF_Qty],T_TTAFStock_Log[Part Name],$A7,T_TTAFStock_Log[WeekIndex],5))</f>
        <v/>
      </c>
      <c r="G7" s="13">
        <f>IF(COUNTIFS(T_TTAFStock_Log[Part Name],$A7,T_TTAFStock_Log[WeekIndex],6)=0,"",SUMIFS(T_TTAFStock_Log[TTAF_Qty],T_TTAFStock_Log[Part Name],$A7,T_TTAFStock_Log[WeekIndex],6))</f>
        <v/>
      </c>
      <c r="H7" s="13">
        <f>IF(COUNTIFS(T_TTAFStock_Log[Part Name],$A7,T_TTAFStock_Log[WeekIndex],7)=0,"",SUMIFS(T_TTAFStock_Log[TTAF_Qty],T_TTAFStock_Log[Part Name],$A7,T_TTAFStock_Log[WeekIndex],7))</f>
        <v/>
      </c>
      <c r="I7" s="13">
        <f>IF(COUNTIFS(T_TTAFStock_Log[Part Name],$A7,T_TTAFStock_Log[WeekIndex],8)=0,"",SUMIFS(T_TTAFStock_Log[TTAF_Qty],T_TTAFStock_Log[Part Name],$A7,T_TTAFStock_Log[WeekIndex],8))</f>
        <v/>
      </c>
      <c r="J7" s="13">
        <f>IF(COUNTIFS(T_TTAFStock_Log[Part Name],$A7,T_TTAFStock_Log[WeekIndex],9)=0,"",SUMIFS(T_TTAFStock_Log[TTAF_Qty],T_TTAFStock_Log[Part Name],$A7,T_TTAFStock_Log[WeekIndex],9))</f>
        <v/>
      </c>
      <c r="K7" s="13">
        <f>IF(COUNTIFS(T_TTAFStock_Log[Part Name],$A7,T_TTAFStock_Log[WeekIndex],10)=0,"",SUMIFS(T_TTAFStock_Log[TTAF_Qty],T_TTAFStock_Log[Part Name],$A7,T_TTAFStock_Log[WeekIndex],10))</f>
        <v/>
      </c>
      <c r="L7" s="13">
        <f>IF(COUNTIFS(T_TTAFStock_Log[Part Name],$A7,T_TTAFStock_Log[WeekIndex],11)=0,"",SUMIFS(T_TTAFStock_Log[TTAF_Qty],T_TTAFStock_Log[Part Name],$A7,T_TTAFStock_Log[WeekIndex],11))</f>
        <v/>
      </c>
      <c r="M7" s="13">
        <f>IF(COUNTIFS(T_TTAFStock_Log[Part Name],$A7,T_TTAFStock_Log[WeekIndex],12)=0,"",SUMIFS(T_TTAFStock_Log[TTAF_Qty],T_TTAFStock_Log[Part Name],$A7,T_TTAFStock_Log[WeekIndex],12))</f>
        <v/>
      </c>
      <c r="N7" s="13">
        <f>IF(COUNTIFS(T_TTAFStock_Log[Part Name],$A7,T_TTAFStock_Log[WeekIndex],13)=0,"",SUMIFS(T_TTAFStock_Log[TTAF_Qty],T_TTAFStock_Log[Part Name],$A7,T_TTAFStock_Log[WeekIndex],13))</f>
        <v/>
      </c>
      <c r="O7" s="13">
        <f>IF(COUNTIFS(T_TTAFStock_Log[Part Name],$A7,T_TTAFStock_Log[WeekIndex],14)=0,"",SUMIFS(T_TTAFStock_Log[TTAF_Qty],T_TTAFStock_Log[Part Name],$A7,T_TTAFStock_Log[WeekIndex],14))</f>
        <v/>
      </c>
      <c r="P7" s="13">
        <f>IF(COUNTIFS(T_TTAFStock_Log[Part Name],$A7,T_TTAFStock_Log[WeekIndex],15)=0,"",SUMIFS(T_TTAFStock_Log[TTAF_Qty],T_TTAFStock_Log[Part Name],$A7,T_TTAFStock_Log[WeekIndex],15))</f>
        <v/>
      </c>
      <c r="Q7" s="13">
        <f>IF(COUNTIFS(T_TTAFStock_Log[Part Name],$A7,T_TTAFStock_Log[WeekIndex],16)=0,"",SUMIFS(T_TTAFStock_Log[TTAF_Qty],T_TTAFStock_Log[Part Name],$A7,T_TTAFStock_Log[WeekIndex],16))</f>
        <v/>
      </c>
      <c r="R7" s="13">
        <f>IF(COUNTIFS(T_TTAFStock_Log[Part Name],$A7,T_TTAFStock_Log[WeekIndex],17)=0,"",SUMIFS(T_TTAFStock_Log[TTAF_Qty],T_TTAFStock_Log[Part Name],$A7,T_TTAFStock_Log[WeekIndex],17))</f>
        <v/>
      </c>
      <c r="S7" s="13">
        <f>IF(COUNTIFS(T_TTAFStock_Log[Part Name],$A7,T_TTAFStock_Log[WeekIndex],18)=0,"",SUMIFS(T_TTAFStock_Log[TTAF_Qty],T_TTAFStock_Log[Part Name],$A7,T_TTAFStock_Log[WeekIndex],18))</f>
        <v/>
      </c>
      <c r="T7" s="13">
        <f>IF(COUNTIFS(T_TTAFStock_Log[Part Name],$A7,T_TTAFStock_Log[WeekIndex],19)=0,"",SUMIFS(T_TTAFStock_Log[TTAF_Qty],T_TTAFStock_Log[Part Name],$A7,T_TTAFStock_Log[WeekIndex],19))</f>
        <v/>
      </c>
      <c r="U7" s="13">
        <f>IF(COUNTIFS(T_TTAFStock_Log[Part Name],$A7,T_TTAFStock_Log[WeekIndex],20)=0,"",SUMIFS(T_TTAFStock_Log[TTAF_Qty],T_TTAFStock_Log[Part Name],$A7,T_TTAFStock_Log[WeekIndex],20))</f>
        <v/>
      </c>
      <c r="V7" s="13">
        <f>IF(COUNTIFS(T_TTAFStock_Log[Part Name],$A7,T_TTAFStock_Log[WeekIndex],21)=0,"",SUMIFS(T_TTAFStock_Log[TTAF_Qty],T_TTAFStock_Log[Part Name],$A7,T_TTAFStock_Log[WeekIndex],21))</f>
        <v/>
      </c>
      <c r="W7" s="13">
        <f>IF(COUNTIFS(T_TTAFStock_Log[Part Name],$A7,T_TTAFStock_Log[WeekIndex],22)=0,"",SUMIFS(T_TTAFStock_Log[TTAF_Qty],T_TTAFStock_Log[Part Name],$A7,T_TTAFStock_Log[WeekIndex],22))</f>
        <v/>
      </c>
      <c r="X7" s="13">
        <f>IF(COUNTIFS(T_TTAFStock_Log[Part Name],$A7,T_TTAFStock_Log[WeekIndex],23)=0,"",SUMIFS(T_TTAFStock_Log[TTAF_Qty],T_TTAFStock_Log[Part Name],$A7,T_TTAFStock_Log[WeekIndex],23))</f>
        <v/>
      </c>
      <c r="Y7" s="13">
        <f>IF(COUNTIFS(T_TTAFStock_Log[Part Name],$A7,T_TTAFStock_Log[WeekIndex],24)=0,"",SUMIFS(T_TTAFStock_Log[TTAF_Qty],T_TTAFStock_Log[Part Name],$A7,T_TTAFStock_Log[WeekIndex],24))</f>
        <v/>
      </c>
      <c r="Z7" s="13">
        <f>IF(COUNTIFS(T_TTAFStock_Log[Part Name],$A7,T_TTAFStock_Log[WeekIndex],25)=0,"",SUMIFS(T_TTAFStock_Log[TTAF_Qty],T_TTAFStock_Log[Part Name],$A7,T_TTAFStock_Log[WeekIndex],25))</f>
        <v/>
      </c>
      <c r="AA7" s="13">
        <f>IF(COUNTIFS(T_TTAFStock_Log[Part Name],$A7,T_TTAFStock_Log[WeekIndex],26)=0,"",SUMIFS(T_TTAFStock_Log[TTAF_Qty],T_TTAFStock_Log[Part Name],$A7,T_TTAFStock_Log[WeekIndex],26))</f>
        <v/>
      </c>
      <c r="AB7" s="13">
        <f>IF(COUNTIFS(T_TTAFStock_Log[Part Name],$A7,T_TTAFStock_Log[WeekIndex],27)=0,"",SUMIFS(T_TTAFStock_Log[TTAF_Qty],T_TTAFStock_Log[Part Name],$A7,T_TTAFStock_Log[WeekIndex],27))</f>
        <v/>
      </c>
      <c r="AC7" s="13">
        <f>IF(COUNTIFS(T_TTAFStock_Log[Part Name],$A7,T_TTAFStock_Log[WeekIndex],28)=0,"",SUMIFS(T_TTAFStock_Log[TTAF_Qty],T_TTAFStock_Log[Part Name],$A7,T_TTAFStock_Log[WeekIndex],28))</f>
        <v/>
      </c>
      <c r="AD7" s="13">
        <f>IF(COUNTIFS(T_TTAFStock_Log[Part Name],$A7,T_TTAFStock_Log[WeekIndex],29)=0,"",SUMIFS(T_TTAFStock_Log[TTAF_Qty],T_TTAFStock_Log[Part Name],$A7,T_TTAFStock_Log[WeekIndex],29))</f>
        <v/>
      </c>
      <c r="AE7" s="13">
        <f>IF(COUNTIFS(T_TTAFStock_Log[Part Name],$A7,T_TTAFStock_Log[WeekIndex],30)=0,"",SUMIFS(T_TTAFStock_Log[TTAF_Qty],T_TTAFStock_Log[Part Name],$A7,T_TTAFStock_Log[WeekIndex],30))</f>
        <v/>
      </c>
      <c r="AF7" s="13">
        <f>IF(COUNTIFS(T_TTAFStock_Log[Part Name],$A7,T_TTAFStock_Log[WeekIndex],31)=0,"",SUMIFS(T_TTAFStock_Log[TTAF_Qty],T_TTAFStock_Log[Part Name],$A7,T_TTAFStock_Log[WeekIndex],31))</f>
        <v/>
      </c>
      <c r="AG7" s="13">
        <f>IF(COUNTIFS(T_TTAFStock_Log[Part Name],$A7,T_TTAFStock_Log[WeekIndex],32)=0,"",SUMIFS(T_TTAFStock_Log[TTAF_Qty],T_TTAFStock_Log[Part Name],$A7,T_TTAFStock_Log[WeekIndex],32))</f>
        <v/>
      </c>
      <c r="AH7" s="13">
        <f>IF(COUNTIFS(T_TTAFStock_Log[Part Name],$A7,T_TTAFStock_Log[WeekIndex],33)=0,"",SUMIFS(T_TTAFStock_Log[TTAF_Qty],T_TTAFStock_Log[Part Name],$A7,T_TTAFStock_Log[WeekIndex],33))</f>
        <v/>
      </c>
      <c r="AI7" s="13">
        <f>IF(COUNTIFS(T_TTAFStock_Log[Part Name],$A7,T_TTAFStock_Log[WeekIndex],34)=0,"",SUMIFS(T_TTAFStock_Log[TTAF_Qty],T_TTAFStock_Log[Part Name],$A7,T_TTAFStock_Log[WeekIndex],34))</f>
        <v/>
      </c>
      <c r="AJ7" s="13">
        <f>IF(COUNTIFS(T_TTAFStock_Log[Part Name],$A7,T_TTAFStock_Log[WeekIndex],35)=0,"",SUMIFS(T_TTAFStock_Log[TTAF_Qty],T_TTAFStock_Log[Part Name],$A7,T_TTAFStock_Log[WeekIndex],35))</f>
        <v/>
      </c>
      <c r="AK7" s="13">
        <f>IF(COUNTIFS(T_TTAFStock_Log[Part Name],$A7,T_TTAFStock_Log[WeekIndex],36)=0,"",SUMIFS(T_TTAFStock_Log[TTAF_Qty],T_TTAFStock_Log[Part Name],$A7,T_TTAFStock_Log[WeekIndex],36))</f>
        <v/>
      </c>
      <c r="AL7" s="13">
        <f>IF(COUNTIFS(T_TTAFStock_Log[Part Name],$A7,T_TTAFStock_Log[WeekIndex],37)=0,"",SUMIFS(T_TTAFStock_Log[TTAF_Qty],T_TTAFStock_Log[Part Name],$A7,T_TTAFStock_Log[WeekIndex],37))</f>
        <v/>
      </c>
      <c r="AM7" s="13">
        <f>IF(COUNTIFS(T_TTAFStock_Log[Part Name],$A7,T_TTAFStock_Log[WeekIndex],38)=0,"",SUMIFS(T_TTAFStock_Log[TTAF_Qty],T_TTAFStock_Log[Part Name],$A7,T_TTAFStock_Log[WeekIndex],38))</f>
        <v/>
      </c>
      <c r="AN7" s="13">
        <f>IF(COUNTIFS(T_TTAFStock_Log[Part Name],$A7,T_TTAFStock_Log[WeekIndex],39)=0,"",SUMIFS(T_TTAFStock_Log[TTAF_Qty],T_TTAFStock_Log[Part Name],$A7,T_TTAFStock_Log[WeekIndex],39))</f>
        <v/>
      </c>
      <c r="AO7" s="13">
        <f>IF(COUNTIFS(T_TTAFStock_Log[Part Name],$A7,T_TTAFStock_Log[WeekIndex],40)=0,"",SUMIFS(T_TTAFStock_Log[TTAF_Qty],T_TTAFStock_Log[Part Name],$A7,T_TTAFStock_Log[WeekIndex],40))</f>
        <v/>
      </c>
      <c r="AP7" s="13">
        <f>IF(COUNTIFS(T_TTAFStock_Log[Part Name],$A7,T_TTAFStock_Log[WeekIndex],41)=0,"",SUMIFS(T_TTAFStock_Log[TTAF_Qty],T_TTAFStock_Log[Part Name],$A7,T_TTAFStock_Log[WeekIndex],41))</f>
        <v/>
      </c>
      <c r="AQ7" s="13">
        <f>IF(COUNTIFS(T_TTAFStock_Log[Part Name],$A7,T_TTAFStock_Log[WeekIndex],42)=0,"",SUMIFS(T_TTAFStock_Log[TTAF_Qty],T_TTAFStock_Log[Part Name],$A7,T_TTAFStock_Log[WeekIndex],42))</f>
        <v/>
      </c>
      <c r="AR7" s="13">
        <f>IF(COUNTIFS(T_TTAFStock_Log[Part Name],$A7,T_TTAFStock_Log[WeekIndex],43)=0,"",SUMIFS(T_TTAFStock_Log[TTAF_Qty],T_TTAFStock_Log[Part Name],$A7,T_TTAFStock_Log[WeekIndex],43))</f>
        <v/>
      </c>
      <c r="AS7" s="13">
        <f>IF(COUNTIFS(T_TTAFStock_Log[Part Name],$A7,T_TTAFStock_Log[WeekIndex],44)=0,"",SUMIFS(T_TTAFStock_Log[TTAF_Qty],T_TTAFStock_Log[Part Name],$A7,T_TTAFStock_Log[WeekIndex],44))</f>
        <v/>
      </c>
      <c r="AT7" s="13">
        <f>IF(COUNTIFS(T_TTAFStock_Log[Part Name],$A7,T_TTAFStock_Log[WeekIndex],45)=0,"",SUMIFS(T_TTAFStock_Log[TTAF_Qty],T_TTAFStock_Log[Part Name],$A7,T_TTAFStock_Log[WeekIndex],45))</f>
        <v/>
      </c>
      <c r="AU7" s="13">
        <f>IF(COUNTIFS(T_TTAFStock_Log[Part Name],$A7,T_TTAFStock_Log[WeekIndex],46)=0,"",SUMIFS(T_TTAFStock_Log[TTAF_Qty],T_TTAFStock_Log[Part Name],$A7,T_TTAFStock_Log[WeekIndex],46))</f>
        <v/>
      </c>
      <c r="AV7" s="13">
        <f>IF(COUNTIFS(T_TTAFStock_Log[Part Name],$A7,T_TTAFStock_Log[WeekIndex],47)=0,"",SUMIFS(T_TTAFStock_Log[TTAF_Qty],T_TTAFStock_Log[Part Name],$A7,T_TTAFStock_Log[WeekIndex],47))</f>
        <v/>
      </c>
      <c r="AW7" s="13">
        <f>IF(COUNTIFS(T_TTAFStock_Log[Part Name],$A7,T_TTAFStock_Log[WeekIndex],48)=0,"",SUMIFS(T_TTAFStock_Log[TTAF_Qty],T_TTAFStock_Log[Part Name],$A7,T_TTAFStock_Log[WeekIndex],48))</f>
        <v/>
      </c>
      <c r="AX7" s="13">
        <f>IF(COUNTIFS(T_TTAFStock_Log[Part Name],$A7,T_TTAFStock_Log[WeekIndex],49)=0,"",SUMIFS(T_TTAFStock_Log[TTAF_Qty],T_TTAFStock_Log[Part Name],$A7,T_TTAFStock_Log[WeekIndex],49))</f>
        <v/>
      </c>
      <c r="AY7" s="13">
        <f>IF(COUNTIFS(T_TTAFStock_Log[Part Name],$A7,T_TTAFStock_Log[WeekIndex],50)=0,"",SUMIFS(T_TTAFStock_Log[TTAF_Qty],T_TTAFStock_Log[Part Name],$A7,T_TTAFStock_Log[WeekIndex],50))</f>
        <v/>
      </c>
      <c r="AZ7" s="13">
        <f>IF(COUNTIFS(T_TTAFStock_Log[Part Name],$A7,T_TTAFStock_Log[WeekIndex],51)=0,"",SUMIFS(T_TTAFStock_Log[TTAF_Qty],T_TTAFStock_Log[Part Name],$A7,T_TTAFStock_Log[WeekIndex],51))</f>
        <v/>
      </c>
      <c r="BA7" s="13">
        <f>IF(COUNTIFS(T_TTAFStock_Log[Part Name],$A7,T_TTAFStock_Log[WeekIndex],52)=0,"",SUMIFS(T_TTAFStock_Log[TTAF_Qty],T_TTAFStock_Log[Part Name],$A7,T_TTAFStock_Log[WeekIndex],52))</f>
        <v/>
      </c>
      <c r="BB7" s="13">
        <f>IF(COUNTIFS(T_TTAFStock_Log[Part Name],$A7,T_TTAFStock_Log[WeekIndex],53)=0,"",SUMIFS(T_TTAFStock_Log[TTAF_Qty],T_TTAFStock_Log[Part Name],$A7,T_TTAFStock_Log[WeekIndex],53))</f>
        <v/>
      </c>
      <c r="BC7" s="13">
        <f>IF(COUNTIFS(T_TTAFStock_Log[Part Name],$A7,T_TTAFStock_Log[WeekIndex],54)=0,"",SUMIFS(T_TTAFStock_Log[TTAF_Qty],T_TTAFStock_Log[Part Name],$A7,T_TTAFStock_Log[WeekIndex],54))</f>
        <v/>
      </c>
      <c r="BD7" s="13">
        <f>IF(COUNTIFS(T_TTAFStock_Log[Part Name],$A7,T_TTAFStock_Log[WeekIndex],55)=0,"",SUMIFS(T_TTAFStock_Log[TTAF_Qty],T_TTAFStock_Log[Part Name],$A7,T_TTAFStock_Log[WeekIndex],55))</f>
        <v/>
      </c>
      <c r="BE7" s="13">
        <f>IF(COUNTIFS(T_TTAFStock_Log[Part Name],$A7,T_TTAFStock_Log[WeekIndex],56)=0,"",SUMIFS(T_TTAFStock_Log[TTAF_Qty],T_TTAFStock_Log[Part Name],$A7,T_TTAFStock_Log[WeekIndex],56))</f>
        <v/>
      </c>
      <c r="BF7" s="13">
        <f>IF(COUNTIFS(T_TTAFStock_Log[Part Name],$A7,T_TTAFStock_Log[WeekIndex],57)=0,"",SUMIFS(T_TTAFStock_Log[TTAF_Qty],T_TTAFStock_Log[Part Name],$A7,T_TTAFStock_Log[WeekIndex],57))</f>
        <v/>
      </c>
      <c r="BG7" s="13">
        <f>IF(COUNTIFS(T_TTAFStock_Log[Part Name],$A7,T_TTAFStock_Log[WeekIndex],58)=0,"",SUMIFS(T_TTAFStock_Log[TTAF_Qty],T_TTAFStock_Log[Part Name],$A7,T_TTAFStock_Log[WeekIndex],58))</f>
        <v/>
      </c>
      <c r="BH7" s="13">
        <f>IF(COUNTIFS(T_TTAFStock_Log[Part Name],$A7,T_TTAFStock_Log[WeekIndex],59)=0,"",SUMIFS(T_TTAFStock_Log[TTAF_Qty],T_TTAFStock_Log[Part Name],$A7,T_TTAFStock_Log[WeekIndex],59))</f>
        <v/>
      </c>
      <c r="BI7" s="13">
        <f>IF(COUNTIFS(T_TTAFStock_Log[Part Name],$A7,T_TTAFStock_Log[WeekIndex],60)=0,"",SUMIFS(T_TTAFStock_Log[TTAF_Qty],T_TTAFStock_Log[Part Name],$A7,T_TTAFStock_Log[WeekIndex],60))</f>
        <v/>
      </c>
      <c r="BJ7" s="13">
        <f>IF(COUNTIFS(T_TTAFStock_Log[Part Name],$A7,T_TTAFStock_Log[WeekIndex],61)=0,"",SUMIFS(T_TTAFStock_Log[TTAF_Qty],T_TTAFStock_Log[Part Name],$A7,T_TTAFStock_Log[WeekIndex],61))</f>
        <v/>
      </c>
      <c r="BK7" s="13">
        <f>IF(COUNTIFS(T_TTAFStock_Log[Part Name],$A7,T_TTAFStock_Log[WeekIndex],62)=0,"",SUMIFS(T_TTAFStock_Log[TTAF_Qty],T_TTAFStock_Log[Part Name],$A7,T_TTAFStock_Log[WeekIndex],62))</f>
        <v/>
      </c>
      <c r="BL7" s="13">
        <f>IF(COUNTIFS(T_TTAFStock_Log[Part Name],$A7,T_TTAFStock_Log[WeekIndex],63)=0,"",SUMIFS(T_TTAFStock_Log[TTAF_Qty],T_TTAFStock_Log[Part Name],$A7,T_TTAFStock_Log[WeekIndex],63))</f>
        <v/>
      </c>
      <c r="BM7" s="13">
        <f>IF(COUNTIFS(T_TTAFStock_Log[Part Name],$A7,T_TTAFStock_Log[WeekIndex],64)=0,"",SUMIFS(T_TTAFStock_Log[TTAF_Qty],T_TTAFStock_Log[Part Name],$A7,T_TTAFStock_Log[WeekIndex],64))</f>
        <v/>
      </c>
      <c r="BN7" s="13">
        <f>IF(COUNTIFS(T_TTAFStock_Log[Part Name],$A7,T_TTAFStock_Log[WeekIndex],65)=0,"",SUMIFS(T_TTAFStock_Log[TTAF_Qty],T_TTAFStock_Log[Part Name],$A7,T_TTAFStock_Log[WeekIndex],65))</f>
        <v/>
      </c>
      <c r="BO7" s="13">
        <f>IF(COUNTIFS(T_TTAFStock_Log[Part Name],$A7,T_TTAFStock_Log[WeekIndex],66)=0,"",SUMIFS(T_TTAFStock_Log[TTAF_Qty],T_TTAFStock_Log[Part Name],$A7,T_TTAFStock_Log[WeekIndex],66))</f>
        <v/>
      </c>
      <c r="BP7" s="13">
        <f>IF(COUNTIFS(T_TTAFStock_Log[Part Name],$A7,T_TTAFStock_Log[WeekIndex],67)=0,"",SUMIFS(T_TTAFStock_Log[TTAF_Qty],T_TTAFStock_Log[Part Name],$A7,T_TTAFStock_Log[WeekIndex],67))</f>
        <v/>
      </c>
      <c r="BQ7" s="13">
        <f>IF(COUNTIFS(T_TTAFStock_Log[Part Name],$A7,T_TTAFStock_Log[WeekIndex],68)=0,"",SUMIFS(T_TTAFStock_Log[TTAF_Qty],T_TTAFStock_Log[Part Name],$A7,T_TTAFStock_Log[WeekIndex],68))</f>
        <v/>
      </c>
      <c r="BR7" s="13">
        <f>IF(COUNTIFS(T_TTAFStock_Log[Part Name],$A7,T_TTAFStock_Log[WeekIndex],69)=0,"",SUMIFS(T_TTAFStock_Log[TTAF_Qty],T_TTAFStock_Log[Part Name],$A7,T_TTAFStock_Log[WeekIndex],69))</f>
        <v/>
      </c>
      <c r="BS7" s="13">
        <f>IF(COUNTIFS(T_TTAFStock_Log[Part Name],$A7,T_TTAFStock_Log[WeekIndex],70)=0,"",SUMIFS(T_TTAFStock_Log[TTAF_Qty],T_TTAFStock_Log[Part Name],$A7,T_TTAFStock_Log[WeekIndex],70))</f>
        <v/>
      </c>
      <c r="BT7" s="13">
        <f>IF(COUNTIFS(T_TTAFStock_Log[Part Name],$A7,T_TTAFStock_Log[WeekIndex],71)=0,"",SUMIFS(T_TTAFStock_Log[TTAF_Qty],T_TTAFStock_Log[Part Name],$A7,T_TTAFStock_Log[WeekIndex],71))</f>
        <v/>
      </c>
      <c r="BU7" s="13">
        <f>IF(COUNTIFS(T_TTAFStock_Log[Part Name],$A7,T_TTAFStock_Log[WeekIndex],72)=0,"",SUMIFS(T_TTAFStock_Log[TTAF_Qty],T_TTAFStock_Log[Part Name],$A7,T_TTAFStock_Log[WeekIndex],72))</f>
        <v/>
      </c>
      <c r="BV7" s="13">
        <f>IF(COUNTIFS(T_TTAFStock_Log[Part Name],$A7,T_TTAFStock_Log[WeekIndex],73)=0,"",SUMIFS(T_TTAFStock_Log[TTAF_Qty],T_TTAFStock_Log[Part Name],$A7,T_TTAFStock_Log[WeekIndex],73))</f>
        <v/>
      </c>
      <c r="BW7" s="13">
        <f>IF(COUNTIFS(T_TTAFStock_Log[Part Name],$A7,T_TTAFStock_Log[WeekIndex],74)=0,"",SUMIFS(T_TTAFStock_Log[TTAF_Qty],T_TTAFStock_Log[Part Name],$A7,T_TTAFStock_Log[WeekIndex],74))</f>
        <v/>
      </c>
      <c r="BX7" s="13">
        <f>IF(COUNTIFS(T_TTAFStock_Log[Part Name],$A7,T_TTAFStock_Log[WeekIndex],75)=0,"",SUMIFS(T_TTAFStock_Log[TTAF_Qty],T_TTAFStock_Log[Part Name],$A7,T_TTAFStock_Log[WeekIndex],75))</f>
        <v/>
      </c>
      <c r="BY7" s="13">
        <f>IF(COUNTIFS(T_TTAFStock_Log[Part Name],$A7,T_TTAFStock_Log[WeekIndex],76)=0,"",SUMIFS(T_TTAFStock_Log[TTAF_Qty],T_TTAFStock_Log[Part Name],$A7,T_TTAFStock_Log[WeekIndex],76))</f>
        <v/>
      </c>
      <c r="BZ7" s="13">
        <f>IF(COUNTIFS(T_TTAFStock_Log[Part Name],$A7,T_TTAFStock_Log[WeekIndex],77)=0,"",SUMIFS(T_TTAFStock_Log[TTAF_Qty],T_TTAFStock_Log[Part Name],$A7,T_TTAFStock_Log[WeekIndex],77))</f>
        <v/>
      </c>
      <c r="CA7" s="13">
        <f>IF(COUNTIFS(T_TTAFStock_Log[Part Name],$A7,T_TTAFStock_Log[WeekIndex],78)=0,"",SUMIFS(T_TTAFStock_Log[TTAF_Qty],T_TTAFStock_Log[Part Name],$A7,T_TTAFStock_Log[WeekIndex],78))</f>
        <v/>
      </c>
      <c r="CB7" s="13">
        <f>IF(COUNTIFS(T_TTAFStock_Log[Part Name],$A7,T_TTAFStock_Log[WeekIndex],79)=0,"",SUMIFS(T_TTAFStock_Log[TTAF_Qty],T_TTAFStock_Log[Part Name],$A7,T_TTAFStock_Log[WeekIndex],79))</f>
        <v/>
      </c>
      <c r="CC7" s="13">
        <f>IF(COUNTIFS(T_TTAFStock_Log[Part Name],$A7,T_TTAFStock_Log[WeekIndex],80)=0,"",SUMIFS(T_TTAFStock_Log[TTAF_Qty],T_TTAFStock_Log[Part Name],$A7,T_TTAFStock_Log[WeekIndex],80))</f>
        <v/>
      </c>
      <c r="CD7" s="13">
        <f>IF(COUNTIFS(T_TTAFStock_Log[Part Name],$A7,T_TTAFStock_Log[WeekIndex],81)=0,"",SUMIFS(T_TTAFStock_Log[TTAF_Qty],T_TTAFStock_Log[Part Name],$A7,T_TTAFStock_Log[WeekIndex],81))</f>
        <v/>
      </c>
      <c r="CE7" s="13">
        <f>IF(COUNTIFS(T_TTAFStock_Log[Part Name],$A7,T_TTAFStock_Log[WeekIndex],82)=0,"",SUMIFS(T_TTAFStock_Log[TTAF_Qty],T_TTAFStock_Log[Part Name],$A7,T_TTAFStock_Log[WeekIndex],82))</f>
        <v/>
      </c>
      <c r="CF7" s="13">
        <f>IF(COUNTIFS(T_TTAFStock_Log[Part Name],$A7,T_TTAFStock_Log[WeekIndex],83)=0,"",SUMIFS(T_TTAFStock_Log[TTAF_Qty],T_TTAFStock_Log[Part Name],$A7,T_TTAFStock_Log[WeekIndex],83))</f>
        <v/>
      </c>
      <c r="CG7" s="13">
        <f>IF(COUNTIFS(T_TTAFStock_Log[Part Name],$A7,T_TTAFStock_Log[WeekIndex],84)=0,"",SUMIFS(T_TTAFStock_Log[TTAF_Qty],T_TTAFStock_Log[Part Name],$A7,T_TTAFStock_Log[WeekIndex],84))</f>
        <v/>
      </c>
      <c r="CH7" s="13">
        <f>IF(COUNTIFS(T_TTAFStock_Log[Part Name],$A7,T_TTAFStock_Log[WeekIndex],85)=0,"",SUMIFS(T_TTAFStock_Log[TTAF_Qty],T_TTAFStock_Log[Part Name],$A7,T_TTAFStock_Log[WeekIndex],85))</f>
        <v/>
      </c>
      <c r="CI7" s="13">
        <f>IF(COUNTIFS(T_TTAFStock_Log[Part Name],$A7,T_TTAFStock_Log[WeekIndex],86)=0,"",SUMIFS(T_TTAFStock_Log[TTAF_Qty],T_TTAFStock_Log[Part Name],$A7,T_TTAFStock_Log[WeekIndex],86))</f>
        <v/>
      </c>
      <c r="CJ7" s="13">
        <f>IF(COUNTIFS(T_TTAFStock_Log[Part Name],$A7,T_TTAFStock_Log[WeekIndex],87)=0,"",SUMIFS(T_TTAFStock_Log[TTAF_Qty],T_TTAFStock_Log[Part Name],$A7,T_TTAFStock_Log[WeekIndex],87))</f>
        <v/>
      </c>
      <c r="CK7" s="13">
        <f>IF(COUNTIFS(T_TTAFStock_Log[Part Name],$A7,T_TTAFStock_Log[WeekIndex],88)=0,"",SUMIFS(T_TTAFStock_Log[TTAF_Qty],T_TTAFStock_Log[Part Name],$A7,T_TTAFStock_Log[WeekIndex],88))</f>
        <v/>
      </c>
      <c r="CL7" s="13">
        <f>IF(COUNTIFS(T_TTAFStock_Log[Part Name],$A7,T_TTAFStock_Log[WeekIndex],89)=0,"",SUMIFS(T_TTAFStock_Log[TTAF_Qty],T_TTAFStock_Log[Part Name],$A7,T_TTAFStock_Log[WeekIndex],89))</f>
        <v/>
      </c>
      <c r="CM7" s="13">
        <f>IF(COUNTIFS(T_TTAFStock_Log[Part Name],$A7,T_TTAFStock_Log[WeekIndex],90)=0,"",SUMIFS(T_TTAFStock_Log[TTAF_Qty],T_TTAFStock_Log[Part Name],$A7,T_TTAFStock_Log[WeekIndex],90))</f>
        <v/>
      </c>
      <c r="CN7" s="13">
        <f>IF(COUNTIFS(T_TTAFStock_Log[Part Name],$A7,T_TTAFStock_Log[WeekIndex],91)=0,"",SUMIFS(T_TTAFStock_Log[TTAF_Qty],T_TTAFStock_Log[Part Name],$A7,T_TTAFStock_Log[WeekIndex],91))</f>
        <v/>
      </c>
      <c r="CO7" s="13">
        <f>IF(COUNTIFS(T_TTAFStock_Log[Part Name],$A7,T_TTAFStock_Log[WeekIndex],92)=0,"",SUMIFS(T_TTAFStock_Log[TTAF_Qty],T_TTAFStock_Log[Part Name],$A7,T_TTAFStock_Log[WeekIndex],92))</f>
        <v/>
      </c>
      <c r="CP7" s="13">
        <f>IF(COUNTIFS(T_TTAFStock_Log[Part Name],$A7,T_TTAFStock_Log[WeekIndex],93)=0,"",SUMIFS(T_TTAFStock_Log[TTAF_Qty],T_TTAFStock_Log[Part Name],$A7,T_TTAFStock_Log[WeekIndex],93))</f>
        <v/>
      </c>
      <c r="CQ7" s="13">
        <f>IF(COUNTIFS(T_TTAFStock_Log[Part Name],$A7,T_TTAFStock_Log[WeekIndex],94)=0,"",SUMIFS(T_TTAFStock_Log[TTAF_Qty],T_TTAFStock_Log[Part Name],$A7,T_TTAFStock_Log[WeekIndex],94))</f>
        <v/>
      </c>
      <c r="CR7" s="13">
        <f>IF(COUNTIFS(T_TTAFStock_Log[Part Name],$A7,T_TTAFStock_Log[WeekIndex],95)=0,"",SUMIFS(T_TTAFStock_Log[TTAF_Qty],T_TTAFStock_Log[Part Name],$A7,T_TTAFStock_Log[WeekIndex],95))</f>
        <v/>
      </c>
      <c r="CS7" s="13">
        <f>IF(COUNTIFS(T_TTAFStock_Log[Part Name],$A7,T_TTAFStock_Log[WeekIndex],96)=0,"",SUMIFS(T_TTAFStock_Log[TTAF_Qty],T_TTAFStock_Log[Part Name],$A7,T_TTAFStock_Log[WeekIndex],96))</f>
        <v/>
      </c>
      <c r="CT7" s="13">
        <f>IF(COUNTIFS(T_TTAFStock_Log[Part Name],$A7,T_TTAFStock_Log[WeekIndex],97)=0,"",SUMIFS(T_TTAFStock_Log[TTAF_Qty],T_TTAFStock_Log[Part Name],$A7,T_TTAFStock_Log[WeekIndex],97))</f>
        <v/>
      </c>
      <c r="CU7" s="13">
        <f>IF(COUNTIFS(T_TTAFStock_Log[Part Name],$A7,T_TTAFStock_Log[WeekIndex],98)=0,"",SUMIFS(T_TTAFStock_Log[TTAF_Qty],T_TTAFStock_Log[Part Name],$A7,T_TTAFStock_Log[WeekIndex],98))</f>
        <v/>
      </c>
      <c r="CV7" s="13">
        <f>IF(COUNTIFS(T_TTAFStock_Log[Part Name],$A7,T_TTAFStock_Log[WeekIndex],99)=0,"",SUMIFS(T_TTAFStock_Log[TTAF_Qty],T_TTAFStock_Log[Part Name],$A7,T_TTAFStock_Log[WeekIndex],99))</f>
        <v/>
      </c>
      <c r="CW7" s="13">
        <f>IF(COUNTIFS(T_TTAFStock_Log[Part Name],$A7,T_TTAFStock_Log[WeekIndex],100)=0,"",SUMIFS(T_TTAFStock_Log[TTAF_Qty],T_TTAFStock_Log[Part Name],$A7,T_TTAFStock_Log[WeekIndex],100))</f>
        <v/>
      </c>
      <c r="CX7" s="13">
        <f>IF(COUNTIFS(T_TTAFStock_Log[Part Name],$A7,T_TTAFStock_Log[WeekIndex],101)=0,"",SUMIFS(T_TTAFStock_Log[TTAF_Qty],T_TTAFStock_Log[Part Name],$A7,T_TTAFStock_Log[WeekIndex],101))</f>
        <v/>
      </c>
      <c r="CY7" s="13">
        <f>IF(COUNTIFS(T_TTAFStock_Log[Part Name],$A7,T_TTAFStock_Log[WeekIndex],102)=0,"",SUMIFS(T_TTAFStock_Log[TTAF_Qty],T_TTAFStock_Log[Part Name],$A7,T_TTAFStock_Log[WeekIndex],102))</f>
        <v/>
      </c>
      <c r="CZ7" s="13">
        <f>IF(COUNTIFS(T_TTAFStock_Log[Part Name],$A7,T_TTAFStock_Log[WeekIndex],103)=0,"",SUMIFS(T_TTAFStock_Log[TTAF_Qty],T_TTAFStock_Log[Part Name],$A7,T_TTAFStock_Log[WeekIndex],103))</f>
        <v/>
      </c>
      <c r="DA7" s="13">
        <f>IF(COUNTIFS(T_TTAFStock_Log[Part Name],$A7,T_TTAFStock_Log[WeekIndex],104)=0,"",SUMIFS(T_TTAFStock_Log[TTAF_Qty],T_TTAFStock_Log[Part Name],$A7,T_TTAFStock_Log[WeekIndex],104))</f>
        <v/>
      </c>
    </row>
    <row r="8">
      <c r="A8" s="12" t="inlineStr">
        <is>
          <t>CHEM-1700</t>
        </is>
      </c>
      <c r="B8" s="12">
        <f>IF(COUNTIFS(T_TTAFStock_Log[Part Name],$A8,T_TTAFStock_Log[WeekIndex],1)=0,"",SUMIFS(T_TTAFStock_Log[TTAF_Qty],T_TTAFStock_Log[Part Name],$A8,T_TTAFStock_Log[WeekIndex],1))</f>
        <v/>
      </c>
      <c r="C8" s="12">
        <f>IF(COUNTIFS(T_TTAFStock_Log[Part Name],$A8,T_TTAFStock_Log[WeekIndex],2)=0,"",SUMIFS(T_TTAFStock_Log[TTAF_Qty],T_TTAFStock_Log[Part Name],$A8,T_TTAFStock_Log[WeekIndex],2))</f>
        <v/>
      </c>
      <c r="D8" s="12">
        <f>IF(COUNTIFS(T_TTAFStock_Log[Part Name],$A8,T_TTAFStock_Log[WeekIndex],3)=0,"",SUMIFS(T_TTAFStock_Log[TTAF_Qty],T_TTAFStock_Log[Part Name],$A8,T_TTAFStock_Log[WeekIndex],3))</f>
        <v/>
      </c>
      <c r="E8" s="12">
        <f>IF(COUNTIFS(T_TTAFStock_Log[Part Name],$A8,T_TTAFStock_Log[WeekIndex],4)=0,"",SUMIFS(T_TTAFStock_Log[TTAF_Qty],T_TTAFStock_Log[Part Name],$A8,T_TTAFStock_Log[WeekIndex],4))</f>
        <v/>
      </c>
      <c r="F8" s="12">
        <f>IF(COUNTIFS(T_TTAFStock_Log[Part Name],$A8,T_TTAFStock_Log[WeekIndex],5)=0,"",SUMIFS(T_TTAFStock_Log[TTAF_Qty],T_TTAFStock_Log[Part Name],$A8,T_TTAFStock_Log[WeekIndex],5))</f>
        <v/>
      </c>
      <c r="G8" s="12">
        <f>IF(COUNTIFS(T_TTAFStock_Log[Part Name],$A8,T_TTAFStock_Log[WeekIndex],6)=0,"",SUMIFS(T_TTAFStock_Log[TTAF_Qty],T_TTAFStock_Log[Part Name],$A8,T_TTAFStock_Log[WeekIndex],6))</f>
        <v/>
      </c>
      <c r="H8" s="12">
        <f>IF(COUNTIFS(T_TTAFStock_Log[Part Name],$A8,T_TTAFStock_Log[WeekIndex],7)=0,"",SUMIFS(T_TTAFStock_Log[TTAF_Qty],T_TTAFStock_Log[Part Name],$A8,T_TTAFStock_Log[WeekIndex],7))</f>
        <v/>
      </c>
      <c r="I8" s="12">
        <f>IF(COUNTIFS(T_TTAFStock_Log[Part Name],$A8,T_TTAFStock_Log[WeekIndex],8)=0,"",SUMIFS(T_TTAFStock_Log[TTAF_Qty],T_TTAFStock_Log[Part Name],$A8,T_TTAFStock_Log[WeekIndex],8))</f>
        <v/>
      </c>
      <c r="J8" s="12">
        <f>IF(COUNTIFS(T_TTAFStock_Log[Part Name],$A8,T_TTAFStock_Log[WeekIndex],9)=0,"",SUMIFS(T_TTAFStock_Log[TTAF_Qty],T_TTAFStock_Log[Part Name],$A8,T_TTAFStock_Log[WeekIndex],9))</f>
        <v/>
      </c>
      <c r="K8" s="12">
        <f>IF(COUNTIFS(T_TTAFStock_Log[Part Name],$A8,T_TTAFStock_Log[WeekIndex],10)=0,"",SUMIFS(T_TTAFStock_Log[TTAF_Qty],T_TTAFStock_Log[Part Name],$A8,T_TTAFStock_Log[WeekIndex],10))</f>
        <v/>
      </c>
      <c r="L8" s="12">
        <f>IF(COUNTIFS(T_TTAFStock_Log[Part Name],$A8,T_TTAFStock_Log[WeekIndex],11)=0,"",SUMIFS(T_TTAFStock_Log[TTAF_Qty],T_TTAFStock_Log[Part Name],$A8,T_TTAFStock_Log[WeekIndex],11))</f>
        <v/>
      </c>
      <c r="M8" s="12">
        <f>IF(COUNTIFS(T_TTAFStock_Log[Part Name],$A8,T_TTAFStock_Log[WeekIndex],12)=0,"",SUMIFS(T_TTAFStock_Log[TTAF_Qty],T_TTAFStock_Log[Part Name],$A8,T_TTAFStock_Log[WeekIndex],12))</f>
        <v/>
      </c>
      <c r="N8" s="12">
        <f>IF(COUNTIFS(T_TTAFStock_Log[Part Name],$A8,T_TTAFStock_Log[WeekIndex],13)=0,"",SUMIFS(T_TTAFStock_Log[TTAF_Qty],T_TTAFStock_Log[Part Name],$A8,T_TTAFStock_Log[WeekIndex],13))</f>
        <v/>
      </c>
      <c r="O8" s="12">
        <f>IF(COUNTIFS(T_TTAFStock_Log[Part Name],$A8,T_TTAFStock_Log[WeekIndex],14)=0,"",SUMIFS(T_TTAFStock_Log[TTAF_Qty],T_TTAFStock_Log[Part Name],$A8,T_TTAFStock_Log[WeekIndex],14))</f>
        <v/>
      </c>
      <c r="P8" s="12">
        <f>IF(COUNTIFS(T_TTAFStock_Log[Part Name],$A8,T_TTAFStock_Log[WeekIndex],15)=0,"",SUMIFS(T_TTAFStock_Log[TTAF_Qty],T_TTAFStock_Log[Part Name],$A8,T_TTAFStock_Log[WeekIndex],15))</f>
        <v/>
      </c>
      <c r="Q8" s="12">
        <f>IF(COUNTIFS(T_TTAFStock_Log[Part Name],$A8,T_TTAFStock_Log[WeekIndex],16)=0,"",SUMIFS(T_TTAFStock_Log[TTAF_Qty],T_TTAFStock_Log[Part Name],$A8,T_TTAFStock_Log[WeekIndex],16))</f>
        <v/>
      </c>
      <c r="R8" s="12">
        <f>IF(COUNTIFS(T_TTAFStock_Log[Part Name],$A8,T_TTAFStock_Log[WeekIndex],17)=0,"",SUMIFS(T_TTAFStock_Log[TTAF_Qty],T_TTAFStock_Log[Part Name],$A8,T_TTAFStock_Log[WeekIndex],17))</f>
        <v/>
      </c>
      <c r="S8" s="12">
        <f>IF(COUNTIFS(T_TTAFStock_Log[Part Name],$A8,T_TTAFStock_Log[WeekIndex],18)=0,"",SUMIFS(T_TTAFStock_Log[TTAF_Qty],T_TTAFStock_Log[Part Name],$A8,T_TTAFStock_Log[WeekIndex],18))</f>
        <v/>
      </c>
      <c r="T8" s="12">
        <f>IF(COUNTIFS(T_TTAFStock_Log[Part Name],$A8,T_TTAFStock_Log[WeekIndex],19)=0,"",SUMIFS(T_TTAFStock_Log[TTAF_Qty],T_TTAFStock_Log[Part Name],$A8,T_TTAFStock_Log[WeekIndex],19))</f>
        <v/>
      </c>
      <c r="U8" s="12">
        <f>IF(COUNTIFS(T_TTAFStock_Log[Part Name],$A8,T_TTAFStock_Log[WeekIndex],20)=0,"",SUMIFS(T_TTAFStock_Log[TTAF_Qty],T_TTAFStock_Log[Part Name],$A8,T_TTAFStock_Log[WeekIndex],20))</f>
        <v/>
      </c>
      <c r="V8" s="12">
        <f>IF(COUNTIFS(T_TTAFStock_Log[Part Name],$A8,T_TTAFStock_Log[WeekIndex],21)=0,"",SUMIFS(T_TTAFStock_Log[TTAF_Qty],T_TTAFStock_Log[Part Name],$A8,T_TTAFStock_Log[WeekIndex],21))</f>
        <v/>
      </c>
      <c r="W8" s="12">
        <f>IF(COUNTIFS(T_TTAFStock_Log[Part Name],$A8,T_TTAFStock_Log[WeekIndex],22)=0,"",SUMIFS(T_TTAFStock_Log[TTAF_Qty],T_TTAFStock_Log[Part Name],$A8,T_TTAFStock_Log[WeekIndex],22))</f>
        <v/>
      </c>
      <c r="X8" s="12">
        <f>IF(COUNTIFS(T_TTAFStock_Log[Part Name],$A8,T_TTAFStock_Log[WeekIndex],23)=0,"",SUMIFS(T_TTAFStock_Log[TTAF_Qty],T_TTAFStock_Log[Part Name],$A8,T_TTAFStock_Log[WeekIndex],23))</f>
        <v/>
      </c>
      <c r="Y8" s="12">
        <f>IF(COUNTIFS(T_TTAFStock_Log[Part Name],$A8,T_TTAFStock_Log[WeekIndex],24)=0,"",SUMIFS(T_TTAFStock_Log[TTAF_Qty],T_TTAFStock_Log[Part Name],$A8,T_TTAFStock_Log[WeekIndex],24))</f>
        <v/>
      </c>
      <c r="Z8" s="12">
        <f>IF(COUNTIFS(T_TTAFStock_Log[Part Name],$A8,T_TTAFStock_Log[WeekIndex],25)=0,"",SUMIFS(T_TTAFStock_Log[TTAF_Qty],T_TTAFStock_Log[Part Name],$A8,T_TTAFStock_Log[WeekIndex],25))</f>
        <v/>
      </c>
      <c r="AA8" s="12">
        <f>IF(COUNTIFS(T_TTAFStock_Log[Part Name],$A8,T_TTAFStock_Log[WeekIndex],26)=0,"",SUMIFS(T_TTAFStock_Log[TTAF_Qty],T_TTAFStock_Log[Part Name],$A8,T_TTAFStock_Log[WeekIndex],26))</f>
        <v/>
      </c>
      <c r="AB8" s="12">
        <f>IF(COUNTIFS(T_TTAFStock_Log[Part Name],$A8,T_TTAFStock_Log[WeekIndex],27)=0,"",SUMIFS(T_TTAFStock_Log[TTAF_Qty],T_TTAFStock_Log[Part Name],$A8,T_TTAFStock_Log[WeekIndex],27))</f>
        <v/>
      </c>
      <c r="AC8" s="12">
        <f>IF(COUNTIFS(T_TTAFStock_Log[Part Name],$A8,T_TTAFStock_Log[WeekIndex],28)=0,"",SUMIFS(T_TTAFStock_Log[TTAF_Qty],T_TTAFStock_Log[Part Name],$A8,T_TTAFStock_Log[WeekIndex],28))</f>
        <v/>
      </c>
      <c r="AD8" s="12">
        <f>IF(COUNTIFS(T_TTAFStock_Log[Part Name],$A8,T_TTAFStock_Log[WeekIndex],29)=0,"",SUMIFS(T_TTAFStock_Log[TTAF_Qty],T_TTAFStock_Log[Part Name],$A8,T_TTAFStock_Log[WeekIndex],29))</f>
        <v/>
      </c>
      <c r="AE8" s="12">
        <f>IF(COUNTIFS(T_TTAFStock_Log[Part Name],$A8,T_TTAFStock_Log[WeekIndex],30)=0,"",SUMIFS(T_TTAFStock_Log[TTAF_Qty],T_TTAFStock_Log[Part Name],$A8,T_TTAFStock_Log[WeekIndex],30))</f>
        <v/>
      </c>
      <c r="AF8" s="12">
        <f>IF(COUNTIFS(T_TTAFStock_Log[Part Name],$A8,T_TTAFStock_Log[WeekIndex],31)=0,"",SUMIFS(T_TTAFStock_Log[TTAF_Qty],T_TTAFStock_Log[Part Name],$A8,T_TTAFStock_Log[WeekIndex],31))</f>
        <v/>
      </c>
      <c r="AG8" s="12">
        <f>IF(COUNTIFS(T_TTAFStock_Log[Part Name],$A8,T_TTAFStock_Log[WeekIndex],32)=0,"",SUMIFS(T_TTAFStock_Log[TTAF_Qty],T_TTAFStock_Log[Part Name],$A8,T_TTAFStock_Log[WeekIndex],32))</f>
        <v/>
      </c>
      <c r="AH8" s="12">
        <f>IF(COUNTIFS(T_TTAFStock_Log[Part Name],$A8,T_TTAFStock_Log[WeekIndex],33)=0,"",SUMIFS(T_TTAFStock_Log[TTAF_Qty],T_TTAFStock_Log[Part Name],$A8,T_TTAFStock_Log[WeekIndex],33))</f>
        <v/>
      </c>
      <c r="AI8" s="12">
        <f>IF(COUNTIFS(T_TTAFStock_Log[Part Name],$A8,T_TTAFStock_Log[WeekIndex],34)=0,"",SUMIFS(T_TTAFStock_Log[TTAF_Qty],T_TTAFStock_Log[Part Name],$A8,T_TTAFStock_Log[WeekIndex],34))</f>
        <v/>
      </c>
      <c r="AJ8" s="12">
        <f>IF(COUNTIFS(T_TTAFStock_Log[Part Name],$A8,T_TTAFStock_Log[WeekIndex],35)=0,"",SUMIFS(T_TTAFStock_Log[TTAF_Qty],T_TTAFStock_Log[Part Name],$A8,T_TTAFStock_Log[WeekIndex],35))</f>
        <v/>
      </c>
      <c r="AK8" s="12">
        <f>IF(COUNTIFS(T_TTAFStock_Log[Part Name],$A8,T_TTAFStock_Log[WeekIndex],36)=0,"",SUMIFS(T_TTAFStock_Log[TTAF_Qty],T_TTAFStock_Log[Part Name],$A8,T_TTAFStock_Log[WeekIndex],36))</f>
        <v/>
      </c>
      <c r="AL8" s="12">
        <f>IF(COUNTIFS(T_TTAFStock_Log[Part Name],$A8,T_TTAFStock_Log[WeekIndex],37)=0,"",SUMIFS(T_TTAFStock_Log[TTAF_Qty],T_TTAFStock_Log[Part Name],$A8,T_TTAFStock_Log[WeekIndex],37))</f>
        <v/>
      </c>
      <c r="AM8" s="12">
        <f>IF(COUNTIFS(T_TTAFStock_Log[Part Name],$A8,T_TTAFStock_Log[WeekIndex],38)=0,"",SUMIFS(T_TTAFStock_Log[TTAF_Qty],T_TTAFStock_Log[Part Name],$A8,T_TTAFStock_Log[WeekIndex],38))</f>
        <v/>
      </c>
      <c r="AN8" s="12">
        <f>IF(COUNTIFS(T_TTAFStock_Log[Part Name],$A8,T_TTAFStock_Log[WeekIndex],39)=0,"",SUMIFS(T_TTAFStock_Log[TTAF_Qty],T_TTAFStock_Log[Part Name],$A8,T_TTAFStock_Log[WeekIndex],39))</f>
        <v/>
      </c>
      <c r="AO8" s="12">
        <f>IF(COUNTIFS(T_TTAFStock_Log[Part Name],$A8,T_TTAFStock_Log[WeekIndex],40)=0,"",SUMIFS(T_TTAFStock_Log[TTAF_Qty],T_TTAFStock_Log[Part Name],$A8,T_TTAFStock_Log[WeekIndex],40))</f>
        <v/>
      </c>
      <c r="AP8" s="12">
        <f>IF(COUNTIFS(T_TTAFStock_Log[Part Name],$A8,T_TTAFStock_Log[WeekIndex],41)=0,"",SUMIFS(T_TTAFStock_Log[TTAF_Qty],T_TTAFStock_Log[Part Name],$A8,T_TTAFStock_Log[WeekIndex],41))</f>
        <v/>
      </c>
      <c r="AQ8" s="12">
        <f>IF(COUNTIFS(T_TTAFStock_Log[Part Name],$A8,T_TTAFStock_Log[WeekIndex],42)=0,"",SUMIFS(T_TTAFStock_Log[TTAF_Qty],T_TTAFStock_Log[Part Name],$A8,T_TTAFStock_Log[WeekIndex],42))</f>
        <v/>
      </c>
      <c r="AR8" s="12">
        <f>IF(COUNTIFS(T_TTAFStock_Log[Part Name],$A8,T_TTAFStock_Log[WeekIndex],43)=0,"",SUMIFS(T_TTAFStock_Log[TTAF_Qty],T_TTAFStock_Log[Part Name],$A8,T_TTAFStock_Log[WeekIndex],43))</f>
        <v/>
      </c>
      <c r="AS8" s="12">
        <f>IF(COUNTIFS(T_TTAFStock_Log[Part Name],$A8,T_TTAFStock_Log[WeekIndex],44)=0,"",SUMIFS(T_TTAFStock_Log[TTAF_Qty],T_TTAFStock_Log[Part Name],$A8,T_TTAFStock_Log[WeekIndex],44))</f>
        <v/>
      </c>
      <c r="AT8" s="12">
        <f>IF(COUNTIFS(T_TTAFStock_Log[Part Name],$A8,T_TTAFStock_Log[WeekIndex],45)=0,"",SUMIFS(T_TTAFStock_Log[TTAF_Qty],T_TTAFStock_Log[Part Name],$A8,T_TTAFStock_Log[WeekIndex],45))</f>
        <v/>
      </c>
      <c r="AU8" s="12">
        <f>IF(COUNTIFS(T_TTAFStock_Log[Part Name],$A8,T_TTAFStock_Log[WeekIndex],46)=0,"",SUMIFS(T_TTAFStock_Log[TTAF_Qty],T_TTAFStock_Log[Part Name],$A8,T_TTAFStock_Log[WeekIndex],46))</f>
        <v/>
      </c>
      <c r="AV8" s="12">
        <f>IF(COUNTIFS(T_TTAFStock_Log[Part Name],$A8,T_TTAFStock_Log[WeekIndex],47)=0,"",SUMIFS(T_TTAFStock_Log[TTAF_Qty],T_TTAFStock_Log[Part Name],$A8,T_TTAFStock_Log[WeekIndex],47))</f>
        <v/>
      </c>
      <c r="AW8" s="12">
        <f>IF(COUNTIFS(T_TTAFStock_Log[Part Name],$A8,T_TTAFStock_Log[WeekIndex],48)=0,"",SUMIFS(T_TTAFStock_Log[TTAF_Qty],T_TTAFStock_Log[Part Name],$A8,T_TTAFStock_Log[WeekIndex],48))</f>
        <v/>
      </c>
      <c r="AX8" s="12">
        <f>IF(COUNTIFS(T_TTAFStock_Log[Part Name],$A8,T_TTAFStock_Log[WeekIndex],49)=0,"",SUMIFS(T_TTAFStock_Log[TTAF_Qty],T_TTAFStock_Log[Part Name],$A8,T_TTAFStock_Log[WeekIndex],49))</f>
        <v/>
      </c>
      <c r="AY8" s="12">
        <f>IF(COUNTIFS(T_TTAFStock_Log[Part Name],$A8,T_TTAFStock_Log[WeekIndex],50)=0,"",SUMIFS(T_TTAFStock_Log[TTAF_Qty],T_TTAFStock_Log[Part Name],$A8,T_TTAFStock_Log[WeekIndex],50))</f>
        <v/>
      </c>
      <c r="AZ8" s="12">
        <f>IF(COUNTIFS(T_TTAFStock_Log[Part Name],$A8,T_TTAFStock_Log[WeekIndex],51)=0,"",SUMIFS(T_TTAFStock_Log[TTAF_Qty],T_TTAFStock_Log[Part Name],$A8,T_TTAFStock_Log[WeekIndex],51))</f>
        <v/>
      </c>
      <c r="BA8" s="12">
        <f>IF(COUNTIFS(T_TTAFStock_Log[Part Name],$A8,T_TTAFStock_Log[WeekIndex],52)=0,"",SUMIFS(T_TTAFStock_Log[TTAF_Qty],T_TTAFStock_Log[Part Name],$A8,T_TTAFStock_Log[WeekIndex],52))</f>
        <v/>
      </c>
      <c r="BB8" s="12">
        <f>IF(COUNTIFS(T_TTAFStock_Log[Part Name],$A8,T_TTAFStock_Log[WeekIndex],53)=0,"",SUMIFS(T_TTAFStock_Log[TTAF_Qty],T_TTAFStock_Log[Part Name],$A8,T_TTAFStock_Log[WeekIndex],53))</f>
        <v/>
      </c>
      <c r="BC8" s="12">
        <f>IF(COUNTIFS(T_TTAFStock_Log[Part Name],$A8,T_TTAFStock_Log[WeekIndex],54)=0,"",SUMIFS(T_TTAFStock_Log[TTAF_Qty],T_TTAFStock_Log[Part Name],$A8,T_TTAFStock_Log[WeekIndex],54))</f>
        <v/>
      </c>
      <c r="BD8" s="12">
        <f>IF(COUNTIFS(T_TTAFStock_Log[Part Name],$A8,T_TTAFStock_Log[WeekIndex],55)=0,"",SUMIFS(T_TTAFStock_Log[TTAF_Qty],T_TTAFStock_Log[Part Name],$A8,T_TTAFStock_Log[WeekIndex],55))</f>
        <v/>
      </c>
      <c r="BE8" s="12">
        <f>IF(COUNTIFS(T_TTAFStock_Log[Part Name],$A8,T_TTAFStock_Log[WeekIndex],56)=0,"",SUMIFS(T_TTAFStock_Log[TTAF_Qty],T_TTAFStock_Log[Part Name],$A8,T_TTAFStock_Log[WeekIndex],56))</f>
        <v/>
      </c>
      <c r="BF8" s="12">
        <f>IF(COUNTIFS(T_TTAFStock_Log[Part Name],$A8,T_TTAFStock_Log[WeekIndex],57)=0,"",SUMIFS(T_TTAFStock_Log[TTAF_Qty],T_TTAFStock_Log[Part Name],$A8,T_TTAFStock_Log[WeekIndex],57))</f>
        <v/>
      </c>
      <c r="BG8" s="12">
        <f>IF(COUNTIFS(T_TTAFStock_Log[Part Name],$A8,T_TTAFStock_Log[WeekIndex],58)=0,"",SUMIFS(T_TTAFStock_Log[TTAF_Qty],T_TTAFStock_Log[Part Name],$A8,T_TTAFStock_Log[WeekIndex],58))</f>
        <v/>
      </c>
      <c r="BH8" s="12">
        <f>IF(COUNTIFS(T_TTAFStock_Log[Part Name],$A8,T_TTAFStock_Log[WeekIndex],59)=0,"",SUMIFS(T_TTAFStock_Log[TTAF_Qty],T_TTAFStock_Log[Part Name],$A8,T_TTAFStock_Log[WeekIndex],59))</f>
        <v/>
      </c>
      <c r="BI8" s="12">
        <f>IF(COUNTIFS(T_TTAFStock_Log[Part Name],$A8,T_TTAFStock_Log[WeekIndex],60)=0,"",SUMIFS(T_TTAFStock_Log[TTAF_Qty],T_TTAFStock_Log[Part Name],$A8,T_TTAFStock_Log[WeekIndex],60))</f>
        <v/>
      </c>
      <c r="BJ8" s="12">
        <f>IF(COUNTIFS(T_TTAFStock_Log[Part Name],$A8,T_TTAFStock_Log[WeekIndex],61)=0,"",SUMIFS(T_TTAFStock_Log[TTAF_Qty],T_TTAFStock_Log[Part Name],$A8,T_TTAFStock_Log[WeekIndex],61))</f>
        <v/>
      </c>
      <c r="BK8" s="12">
        <f>IF(COUNTIFS(T_TTAFStock_Log[Part Name],$A8,T_TTAFStock_Log[WeekIndex],62)=0,"",SUMIFS(T_TTAFStock_Log[TTAF_Qty],T_TTAFStock_Log[Part Name],$A8,T_TTAFStock_Log[WeekIndex],62))</f>
        <v/>
      </c>
      <c r="BL8" s="12">
        <f>IF(COUNTIFS(T_TTAFStock_Log[Part Name],$A8,T_TTAFStock_Log[WeekIndex],63)=0,"",SUMIFS(T_TTAFStock_Log[TTAF_Qty],T_TTAFStock_Log[Part Name],$A8,T_TTAFStock_Log[WeekIndex],63))</f>
        <v/>
      </c>
      <c r="BM8" s="12">
        <f>IF(COUNTIFS(T_TTAFStock_Log[Part Name],$A8,T_TTAFStock_Log[WeekIndex],64)=0,"",SUMIFS(T_TTAFStock_Log[TTAF_Qty],T_TTAFStock_Log[Part Name],$A8,T_TTAFStock_Log[WeekIndex],64))</f>
        <v/>
      </c>
      <c r="BN8" s="12">
        <f>IF(COUNTIFS(T_TTAFStock_Log[Part Name],$A8,T_TTAFStock_Log[WeekIndex],65)=0,"",SUMIFS(T_TTAFStock_Log[TTAF_Qty],T_TTAFStock_Log[Part Name],$A8,T_TTAFStock_Log[WeekIndex],65))</f>
        <v/>
      </c>
      <c r="BO8" s="12">
        <f>IF(COUNTIFS(T_TTAFStock_Log[Part Name],$A8,T_TTAFStock_Log[WeekIndex],66)=0,"",SUMIFS(T_TTAFStock_Log[TTAF_Qty],T_TTAFStock_Log[Part Name],$A8,T_TTAFStock_Log[WeekIndex],66))</f>
        <v/>
      </c>
      <c r="BP8" s="12">
        <f>IF(COUNTIFS(T_TTAFStock_Log[Part Name],$A8,T_TTAFStock_Log[WeekIndex],67)=0,"",SUMIFS(T_TTAFStock_Log[TTAF_Qty],T_TTAFStock_Log[Part Name],$A8,T_TTAFStock_Log[WeekIndex],67))</f>
        <v/>
      </c>
      <c r="BQ8" s="12">
        <f>IF(COUNTIFS(T_TTAFStock_Log[Part Name],$A8,T_TTAFStock_Log[WeekIndex],68)=0,"",SUMIFS(T_TTAFStock_Log[TTAF_Qty],T_TTAFStock_Log[Part Name],$A8,T_TTAFStock_Log[WeekIndex],68))</f>
        <v/>
      </c>
      <c r="BR8" s="12">
        <f>IF(COUNTIFS(T_TTAFStock_Log[Part Name],$A8,T_TTAFStock_Log[WeekIndex],69)=0,"",SUMIFS(T_TTAFStock_Log[TTAF_Qty],T_TTAFStock_Log[Part Name],$A8,T_TTAFStock_Log[WeekIndex],69))</f>
        <v/>
      </c>
      <c r="BS8" s="12">
        <f>IF(COUNTIFS(T_TTAFStock_Log[Part Name],$A8,T_TTAFStock_Log[WeekIndex],70)=0,"",SUMIFS(T_TTAFStock_Log[TTAF_Qty],T_TTAFStock_Log[Part Name],$A8,T_TTAFStock_Log[WeekIndex],70))</f>
        <v/>
      </c>
      <c r="BT8" s="12">
        <f>IF(COUNTIFS(T_TTAFStock_Log[Part Name],$A8,T_TTAFStock_Log[WeekIndex],71)=0,"",SUMIFS(T_TTAFStock_Log[TTAF_Qty],T_TTAFStock_Log[Part Name],$A8,T_TTAFStock_Log[WeekIndex],71))</f>
        <v/>
      </c>
      <c r="BU8" s="12">
        <f>IF(COUNTIFS(T_TTAFStock_Log[Part Name],$A8,T_TTAFStock_Log[WeekIndex],72)=0,"",SUMIFS(T_TTAFStock_Log[TTAF_Qty],T_TTAFStock_Log[Part Name],$A8,T_TTAFStock_Log[WeekIndex],72))</f>
        <v/>
      </c>
      <c r="BV8" s="12">
        <f>IF(COUNTIFS(T_TTAFStock_Log[Part Name],$A8,T_TTAFStock_Log[WeekIndex],73)=0,"",SUMIFS(T_TTAFStock_Log[TTAF_Qty],T_TTAFStock_Log[Part Name],$A8,T_TTAFStock_Log[WeekIndex],73))</f>
        <v/>
      </c>
      <c r="BW8" s="12">
        <f>IF(COUNTIFS(T_TTAFStock_Log[Part Name],$A8,T_TTAFStock_Log[WeekIndex],74)=0,"",SUMIFS(T_TTAFStock_Log[TTAF_Qty],T_TTAFStock_Log[Part Name],$A8,T_TTAFStock_Log[WeekIndex],74))</f>
        <v/>
      </c>
      <c r="BX8" s="12">
        <f>IF(COUNTIFS(T_TTAFStock_Log[Part Name],$A8,T_TTAFStock_Log[WeekIndex],75)=0,"",SUMIFS(T_TTAFStock_Log[TTAF_Qty],T_TTAFStock_Log[Part Name],$A8,T_TTAFStock_Log[WeekIndex],75))</f>
        <v/>
      </c>
      <c r="BY8" s="12">
        <f>IF(COUNTIFS(T_TTAFStock_Log[Part Name],$A8,T_TTAFStock_Log[WeekIndex],76)=0,"",SUMIFS(T_TTAFStock_Log[TTAF_Qty],T_TTAFStock_Log[Part Name],$A8,T_TTAFStock_Log[WeekIndex],76))</f>
        <v/>
      </c>
      <c r="BZ8" s="12">
        <f>IF(COUNTIFS(T_TTAFStock_Log[Part Name],$A8,T_TTAFStock_Log[WeekIndex],77)=0,"",SUMIFS(T_TTAFStock_Log[TTAF_Qty],T_TTAFStock_Log[Part Name],$A8,T_TTAFStock_Log[WeekIndex],77))</f>
        <v/>
      </c>
      <c r="CA8" s="12">
        <f>IF(COUNTIFS(T_TTAFStock_Log[Part Name],$A8,T_TTAFStock_Log[WeekIndex],78)=0,"",SUMIFS(T_TTAFStock_Log[TTAF_Qty],T_TTAFStock_Log[Part Name],$A8,T_TTAFStock_Log[WeekIndex],78))</f>
        <v/>
      </c>
      <c r="CB8" s="12">
        <f>IF(COUNTIFS(T_TTAFStock_Log[Part Name],$A8,T_TTAFStock_Log[WeekIndex],79)=0,"",SUMIFS(T_TTAFStock_Log[TTAF_Qty],T_TTAFStock_Log[Part Name],$A8,T_TTAFStock_Log[WeekIndex],79))</f>
        <v/>
      </c>
      <c r="CC8" s="12">
        <f>IF(COUNTIFS(T_TTAFStock_Log[Part Name],$A8,T_TTAFStock_Log[WeekIndex],80)=0,"",SUMIFS(T_TTAFStock_Log[TTAF_Qty],T_TTAFStock_Log[Part Name],$A8,T_TTAFStock_Log[WeekIndex],80))</f>
        <v/>
      </c>
      <c r="CD8" s="12">
        <f>IF(COUNTIFS(T_TTAFStock_Log[Part Name],$A8,T_TTAFStock_Log[WeekIndex],81)=0,"",SUMIFS(T_TTAFStock_Log[TTAF_Qty],T_TTAFStock_Log[Part Name],$A8,T_TTAFStock_Log[WeekIndex],81))</f>
        <v/>
      </c>
      <c r="CE8" s="12">
        <f>IF(COUNTIFS(T_TTAFStock_Log[Part Name],$A8,T_TTAFStock_Log[WeekIndex],82)=0,"",SUMIFS(T_TTAFStock_Log[TTAF_Qty],T_TTAFStock_Log[Part Name],$A8,T_TTAFStock_Log[WeekIndex],82))</f>
        <v/>
      </c>
      <c r="CF8" s="12">
        <f>IF(COUNTIFS(T_TTAFStock_Log[Part Name],$A8,T_TTAFStock_Log[WeekIndex],83)=0,"",SUMIFS(T_TTAFStock_Log[TTAF_Qty],T_TTAFStock_Log[Part Name],$A8,T_TTAFStock_Log[WeekIndex],83))</f>
        <v/>
      </c>
      <c r="CG8" s="12">
        <f>IF(COUNTIFS(T_TTAFStock_Log[Part Name],$A8,T_TTAFStock_Log[WeekIndex],84)=0,"",SUMIFS(T_TTAFStock_Log[TTAF_Qty],T_TTAFStock_Log[Part Name],$A8,T_TTAFStock_Log[WeekIndex],84))</f>
        <v/>
      </c>
      <c r="CH8" s="12">
        <f>IF(COUNTIFS(T_TTAFStock_Log[Part Name],$A8,T_TTAFStock_Log[WeekIndex],85)=0,"",SUMIFS(T_TTAFStock_Log[TTAF_Qty],T_TTAFStock_Log[Part Name],$A8,T_TTAFStock_Log[WeekIndex],85))</f>
        <v/>
      </c>
      <c r="CI8" s="12">
        <f>IF(COUNTIFS(T_TTAFStock_Log[Part Name],$A8,T_TTAFStock_Log[WeekIndex],86)=0,"",SUMIFS(T_TTAFStock_Log[TTAF_Qty],T_TTAFStock_Log[Part Name],$A8,T_TTAFStock_Log[WeekIndex],86))</f>
        <v/>
      </c>
      <c r="CJ8" s="12">
        <f>IF(COUNTIFS(T_TTAFStock_Log[Part Name],$A8,T_TTAFStock_Log[WeekIndex],87)=0,"",SUMIFS(T_TTAFStock_Log[TTAF_Qty],T_TTAFStock_Log[Part Name],$A8,T_TTAFStock_Log[WeekIndex],87))</f>
        <v/>
      </c>
      <c r="CK8" s="12">
        <f>IF(COUNTIFS(T_TTAFStock_Log[Part Name],$A8,T_TTAFStock_Log[WeekIndex],88)=0,"",SUMIFS(T_TTAFStock_Log[TTAF_Qty],T_TTAFStock_Log[Part Name],$A8,T_TTAFStock_Log[WeekIndex],88))</f>
        <v/>
      </c>
      <c r="CL8" s="12">
        <f>IF(COUNTIFS(T_TTAFStock_Log[Part Name],$A8,T_TTAFStock_Log[WeekIndex],89)=0,"",SUMIFS(T_TTAFStock_Log[TTAF_Qty],T_TTAFStock_Log[Part Name],$A8,T_TTAFStock_Log[WeekIndex],89))</f>
        <v/>
      </c>
      <c r="CM8" s="12">
        <f>IF(COUNTIFS(T_TTAFStock_Log[Part Name],$A8,T_TTAFStock_Log[WeekIndex],90)=0,"",SUMIFS(T_TTAFStock_Log[TTAF_Qty],T_TTAFStock_Log[Part Name],$A8,T_TTAFStock_Log[WeekIndex],90))</f>
        <v/>
      </c>
      <c r="CN8" s="12">
        <f>IF(COUNTIFS(T_TTAFStock_Log[Part Name],$A8,T_TTAFStock_Log[WeekIndex],91)=0,"",SUMIFS(T_TTAFStock_Log[TTAF_Qty],T_TTAFStock_Log[Part Name],$A8,T_TTAFStock_Log[WeekIndex],91))</f>
        <v/>
      </c>
      <c r="CO8" s="12">
        <f>IF(COUNTIFS(T_TTAFStock_Log[Part Name],$A8,T_TTAFStock_Log[WeekIndex],92)=0,"",SUMIFS(T_TTAFStock_Log[TTAF_Qty],T_TTAFStock_Log[Part Name],$A8,T_TTAFStock_Log[WeekIndex],92))</f>
        <v/>
      </c>
      <c r="CP8" s="12">
        <f>IF(COUNTIFS(T_TTAFStock_Log[Part Name],$A8,T_TTAFStock_Log[WeekIndex],93)=0,"",SUMIFS(T_TTAFStock_Log[TTAF_Qty],T_TTAFStock_Log[Part Name],$A8,T_TTAFStock_Log[WeekIndex],93))</f>
        <v/>
      </c>
      <c r="CQ8" s="12">
        <f>IF(COUNTIFS(T_TTAFStock_Log[Part Name],$A8,T_TTAFStock_Log[WeekIndex],94)=0,"",SUMIFS(T_TTAFStock_Log[TTAF_Qty],T_TTAFStock_Log[Part Name],$A8,T_TTAFStock_Log[WeekIndex],94))</f>
        <v/>
      </c>
      <c r="CR8" s="12">
        <f>IF(COUNTIFS(T_TTAFStock_Log[Part Name],$A8,T_TTAFStock_Log[WeekIndex],95)=0,"",SUMIFS(T_TTAFStock_Log[TTAF_Qty],T_TTAFStock_Log[Part Name],$A8,T_TTAFStock_Log[WeekIndex],95))</f>
        <v/>
      </c>
      <c r="CS8" s="12">
        <f>IF(COUNTIFS(T_TTAFStock_Log[Part Name],$A8,T_TTAFStock_Log[WeekIndex],96)=0,"",SUMIFS(T_TTAFStock_Log[TTAF_Qty],T_TTAFStock_Log[Part Name],$A8,T_TTAFStock_Log[WeekIndex],96))</f>
        <v/>
      </c>
      <c r="CT8" s="12">
        <f>IF(COUNTIFS(T_TTAFStock_Log[Part Name],$A8,T_TTAFStock_Log[WeekIndex],97)=0,"",SUMIFS(T_TTAFStock_Log[TTAF_Qty],T_TTAFStock_Log[Part Name],$A8,T_TTAFStock_Log[WeekIndex],97))</f>
        <v/>
      </c>
      <c r="CU8" s="12">
        <f>IF(COUNTIFS(T_TTAFStock_Log[Part Name],$A8,T_TTAFStock_Log[WeekIndex],98)=0,"",SUMIFS(T_TTAFStock_Log[TTAF_Qty],T_TTAFStock_Log[Part Name],$A8,T_TTAFStock_Log[WeekIndex],98))</f>
        <v/>
      </c>
      <c r="CV8" s="12">
        <f>IF(COUNTIFS(T_TTAFStock_Log[Part Name],$A8,T_TTAFStock_Log[WeekIndex],99)=0,"",SUMIFS(T_TTAFStock_Log[TTAF_Qty],T_TTAFStock_Log[Part Name],$A8,T_TTAFStock_Log[WeekIndex],99))</f>
        <v/>
      </c>
      <c r="CW8" s="12">
        <f>IF(COUNTIFS(T_TTAFStock_Log[Part Name],$A8,T_TTAFStock_Log[WeekIndex],100)=0,"",SUMIFS(T_TTAFStock_Log[TTAF_Qty],T_TTAFStock_Log[Part Name],$A8,T_TTAFStock_Log[WeekIndex],100))</f>
        <v/>
      </c>
      <c r="CX8" s="12">
        <f>IF(COUNTIFS(T_TTAFStock_Log[Part Name],$A8,T_TTAFStock_Log[WeekIndex],101)=0,"",SUMIFS(T_TTAFStock_Log[TTAF_Qty],T_TTAFStock_Log[Part Name],$A8,T_TTAFStock_Log[WeekIndex],101))</f>
        <v/>
      </c>
      <c r="CY8" s="12">
        <f>IF(COUNTIFS(T_TTAFStock_Log[Part Name],$A8,T_TTAFStock_Log[WeekIndex],102)=0,"",SUMIFS(T_TTAFStock_Log[TTAF_Qty],T_TTAFStock_Log[Part Name],$A8,T_TTAFStock_Log[WeekIndex],102))</f>
        <v/>
      </c>
      <c r="CZ8" s="12">
        <f>IF(COUNTIFS(T_TTAFStock_Log[Part Name],$A8,T_TTAFStock_Log[WeekIndex],103)=0,"",SUMIFS(T_TTAFStock_Log[TTAF_Qty],T_TTAFStock_Log[Part Name],$A8,T_TTAFStock_Log[WeekIndex],103))</f>
        <v/>
      </c>
      <c r="DA8" s="12">
        <f>IF(COUNTIFS(T_TTAFStock_Log[Part Name],$A8,T_TTAFStock_Log[WeekIndex],104)=0,"",SUMIFS(T_TTAFStock_Log[TTAF_Qty],T_TTAFStock_Log[Part Name],$A8,T_TTAFStock_Log[WeekIndex],104))</f>
        <v/>
      </c>
    </row>
    <row r="9">
      <c r="A9" s="13" t="inlineStr">
        <is>
          <t>CHEM-1420</t>
        </is>
      </c>
      <c r="B9" s="13">
        <f>IF(COUNTIFS(T_TTAFStock_Log[Part Name],$A9,T_TTAFStock_Log[WeekIndex],1)=0,"",SUMIFS(T_TTAFStock_Log[TTAF_Qty],T_TTAFStock_Log[Part Name],$A9,T_TTAFStock_Log[WeekIndex],1))</f>
        <v/>
      </c>
      <c r="C9" s="13">
        <f>IF(COUNTIFS(T_TTAFStock_Log[Part Name],$A9,T_TTAFStock_Log[WeekIndex],2)=0,"",SUMIFS(T_TTAFStock_Log[TTAF_Qty],T_TTAFStock_Log[Part Name],$A9,T_TTAFStock_Log[WeekIndex],2))</f>
        <v/>
      </c>
      <c r="D9" s="13">
        <f>IF(COUNTIFS(T_TTAFStock_Log[Part Name],$A9,T_TTAFStock_Log[WeekIndex],3)=0,"",SUMIFS(T_TTAFStock_Log[TTAF_Qty],T_TTAFStock_Log[Part Name],$A9,T_TTAFStock_Log[WeekIndex],3))</f>
        <v/>
      </c>
      <c r="E9" s="13">
        <f>IF(COUNTIFS(T_TTAFStock_Log[Part Name],$A9,T_TTAFStock_Log[WeekIndex],4)=0,"",SUMIFS(T_TTAFStock_Log[TTAF_Qty],T_TTAFStock_Log[Part Name],$A9,T_TTAFStock_Log[WeekIndex],4))</f>
        <v/>
      </c>
      <c r="F9" s="13">
        <f>IF(COUNTIFS(T_TTAFStock_Log[Part Name],$A9,T_TTAFStock_Log[WeekIndex],5)=0,"",SUMIFS(T_TTAFStock_Log[TTAF_Qty],T_TTAFStock_Log[Part Name],$A9,T_TTAFStock_Log[WeekIndex],5))</f>
        <v/>
      </c>
      <c r="G9" s="13">
        <f>IF(COUNTIFS(T_TTAFStock_Log[Part Name],$A9,T_TTAFStock_Log[WeekIndex],6)=0,"",SUMIFS(T_TTAFStock_Log[TTAF_Qty],T_TTAFStock_Log[Part Name],$A9,T_TTAFStock_Log[WeekIndex],6))</f>
        <v/>
      </c>
      <c r="H9" s="13">
        <f>IF(COUNTIFS(T_TTAFStock_Log[Part Name],$A9,T_TTAFStock_Log[WeekIndex],7)=0,"",SUMIFS(T_TTAFStock_Log[TTAF_Qty],T_TTAFStock_Log[Part Name],$A9,T_TTAFStock_Log[WeekIndex],7))</f>
        <v/>
      </c>
      <c r="I9" s="13">
        <f>IF(COUNTIFS(T_TTAFStock_Log[Part Name],$A9,T_TTAFStock_Log[WeekIndex],8)=0,"",SUMIFS(T_TTAFStock_Log[TTAF_Qty],T_TTAFStock_Log[Part Name],$A9,T_TTAFStock_Log[WeekIndex],8))</f>
        <v/>
      </c>
      <c r="J9" s="13">
        <f>IF(COUNTIFS(T_TTAFStock_Log[Part Name],$A9,T_TTAFStock_Log[WeekIndex],9)=0,"",SUMIFS(T_TTAFStock_Log[TTAF_Qty],T_TTAFStock_Log[Part Name],$A9,T_TTAFStock_Log[WeekIndex],9))</f>
        <v/>
      </c>
      <c r="K9" s="13">
        <f>IF(COUNTIFS(T_TTAFStock_Log[Part Name],$A9,T_TTAFStock_Log[WeekIndex],10)=0,"",SUMIFS(T_TTAFStock_Log[TTAF_Qty],T_TTAFStock_Log[Part Name],$A9,T_TTAFStock_Log[WeekIndex],10))</f>
        <v/>
      </c>
      <c r="L9" s="13">
        <f>IF(COUNTIFS(T_TTAFStock_Log[Part Name],$A9,T_TTAFStock_Log[WeekIndex],11)=0,"",SUMIFS(T_TTAFStock_Log[TTAF_Qty],T_TTAFStock_Log[Part Name],$A9,T_TTAFStock_Log[WeekIndex],11))</f>
        <v/>
      </c>
      <c r="M9" s="13">
        <f>IF(COUNTIFS(T_TTAFStock_Log[Part Name],$A9,T_TTAFStock_Log[WeekIndex],12)=0,"",SUMIFS(T_TTAFStock_Log[TTAF_Qty],T_TTAFStock_Log[Part Name],$A9,T_TTAFStock_Log[WeekIndex],12))</f>
        <v/>
      </c>
      <c r="N9" s="13">
        <f>IF(COUNTIFS(T_TTAFStock_Log[Part Name],$A9,T_TTAFStock_Log[WeekIndex],13)=0,"",SUMIFS(T_TTAFStock_Log[TTAF_Qty],T_TTAFStock_Log[Part Name],$A9,T_TTAFStock_Log[WeekIndex],13))</f>
        <v/>
      </c>
      <c r="O9" s="13">
        <f>IF(COUNTIFS(T_TTAFStock_Log[Part Name],$A9,T_TTAFStock_Log[WeekIndex],14)=0,"",SUMIFS(T_TTAFStock_Log[TTAF_Qty],T_TTAFStock_Log[Part Name],$A9,T_TTAFStock_Log[WeekIndex],14))</f>
        <v/>
      </c>
      <c r="P9" s="13">
        <f>IF(COUNTIFS(T_TTAFStock_Log[Part Name],$A9,T_TTAFStock_Log[WeekIndex],15)=0,"",SUMIFS(T_TTAFStock_Log[TTAF_Qty],T_TTAFStock_Log[Part Name],$A9,T_TTAFStock_Log[WeekIndex],15))</f>
        <v/>
      </c>
      <c r="Q9" s="13">
        <f>IF(COUNTIFS(T_TTAFStock_Log[Part Name],$A9,T_TTAFStock_Log[WeekIndex],16)=0,"",SUMIFS(T_TTAFStock_Log[TTAF_Qty],T_TTAFStock_Log[Part Name],$A9,T_TTAFStock_Log[WeekIndex],16))</f>
        <v/>
      </c>
      <c r="R9" s="13">
        <f>IF(COUNTIFS(T_TTAFStock_Log[Part Name],$A9,T_TTAFStock_Log[WeekIndex],17)=0,"",SUMIFS(T_TTAFStock_Log[TTAF_Qty],T_TTAFStock_Log[Part Name],$A9,T_TTAFStock_Log[WeekIndex],17))</f>
        <v/>
      </c>
      <c r="S9" s="13">
        <f>IF(COUNTIFS(T_TTAFStock_Log[Part Name],$A9,T_TTAFStock_Log[WeekIndex],18)=0,"",SUMIFS(T_TTAFStock_Log[TTAF_Qty],T_TTAFStock_Log[Part Name],$A9,T_TTAFStock_Log[WeekIndex],18))</f>
        <v/>
      </c>
      <c r="T9" s="13">
        <f>IF(COUNTIFS(T_TTAFStock_Log[Part Name],$A9,T_TTAFStock_Log[WeekIndex],19)=0,"",SUMIFS(T_TTAFStock_Log[TTAF_Qty],T_TTAFStock_Log[Part Name],$A9,T_TTAFStock_Log[WeekIndex],19))</f>
        <v/>
      </c>
      <c r="U9" s="13">
        <f>IF(COUNTIFS(T_TTAFStock_Log[Part Name],$A9,T_TTAFStock_Log[WeekIndex],20)=0,"",SUMIFS(T_TTAFStock_Log[TTAF_Qty],T_TTAFStock_Log[Part Name],$A9,T_TTAFStock_Log[WeekIndex],20))</f>
        <v/>
      </c>
      <c r="V9" s="13">
        <f>IF(COUNTIFS(T_TTAFStock_Log[Part Name],$A9,T_TTAFStock_Log[WeekIndex],21)=0,"",SUMIFS(T_TTAFStock_Log[TTAF_Qty],T_TTAFStock_Log[Part Name],$A9,T_TTAFStock_Log[WeekIndex],21))</f>
        <v/>
      </c>
      <c r="W9" s="13">
        <f>IF(COUNTIFS(T_TTAFStock_Log[Part Name],$A9,T_TTAFStock_Log[WeekIndex],22)=0,"",SUMIFS(T_TTAFStock_Log[TTAF_Qty],T_TTAFStock_Log[Part Name],$A9,T_TTAFStock_Log[WeekIndex],22))</f>
        <v/>
      </c>
      <c r="X9" s="13">
        <f>IF(COUNTIFS(T_TTAFStock_Log[Part Name],$A9,T_TTAFStock_Log[WeekIndex],23)=0,"",SUMIFS(T_TTAFStock_Log[TTAF_Qty],T_TTAFStock_Log[Part Name],$A9,T_TTAFStock_Log[WeekIndex],23))</f>
        <v/>
      </c>
      <c r="Y9" s="13">
        <f>IF(COUNTIFS(T_TTAFStock_Log[Part Name],$A9,T_TTAFStock_Log[WeekIndex],24)=0,"",SUMIFS(T_TTAFStock_Log[TTAF_Qty],T_TTAFStock_Log[Part Name],$A9,T_TTAFStock_Log[WeekIndex],24))</f>
        <v/>
      </c>
      <c r="Z9" s="13">
        <f>IF(COUNTIFS(T_TTAFStock_Log[Part Name],$A9,T_TTAFStock_Log[WeekIndex],25)=0,"",SUMIFS(T_TTAFStock_Log[TTAF_Qty],T_TTAFStock_Log[Part Name],$A9,T_TTAFStock_Log[WeekIndex],25))</f>
        <v/>
      </c>
      <c r="AA9" s="13">
        <f>IF(COUNTIFS(T_TTAFStock_Log[Part Name],$A9,T_TTAFStock_Log[WeekIndex],26)=0,"",SUMIFS(T_TTAFStock_Log[TTAF_Qty],T_TTAFStock_Log[Part Name],$A9,T_TTAFStock_Log[WeekIndex],26))</f>
        <v/>
      </c>
      <c r="AB9" s="13">
        <f>IF(COUNTIFS(T_TTAFStock_Log[Part Name],$A9,T_TTAFStock_Log[WeekIndex],27)=0,"",SUMIFS(T_TTAFStock_Log[TTAF_Qty],T_TTAFStock_Log[Part Name],$A9,T_TTAFStock_Log[WeekIndex],27))</f>
        <v/>
      </c>
      <c r="AC9" s="13">
        <f>IF(COUNTIFS(T_TTAFStock_Log[Part Name],$A9,T_TTAFStock_Log[WeekIndex],28)=0,"",SUMIFS(T_TTAFStock_Log[TTAF_Qty],T_TTAFStock_Log[Part Name],$A9,T_TTAFStock_Log[WeekIndex],28))</f>
        <v/>
      </c>
      <c r="AD9" s="13">
        <f>IF(COUNTIFS(T_TTAFStock_Log[Part Name],$A9,T_TTAFStock_Log[WeekIndex],29)=0,"",SUMIFS(T_TTAFStock_Log[TTAF_Qty],T_TTAFStock_Log[Part Name],$A9,T_TTAFStock_Log[WeekIndex],29))</f>
        <v/>
      </c>
      <c r="AE9" s="13">
        <f>IF(COUNTIFS(T_TTAFStock_Log[Part Name],$A9,T_TTAFStock_Log[WeekIndex],30)=0,"",SUMIFS(T_TTAFStock_Log[TTAF_Qty],T_TTAFStock_Log[Part Name],$A9,T_TTAFStock_Log[WeekIndex],30))</f>
        <v/>
      </c>
      <c r="AF9" s="13">
        <f>IF(COUNTIFS(T_TTAFStock_Log[Part Name],$A9,T_TTAFStock_Log[WeekIndex],31)=0,"",SUMIFS(T_TTAFStock_Log[TTAF_Qty],T_TTAFStock_Log[Part Name],$A9,T_TTAFStock_Log[WeekIndex],31))</f>
        <v/>
      </c>
      <c r="AG9" s="13">
        <f>IF(COUNTIFS(T_TTAFStock_Log[Part Name],$A9,T_TTAFStock_Log[WeekIndex],32)=0,"",SUMIFS(T_TTAFStock_Log[TTAF_Qty],T_TTAFStock_Log[Part Name],$A9,T_TTAFStock_Log[WeekIndex],32))</f>
        <v/>
      </c>
      <c r="AH9" s="13">
        <f>IF(COUNTIFS(T_TTAFStock_Log[Part Name],$A9,T_TTAFStock_Log[WeekIndex],33)=0,"",SUMIFS(T_TTAFStock_Log[TTAF_Qty],T_TTAFStock_Log[Part Name],$A9,T_TTAFStock_Log[WeekIndex],33))</f>
        <v/>
      </c>
      <c r="AI9" s="13">
        <f>IF(COUNTIFS(T_TTAFStock_Log[Part Name],$A9,T_TTAFStock_Log[WeekIndex],34)=0,"",SUMIFS(T_TTAFStock_Log[TTAF_Qty],T_TTAFStock_Log[Part Name],$A9,T_TTAFStock_Log[WeekIndex],34))</f>
        <v/>
      </c>
      <c r="AJ9" s="13">
        <f>IF(COUNTIFS(T_TTAFStock_Log[Part Name],$A9,T_TTAFStock_Log[WeekIndex],35)=0,"",SUMIFS(T_TTAFStock_Log[TTAF_Qty],T_TTAFStock_Log[Part Name],$A9,T_TTAFStock_Log[WeekIndex],35))</f>
        <v/>
      </c>
      <c r="AK9" s="13">
        <f>IF(COUNTIFS(T_TTAFStock_Log[Part Name],$A9,T_TTAFStock_Log[WeekIndex],36)=0,"",SUMIFS(T_TTAFStock_Log[TTAF_Qty],T_TTAFStock_Log[Part Name],$A9,T_TTAFStock_Log[WeekIndex],36))</f>
        <v/>
      </c>
      <c r="AL9" s="13">
        <f>IF(COUNTIFS(T_TTAFStock_Log[Part Name],$A9,T_TTAFStock_Log[WeekIndex],37)=0,"",SUMIFS(T_TTAFStock_Log[TTAF_Qty],T_TTAFStock_Log[Part Name],$A9,T_TTAFStock_Log[WeekIndex],37))</f>
        <v/>
      </c>
      <c r="AM9" s="13">
        <f>IF(COUNTIFS(T_TTAFStock_Log[Part Name],$A9,T_TTAFStock_Log[WeekIndex],38)=0,"",SUMIFS(T_TTAFStock_Log[TTAF_Qty],T_TTAFStock_Log[Part Name],$A9,T_TTAFStock_Log[WeekIndex],38))</f>
        <v/>
      </c>
      <c r="AN9" s="13">
        <f>IF(COUNTIFS(T_TTAFStock_Log[Part Name],$A9,T_TTAFStock_Log[WeekIndex],39)=0,"",SUMIFS(T_TTAFStock_Log[TTAF_Qty],T_TTAFStock_Log[Part Name],$A9,T_TTAFStock_Log[WeekIndex],39))</f>
        <v/>
      </c>
      <c r="AO9" s="13">
        <f>IF(COUNTIFS(T_TTAFStock_Log[Part Name],$A9,T_TTAFStock_Log[WeekIndex],40)=0,"",SUMIFS(T_TTAFStock_Log[TTAF_Qty],T_TTAFStock_Log[Part Name],$A9,T_TTAFStock_Log[WeekIndex],40))</f>
        <v/>
      </c>
      <c r="AP9" s="13">
        <f>IF(COUNTIFS(T_TTAFStock_Log[Part Name],$A9,T_TTAFStock_Log[WeekIndex],41)=0,"",SUMIFS(T_TTAFStock_Log[TTAF_Qty],T_TTAFStock_Log[Part Name],$A9,T_TTAFStock_Log[WeekIndex],41))</f>
        <v/>
      </c>
      <c r="AQ9" s="13">
        <f>IF(COUNTIFS(T_TTAFStock_Log[Part Name],$A9,T_TTAFStock_Log[WeekIndex],42)=0,"",SUMIFS(T_TTAFStock_Log[TTAF_Qty],T_TTAFStock_Log[Part Name],$A9,T_TTAFStock_Log[WeekIndex],42))</f>
        <v/>
      </c>
      <c r="AR9" s="13">
        <f>IF(COUNTIFS(T_TTAFStock_Log[Part Name],$A9,T_TTAFStock_Log[WeekIndex],43)=0,"",SUMIFS(T_TTAFStock_Log[TTAF_Qty],T_TTAFStock_Log[Part Name],$A9,T_TTAFStock_Log[WeekIndex],43))</f>
        <v/>
      </c>
      <c r="AS9" s="13">
        <f>IF(COUNTIFS(T_TTAFStock_Log[Part Name],$A9,T_TTAFStock_Log[WeekIndex],44)=0,"",SUMIFS(T_TTAFStock_Log[TTAF_Qty],T_TTAFStock_Log[Part Name],$A9,T_TTAFStock_Log[WeekIndex],44))</f>
        <v/>
      </c>
      <c r="AT9" s="13">
        <f>IF(COUNTIFS(T_TTAFStock_Log[Part Name],$A9,T_TTAFStock_Log[WeekIndex],45)=0,"",SUMIFS(T_TTAFStock_Log[TTAF_Qty],T_TTAFStock_Log[Part Name],$A9,T_TTAFStock_Log[WeekIndex],45))</f>
        <v/>
      </c>
      <c r="AU9" s="13">
        <f>IF(COUNTIFS(T_TTAFStock_Log[Part Name],$A9,T_TTAFStock_Log[WeekIndex],46)=0,"",SUMIFS(T_TTAFStock_Log[TTAF_Qty],T_TTAFStock_Log[Part Name],$A9,T_TTAFStock_Log[WeekIndex],46))</f>
        <v/>
      </c>
      <c r="AV9" s="13">
        <f>IF(COUNTIFS(T_TTAFStock_Log[Part Name],$A9,T_TTAFStock_Log[WeekIndex],47)=0,"",SUMIFS(T_TTAFStock_Log[TTAF_Qty],T_TTAFStock_Log[Part Name],$A9,T_TTAFStock_Log[WeekIndex],47))</f>
        <v/>
      </c>
      <c r="AW9" s="13">
        <f>IF(COUNTIFS(T_TTAFStock_Log[Part Name],$A9,T_TTAFStock_Log[WeekIndex],48)=0,"",SUMIFS(T_TTAFStock_Log[TTAF_Qty],T_TTAFStock_Log[Part Name],$A9,T_TTAFStock_Log[WeekIndex],48))</f>
        <v/>
      </c>
      <c r="AX9" s="13">
        <f>IF(COUNTIFS(T_TTAFStock_Log[Part Name],$A9,T_TTAFStock_Log[WeekIndex],49)=0,"",SUMIFS(T_TTAFStock_Log[TTAF_Qty],T_TTAFStock_Log[Part Name],$A9,T_TTAFStock_Log[WeekIndex],49))</f>
        <v/>
      </c>
      <c r="AY9" s="13">
        <f>IF(COUNTIFS(T_TTAFStock_Log[Part Name],$A9,T_TTAFStock_Log[WeekIndex],50)=0,"",SUMIFS(T_TTAFStock_Log[TTAF_Qty],T_TTAFStock_Log[Part Name],$A9,T_TTAFStock_Log[WeekIndex],50))</f>
        <v/>
      </c>
      <c r="AZ9" s="13">
        <f>IF(COUNTIFS(T_TTAFStock_Log[Part Name],$A9,T_TTAFStock_Log[WeekIndex],51)=0,"",SUMIFS(T_TTAFStock_Log[TTAF_Qty],T_TTAFStock_Log[Part Name],$A9,T_TTAFStock_Log[WeekIndex],51))</f>
        <v/>
      </c>
      <c r="BA9" s="13">
        <f>IF(COUNTIFS(T_TTAFStock_Log[Part Name],$A9,T_TTAFStock_Log[WeekIndex],52)=0,"",SUMIFS(T_TTAFStock_Log[TTAF_Qty],T_TTAFStock_Log[Part Name],$A9,T_TTAFStock_Log[WeekIndex],52))</f>
        <v/>
      </c>
      <c r="BB9" s="13">
        <f>IF(COUNTIFS(T_TTAFStock_Log[Part Name],$A9,T_TTAFStock_Log[WeekIndex],53)=0,"",SUMIFS(T_TTAFStock_Log[TTAF_Qty],T_TTAFStock_Log[Part Name],$A9,T_TTAFStock_Log[WeekIndex],53))</f>
        <v/>
      </c>
      <c r="BC9" s="13">
        <f>IF(COUNTIFS(T_TTAFStock_Log[Part Name],$A9,T_TTAFStock_Log[WeekIndex],54)=0,"",SUMIFS(T_TTAFStock_Log[TTAF_Qty],T_TTAFStock_Log[Part Name],$A9,T_TTAFStock_Log[WeekIndex],54))</f>
        <v/>
      </c>
      <c r="BD9" s="13">
        <f>IF(COUNTIFS(T_TTAFStock_Log[Part Name],$A9,T_TTAFStock_Log[WeekIndex],55)=0,"",SUMIFS(T_TTAFStock_Log[TTAF_Qty],T_TTAFStock_Log[Part Name],$A9,T_TTAFStock_Log[WeekIndex],55))</f>
        <v/>
      </c>
      <c r="BE9" s="13">
        <f>IF(COUNTIFS(T_TTAFStock_Log[Part Name],$A9,T_TTAFStock_Log[WeekIndex],56)=0,"",SUMIFS(T_TTAFStock_Log[TTAF_Qty],T_TTAFStock_Log[Part Name],$A9,T_TTAFStock_Log[WeekIndex],56))</f>
        <v/>
      </c>
      <c r="BF9" s="13">
        <f>IF(COUNTIFS(T_TTAFStock_Log[Part Name],$A9,T_TTAFStock_Log[WeekIndex],57)=0,"",SUMIFS(T_TTAFStock_Log[TTAF_Qty],T_TTAFStock_Log[Part Name],$A9,T_TTAFStock_Log[WeekIndex],57))</f>
        <v/>
      </c>
      <c r="BG9" s="13">
        <f>IF(COUNTIFS(T_TTAFStock_Log[Part Name],$A9,T_TTAFStock_Log[WeekIndex],58)=0,"",SUMIFS(T_TTAFStock_Log[TTAF_Qty],T_TTAFStock_Log[Part Name],$A9,T_TTAFStock_Log[WeekIndex],58))</f>
        <v/>
      </c>
      <c r="BH9" s="13">
        <f>IF(COUNTIFS(T_TTAFStock_Log[Part Name],$A9,T_TTAFStock_Log[WeekIndex],59)=0,"",SUMIFS(T_TTAFStock_Log[TTAF_Qty],T_TTAFStock_Log[Part Name],$A9,T_TTAFStock_Log[WeekIndex],59))</f>
        <v/>
      </c>
      <c r="BI9" s="13">
        <f>IF(COUNTIFS(T_TTAFStock_Log[Part Name],$A9,T_TTAFStock_Log[WeekIndex],60)=0,"",SUMIFS(T_TTAFStock_Log[TTAF_Qty],T_TTAFStock_Log[Part Name],$A9,T_TTAFStock_Log[WeekIndex],60))</f>
        <v/>
      </c>
      <c r="BJ9" s="13">
        <f>IF(COUNTIFS(T_TTAFStock_Log[Part Name],$A9,T_TTAFStock_Log[WeekIndex],61)=0,"",SUMIFS(T_TTAFStock_Log[TTAF_Qty],T_TTAFStock_Log[Part Name],$A9,T_TTAFStock_Log[WeekIndex],61))</f>
        <v/>
      </c>
      <c r="BK9" s="13">
        <f>IF(COUNTIFS(T_TTAFStock_Log[Part Name],$A9,T_TTAFStock_Log[WeekIndex],62)=0,"",SUMIFS(T_TTAFStock_Log[TTAF_Qty],T_TTAFStock_Log[Part Name],$A9,T_TTAFStock_Log[WeekIndex],62))</f>
        <v/>
      </c>
      <c r="BL9" s="13">
        <f>IF(COUNTIFS(T_TTAFStock_Log[Part Name],$A9,T_TTAFStock_Log[WeekIndex],63)=0,"",SUMIFS(T_TTAFStock_Log[TTAF_Qty],T_TTAFStock_Log[Part Name],$A9,T_TTAFStock_Log[WeekIndex],63))</f>
        <v/>
      </c>
      <c r="BM9" s="13">
        <f>IF(COUNTIFS(T_TTAFStock_Log[Part Name],$A9,T_TTAFStock_Log[WeekIndex],64)=0,"",SUMIFS(T_TTAFStock_Log[TTAF_Qty],T_TTAFStock_Log[Part Name],$A9,T_TTAFStock_Log[WeekIndex],64))</f>
        <v/>
      </c>
      <c r="BN9" s="13">
        <f>IF(COUNTIFS(T_TTAFStock_Log[Part Name],$A9,T_TTAFStock_Log[WeekIndex],65)=0,"",SUMIFS(T_TTAFStock_Log[TTAF_Qty],T_TTAFStock_Log[Part Name],$A9,T_TTAFStock_Log[WeekIndex],65))</f>
        <v/>
      </c>
      <c r="BO9" s="13">
        <f>IF(COUNTIFS(T_TTAFStock_Log[Part Name],$A9,T_TTAFStock_Log[WeekIndex],66)=0,"",SUMIFS(T_TTAFStock_Log[TTAF_Qty],T_TTAFStock_Log[Part Name],$A9,T_TTAFStock_Log[WeekIndex],66))</f>
        <v/>
      </c>
      <c r="BP9" s="13">
        <f>IF(COUNTIFS(T_TTAFStock_Log[Part Name],$A9,T_TTAFStock_Log[WeekIndex],67)=0,"",SUMIFS(T_TTAFStock_Log[TTAF_Qty],T_TTAFStock_Log[Part Name],$A9,T_TTAFStock_Log[WeekIndex],67))</f>
        <v/>
      </c>
      <c r="BQ9" s="13">
        <f>IF(COUNTIFS(T_TTAFStock_Log[Part Name],$A9,T_TTAFStock_Log[WeekIndex],68)=0,"",SUMIFS(T_TTAFStock_Log[TTAF_Qty],T_TTAFStock_Log[Part Name],$A9,T_TTAFStock_Log[WeekIndex],68))</f>
        <v/>
      </c>
      <c r="BR9" s="13">
        <f>IF(COUNTIFS(T_TTAFStock_Log[Part Name],$A9,T_TTAFStock_Log[WeekIndex],69)=0,"",SUMIFS(T_TTAFStock_Log[TTAF_Qty],T_TTAFStock_Log[Part Name],$A9,T_TTAFStock_Log[WeekIndex],69))</f>
        <v/>
      </c>
      <c r="BS9" s="13">
        <f>IF(COUNTIFS(T_TTAFStock_Log[Part Name],$A9,T_TTAFStock_Log[WeekIndex],70)=0,"",SUMIFS(T_TTAFStock_Log[TTAF_Qty],T_TTAFStock_Log[Part Name],$A9,T_TTAFStock_Log[WeekIndex],70))</f>
        <v/>
      </c>
      <c r="BT9" s="13">
        <f>IF(COUNTIFS(T_TTAFStock_Log[Part Name],$A9,T_TTAFStock_Log[WeekIndex],71)=0,"",SUMIFS(T_TTAFStock_Log[TTAF_Qty],T_TTAFStock_Log[Part Name],$A9,T_TTAFStock_Log[WeekIndex],71))</f>
        <v/>
      </c>
      <c r="BU9" s="13">
        <f>IF(COUNTIFS(T_TTAFStock_Log[Part Name],$A9,T_TTAFStock_Log[WeekIndex],72)=0,"",SUMIFS(T_TTAFStock_Log[TTAF_Qty],T_TTAFStock_Log[Part Name],$A9,T_TTAFStock_Log[WeekIndex],72))</f>
        <v/>
      </c>
      <c r="BV9" s="13">
        <f>IF(COUNTIFS(T_TTAFStock_Log[Part Name],$A9,T_TTAFStock_Log[WeekIndex],73)=0,"",SUMIFS(T_TTAFStock_Log[TTAF_Qty],T_TTAFStock_Log[Part Name],$A9,T_TTAFStock_Log[WeekIndex],73))</f>
        <v/>
      </c>
      <c r="BW9" s="13">
        <f>IF(COUNTIFS(T_TTAFStock_Log[Part Name],$A9,T_TTAFStock_Log[WeekIndex],74)=0,"",SUMIFS(T_TTAFStock_Log[TTAF_Qty],T_TTAFStock_Log[Part Name],$A9,T_TTAFStock_Log[WeekIndex],74))</f>
        <v/>
      </c>
      <c r="BX9" s="13">
        <f>IF(COUNTIFS(T_TTAFStock_Log[Part Name],$A9,T_TTAFStock_Log[WeekIndex],75)=0,"",SUMIFS(T_TTAFStock_Log[TTAF_Qty],T_TTAFStock_Log[Part Name],$A9,T_TTAFStock_Log[WeekIndex],75))</f>
        <v/>
      </c>
      <c r="BY9" s="13">
        <f>IF(COUNTIFS(T_TTAFStock_Log[Part Name],$A9,T_TTAFStock_Log[WeekIndex],76)=0,"",SUMIFS(T_TTAFStock_Log[TTAF_Qty],T_TTAFStock_Log[Part Name],$A9,T_TTAFStock_Log[WeekIndex],76))</f>
        <v/>
      </c>
      <c r="BZ9" s="13">
        <f>IF(COUNTIFS(T_TTAFStock_Log[Part Name],$A9,T_TTAFStock_Log[WeekIndex],77)=0,"",SUMIFS(T_TTAFStock_Log[TTAF_Qty],T_TTAFStock_Log[Part Name],$A9,T_TTAFStock_Log[WeekIndex],77))</f>
        <v/>
      </c>
      <c r="CA9" s="13">
        <f>IF(COUNTIFS(T_TTAFStock_Log[Part Name],$A9,T_TTAFStock_Log[WeekIndex],78)=0,"",SUMIFS(T_TTAFStock_Log[TTAF_Qty],T_TTAFStock_Log[Part Name],$A9,T_TTAFStock_Log[WeekIndex],78))</f>
        <v/>
      </c>
      <c r="CB9" s="13">
        <f>IF(COUNTIFS(T_TTAFStock_Log[Part Name],$A9,T_TTAFStock_Log[WeekIndex],79)=0,"",SUMIFS(T_TTAFStock_Log[TTAF_Qty],T_TTAFStock_Log[Part Name],$A9,T_TTAFStock_Log[WeekIndex],79))</f>
        <v/>
      </c>
      <c r="CC9" s="13">
        <f>IF(COUNTIFS(T_TTAFStock_Log[Part Name],$A9,T_TTAFStock_Log[WeekIndex],80)=0,"",SUMIFS(T_TTAFStock_Log[TTAF_Qty],T_TTAFStock_Log[Part Name],$A9,T_TTAFStock_Log[WeekIndex],80))</f>
        <v/>
      </c>
      <c r="CD9" s="13">
        <f>IF(COUNTIFS(T_TTAFStock_Log[Part Name],$A9,T_TTAFStock_Log[WeekIndex],81)=0,"",SUMIFS(T_TTAFStock_Log[TTAF_Qty],T_TTAFStock_Log[Part Name],$A9,T_TTAFStock_Log[WeekIndex],81))</f>
        <v/>
      </c>
      <c r="CE9" s="13">
        <f>IF(COUNTIFS(T_TTAFStock_Log[Part Name],$A9,T_TTAFStock_Log[WeekIndex],82)=0,"",SUMIFS(T_TTAFStock_Log[TTAF_Qty],T_TTAFStock_Log[Part Name],$A9,T_TTAFStock_Log[WeekIndex],82))</f>
        <v/>
      </c>
      <c r="CF9" s="13">
        <f>IF(COUNTIFS(T_TTAFStock_Log[Part Name],$A9,T_TTAFStock_Log[WeekIndex],83)=0,"",SUMIFS(T_TTAFStock_Log[TTAF_Qty],T_TTAFStock_Log[Part Name],$A9,T_TTAFStock_Log[WeekIndex],83))</f>
        <v/>
      </c>
      <c r="CG9" s="13">
        <f>IF(COUNTIFS(T_TTAFStock_Log[Part Name],$A9,T_TTAFStock_Log[WeekIndex],84)=0,"",SUMIFS(T_TTAFStock_Log[TTAF_Qty],T_TTAFStock_Log[Part Name],$A9,T_TTAFStock_Log[WeekIndex],84))</f>
        <v/>
      </c>
      <c r="CH9" s="13">
        <f>IF(COUNTIFS(T_TTAFStock_Log[Part Name],$A9,T_TTAFStock_Log[WeekIndex],85)=0,"",SUMIFS(T_TTAFStock_Log[TTAF_Qty],T_TTAFStock_Log[Part Name],$A9,T_TTAFStock_Log[WeekIndex],85))</f>
        <v/>
      </c>
      <c r="CI9" s="13">
        <f>IF(COUNTIFS(T_TTAFStock_Log[Part Name],$A9,T_TTAFStock_Log[WeekIndex],86)=0,"",SUMIFS(T_TTAFStock_Log[TTAF_Qty],T_TTAFStock_Log[Part Name],$A9,T_TTAFStock_Log[WeekIndex],86))</f>
        <v/>
      </c>
      <c r="CJ9" s="13">
        <f>IF(COUNTIFS(T_TTAFStock_Log[Part Name],$A9,T_TTAFStock_Log[WeekIndex],87)=0,"",SUMIFS(T_TTAFStock_Log[TTAF_Qty],T_TTAFStock_Log[Part Name],$A9,T_TTAFStock_Log[WeekIndex],87))</f>
        <v/>
      </c>
      <c r="CK9" s="13">
        <f>IF(COUNTIFS(T_TTAFStock_Log[Part Name],$A9,T_TTAFStock_Log[WeekIndex],88)=0,"",SUMIFS(T_TTAFStock_Log[TTAF_Qty],T_TTAFStock_Log[Part Name],$A9,T_TTAFStock_Log[WeekIndex],88))</f>
        <v/>
      </c>
      <c r="CL9" s="13">
        <f>IF(COUNTIFS(T_TTAFStock_Log[Part Name],$A9,T_TTAFStock_Log[WeekIndex],89)=0,"",SUMIFS(T_TTAFStock_Log[TTAF_Qty],T_TTAFStock_Log[Part Name],$A9,T_TTAFStock_Log[WeekIndex],89))</f>
        <v/>
      </c>
      <c r="CM9" s="13">
        <f>IF(COUNTIFS(T_TTAFStock_Log[Part Name],$A9,T_TTAFStock_Log[WeekIndex],90)=0,"",SUMIFS(T_TTAFStock_Log[TTAF_Qty],T_TTAFStock_Log[Part Name],$A9,T_TTAFStock_Log[WeekIndex],90))</f>
        <v/>
      </c>
      <c r="CN9" s="13">
        <f>IF(COUNTIFS(T_TTAFStock_Log[Part Name],$A9,T_TTAFStock_Log[WeekIndex],91)=0,"",SUMIFS(T_TTAFStock_Log[TTAF_Qty],T_TTAFStock_Log[Part Name],$A9,T_TTAFStock_Log[WeekIndex],91))</f>
        <v/>
      </c>
      <c r="CO9" s="13">
        <f>IF(COUNTIFS(T_TTAFStock_Log[Part Name],$A9,T_TTAFStock_Log[WeekIndex],92)=0,"",SUMIFS(T_TTAFStock_Log[TTAF_Qty],T_TTAFStock_Log[Part Name],$A9,T_TTAFStock_Log[WeekIndex],92))</f>
        <v/>
      </c>
      <c r="CP9" s="13">
        <f>IF(COUNTIFS(T_TTAFStock_Log[Part Name],$A9,T_TTAFStock_Log[WeekIndex],93)=0,"",SUMIFS(T_TTAFStock_Log[TTAF_Qty],T_TTAFStock_Log[Part Name],$A9,T_TTAFStock_Log[WeekIndex],93))</f>
        <v/>
      </c>
      <c r="CQ9" s="13">
        <f>IF(COUNTIFS(T_TTAFStock_Log[Part Name],$A9,T_TTAFStock_Log[WeekIndex],94)=0,"",SUMIFS(T_TTAFStock_Log[TTAF_Qty],T_TTAFStock_Log[Part Name],$A9,T_TTAFStock_Log[WeekIndex],94))</f>
        <v/>
      </c>
      <c r="CR9" s="13">
        <f>IF(COUNTIFS(T_TTAFStock_Log[Part Name],$A9,T_TTAFStock_Log[WeekIndex],95)=0,"",SUMIFS(T_TTAFStock_Log[TTAF_Qty],T_TTAFStock_Log[Part Name],$A9,T_TTAFStock_Log[WeekIndex],95))</f>
        <v/>
      </c>
      <c r="CS9" s="13">
        <f>IF(COUNTIFS(T_TTAFStock_Log[Part Name],$A9,T_TTAFStock_Log[WeekIndex],96)=0,"",SUMIFS(T_TTAFStock_Log[TTAF_Qty],T_TTAFStock_Log[Part Name],$A9,T_TTAFStock_Log[WeekIndex],96))</f>
        <v/>
      </c>
      <c r="CT9" s="13">
        <f>IF(COUNTIFS(T_TTAFStock_Log[Part Name],$A9,T_TTAFStock_Log[WeekIndex],97)=0,"",SUMIFS(T_TTAFStock_Log[TTAF_Qty],T_TTAFStock_Log[Part Name],$A9,T_TTAFStock_Log[WeekIndex],97))</f>
        <v/>
      </c>
      <c r="CU9" s="13">
        <f>IF(COUNTIFS(T_TTAFStock_Log[Part Name],$A9,T_TTAFStock_Log[WeekIndex],98)=0,"",SUMIFS(T_TTAFStock_Log[TTAF_Qty],T_TTAFStock_Log[Part Name],$A9,T_TTAFStock_Log[WeekIndex],98))</f>
        <v/>
      </c>
      <c r="CV9" s="13">
        <f>IF(COUNTIFS(T_TTAFStock_Log[Part Name],$A9,T_TTAFStock_Log[WeekIndex],99)=0,"",SUMIFS(T_TTAFStock_Log[TTAF_Qty],T_TTAFStock_Log[Part Name],$A9,T_TTAFStock_Log[WeekIndex],99))</f>
        <v/>
      </c>
      <c r="CW9" s="13">
        <f>IF(COUNTIFS(T_TTAFStock_Log[Part Name],$A9,T_TTAFStock_Log[WeekIndex],100)=0,"",SUMIFS(T_TTAFStock_Log[TTAF_Qty],T_TTAFStock_Log[Part Name],$A9,T_TTAFStock_Log[WeekIndex],100))</f>
        <v/>
      </c>
      <c r="CX9" s="13">
        <f>IF(COUNTIFS(T_TTAFStock_Log[Part Name],$A9,T_TTAFStock_Log[WeekIndex],101)=0,"",SUMIFS(T_TTAFStock_Log[TTAF_Qty],T_TTAFStock_Log[Part Name],$A9,T_TTAFStock_Log[WeekIndex],101))</f>
        <v/>
      </c>
      <c r="CY9" s="13">
        <f>IF(COUNTIFS(T_TTAFStock_Log[Part Name],$A9,T_TTAFStock_Log[WeekIndex],102)=0,"",SUMIFS(T_TTAFStock_Log[TTAF_Qty],T_TTAFStock_Log[Part Name],$A9,T_TTAFStock_Log[WeekIndex],102))</f>
        <v/>
      </c>
      <c r="CZ9" s="13">
        <f>IF(COUNTIFS(T_TTAFStock_Log[Part Name],$A9,T_TTAFStock_Log[WeekIndex],103)=0,"",SUMIFS(T_TTAFStock_Log[TTAF_Qty],T_TTAFStock_Log[Part Name],$A9,T_TTAFStock_Log[WeekIndex],103))</f>
        <v/>
      </c>
      <c r="DA9" s="13">
        <f>IF(COUNTIFS(T_TTAFStock_Log[Part Name],$A9,T_TTAFStock_Log[WeekIndex],104)=0,"",SUMIFS(T_TTAFStock_Log[TTAF_Qty],T_TTAFStock_Log[Part Name],$A9,T_TTAFStock_Log[WeekIndex],104))</f>
        <v/>
      </c>
    </row>
    <row r="10">
      <c r="A10" s="12" t="inlineStr">
        <is>
          <t>CHEM-1530</t>
        </is>
      </c>
      <c r="B10" s="12">
        <f>IF(COUNTIFS(T_TTAFStock_Log[Part Name],$A10,T_TTAFStock_Log[WeekIndex],1)=0,"",SUMIFS(T_TTAFStock_Log[TTAF_Qty],T_TTAFStock_Log[Part Name],$A10,T_TTAFStock_Log[WeekIndex],1))</f>
        <v/>
      </c>
      <c r="C10" s="12">
        <f>IF(COUNTIFS(T_TTAFStock_Log[Part Name],$A10,T_TTAFStock_Log[WeekIndex],2)=0,"",SUMIFS(T_TTAFStock_Log[TTAF_Qty],T_TTAFStock_Log[Part Name],$A10,T_TTAFStock_Log[WeekIndex],2))</f>
        <v/>
      </c>
      <c r="D10" s="12">
        <f>IF(COUNTIFS(T_TTAFStock_Log[Part Name],$A10,T_TTAFStock_Log[WeekIndex],3)=0,"",SUMIFS(T_TTAFStock_Log[TTAF_Qty],T_TTAFStock_Log[Part Name],$A10,T_TTAFStock_Log[WeekIndex],3))</f>
        <v/>
      </c>
      <c r="E10" s="12">
        <f>IF(COUNTIFS(T_TTAFStock_Log[Part Name],$A10,T_TTAFStock_Log[WeekIndex],4)=0,"",SUMIFS(T_TTAFStock_Log[TTAF_Qty],T_TTAFStock_Log[Part Name],$A10,T_TTAFStock_Log[WeekIndex],4))</f>
        <v/>
      </c>
      <c r="F10" s="12">
        <f>IF(COUNTIFS(T_TTAFStock_Log[Part Name],$A10,T_TTAFStock_Log[WeekIndex],5)=0,"",SUMIFS(T_TTAFStock_Log[TTAF_Qty],T_TTAFStock_Log[Part Name],$A10,T_TTAFStock_Log[WeekIndex],5))</f>
        <v/>
      </c>
      <c r="G10" s="12">
        <f>IF(COUNTIFS(T_TTAFStock_Log[Part Name],$A10,T_TTAFStock_Log[WeekIndex],6)=0,"",SUMIFS(T_TTAFStock_Log[TTAF_Qty],T_TTAFStock_Log[Part Name],$A10,T_TTAFStock_Log[WeekIndex],6))</f>
        <v/>
      </c>
      <c r="H10" s="12">
        <f>IF(COUNTIFS(T_TTAFStock_Log[Part Name],$A10,T_TTAFStock_Log[WeekIndex],7)=0,"",SUMIFS(T_TTAFStock_Log[TTAF_Qty],T_TTAFStock_Log[Part Name],$A10,T_TTAFStock_Log[WeekIndex],7))</f>
        <v/>
      </c>
      <c r="I10" s="12">
        <f>IF(COUNTIFS(T_TTAFStock_Log[Part Name],$A10,T_TTAFStock_Log[WeekIndex],8)=0,"",SUMIFS(T_TTAFStock_Log[TTAF_Qty],T_TTAFStock_Log[Part Name],$A10,T_TTAFStock_Log[WeekIndex],8))</f>
        <v/>
      </c>
      <c r="J10" s="12">
        <f>IF(COUNTIFS(T_TTAFStock_Log[Part Name],$A10,T_TTAFStock_Log[WeekIndex],9)=0,"",SUMIFS(T_TTAFStock_Log[TTAF_Qty],T_TTAFStock_Log[Part Name],$A10,T_TTAFStock_Log[WeekIndex],9))</f>
        <v/>
      </c>
      <c r="K10" s="12">
        <f>IF(COUNTIFS(T_TTAFStock_Log[Part Name],$A10,T_TTAFStock_Log[WeekIndex],10)=0,"",SUMIFS(T_TTAFStock_Log[TTAF_Qty],T_TTAFStock_Log[Part Name],$A10,T_TTAFStock_Log[WeekIndex],10))</f>
        <v/>
      </c>
      <c r="L10" s="12">
        <f>IF(COUNTIFS(T_TTAFStock_Log[Part Name],$A10,T_TTAFStock_Log[WeekIndex],11)=0,"",SUMIFS(T_TTAFStock_Log[TTAF_Qty],T_TTAFStock_Log[Part Name],$A10,T_TTAFStock_Log[WeekIndex],11))</f>
        <v/>
      </c>
      <c r="M10" s="12">
        <f>IF(COUNTIFS(T_TTAFStock_Log[Part Name],$A10,T_TTAFStock_Log[WeekIndex],12)=0,"",SUMIFS(T_TTAFStock_Log[TTAF_Qty],T_TTAFStock_Log[Part Name],$A10,T_TTAFStock_Log[WeekIndex],12))</f>
        <v/>
      </c>
      <c r="N10" s="12">
        <f>IF(COUNTIFS(T_TTAFStock_Log[Part Name],$A10,T_TTAFStock_Log[WeekIndex],13)=0,"",SUMIFS(T_TTAFStock_Log[TTAF_Qty],T_TTAFStock_Log[Part Name],$A10,T_TTAFStock_Log[WeekIndex],13))</f>
        <v/>
      </c>
      <c r="O10" s="12">
        <f>IF(COUNTIFS(T_TTAFStock_Log[Part Name],$A10,T_TTAFStock_Log[WeekIndex],14)=0,"",SUMIFS(T_TTAFStock_Log[TTAF_Qty],T_TTAFStock_Log[Part Name],$A10,T_TTAFStock_Log[WeekIndex],14))</f>
        <v/>
      </c>
      <c r="P10" s="12">
        <f>IF(COUNTIFS(T_TTAFStock_Log[Part Name],$A10,T_TTAFStock_Log[WeekIndex],15)=0,"",SUMIFS(T_TTAFStock_Log[TTAF_Qty],T_TTAFStock_Log[Part Name],$A10,T_TTAFStock_Log[WeekIndex],15))</f>
        <v/>
      </c>
      <c r="Q10" s="12">
        <f>IF(COUNTIFS(T_TTAFStock_Log[Part Name],$A10,T_TTAFStock_Log[WeekIndex],16)=0,"",SUMIFS(T_TTAFStock_Log[TTAF_Qty],T_TTAFStock_Log[Part Name],$A10,T_TTAFStock_Log[WeekIndex],16))</f>
        <v/>
      </c>
      <c r="R10" s="12">
        <f>IF(COUNTIFS(T_TTAFStock_Log[Part Name],$A10,T_TTAFStock_Log[WeekIndex],17)=0,"",SUMIFS(T_TTAFStock_Log[TTAF_Qty],T_TTAFStock_Log[Part Name],$A10,T_TTAFStock_Log[WeekIndex],17))</f>
        <v/>
      </c>
      <c r="S10" s="12">
        <f>IF(COUNTIFS(T_TTAFStock_Log[Part Name],$A10,T_TTAFStock_Log[WeekIndex],18)=0,"",SUMIFS(T_TTAFStock_Log[TTAF_Qty],T_TTAFStock_Log[Part Name],$A10,T_TTAFStock_Log[WeekIndex],18))</f>
        <v/>
      </c>
      <c r="T10" s="12">
        <f>IF(COUNTIFS(T_TTAFStock_Log[Part Name],$A10,T_TTAFStock_Log[WeekIndex],19)=0,"",SUMIFS(T_TTAFStock_Log[TTAF_Qty],T_TTAFStock_Log[Part Name],$A10,T_TTAFStock_Log[WeekIndex],19))</f>
        <v/>
      </c>
      <c r="U10" s="12">
        <f>IF(COUNTIFS(T_TTAFStock_Log[Part Name],$A10,T_TTAFStock_Log[WeekIndex],20)=0,"",SUMIFS(T_TTAFStock_Log[TTAF_Qty],T_TTAFStock_Log[Part Name],$A10,T_TTAFStock_Log[WeekIndex],20))</f>
        <v/>
      </c>
      <c r="V10" s="12">
        <f>IF(COUNTIFS(T_TTAFStock_Log[Part Name],$A10,T_TTAFStock_Log[WeekIndex],21)=0,"",SUMIFS(T_TTAFStock_Log[TTAF_Qty],T_TTAFStock_Log[Part Name],$A10,T_TTAFStock_Log[WeekIndex],21))</f>
        <v/>
      </c>
      <c r="W10" s="12">
        <f>IF(COUNTIFS(T_TTAFStock_Log[Part Name],$A10,T_TTAFStock_Log[WeekIndex],22)=0,"",SUMIFS(T_TTAFStock_Log[TTAF_Qty],T_TTAFStock_Log[Part Name],$A10,T_TTAFStock_Log[WeekIndex],22))</f>
        <v/>
      </c>
      <c r="X10" s="12">
        <f>IF(COUNTIFS(T_TTAFStock_Log[Part Name],$A10,T_TTAFStock_Log[WeekIndex],23)=0,"",SUMIFS(T_TTAFStock_Log[TTAF_Qty],T_TTAFStock_Log[Part Name],$A10,T_TTAFStock_Log[WeekIndex],23))</f>
        <v/>
      </c>
      <c r="Y10" s="12">
        <f>IF(COUNTIFS(T_TTAFStock_Log[Part Name],$A10,T_TTAFStock_Log[WeekIndex],24)=0,"",SUMIFS(T_TTAFStock_Log[TTAF_Qty],T_TTAFStock_Log[Part Name],$A10,T_TTAFStock_Log[WeekIndex],24))</f>
        <v/>
      </c>
      <c r="Z10" s="12">
        <f>IF(COUNTIFS(T_TTAFStock_Log[Part Name],$A10,T_TTAFStock_Log[WeekIndex],25)=0,"",SUMIFS(T_TTAFStock_Log[TTAF_Qty],T_TTAFStock_Log[Part Name],$A10,T_TTAFStock_Log[WeekIndex],25))</f>
        <v/>
      </c>
      <c r="AA10" s="12">
        <f>IF(COUNTIFS(T_TTAFStock_Log[Part Name],$A10,T_TTAFStock_Log[WeekIndex],26)=0,"",SUMIFS(T_TTAFStock_Log[TTAF_Qty],T_TTAFStock_Log[Part Name],$A10,T_TTAFStock_Log[WeekIndex],26))</f>
        <v/>
      </c>
      <c r="AB10" s="12">
        <f>IF(COUNTIFS(T_TTAFStock_Log[Part Name],$A10,T_TTAFStock_Log[WeekIndex],27)=0,"",SUMIFS(T_TTAFStock_Log[TTAF_Qty],T_TTAFStock_Log[Part Name],$A10,T_TTAFStock_Log[WeekIndex],27))</f>
        <v/>
      </c>
      <c r="AC10" s="12">
        <f>IF(COUNTIFS(T_TTAFStock_Log[Part Name],$A10,T_TTAFStock_Log[WeekIndex],28)=0,"",SUMIFS(T_TTAFStock_Log[TTAF_Qty],T_TTAFStock_Log[Part Name],$A10,T_TTAFStock_Log[WeekIndex],28))</f>
        <v/>
      </c>
      <c r="AD10" s="12">
        <f>IF(COUNTIFS(T_TTAFStock_Log[Part Name],$A10,T_TTAFStock_Log[WeekIndex],29)=0,"",SUMIFS(T_TTAFStock_Log[TTAF_Qty],T_TTAFStock_Log[Part Name],$A10,T_TTAFStock_Log[WeekIndex],29))</f>
        <v/>
      </c>
      <c r="AE10" s="12">
        <f>IF(COUNTIFS(T_TTAFStock_Log[Part Name],$A10,T_TTAFStock_Log[WeekIndex],30)=0,"",SUMIFS(T_TTAFStock_Log[TTAF_Qty],T_TTAFStock_Log[Part Name],$A10,T_TTAFStock_Log[WeekIndex],30))</f>
        <v/>
      </c>
      <c r="AF10" s="12">
        <f>IF(COUNTIFS(T_TTAFStock_Log[Part Name],$A10,T_TTAFStock_Log[WeekIndex],31)=0,"",SUMIFS(T_TTAFStock_Log[TTAF_Qty],T_TTAFStock_Log[Part Name],$A10,T_TTAFStock_Log[WeekIndex],31))</f>
        <v/>
      </c>
      <c r="AG10" s="12">
        <f>IF(COUNTIFS(T_TTAFStock_Log[Part Name],$A10,T_TTAFStock_Log[WeekIndex],32)=0,"",SUMIFS(T_TTAFStock_Log[TTAF_Qty],T_TTAFStock_Log[Part Name],$A10,T_TTAFStock_Log[WeekIndex],32))</f>
        <v/>
      </c>
      <c r="AH10" s="12">
        <f>IF(COUNTIFS(T_TTAFStock_Log[Part Name],$A10,T_TTAFStock_Log[WeekIndex],33)=0,"",SUMIFS(T_TTAFStock_Log[TTAF_Qty],T_TTAFStock_Log[Part Name],$A10,T_TTAFStock_Log[WeekIndex],33))</f>
        <v/>
      </c>
      <c r="AI10" s="12">
        <f>IF(COUNTIFS(T_TTAFStock_Log[Part Name],$A10,T_TTAFStock_Log[WeekIndex],34)=0,"",SUMIFS(T_TTAFStock_Log[TTAF_Qty],T_TTAFStock_Log[Part Name],$A10,T_TTAFStock_Log[WeekIndex],34))</f>
        <v/>
      </c>
      <c r="AJ10" s="12">
        <f>IF(COUNTIFS(T_TTAFStock_Log[Part Name],$A10,T_TTAFStock_Log[WeekIndex],35)=0,"",SUMIFS(T_TTAFStock_Log[TTAF_Qty],T_TTAFStock_Log[Part Name],$A10,T_TTAFStock_Log[WeekIndex],35))</f>
        <v/>
      </c>
      <c r="AK10" s="12">
        <f>IF(COUNTIFS(T_TTAFStock_Log[Part Name],$A10,T_TTAFStock_Log[WeekIndex],36)=0,"",SUMIFS(T_TTAFStock_Log[TTAF_Qty],T_TTAFStock_Log[Part Name],$A10,T_TTAFStock_Log[WeekIndex],36))</f>
        <v/>
      </c>
      <c r="AL10" s="12">
        <f>IF(COUNTIFS(T_TTAFStock_Log[Part Name],$A10,T_TTAFStock_Log[WeekIndex],37)=0,"",SUMIFS(T_TTAFStock_Log[TTAF_Qty],T_TTAFStock_Log[Part Name],$A10,T_TTAFStock_Log[WeekIndex],37))</f>
        <v/>
      </c>
      <c r="AM10" s="12">
        <f>IF(COUNTIFS(T_TTAFStock_Log[Part Name],$A10,T_TTAFStock_Log[WeekIndex],38)=0,"",SUMIFS(T_TTAFStock_Log[TTAF_Qty],T_TTAFStock_Log[Part Name],$A10,T_TTAFStock_Log[WeekIndex],38))</f>
        <v/>
      </c>
      <c r="AN10" s="12">
        <f>IF(COUNTIFS(T_TTAFStock_Log[Part Name],$A10,T_TTAFStock_Log[WeekIndex],39)=0,"",SUMIFS(T_TTAFStock_Log[TTAF_Qty],T_TTAFStock_Log[Part Name],$A10,T_TTAFStock_Log[WeekIndex],39))</f>
        <v/>
      </c>
      <c r="AO10" s="12">
        <f>IF(COUNTIFS(T_TTAFStock_Log[Part Name],$A10,T_TTAFStock_Log[WeekIndex],40)=0,"",SUMIFS(T_TTAFStock_Log[TTAF_Qty],T_TTAFStock_Log[Part Name],$A10,T_TTAFStock_Log[WeekIndex],40))</f>
        <v/>
      </c>
      <c r="AP10" s="12">
        <f>IF(COUNTIFS(T_TTAFStock_Log[Part Name],$A10,T_TTAFStock_Log[WeekIndex],41)=0,"",SUMIFS(T_TTAFStock_Log[TTAF_Qty],T_TTAFStock_Log[Part Name],$A10,T_TTAFStock_Log[WeekIndex],41))</f>
        <v/>
      </c>
      <c r="AQ10" s="12">
        <f>IF(COUNTIFS(T_TTAFStock_Log[Part Name],$A10,T_TTAFStock_Log[WeekIndex],42)=0,"",SUMIFS(T_TTAFStock_Log[TTAF_Qty],T_TTAFStock_Log[Part Name],$A10,T_TTAFStock_Log[WeekIndex],42))</f>
        <v/>
      </c>
      <c r="AR10" s="12">
        <f>IF(COUNTIFS(T_TTAFStock_Log[Part Name],$A10,T_TTAFStock_Log[WeekIndex],43)=0,"",SUMIFS(T_TTAFStock_Log[TTAF_Qty],T_TTAFStock_Log[Part Name],$A10,T_TTAFStock_Log[WeekIndex],43))</f>
        <v/>
      </c>
      <c r="AS10" s="12">
        <f>IF(COUNTIFS(T_TTAFStock_Log[Part Name],$A10,T_TTAFStock_Log[WeekIndex],44)=0,"",SUMIFS(T_TTAFStock_Log[TTAF_Qty],T_TTAFStock_Log[Part Name],$A10,T_TTAFStock_Log[WeekIndex],44))</f>
        <v/>
      </c>
      <c r="AT10" s="12">
        <f>IF(COUNTIFS(T_TTAFStock_Log[Part Name],$A10,T_TTAFStock_Log[WeekIndex],45)=0,"",SUMIFS(T_TTAFStock_Log[TTAF_Qty],T_TTAFStock_Log[Part Name],$A10,T_TTAFStock_Log[WeekIndex],45))</f>
        <v/>
      </c>
      <c r="AU10" s="12">
        <f>IF(COUNTIFS(T_TTAFStock_Log[Part Name],$A10,T_TTAFStock_Log[WeekIndex],46)=0,"",SUMIFS(T_TTAFStock_Log[TTAF_Qty],T_TTAFStock_Log[Part Name],$A10,T_TTAFStock_Log[WeekIndex],46))</f>
        <v/>
      </c>
      <c r="AV10" s="12">
        <f>IF(COUNTIFS(T_TTAFStock_Log[Part Name],$A10,T_TTAFStock_Log[WeekIndex],47)=0,"",SUMIFS(T_TTAFStock_Log[TTAF_Qty],T_TTAFStock_Log[Part Name],$A10,T_TTAFStock_Log[WeekIndex],47))</f>
        <v/>
      </c>
      <c r="AW10" s="12">
        <f>IF(COUNTIFS(T_TTAFStock_Log[Part Name],$A10,T_TTAFStock_Log[WeekIndex],48)=0,"",SUMIFS(T_TTAFStock_Log[TTAF_Qty],T_TTAFStock_Log[Part Name],$A10,T_TTAFStock_Log[WeekIndex],48))</f>
        <v/>
      </c>
      <c r="AX10" s="12">
        <f>IF(COUNTIFS(T_TTAFStock_Log[Part Name],$A10,T_TTAFStock_Log[WeekIndex],49)=0,"",SUMIFS(T_TTAFStock_Log[TTAF_Qty],T_TTAFStock_Log[Part Name],$A10,T_TTAFStock_Log[WeekIndex],49))</f>
        <v/>
      </c>
      <c r="AY10" s="12">
        <f>IF(COUNTIFS(T_TTAFStock_Log[Part Name],$A10,T_TTAFStock_Log[WeekIndex],50)=0,"",SUMIFS(T_TTAFStock_Log[TTAF_Qty],T_TTAFStock_Log[Part Name],$A10,T_TTAFStock_Log[WeekIndex],50))</f>
        <v/>
      </c>
      <c r="AZ10" s="12">
        <f>IF(COUNTIFS(T_TTAFStock_Log[Part Name],$A10,T_TTAFStock_Log[WeekIndex],51)=0,"",SUMIFS(T_TTAFStock_Log[TTAF_Qty],T_TTAFStock_Log[Part Name],$A10,T_TTAFStock_Log[WeekIndex],51))</f>
        <v/>
      </c>
      <c r="BA10" s="12">
        <f>IF(COUNTIFS(T_TTAFStock_Log[Part Name],$A10,T_TTAFStock_Log[WeekIndex],52)=0,"",SUMIFS(T_TTAFStock_Log[TTAF_Qty],T_TTAFStock_Log[Part Name],$A10,T_TTAFStock_Log[WeekIndex],52))</f>
        <v/>
      </c>
      <c r="BB10" s="12">
        <f>IF(COUNTIFS(T_TTAFStock_Log[Part Name],$A10,T_TTAFStock_Log[WeekIndex],53)=0,"",SUMIFS(T_TTAFStock_Log[TTAF_Qty],T_TTAFStock_Log[Part Name],$A10,T_TTAFStock_Log[WeekIndex],53))</f>
        <v/>
      </c>
      <c r="BC10" s="12">
        <f>IF(COUNTIFS(T_TTAFStock_Log[Part Name],$A10,T_TTAFStock_Log[WeekIndex],54)=0,"",SUMIFS(T_TTAFStock_Log[TTAF_Qty],T_TTAFStock_Log[Part Name],$A10,T_TTAFStock_Log[WeekIndex],54))</f>
        <v/>
      </c>
      <c r="BD10" s="12">
        <f>IF(COUNTIFS(T_TTAFStock_Log[Part Name],$A10,T_TTAFStock_Log[WeekIndex],55)=0,"",SUMIFS(T_TTAFStock_Log[TTAF_Qty],T_TTAFStock_Log[Part Name],$A10,T_TTAFStock_Log[WeekIndex],55))</f>
        <v/>
      </c>
      <c r="BE10" s="12">
        <f>IF(COUNTIFS(T_TTAFStock_Log[Part Name],$A10,T_TTAFStock_Log[WeekIndex],56)=0,"",SUMIFS(T_TTAFStock_Log[TTAF_Qty],T_TTAFStock_Log[Part Name],$A10,T_TTAFStock_Log[WeekIndex],56))</f>
        <v/>
      </c>
      <c r="BF10" s="12">
        <f>IF(COUNTIFS(T_TTAFStock_Log[Part Name],$A10,T_TTAFStock_Log[WeekIndex],57)=0,"",SUMIFS(T_TTAFStock_Log[TTAF_Qty],T_TTAFStock_Log[Part Name],$A10,T_TTAFStock_Log[WeekIndex],57))</f>
        <v/>
      </c>
      <c r="BG10" s="12">
        <f>IF(COUNTIFS(T_TTAFStock_Log[Part Name],$A10,T_TTAFStock_Log[WeekIndex],58)=0,"",SUMIFS(T_TTAFStock_Log[TTAF_Qty],T_TTAFStock_Log[Part Name],$A10,T_TTAFStock_Log[WeekIndex],58))</f>
        <v/>
      </c>
      <c r="BH10" s="12">
        <f>IF(COUNTIFS(T_TTAFStock_Log[Part Name],$A10,T_TTAFStock_Log[WeekIndex],59)=0,"",SUMIFS(T_TTAFStock_Log[TTAF_Qty],T_TTAFStock_Log[Part Name],$A10,T_TTAFStock_Log[WeekIndex],59))</f>
        <v/>
      </c>
      <c r="BI10" s="12">
        <f>IF(COUNTIFS(T_TTAFStock_Log[Part Name],$A10,T_TTAFStock_Log[WeekIndex],60)=0,"",SUMIFS(T_TTAFStock_Log[TTAF_Qty],T_TTAFStock_Log[Part Name],$A10,T_TTAFStock_Log[WeekIndex],60))</f>
        <v/>
      </c>
      <c r="BJ10" s="12">
        <f>IF(COUNTIFS(T_TTAFStock_Log[Part Name],$A10,T_TTAFStock_Log[WeekIndex],61)=0,"",SUMIFS(T_TTAFStock_Log[TTAF_Qty],T_TTAFStock_Log[Part Name],$A10,T_TTAFStock_Log[WeekIndex],61))</f>
        <v/>
      </c>
      <c r="BK10" s="12">
        <f>IF(COUNTIFS(T_TTAFStock_Log[Part Name],$A10,T_TTAFStock_Log[WeekIndex],62)=0,"",SUMIFS(T_TTAFStock_Log[TTAF_Qty],T_TTAFStock_Log[Part Name],$A10,T_TTAFStock_Log[WeekIndex],62))</f>
        <v/>
      </c>
      <c r="BL10" s="12">
        <f>IF(COUNTIFS(T_TTAFStock_Log[Part Name],$A10,T_TTAFStock_Log[WeekIndex],63)=0,"",SUMIFS(T_TTAFStock_Log[TTAF_Qty],T_TTAFStock_Log[Part Name],$A10,T_TTAFStock_Log[WeekIndex],63))</f>
        <v/>
      </c>
      <c r="BM10" s="12">
        <f>IF(COUNTIFS(T_TTAFStock_Log[Part Name],$A10,T_TTAFStock_Log[WeekIndex],64)=0,"",SUMIFS(T_TTAFStock_Log[TTAF_Qty],T_TTAFStock_Log[Part Name],$A10,T_TTAFStock_Log[WeekIndex],64))</f>
        <v/>
      </c>
      <c r="BN10" s="12">
        <f>IF(COUNTIFS(T_TTAFStock_Log[Part Name],$A10,T_TTAFStock_Log[WeekIndex],65)=0,"",SUMIFS(T_TTAFStock_Log[TTAF_Qty],T_TTAFStock_Log[Part Name],$A10,T_TTAFStock_Log[WeekIndex],65))</f>
        <v/>
      </c>
      <c r="BO10" s="12">
        <f>IF(COUNTIFS(T_TTAFStock_Log[Part Name],$A10,T_TTAFStock_Log[WeekIndex],66)=0,"",SUMIFS(T_TTAFStock_Log[TTAF_Qty],T_TTAFStock_Log[Part Name],$A10,T_TTAFStock_Log[WeekIndex],66))</f>
        <v/>
      </c>
      <c r="BP10" s="12">
        <f>IF(COUNTIFS(T_TTAFStock_Log[Part Name],$A10,T_TTAFStock_Log[WeekIndex],67)=0,"",SUMIFS(T_TTAFStock_Log[TTAF_Qty],T_TTAFStock_Log[Part Name],$A10,T_TTAFStock_Log[WeekIndex],67))</f>
        <v/>
      </c>
      <c r="BQ10" s="12">
        <f>IF(COUNTIFS(T_TTAFStock_Log[Part Name],$A10,T_TTAFStock_Log[WeekIndex],68)=0,"",SUMIFS(T_TTAFStock_Log[TTAF_Qty],T_TTAFStock_Log[Part Name],$A10,T_TTAFStock_Log[WeekIndex],68))</f>
        <v/>
      </c>
      <c r="BR10" s="12">
        <f>IF(COUNTIFS(T_TTAFStock_Log[Part Name],$A10,T_TTAFStock_Log[WeekIndex],69)=0,"",SUMIFS(T_TTAFStock_Log[TTAF_Qty],T_TTAFStock_Log[Part Name],$A10,T_TTAFStock_Log[WeekIndex],69))</f>
        <v/>
      </c>
      <c r="BS10" s="12">
        <f>IF(COUNTIFS(T_TTAFStock_Log[Part Name],$A10,T_TTAFStock_Log[WeekIndex],70)=0,"",SUMIFS(T_TTAFStock_Log[TTAF_Qty],T_TTAFStock_Log[Part Name],$A10,T_TTAFStock_Log[WeekIndex],70))</f>
        <v/>
      </c>
      <c r="BT10" s="12">
        <f>IF(COUNTIFS(T_TTAFStock_Log[Part Name],$A10,T_TTAFStock_Log[WeekIndex],71)=0,"",SUMIFS(T_TTAFStock_Log[TTAF_Qty],T_TTAFStock_Log[Part Name],$A10,T_TTAFStock_Log[WeekIndex],71))</f>
        <v/>
      </c>
      <c r="BU10" s="12">
        <f>IF(COUNTIFS(T_TTAFStock_Log[Part Name],$A10,T_TTAFStock_Log[WeekIndex],72)=0,"",SUMIFS(T_TTAFStock_Log[TTAF_Qty],T_TTAFStock_Log[Part Name],$A10,T_TTAFStock_Log[WeekIndex],72))</f>
        <v/>
      </c>
      <c r="BV10" s="12">
        <f>IF(COUNTIFS(T_TTAFStock_Log[Part Name],$A10,T_TTAFStock_Log[WeekIndex],73)=0,"",SUMIFS(T_TTAFStock_Log[TTAF_Qty],T_TTAFStock_Log[Part Name],$A10,T_TTAFStock_Log[WeekIndex],73))</f>
        <v/>
      </c>
      <c r="BW10" s="12">
        <f>IF(COUNTIFS(T_TTAFStock_Log[Part Name],$A10,T_TTAFStock_Log[WeekIndex],74)=0,"",SUMIFS(T_TTAFStock_Log[TTAF_Qty],T_TTAFStock_Log[Part Name],$A10,T_TTAFStock_Log[WeekIndex],74))</f>
        <v/>
      </c>
      <c r="BX10" s="12">
        <f>IF(COUNTIFS(T_TTAFStock_Log[Part Name],$A10,T_TTAFStock_Log[WeekIndex],75)=0,"",SUMIFS(T_TTAFStock_Log[TTAF_Qty],T_TTAFStock_Log[Part Name],$A10,T_TTAFStock_Log[WeekIndex],75))</f>
        <v/>
      </c>
      <c r="BY10" s="12">
        <f>IF(COUNTIFS(T_TTAFStock_Log[Part Name],$A10,T_TTAFStock_Log[WeekIndex],76)=0,"",SUMIFS(T_TTAFStock_Log[TTAF_Qty],T_TTAFStock_Log[Part Name],$A10,T_TTAFStock_Log[WeekIndex],76))</f>
        <v/>
      </c>
      <c r="BZ10" s="12">
        <f>IF(COUNTIFS(T_TTAFStock_Log[Part Name],$A10,T_TTAFStock_Log[WeekIndex],77)=0,"",SUMIFS(T_TTAFStock_Log[TTAF_Qty],T_TTAFStock_Log[Part Name],$A10,T_TTAFStock_Log[WeekIndex],77))</f>
        <v/>
      </c>
      <c r="CA10" s="12">
        <f>IF(COUNTIFS(T_TTAFStock_Log[Part Name],$A10,T_TTAFStock_Log[WeekIndex],78)=0,"",SUMIFS(T_TTAFStock_Log[TTAF_Qty],T_TTAFStock_Log[Part Name],$A10,T_TTAFStock_Log[WeekIndex],78))</f>
        <v/>
      </c>
      <c r="CB10" s="12">
        <f>IF(COUNTIFS(T_TTAFStock_Log[Part Name],$A10,T_TTAFStock_Log[WeekIndex],79)=0,"",SUMIFS(T_TTAFStock_Log[TTAF_Qty],T_TTAFStock_Log[Part Name],$A10,T_TTAFStock_Log[WeekIndex],79))</f>
        <v/>
      </c>
      <c r="CC10" s="12">
        <f>IF(COUNTIFS(T_TTAFStock_Log[Part Name],$A10,T_TTAFStock_Log[WeekIndex],80)=0,"",SUMIFS(T_TTAFStock_Log[TTAF_Qty],T_TTAFStock_Log[Part Name],$A10,T_TTAFStock_Log[WeekIndex],80))</f>
        <v/>
      </c>
      <c r="CD10" s="12">
        <f>IF(COUNTIFS(T_TTAFStock_Log[Part Name],$A10,T_TTAFStock_Log[WeekIndex],81)=0,"",SUMIFS(T_TTAFStock_Log[TTAF_Qty],T_TTAFStock_Log[Part Name],$A10,T_TTAFStock_Log[WeekIndex],81))</f>
        <v/>
      </c>
      <c r="CE10" s="12">
        <f>IF(COUNTIFS(T_TTAFStock_Log[Part Name],$A10,T_TTAFStock_Log[WeekIndex],82)=0,"",SUMIFS(T_TTAFStock_Log[TTAF_Qty],T_TTAFStock_Log[Part Name],$A10,T_TTAFStock_Log[WeekIndex],82))</f>
        <v/>
      </c>
      <c r="CF10" s="12">
        <f>IF(COUNTIFS(T_TTAFStock_Log[Part Name],$A10,T_TTAFStock_Log[WeekIndex],83)=0,"",SUMIFS(T_TTAFStock_Log[TTAF_Qty],T_TTAFStock_Log[Part Name],$A10,T_TTAFStock_Log[WeekIndex],83))</f>
        <v/>
      </c>
      <c r="CG10" s="12">
        <f>IF(COUNTIFS(T_TTAFStock_Log[Part Name],$A10,T_TTAFStock_Log[WeekIndex],84)=0,"",SUMIFS(T_TTAFStock_Log[TTAF_Qty],T_TTAFStock_Log[Part Name],$A10,T_TTAFStock_Log[WeekIndex],84))</f>
        <v/>
      </c>
      <c r="CH10" s="12">
        <f>IF(COUNTIFS(T_TTAFStock_Log[Part Name],$A10,T_TTAFStock_Log[WeekIndex],85)=0,"",SUMIFS(T_TTAFStock_Log[TTAF_Qty],T_TTAFStock_Log[Part Name],$A10,T_TTAFStock_Log[WeekIndex],85))</f>
        <v/>
      </c>
      <c r="CI10" s="12">
        <f>IF(COUNTIFS(T_TTAFStock_Log[Part Name],$A10,T_TTAFStock_Log[WeekIndex],86)=0,"",SUMIFS(T_TTAFStock_Log[TTAF_Qty],T_TTAFStock_Log[Part Name],$A10,T_TTAFStock_Log[WeekIndex],86))</f>
        <v/>
      </c>
      <c r="CJ10" s="12">
        <f>IF(COUNTIFS(T_TTAFStock_Log[Part Name],$A10,T_TTAFStock_Log[WeekIndex],87)=0,"",SUMIFS(T_TTAFStock_Log[TTAF_Qty],T_TTAFStock_Log[Part Name],$A10,T_TTAFStock_Log[WeekIndex],87))</f>
        <v/>
      </c>
      <c r="CK10" s="12">
        <f>IF(COUNTIFS(T_TTAFStock_Log[Part Name],$A10,T_TTAFStock_Log[WeekIndex],88)=0,"",SUMIFS(T_TTAFStock_Log[TTAF_Qty],T_TTAFStock_Log[Part Name],$A10,T_TTAFStock_Log[WeekIndex],88))</f>
        <v/>
      </c>
      <c r="CL10" s="12">
        <f>IF(COUNTIFS(T_TTAFStock_Log[Part Name],$A10,T_TTAFStock_Log[WeekIndex],89)=0,"",SUMIFS(T_TTAFStock_Log[TTAF_Qty],T_TTAFStock_Log[Part Name],$A10,T_TTAFStock_Log[WeekIndex],89))</f>
        <v/>
      </c>
      <c r="CM10" s="12">
        <f>IF(COUNTIFS(T_TTAFStock_Log[Part Name],$A10,T_TTAFStock_Log[WeekIndex],90)=0,"",SUMIFS(T_TTAFStock_Log[TTAF_Qty],T_TTAFStock_Log[Part Name],$A10,T_TTAFStock_Log[WeekIndex],90))</f>
        <v/>
      </c>
      <c r="CN10" s="12">
        <f>IF(COUNTIFS(T_TTAFStock_Log[Part Name],$A10,T_TTAFStock_Log[WeekIndex],91)=0,"",SUMIFS(T_TTAFStock_Log[TTAF_Qty],T_TTAFStock_Log[Part Name],$A10,T_TTAFStock_Log[WeekIndex],91))</f>
        <v/>
      </c>
      <c r="CO10" s="12">
        <f>IF(COUNTIFS(T_TTAFStock_Log[Part Name],$A10,T_TTAFStock_Log[WeekIndex],92)=0,"",SUMIFS(T_TTAFStock_Log[TTAF_Qty],T_TTAFStock_Log[Part Name],$A10,T_TTAFStock_Log[WeekIndex],92))</f>
        <v/>
      </c>
      <c r="CP10" s="12">
        <f>IF(COUNTIFS(T_TTAFStock_Log[Part Name],$A10,T_TTAFStock_Log[WeekIndex],93)=0,"",SUMIFS(T_TTAFStock_Log[TTAF_Qty],T_TTAFStock_Log[Part Name],$A10,T_TTAFStock_Log[WeekIndex],93))</f>
        <v/>
      </c>
      <c r="CQ10" s="12">
        <f>IF(COUNTIFS(T_TTAFStock_Log[Part Name],$A10,T_TTAFStock_Log[WeekIndex],94)=0,"",SUMIFS(T_TTAFStock_Log[TTAF_Qty],T_TTAFStock_Log[Part Name],$A10,T_TTAFStock_Log[WeekIndex],94))</f>
        <v/>
      </c>
      <c r="CR10" s="12">
        <f>IF(COUNTIFS(T_TTAFStock_Log[Part Name],$A10,T_TTAFStock_Log[WeekIndex],95)=0,"",SUMIFS(T_TTAFStock_Log[TTAF_Qty],T_TTAFStock_Log[Part Name],$A10,T_TTAFStock_Log[WeekIndex],95))</f>
        <v/>
      </c>
      <c r="CS10" s="12">
        <f>IF(COUNTIFS(T_TTAFStock_Log[Part Name],$A10,T_TTAFStock_Log[WeekIndex],96)=0,"",SUMIFS(T_TTAFStock_Log[TTAF_Qty],T_TTAFStock_Log[Part Name],$A10,T_TTAFStock_Log[WeekIndex],96))</f>
        <v/>
      </c>
      <c r="CT10" s="12">
        <f>IF(COUNTIFS(T_TTAFStock_Log[Part Name],$A10,T_TTAFStock_Log[WeekIndex],97)=0,"",SUMIFS(T_TTAFStock_Log[TTAF_Qty],T_TTAFStock_Log[Part Name],$A10,T_TTAFStock_Log[WeekIndex],97))</f>
        <v/>
      </c>
      <c r="CU10" s="12">
        <f>IF(COUNTIFS(T_TTAFStock_Log[Part Name],$A10,T_TTAFStock_Log[WeekIndex],98)=0,"",SUMIFS(T_TTAFStock_Log[TTAF_Qty],T_TTAFStock_Log[Part Name],$A10,T_TTAFStock_Log[WeekIndex],98))</f>
        <v/>
      </c>
      <c r="CV10" s="12">
        <f>IF(COUNTIFS(T_TTAFStock_Log[Part Name],$A10,T_TTAFStock_Log[WeekIndex],99)=0,"",SUMIFS(T_TTAFStock_Log[TTAF_Qty],T_TTAFStock_Log[Part Name],$A10,T_TTAFStock_Log[WeekIndex],99))</f>
        <v/>
      </c>
      <c r="CW10" s="12">
        <f>IF(COUNTIFS(T_TTAFStock_Log[Part Name],$A10,T_TTAFStock_Log[WeekIndex],100)=0,"",SUMIFS(T_TTAFStock_Log[TTAF_Qty],T_TTAFStock_Log[Part Name],$A10,T_TTAFStock_Log[WeekIndex],100))</f>
        <v/>
      </c>
      <c r="CX10" s="12">
        <f>IF(COUNTIFS(T_TTAFStock_Log[Part Name],$A10,T_TTAFStock_Log[WeekIndex],101)=0,"",SUMIFS(T_TTAFStock_Log[TTAF_Qty],T_TTAFStock_Log[Part Name],$A10,T_TTAFStock_Log[WeekIndex],101))</f>
        <v/>
      </c>
      <c r="CY10" s="12">
        <f>IF(COUNTIFS(T_TTAFStock_Log[Part Name],$A10,T_TTAFStock_Log[WeekIndex],102)=0,"",SUMIFS(T_TTAFStock_Log[TTAF_Qty],T_TTAFStock_Log[Part Name],$A10,T_TTAFStock_Log[WeekIndex],102))</f>
        <v/>
      </c>
      <c r="CZ10" s="12">
        <f>IF(COUNTIFS(T_TTAFStock_Log[Part Name],$A10,T_TTAFStock_Log[WeekIndex],103)=0,"",SUMIFS(T_TTAFStock_Log[TTAF_Qty],T_TTAFStock_Log[Part Name],$A10,T_TTAFStock_Log[WeekIndex],103))</f>
        <v/>
      </c>
      <c r="DA10" s="12">
        <f>IF(COUNTIFS(T_TTAFStock_Log[Part Name],$A10,T_TTAFStock_Log[WeekIndex],104)=0,"",SUMIFS(T_TTAFStock_Log[TTAF_Qty],T_TTAFStock_Log[Part Name],$A10,T_TTAFStock_Log[WeekIndex],104))</f>
        <v/>
      </c>
    </row>
    <row r="11">
      <c r="A11" s="13" t="inlineStr">
        <is>
          <t>CHEM-1540</t>
        </is>
      </c>
      <c r="B11" s="13">
        <f>IF(COUNTIFS(T_TTAFStock_Log[Part Name],$A11,T_TTAFStock_Log[WeekIndex],1)=0,"",SUMIFS(T_TTAFStock_Log[TTAF_Qty],T_TTAFStock_Log[Part Name],$A11,T_TTAFStock_Log[WeekIndex],1))</f>
        <v/>
      </c>
      <c r="C11" s="13">
        <f>IF(COUNTIFS(T_TTAFStock_Log[Part Name],$A11,T_TTAFStock_Log[WeekIndex],2)=0,"",SUMIFS(T_TTAFStock_Log[TTAF_Qty],T_TTAFStock_Log[Part Name],$A11,T_TTAFStock_Log[WeekIndex],2))</f>
        <v/>
      </c>
      <c r="D11" s="13">
        <f>IF(COUNTIFS(T_TTAFStock_Log[Part Name],$A11,T_TTAFStock_Log[WeekIndex],3)=0,"",SUMIFS(T_TTAFStock_Log[TTAF_Qty],T_TTAFStock_Log[Part Name],$A11,T_TTAFStock_Log[WeekIndex],3))</f>
        <v/>
      </c>
      <c r="E11" s="13">
        <f>IF(COUNTIFS(T_TTAFStock_Log[Part Name],$A11,T_TTAFStock_Log[WeekIndex],4)=0,"",SUMIFS(T_TTAFStock_Log[TTAF_Qty],T_TTAFStock_Log[Part Name],$A11,T_TTAFStock_Log[WeekIndex],4))</f>
        <v/>
      </c>
      <c r="F11" s="13">
        <f>IF(COUNTIFS(T_TTAFStock_Log[Part Name],$A11,T_TTAFStock_Log[WeekIndex],5)=0,"",SUMIFS(T_TTAFStock_Log[TTAF_Qty],T_TTAFStock_Log[Part Name],$A11,T_TTAFStock_Log[WeekIndex],5))</f>
        <v/>
      </c>
      <c r="G11" s="13">
        <f>IF(COUNTIFS(T_TTAFStock_Log[Part Name],$A11,T_TTAFStock_Log[WeekIndex],6)=0,"",SUMIFS(T_TTAFStock_Log[TTAF_Qty],T_TTAFStock_Log[Part Name],$A11,T_TTAFStock_Log[WeekIndex],6))</f>
        <v/>
      </c>
      <c r="H11" s="13">
        <f>IF(COUNTIFS(T_TTAFStock_Log[Part Name],$A11,T_TTAFStock_Log[WeekIndex],7)=0,"",SUMIFS(T_TTAFStock_Log[TTAF_Qty],T_TTAFStock_Log[Part Name],$A11,T_TTAFStock_Log[WeekIndex],7))</f>
        <v/>
      </c>
      <c r="I11" s="13">
        <f>IF(COUNTIFS(T_TTAFStock_Log[Part Name],$A11,T_TTAFStock_Log[WeekIndex],8)=0,"",SUMIFS(T_TTAFStock_Log[TTAF_Qty],T_TTAFStock_Log[Part Name],$A11,T_TTAFStock_Log[WeekIndex],8))</f>
        <v/>
      </c>
      <c r="J11" s="13">
        <f>IF(COUNTIFS(T_TTAFStock_Log[Part Name],$A11,T_TTAFStock_Log[WeekIndex],9)=0,"",SUMIFS(T_TTAFStock_Log[TTAF_Qty],T_TTAFStock_Log[Part Name],$A11,T_TTAFStock_Log[WeekIndex],9))</f>
        <v/>
      </c>
      <c r="K11" s="13">
        <f>IF(COUNTIFS(T_TTAFStock_Log[Part Name],$A11,T_TTAFStock_Log[WeekIndex],10)=0,"",SUMIFS(T_TTAFStock_Log[TTAF_Qty],T_TTAFStock_Log[Part Name],$A11,T_TTAFStock_Log[WeekIndex],10))</f>
        <v/>
      </c>
      <c r="L11" s="13">
        <f>IF(COUNTIFS(T_TTAFStock_Log[Part Name],$A11,T_TTAFStock_Log[WeekIndex],11)=0,"",SUMIFS(T_TTAFStock_Log[TTAF_Qty],T_TTAFStock_Log[Part Name],$A11,T_TTAFStock_Log[WeekIndex],11))</f>
        <v/>
      </c>
      <c r="M11" s="13">
        <f>IF(COUNTIFS(T_TTAFStock_Log[Part Name],$A11,T_TTAFStock_Log[WeekIndex],12)=0,"",SUMIFS(T_TTAFStock_Log[TTAF_Qty],T_TTAFStock_Log[Part Name],$A11,T_TTAFStock_Log[WeekIndex],12))</f>
        <v/>
      </c>
      <c r="N11" s="13">
        <f>IF(COUNTIFS(T_TTAFStock_Log[Part Name],$A11,T_TTAFStock_Log[WeekIndex],13)=0,"",SUMIFS(T_TTAFStock_Log[TTAF_Qty],T_TTAFStock_Log[Part Name],$A11,T_TTAFStock_Log[WeekIndex],13))</f>
        <v/>
      </c>
      <c r="O11" s="13">
        <f>IF(COUNTIFS(T_TTAFStock_Log[Part Name],$A11,T_TTAFStock_Log[WeekIndex],14)=0,"",SUMIFS(T_TTAFStock_Log[TTAF_Qty],T_TTAFStock_Log[Part Name],$A11,T_TTAFStock_Log[WeekIndex],14))</f>
        <v/>
      </c>
      <c r="P11" s="13">
        <f>IF(COUNTIFS(T_TTAFStock_Log[Part Name],$A11,T_TTAFStock_Log[WeekIndex],15)=0,"",SUMIFS(T_TTAFStock_Log[TTAF_Qty],T_TTAFStock_Log[Part Name],$A11,T_TTAFStock_Log[WeekIndex],15))</f>
        <v/>
      </c>
      <c r="Q11" s="13">
        <f>IF(COUNTIFS(T_TTAFStock_Log[Part Name],$A11,T_TTAFStock_Log[WeekIndex],16)=0,"",SUMIFS(T_TTAFStock_Log[TTAF_Qty],T_TTAFStock_Log[Part Name],$A11,T_TTAFStock_Log[WeekIndex],16))</f>
        <v/>
      </c>
      <c r="R11" s="13">
        <f>IF(COUNTIFS(T_TTAFStock_Log[Part Name],$A11,T_TTAFStock_Log[WeekIndex],17)=0,"",SUMIFS(T_TTAFStock_Log[TTAF_Qty],T_TTAFStock_Log[Part Name],$A11,T_TTAFStock_Log[WeekIndex],17))</f>
        <v/>
      </c>
      <c r="S11" s="13">
        <f>IF(COUNTIFS(T_TTAFStock_Log[Part Name],$A11,T_TTAFStock_Log[WeekIndex],18)=0,"",SUMIFS(T_TTAFStock_Log[TTAF_Qty],T_TTAFStock_Log[Part Name],$A11,T_TTAFStock_Log[WeekIndex],18))</f>
        <v/>
      </c>
      <c r="T11" s="13">
        <f>IF(COUNTIFS(T_TTAFStock_Log[Part Name],$A11,T_TTAFStock_Log[WeekIndex],19)=0,"",SUMIFS(T_TTAFStock_Log[TTAF_Qty],T_TTAFStock_Log[Part Name],$A11,T_TTAFStock_Log[WeekIndex],19))</f>
        <v/>
      </c>
      <c r="U11" s="13">
        <f>IF(COUNTIFS(T_TTAFStock_Log[Part Name],$A11,T_TTAFStock_Log[WeekIndex],20)=0,"",SUMIFS(T_TTAFStock_Log[TTAF_Qty],T_TTAFStock_Log[Part Name],$A11,T_TTAFStock_Log[WeekIndex],20))</f>
        <v/>
      </c>
      <c r="V11" s="13">
        <f>IF(COUNTIFS(T_TTAFStock_Log[Part Name],$A11,T_TTAFStock_Log[WeekIndex],21)=0,"",SUMIFS(T_TTAFStock_Log[TTAF_Qty],T_TTAFStock_Log[Part Name],$A11,T_TTAFStock_Log[WeekIndex],21))</f>
        <v/>
      </c>
      <c r="W11" s="13">
        <f>IF(COUNTIFS(T_TTAFStock_Log[Part Name],$A11,T_TTAFStock_Log[WeekIndex],22)=0,"",SUMIFS(T_TTAFStock_Log[TTAF_Qty],T_TTAFStock_Log[Part Name],$A11,T_TTAFStock_Log[WeekIndex],22))</f>
        <v/>
      </c>
      <c r="X11" s="13">
        <f>IF(COUNTIFS(T_TTAFStock_Log[Part Name],$A11,T_TTAFStock_Log[WeekIndex],23)=0,"",SUMIFS(T_TTAFStock_Log[TTAF_Qty],T_TTAFStock_Log[Part Name],$A11,T_TTAFStock_Log[WeekIndex],23))</f>
        <v/>
      </c>
      <c r="Y11" s="13">
        <f>IF(COUNTIFS(T_TTAFStock_Log[Part Name],$A11,T_TTAFStock_Log[WeekIndex],24)=0,"",SUMIFS(T_TTAFStock_Log[TTAF_Qty],T_TTAFStock_Log[Part Name],$A11,T_TTAFStock_Log[WeekIndex],24))</f>
        <v/>
      </c>
      <c r="Z11" s="13">
        <f>IF(COUNTIFS(T_TTAFStock_Log[Part Name],$A11,T_TTAFStock_Log[WeekIndex],25)=0,"",SUMIFS(T_TTAFStock_Log[TTAF_Qty],T_TTAFStock_Log[Part Name],$A11,T_TTAFStock_Log[WeekIndex],25))</f>
        <v/>
      </c>
      <c r="AA11" s="13">
        <f>IF(COUNTIFS(T_TTAFStock_Log[Part Name],$A11,T_TTAFStock_Log[WeekIndex],26)=0,"",SUMIFS(T_TTAFStock_Log[TTAF_Qty],T_TTAFStock_Log[Part Name],$A11,T_TTAFStock_Log[WeekIndex],26))</f>
        <v/>
      </c>
      <c r="AB11" s="13">
        <f>IF(COUNTIFS(T_TTAFStock_Log[Part Name],$A11,T_TTAFStock_Log[WeekIndex],27)=0,"",SUMIFS(T_TTAFStock_Log[TTAF_Qty],T_TTAFStock_Log[Part Name],$A11,T_TTAFStock_Log[WeekIndex],27))</f>
        <v/>
      </c>
      <c r="AC11" s="13">
        <f>IF(COUNTIFS(T_TTAFStock_Log[Part Name],$A11,T_TTAFStock_Log[WeekIndex],28)=0,"",SUMIFS(T_TTAFStock_Log[TTAF_Qty],T_TTAFStock_Log[Part Name],$A11,T_TTAFStock_Log[WeekIndex],28))</f>
        <v/>
      </c>
      <c r="AD11" s="13">
        <f>IF(COUNTIFS(T_TTAFStock_Log[Part Name],$A11,T_TTAFStock_Log[WeekIndex],29)=0,"",SUMIFS(T_TTAFStock_Log[TTAF_Qty],T_TTAFStock_Log[Part Name],$A11,T_TTAFStock_Log[WeekIndex],29))</f>
        <v/>
      </c>
      <c r="AE11" s="13">
        <f>IF(COUNTIFS(T_TTAFStock_Log[Part Name],$A11,T_TTAFStock_Log[WeekIndex],30)=0,"",SUMIFS(T_TTAFStock_Log[TTAF_Qty],T_TTAFStock_Log[Part Name],$A11,T_TTAFStock_Log[WeekIndex],30))</f>
        <v/>
      </c>
      <c r="AF11" s="13">
        <f>IF(COUNTIFS(T_TTAFStock_Log[Part Name],$A11,T_TTAFStock_Log[WeekIndex],31)=0,"",SUMIFS(T_TTAFStock_Log[TTAF_Qty],T_TTAFStock_Log[Part Name],$A11,T_TTAFStock_Log[WeekIndex],31))</f>
        <v/>
      </c>
      <c r="AG11" s="13">
        <f>IF(COUNTIFS(T_TTAFStock_Log[Part Name],$A11,T_TTAFStock_Log[WeekIndex],32)=0,"",SUMIFS(T_TTAFStock_Log[TTAF_Qty],T_TTAFStock_Log[Part Name],$A11,T_TTAFStock_Log[WeekIndex],32))</f>
        <v/>
      </c>
      <c r="AH11" s="13">
        <f>IF(COUNTIFS(T_TTAFStock_Log[Part Name],$A11,T_TTAFStock_Log[WeekIndex],33)=0,"",SUMIFS(T_TTAFStock_Log[TTAF_Qty],T_TTAFStock_Log[Part Name],$A11,T_TTAFStock_Log[WeekIndex],33))</f>
        <v/>
      </c>
      <c r="AI11" s="13">
        <f>IF(COUNTIFS(T_TTAFStock_Log[Part Name],$A11,T_TTAFStock_Log[WeekIndex],34)=0,"",SUMIFS(T_TTAFStock_Log[TTAF_Qty],T_TTAFStock_Log[Part Name],$A11,T_TTAFStock_Log[WeekIndex],34))</f>
        <v/>
      </c>
      <c r="AJ11" s="13">
        <f>IF(COUNTIFS(T_TTAFStock_Log[Part Name],$A11,T_TTAFStock_Log[WeekIndex],35)=0,"",SUMIFS(T_TTAFStock_Log[TTAF_Qty],T_TTAFStock_Log[Part Name],$A11,T_TTAFStock_Log[WeekIndex],35))</f>
        <v/>
      </c>
      <c r="AK11" s="13">
        <f>IF(COUNTIFS(T_TTAFStock_Log[Part Name],$A11,T_TTAFStock_Log[WeekIndex],36)=0,"",SUMIFS(T_TTAFStock_Log[TTAF_Qty],T_TTAFStock_Log[Part Name],$A11,T_TTAFStock_Log[WeekIndex],36))</f>
        <v/>
      </c>
      <c r="AL11" s="13">
        <f>IF(COUNTIFS(T_TTAFStock_Log[Part Name],$A11,T_TTAFStock_Log[WeekIndex],37)=0,"",SUMIFS(T_TTAFStock_Log[TTAF_Qty],T_TTAFStock_Log[Part Name],$A11,T_TTAFStock_Log[WeekIndex],37))</f>
        <v/>
      </c>
      <c r="AM11" s="13">
        <f>IF(COUNTIFS(T_TTAFStock_Log[Part Name],$A11,T_TTAFStock_Log[WeekIndex],38)=0,"",SUMIFS(T_TTAFStock_Log[TTAF_Qty],T_TTAFStock_Log[Part Name],$A11,T_TTAFStock_Log[WeekIndex],38))</f>
        <v/>
      </c>
      <c r="AN11" s="13">
        <f>IF(COUNTIFS(T_TTAFStock_Log[Part Name],$A11,T_TTAFStock_Log[WeekIndex],39)=0,"",SUMIFS(T_TTAFStock_Log[TTAF_Qty],T_TTAFStock_Log[Part Name],$A11,T_TTAFStock_Log[WeekIndex],39))</f>
        <v/>
      </c>
      <c r="AO11" s="13">
        <f>IF(COUNTIFS(T_TTAFStock_Log[Part Name],$A11,T_TTAFStock_Log[WeekIndex],40)=0,"",SUMIFS(T_TTAFStock_Log[TTAF_Qty],T_TTAFStock_Log[Part Name],$A11,T_TTAFStock_Log[WeekIndex],40))</f>
        <v/>
      </c>
      <c r="AP11" s="13">
        <f>IF(COUNTIFS(T_TTAFStock_Log[Part Name],$A11,T_TTAFStock_Log[WeekIndex],41)=0,"",SUMIFS(T_TTAFStock_Log[TTAF_Qty],T_TTAFStock_Log[Part Name],$A11,T_TTAFStock_Log[WeekIndex],41))</f>
        <v/>
      </c>
      <c r="AQ11" s="13">
        <f>IF(COUNTIFS(T_TTAFStock_Log[Part Name],$A11,T_TTAFStock_Log[WeekIndex],42)=0,"",SUMIFS(T_TTAFStock_Log[TTAF_Qty],T_TTAFStock_Log[Part Name],$A11,T_TTAFStock_Log[WeekIndex],42))</f>
        <v/>
      </c>
      <c r="AR11" s="13">
        <f>IF(COUNTIFS(T_TTAFStock_Log[Part Name],$A11,T_TTAFStock_Log[WeekIndex],43)=0,"",SUMIFS(T_TTAFStock_Log[TTAF_Qty],T_TTAFStock_Log[Part Name],$A11,T_TTAFStock_Log[WeekIndex],43))</f>
        <v/>
      </c>
      <c r="AS11" s="13">
        <f>IF(COUNTIFS(T_TTAFStock_Log[Part Name],$A11,T_TTAFStock_Log[WeekIndex],44)=0,"",SUMIFS(T_TTAFStock_Log[TTAF_Qty],T_TTAFStock_Log[Part Name],$A11,T_TTAFStock_Log[WeekIndex],44))</f>
        <v/>
      </c>
      <c r="AT11" s="13">
        <f>IF(COUNTIFS(T_TTAFStock_Log[Part Name],$A11,T_TTAFStock_Log[WeekIndex],45)=0,"",SUMIFS(T_TTAFStock_Log[TTAF_Qty],T_TTAFStock_Log[Part Name],$A11,T_TTAFStock_Log[WeekIndex],45))</f>
        <v/>
      </c>
      <c r="AU11" s="13">
        <f>IF(COUNTIFS(T_TTAFStock_Log[Part Name],$A11,T_TTAFStock_Log[WeekIndex],46)=0,"",SUMIFS(T_TTAFStock_Log[TTAF_Qty],T_TTAFStock_Log[Part Name],$A11,T_TTAFStock_Log[WeekIndex],46))</f>
        <v/>
      </c>
      <c r="AV11" s="13">
        <f>IF(COUNTIFS(T_TTAFStock_Log[Part Name],$A11,T_TTAFStock_Log[WeekIndex],47)=0,"",SUMIFS(T_TTAFStock_Log[TTAF_Qty],T_TTAFStock_Log[Part Name],$A11,T_TTAFStock_Log[WeekIndex],47))</f>
        <v/>
      </c>
      <c r="AW11" s="13">
        <f>IF(COUNTIFS(T_TTAFStock_Log[Part Name],$A11,T_TTAFStock_Log[WeekIndex],48)=0,"",SUMIFS(T_TTAFStock_Log[TTAF_Qty],T_TTAFStock_Log[Part Name],$A11,T_TTAFStock_Log[WeekIndex],48))</f>
        <v/>
      </c>
      <c r="AX11" s="13">
        <f>IF(COUNTIFS(T_TTAFStock_Log[Part Name],$A11,T_TTAFStock_Log[WeekIndex],49)=0,"",SUMIFS(T_TTAFStock_Log[TTAF_Qty],T_TTAFStock_Log[Part Name],$A11,T_TTAFStock_Log[WeekIndex],49))</f>
        <v/>
      </c>
      <c r="AY11" s="13">
        <f>IF(COUNTIFS(T_TTAFStock_Log[Part Name],$A11,T_TTAFStock_Log[WeekIndex],50)=0,"",SUMIFS(T_TTAFStock_Log[TTAF_Qty],T_TTAFStock_Log[Part Name],$A11,T_TTAFStock_Log[WeekIndex],50))</f>
        <v/>
      </c>
      <c r="AZ11" s="13">
        <f>IF(COUNTIFS(T_TTAFStock_Log[Part Name],$A11,T_TTAFStock_Log[WeekIndex],51)=0,"",SUMIFS(T_TTAFStock_Log[TTAF_Qty],T_TTAFStock_Log[Part Name],$A11,T_TTAFStock_Log[WeekIndex],51))</f>
        <v/>
      </c>
      <c r="BA11" s="13">
        <f>IF(COUNTIFS(T_TTAFStock_Log[Part Name],$A11,T_TTAFStock_Log[WeekIndex],52)=0,"",SUMIFS(T_TTAFStock_Log[TTAF_Qty],T_TTAFStock_Log[Part Name],$A11,T_TTAFStock_Log[WeekIndex],52))</f>
        <v/>
      </c>
      <c r="BB11" s="13">
        <f>IF(COUNTIFS(T_TTAFStock_Log[Part Name],$A11,T_TTAFStock_Log[WeekIndex],53)=0,"",SUMIFS(T_TTAFStock_Log[TTAF_Qty],T_TTAFStock_Log[Part Name],$A11,T_TTAFStock_Log[WeekIndex],53))</f>
        <v/>
      </c>
      <c r="BC11" s="13">
        <f>IF(COUNTIFS(T_TTAFStock_Log[Part Name],$A11,T_TTAFStock_Log[WeekIndex],54)=0,"",SUMIFS(T_TTAFStock_Log[TTAF_Qty],T_TTAFStock_Log[Part Name],$A11,T_TTAFStock_Log[WeekIndex],54))</f>
        <v/>
      </c>
      <c r="BD11" s="13">
        <f>IF(COUNTIFS(T_TTAFStock_Log[Part Name],$A11,T_TTAFStock_Log[WeekIndex],55)=0,"",SUMIFS(T_TTAFStock_Log[TTAF_Qty],T_TTAFStock_Log[Part Name],$A11,T_TTAFStock_Log[WeekIndex],55))</f>
        <v/>
      </c>
      <c r="BE11" s="13">
        <f>IF(COUNTIFS(T_TTAFStock_Log[Part Name],$A11,T_TTAFStock_Log[WeekIndex],56)=0,"",SUMIFS(T_TTAFStock_Log[TTAF_Qty],T_TTAFStock_Log[Part Name],$A11,T_TTAFStock_Log[WeekIndex],56))</f>
        <v/>
      </c>
      <c r="BF11" s="13">
        <f>IF(COUNTIFS(T_TTAFStock_Log[Part Name],$A11,T_TTAFStock_Log[WeekIndex],57)=0,"",SUMIFS(T_TTAFStock_Log[TTAF_Qty],T_TTAFStock_Log[Part Name],$A11,T_TTAFStock_Log[WeekIndex],57))</f>
        <v/>
      </c>
      <c r="BG11" s="13">
        <f>IF(COUNTIFS(T_TTAFStock_Log[Part Name],$A11,T_TTAFStock_Log[WeekIndex],58)=0,"",SUMIFS(T_TTAFStock_Log[TTAF_Qty],T_TTAFStock_Log[Part Name],$A11,T_TTAFStock_Log[WeekIndex],58))</f>
        <v/>
      </c>
      <c r="BH11" s="13">
        <f>IF(COUNTIFS(T_TTAFStock_Log[Part Name],$A11,T_TTAFStock_Log[WeekIndex],59)=0,"",SUMIFS(T_TTAFStock_Log[TTAF_Qty],T_TTAFStock_Log[Part Name],$A11,T_TTAFStock_Log[WeekIndex],59))</f>
        <v/>
      </c>
      <c r="BI11" s="13">
        <f>IF(COUNTIFS(T_TTAFStock_Log[Part Name],$A11,T_TTAFStock_Log[WeekIndex],60)=0,"",SUMIFS(T_TTAFStock_Log[TTAF_Qty],T_TTAFStock_Log[Part Name],$A11,T_TTAFStock_Log[WeekIndex],60))</f>
        <v/>
      </c>
      <c r="BJ11" s="13">
        <f>IF(COUNTIFS(T_TTAFStock_Log[Part Name],$A11,T_TTAFStock_Log[WeekIndex],61)=0,"",SUMIFS(T_TTAFStock_Log[TTAF_Qty],T_TTAFStock_Log[Part Name],$A11,T_TTAFStock_Log[WeekIndex],61))</f>
        <v/>
      </c>
      <c r="BK11" s="13">
        <f>IF(COUNTIFS(T_TTAFStock_Log[Part Name],$A11,T_TTAFStock_Log[WeekIndex],62)=0,"",SUMIFS(T_TTAFStock_Log[TTAF_Qty],T_TTAFStock_Log[Part Name],$A11,T_TTAFStock_Log[WeekIndex],62))</f>
        <v/>
      </c>
      <c r="BL11" s="13">
        <f>IF(COUNTIFS(T_TTAFStock_Log[Part Name],$A11,T_TTAFStock_Log[WeekIndex],63)=0,"",SUMIFS(T_TTAFStock_Log[TTAF_Qty],T_TTAFStock_Log[Part Name],$A11,T_TTAFStock_Log[WeekIndex],63))</f>
        <v/>
      </c>
      <c r="BM11" s="13">
        <f>IF(COUNTIFS(T_TTAFStock_Log[Part Name],$A11,T_TTAFStock_Log[WeekIndex],64)=0,"",SUMIFS(T_TTAFStock_Log[TTAF_Qty],T_TTAFStock_Log[Part Name],$A11,T_TTAFStock_Log[WeekIndex],64))</f>
        <v/>
      </c>
      <c r="BN11" s="13">
        <f>IF(COUNTIFS(T_TTAFStock_Log[Part Name],$A11,T_TTAFStock_Log[WeekIndex],65)=0,"",SUMIFS(T_TTAFStock_Log[TTAF_Qty],T_TTAFStock_Log[Part Name],$A11,T_TTAFStock_Log[WeekIndex],65))</f>
        <v/>
      </c>
      <c r="BO11" s="13">
        <f>IF(COUNTIFS(T_TTAFStock_Log[Part Name],$A11,T_TTAFStock_Log[WeekIndex],66)=0,"",SUMIFS(T_TTAFStock_Log[TTAF_Qty],T_TTAFStock_Log[Part Name],$A11,T_TTAFStock_Log[WeekIndex],66))</f>
        <v/>
      </c>
      <c r="BP11" s="13">
        <f>IF(COUNTIFS(T_TTAFStock_Log[Part Name],$A11,T_TTAFStock_Log[WeekIndex],67)=0,"",SUMIFS(T_TTAFStock_Log[TTAF_Qty],T_TTAFStock_Log[Part Name],$A11,T_TTAFStock_Log[WeekIndex],67))</f>
        <v/>
      </c>
      <c r="BQ11" s="13">
        <f>IF(COUNTIFS(T_TTAFStock_Log[Part Name],$A11,T_TTAFStock_Log[WeekIndex],68)=0,"",SUMIFS(T_TTAFStock_Log[TTAF_Qty],T_TTAFStock_Log[Part Name],$A11,T_TTAFStock_Log[WeekIndex],68))</f>
        <v/>
      </c>
      <c r="BR11" s="13">
        <f>IF(COUNTIFS(T_TTAFStock_Log[Part Name],$A11,T_TTAFStock_Log[WeekIndex],69)=0,"",SUMIFS(T_TTAFStock_Log[TTAF_Qty],T_TTAFStock_Log[Part Name],$A11,T_TTAFStock_Log[WeekIndex],69))</f>
        <v/>
      </c>
      <c r="BS11" s="13">
        <f>IF(COUNTIFS(T_TTAFStock_Log[Part Name],$A11,T_TTAFStock_Log[WeekIndex],70)=0,"",SUMIFS(T_TTAFStock_Log[TTAF_Qty],T_TTAFStock_Log[Part Name],$A11,T_TTAFStock_Log[WeekIndex],70))</f>
        <v/>
      </c>
      <c r="BT11" s="13">
        <f>IF(COUNTIFS(T_TTAFStock_Log[Part Name],$A11,T_TTAFStock_Log[WeekIndex],71)=0,"",SUMIFS(T_TTAFStock_Log[TTAF_Qty],T_TTAFStock_Log[Part Name],$A11,T_TTAFStock_Log[WeekIndex],71))</f>
        <v/>
      </c>
      <c r="BU11" s="13">
        <f>IF(COUNTIFS(T_TTAFStock_Log[Part Name],$A11,T_TTAFStock_Log[WeekIndex],72)=0,"",SUMIFS(T_TTAFStock_Log[TTAF_Qty],T_TTAFStock_Log[Part Name],$A11,T_TTAFStock_Log[WeekIndex],72))</f>
        <v/>
      </c>
      <c r="BV11" s="13">
        <f>IF(COUNTIFS(T_TTAFStock_Log[Part Name],$A11,T_TTAFStock_Log[WeekIndex],73)=0,"",SUMIFS(T_TTAFStock_Log[TTAF_Qty],T_TTAFStock_Log[Part Name],$A11,T_TTAFStock_Log[WeekIndex],73))</f>
        <v/>
      </c>
      <c r="BW11" s="13">
        <f>IF(COUNTIFS(T_TTAFStock_Log[Part Name],$A11,T_TTAFStock_Log[WeekIndex],74)=0,"",SUMIFS(T_TTAFStock_Log[TTAF_Qty],T_TTAFStock_Log[Part Name],$A11,T_TTAFStock_Log[WeekIndex],74))</f>
        <v/>
      </c>
      <c r="BX11" s="13">
        <f>IF(COUNTIFS(T_TTAFStock_Log[Part Name],$A11,T_TTAFStock_Log[WeekIndex],75)=0,"",SUMIFS(T_TTAFStock_Log[TTAF_Qty],T_TTAFStock_Log[Part Name],$A11,T_TTAFStock_Log[WeekIndex],75))</f>
        <v/>
      </c>
      <c r="BY11" s="13">
        <f>IF(COUNTIFS(T_TTAFStock_Log[Part Name],$A11,T_TTAFStock_Log[WeekIndex],76)=0,"",SUMIFS(T_TTAFStock_Log[TTAF_Qty],T_TTAFStock_Log[Part Name],$A11,T_TTAFStock_Log[WeekIndex],76))</f>
        <v/>
      </c>
      <c r="BZ11" s="13">
        <f>IF(COUNTIFS(T_TTAFStock_Log[Part Name],$A11,T_TTAFStock_Log[WeekIndex],77)=0,"",SUMIFS(T_TTAFStock_Log[TTAF_Qty],T_TTAFStock_Log[Part Name],$A11,T_TTAFStock_Log[WeekIndex],77))</f>
        <v/>
      </c>
      <c r="CA11" s="13">
        <f>IF(COUNTIFS(T_TTAFStock_Log[Part Name],$A11,T_TTAFStock_Log[WeekIndex],78)=0,"",SUMIFS(T_TTAFStock_Log[TTAF_Qty],T_TTAFStock_Log[Part Name],$A11,T_TTAFStock_Log[WeekIndex],78))</f>
        <v/>
      </c>
      <c r="CB11" s="13">
        <f>IF(COUNTIFS(T_TTAFStock_Log[Part Name],$A11,T_TTAFStock_Log[WeekIndex],79)=0,"",SUMIFS(T_TTAFStock_Log[TTAF_Qty],T_TTAFStock_Log[Part Name],$A11,T_TTAFStock_Log[WeekIndex],79))</f>
        <v/>
      </c>
      <c r="CC11" s="13">
        <f>IF(COUNTIFS(T_TTAFStock_Log[Part Name],$A11,T_TTAFStock_Log[WeekIndex],80)=0,"",SUMIFS(T_TTAFStock_Log[TTAF_Qty],T_TTAFStock_Log[Part Name],$A11,T_TTAFStock_Log[WeekIndex],80))</f>
        <v/>
      </c>
      <c r="CD11" s="13">
        <f>IF(COUNTIFS(T_TTAFStock_Log[Part Name],$A11,T_TTAFStock_Log[WeekIndex],81)=0,"",SUMIFS(T_TTAFStock_Log[TTAF_Qty],T_TTAFStock_Log[Part Name],$A11,T_TTAFStock_Log[WeekIndex],81))</f>
        <v/>
      </c>
      <c r="CE11" s="13">
        <f>IF(COUNTIFS(T_TTAFStock_Log[Part Name],$A11,T_TTAFStock_Log[WeekIndex],82)=0,"",SUMIFS(T_TTAFStock_Log[TTAF_Qty],T_TTAFStock_Log[Part Name],$A11,T_TTAFStock_Log[WeekIndex],82))</f>
        <v/>
      </c>
      <c r="CF11" s="13">
        <f>IF(COUNTIFS(T_TTAFStock_Log[Part Name],$A11,T_TTAFStock_Log[WeekIndex],83)=0,"",SUMIFS(T_TTAFStock_Log[TTAF_Qty],T_TTAFStock_Log[Part Name],$A11,T_TTAFStock_Log[WeekIndex],83))</f>
        <v/>
      </c>
      <c r="CG11" s="13">
        <f>IF(COUNTIFS(T_TTAFStock_Log[Part Name],$A11,T_TTAFStock_Log[WeekIndex],84)=0,"",SUMIFS(T_TTAFStock_Log[TTAF_Qty],T_TTAFStock_Log[Part Name],$A11,T_TTAFStock_Log[WeekIndex],84))</f>
        <v/>
      </c>
      <c r="CH11" s="13">
        <f>IF(COUNTIFS(T_TTAFStock_Log[Part Name],$A11,T_TTAFStock_Log[WeekIndex],85)=0,"",SUMIFS(T_TTAFStock_Log[TTAF_Qty],T_TTAFStock_Log[Part Name],$A11,T_TTAFStock_Log[WeekIndex],85))</f>
        <v/>
      </c>
      <c r="CI11" s="13">
        <f>IF(COUNTIFS(T_TTAFStock_Log[Part Name],$A11,T_TTAFStock_Log[WeekIndex],86)=0,"",SUMIFS(T_TTAFStock_Log[TTAF_Qty],T_TTAFStock_Log[Part Name],$A11,T_TTAFStock_Log[WeekIndex],86))</f>
        <v/>
      </c>
      <c r="CJ11" s="13">
        <f>IF(COUNTIFS(T_TTAFStock_Log[Part Name],$A11,T_TTAFStock_Log[WeekIndex],87)=0,"",SUMIFS(T_TTAFStock_Log[TTAF_Qty],T_TTAFStock_Log[Part Name],$A11,T_TTAFStock_Log[WeekIndex],87))</f>
        <v/>
      </c>
      <c r="CK11" s="13">
        <f>IF(COUNTIFS(T_TTAFStock_Log[Part Name],$A11,T_TTAFStock_Log[WeekIndex],88)=0,"",SUMIFS(T_TTAFStock_Log[TTAF_Qty],T_TTAFStock_Log[Part Name],$A11,T_TTAFStock_Log[WeekIndex],88))</f>
        <v/>
      </c>
      <c r="CL11" s="13">
        <f>IF(COUNTIFS(T_TTAFStock_Log[Part Name],$A11,T_TTAFStock_Log[WeekIndex],89)=0,"",SUMIFS(T_TTAFStock_Log[TTAF_Qty],T_TTAFStock_Log[Part Name],$A11,T_TTAFStock_Log[WeekIndex],89))</f>
        <v/>
      </c>
      <c r="CM11" s="13">
        <f>IF(COUNTIFS(T_TTAFStock_Log[Part Name],$A11,T_TTAFStock_Log[WeekIndex],90)=0,"",SUMIFS(T_TTAFStock_Log[TTAF_Qty],T_TTAFStock_Log[Part Name],$A11,T_TTAFStock_Log[WeekIndex],90))</f>
        <v/>
      </c>
      <c r="CN11" s="13">
        <f>IF(COUNTIFS(T_TTAFStock_Log[Part Name],$A11,T_TTAFStock_Log[WeekIndex],91)=0,"",SUMIFS(T_TTAFStock_Log[TTAF_Qty],T_TTAFStock_Log[Part Name],$A11,T_TTAFStock_Log[WeekIndex],91))</f>
        <v/>
      </c>
      <c r="CO11" s="13">
        <f>IF(COUNTIFS(T_TTAFStock_Log[Part Name],$A11,T_TTAFStock_Log[WeekIndex],92)=0,"",SUMIFS(T_TTAFStock_Log[TTAF_Qty],T_TTAFStock_Log[Part Name],$A11,T_TTAFStock_Log[WeekIndex],92))</f>
        <v/>
      </c>
      <c r="CP11" s="13">
        <f>IF(COUNTIFS(T_TTAFStock_Log[Part Name],$A11,T_TTAFStock_Log[WeekIndex],93)=0,"",SUMIFS(T_TTAFStock_Log[TTAF_Qty],T_TTAFStock_Log[Part Name],$A11,T_TTAFStock_Log[WeekIndex],93))</f>
        <v/>
      </c>
      <c r="CQ11" s="13">
        <f>IF(COUNTIFS(T_TTAFStock_Log[Part Name],$A11,T_TTAFStock_Log[WeekIndex],94)=0,"",SUMIFS(T_TTAFStock_Log[TTAF_Qty],T_TTAFStock_Log[Part Name],$A11,T_TTAFStock_Log[WeekIndex],94))</f>
        <v/>
      </c>
      <c r="CR11" s="13">
        <f>IF(COUNTIFS(T_TTAFStock_Log[Part Name],$A11,T_TTAFStock_Log[WeekIndex],95)=0,"",SUMIFS(T_TTAFStock_Log[TTAF_Qty],T_TTAFStock_Log[Part Name],$A11,T_TTAFStock_Log[WeekIndex],95))</f>
        <v/>
      </c>
      <c r="CS11" s="13">
        <f>IF(COUNTIFS(T_TTAFStock_Log[Part Name],$A11,T_TTAFStock_Log[WeekIndex],96)=0,"",SUMIFS(T_TTAFStock_Log[TTAF_Qty],T_TTAFStock_Log[Part Name],$A11,T_TTAFStock_Log[WeekIndex],96))</f>
        <v/>
      </c>
      <c r="CT11" s="13">
        <f>IF(COUNTIFS(T_TTAFStock_Log[Part Name],$A11,T_TTAFStock_Log[WeekIndex],97)=0,"",SUMIFS(T_TTAFStock_Log[TTAF_Qty],T_TTAFStock_Log[Part Name],$A11,T_TTAFStock_Log[WeekIndex],97))</f>
        <v/>
      </c>
      <c r="CU11" s="13">
        <f>IF(COUNTIFS(T_TTAFStock_Log[Part Name],$A11,T_TTAFStock_Log[WeekIndex],98)=0,"",SUMIFS(T_TTAFStock_Log[TTAF_Qty],T_TTAFStock_Log[Part Name],$A11,T_TTAFStock_Log[WeekIndex],98))</f>
        <v/>
      </c>
      <c r="CV11" s="13">
        <f>IF(COUNTIFS(T_TTAFStock_Log[Part Name],$A11,T_TTAFStock_Log[WeekIndex],99)=0,"",SUMIFS(T_TTAFStock_Log[TTAF_Qty],T_TTAFStock_Log[Part Name],$A11,T_TTAFStock_Log[WeekIndex],99))</f>
        <v/>
      </c>
      <c r="CW11" s="13">
        <f>IF(COUNTIFS(T_TTAFStock_Log[Part Name],$A11,T_TTAFStock_Log[WeekIndex],100)=0,"",SUMIFS(T_TTAFStock_Log[TTAF_Qty],T_TTAFStock_Log[Part Name],$A11,T_TTAFStock_Log[WeekIndex],100))</f>
        <v/>
      </c>
      <c r="CX11" s="13">
        <f>IF(COUNTIFS(T_TTAFStock_Log[Part Name],$A11,T_TTAFStock_Log[WeekIndex],101)=0,"",SUMIFS(T_TTAFStock_Log[TTAF_Qty],T_TTAFStock_Log[Part Name],$A11,T_TTAFStock_Log[WeekIndex],101))</f>
        <v/>
      </c>
      <c r="CY11" s="13">
        <f>IF(COUNTIFS(T_TTAFStock_Log[Part Name],$A11,T_TTAFStock_Log[WeekIndex],102)=0,"",SUMIFS(T_TTAFStock_Log[TTAF_Qty],T_TTAFStock_Log[Part Name],$A11,T_TTAFStock_Log[WeekIndex],102))</f>
        <v/>
      </c>
      <c r="CZ11" s="13">
        <f>IF(COUNTIFS(T_TTAFStock_Log[Part Name],$A11,T_TTAFStock_Log[WeekIndex],103)=0,"",SUMIFS(T_TTAFStock_Log[TTAF_Qty],T_TTAFStock_Log[Part Name],$A11,T_TTAFStock_Log[WeekIndex],103))</f>
        <v/>
      </c>
      <c r="DA11" s="13">
        <f>IF(COUNTIFS(T_TTAFStock_Log[Part Name],$A11,T_TTAFStock_Log[WeekIndex],104)=0,"",SUMIFS(T_TTAFStock_Log[TTAF_Qty],T_TTAFStock_Log[Part Name],$A11,T_TTAFStock_Log[WeekIndex],104))</f>
        <v/>
      </c>
    </row>
    <row r="12">
      <c r="A12" s="12" t="inlineStr">
        <is>
          <t>CHEM-1690</t>
        </is>
      </c>
      <c r="B12" s="12">
        <f>IF(COUNTIFS(T_TTAFStock_Log[Part Name],$A12,T_TTAFStock_Log[WeekIndex],1)=0,"",SUMIFS(T_TTAFStock_Log[TTAF_Qty],T_TTAFStock_Log[Part Name],$A12,T_TTAFStock_Log[WeekIndex],1))</f>
        <v/>
      </c>
      <c r="C12" s="12">
        <f>IF(COUNTIFS(T_TTAFStock_Log[Part Name],$A12,T_TTAFStock_Log[WeekIndex],2)=0,"",SUMIFS(T_TTAFStock_Log[TTAF_Qty],T_TTAFStock_Log[Part Name],$A12,T_TTAFStock_Log[WeekIndex],2))</f>
        <v/>
      </c>
      <c r="D12" s="12">
        <f>IF(COUNTIFS(T_TTAFStock_Log[Part Name],$A12,T_TTAFStock_Log[WeekIndex],3)=0,"",SUMIFS(T_TTAFStock_Log[TTAF_Qty],T_TTAFStock_Log[Part Name],$A12,T_TTAFStock_Log[WeekIndex],3))</f>
        <v/>
      </c>
      <c r="E12" s="12">
        <f>IF(COUNTIFS(T_TTAFStock_Log[Part Name],$A12,T_TTAFStock_Log[WeekIndex],4)=0,"",SUMIFS(T_TTAFStock_Log[TTAF_Qty],T_TTAFStock_Log[Part Name],$A12,T_TTAFStock_Log[WeekIndex],4))</f>
        <v/>
      </c>
      <c r="F12" s="12">
        <f>IF(COUNTIFS(T_TTAFStock_Log[Part Name],$A12,T_TTAFStock_Log[WeekIndex],5)=0,"",SUMIFS(T_TTAFStock_Log[TTAF_Qty],T_TTAFStock_Log[Part Name],$A12,T_TTAFStock_Log[WeekIndex],5))</f>
        <v/>
      </c>
      <c r="G12" s="12">
        <f>IF(COUNTIFS(T_TTAFStock_Log[Part Name],$A12,T_TTAFStock_Log[WeekIndex],6)=0,"",SUMIFS(T_TTAFStock_Log[TTAF_Qty],T_TTAFStock_Log[Part Name],$A12,T_TTAFStock_Log[WeekIndex],6))</f>
        <v/>
      </c>
      <c r="H12" s="12">
        <f>IF(COUNTIFS(T_TTAFStock_Log[Part Name],$A12,T_TTAFStock_Log[WeekIndex],7)=0,"",SUMIFS(T_TTAFStock_Log[TTAF_Qty],T_TTAFStock_Log[Part Name],$A12,T_TTAFStock_Log[WeekIndex],7))</f>
        <v/>
      </c>
      <c r="I12" s="12">
        <f>IF(COUNTIFS(T_TTAFStock_Log[Part Name],$A12,T_TTAFStock_Log[WeekIndex],8)=0,"",SUMIFS(T_TTAFStock_Log[TTAF_Qty],T_TTAFStock_Log[Part Name],$A12,T_TTAFStock_Log[WeekIndex],8))</f>
        <v/>
      </c>
      <c r="J12" s="12">
        <f>IF(COUNTIFS(T_TTAFStock_Log[Part Name],$A12,T_TTAFStock_Log[WeekIndex],9)=0,"",SUMIFS(T_TTAFStock_Log[TTAF_Qty],T_TTAFStock_Log[Part Name],$A12,T_TTAFStock_Log[WeekIndex],9))</f>
        <v/>
      </c>
      <c r="K12" s="12">
        <f>IF(COUNTIFS(T_TTAFStock_Log[Part Name],$A12,T_TTAFStock_Log[WeekIndex],10)=0,"",SUMIFS(T_TTAFStock_Log[TTAF_Qty],T_TTAFStock_Log[Part Name],$A12,T_TTAFStock_Log[WeekIndex],10))</f>
        <v/>
      </c>
      <c r="L12" s="12">
        <f>IF(COUNTIFS(T_TTAFStock_Log[Part Name],$A12,T_TTAFStock_Log[WeekIndex],11)=0,"",SUMIFS(T_TTAFStock_Log[TTAF_Qty],T_TTAFStock_Log[Part Name],$A12,T_TTAFStock_Log[WeekIndex],11))</f>
        <v/>
      </c>
      <c r="M12" s="12">
        <f>IF(COUNTIFS(T_TTAFStock_Log[Part Name],$A12,T_TTAFStock_Log[WeekIndex],12)=0,"",SUMIFS(T_TTAFStock_Log[TTAF_Qty],T_TTAFStock_Log[Part Name],$A12,T_TTAFStock_Log[WeekIndex],12))</f>
        <v/>
      </c>
      <c r="N12" s="12">
        <f>IF(COUNTIFS(T_TTAFStock_Log[Part Name],$A12,T_TTAFStock_Log[WeekIndex],13)=0,"",SUMIFS(T_TTAFStock_Log[TTAF_Qty],T_TTAFStock_Log[Part Name],$A12,T_TTAFStock_Log[WeekIndex],13))</f>
        <v/>
      </c>
      <c r="O12" s="12">
        <f>IF(COUNTIFS(T_TTAFStock_Log[Part Name],$A12,T_TTAFStock_Log[WeekIndex],14)=0,"",SUMIFS(T_TTAFStock_Log[TTAF_Qty],T_TTAFStock_Log[Part Name],$A12,T_TTAFStock_Log[WeekIndex],14))</f>
        <v/>
      </c>
      <c r="P12" s="12">
        <f>IF(COUNTIFS(T_TTAFStock_Log[Part Name],$A12,T_TTAFStock_Log[WeekIndex],15)=0,"",SUMIFS(T_TTAFStock_Log[TTAF_Qty],T_TTAFStock_Log[Part Name],$A12,T_TTAFStock_Log[WeekIndex],15))</f>
        <v/>
      </c>
      <c r="Q12" s="12">
        <f>IF(COUNTIFS(T_TTAFStock_Log[Part Name],$A12,T_TTAFStock_Log[WeekIndex],16)=0,"",SUMIFS(T_TTAFStock_Log[TTAF_Qty],T_TTAFStock_Log[Part Name],$A12,T_TTAFStock_Log[WeekIndex],16))</f>
        <v/>
      </c>
      <c r="R12" s="12">
        <f>IF(COUNTIFS(T_TTAFStock_Log[Part Name],$A12,T_TTAFStock_Log[WeekIndex],17)=0,"",SUMIFS(T_TTAFStock_Log[TTAF_Qty],T_TTAFStock_Log[Part Name],$A12,T_TTAFStock_Log[WeekIndex],17))</f>
        <v/>
      </c>
      <c r="S12" s="12">
        <f>IF(COUNTIFS(T_TTAFStock_Log[Part Name],$A12,T_TTAFStock_Log[WeekIndex],18)=0,"",SUMIFS(T_TTAFStock_Log[TTAF_Qty],T_TTAFStock_Log[Part Name],$A12,T_TTAFStock_Log[WeekIndex],18))</f>
        <v/>
      </c>
      <c r="T12" s="12">
        <f>IF(COUNTIFS(T_TTAFStock_Log[Part Name],$A12,T_TTAFStock_Log[WeekIndex],19)=0,"",SUMIFS(T_TTAFStock_Log[TTAF_Qty],T_TTAFStock_Log[Part Name],$A12,T_TTAFStock_Log[WeekIndex],19))</f>
        <v/>
      </c>
      <c r="U12" s="12">
        <f>IF(COUNTIFS(T_TTAFStock_Log[Part Name],$A12,T_TTAFStock_Log[WeekIndex],20)=0,"",SUMIFS(T_TTAFStock_Log[TTAF_Qty],T_TTAFStock_Log[Part Name],$A12,T_TTAFStock_Log[WeekIndex],20))</f>
        <v/>
      </c>
      <c r="V12" s="12">
        <f>IF(COUNTIFS(T_TTAFStock_Log[Part Name],$A12,T_TTAFStock_Log[WeekIndex],21)=0,"",SUMIFS(T_TTAFStock_Log[TTAF_Qty],T_TTAFStock_Log[Part Name],$A12,T_TTAFStock_Log[WeekIndex],21))</f>
        <v/>
      </c>
      <c r="W12" s="12">
        <f>IF(COUNTIFS(T_TTAFStock_Log[Part Name],$A12,T_TTAFStock_Log[WeekIndex],22)=0,"",SUMIFS(T_TTAFStock_Log[TTAF_Qty],T_TTAFStock_Log[Part Name],$A12,T_TTAFStock_Log[WeekIndex],22))</f>
        <v/>
      </c>
      <c r="X12" s="12">
        <f>IF(COUNTIFS(T_TTAFStock_Log[Part Name],$A12,T_TTAFStock_Log[WeekIndex],23)=0,"",SUMIFS(T_TTAFStock_Log[TTAF_Qty],T_TTAFStock_Log[Part Name],$A12,T_TTAFStock_Log[WeekIndex],23))</f>
        <v/>
      </c>
      <c r="Y12" s="12">
        <f>IF(COUNTIFS(T_TTAFStock_Log[Part Name],$A12,T_TTAFStock_Log[WeekIndex],24)=0,"",SUMIFS(T_TTAFStock_Log[TTAF_Qty],T_TTAFStock_Log[Part Name],$A12,T_TTAFStock_Log[WeekIndex],24))</f>
        <v/>
      </c>
      <c r="Z12" s="12">
        <f>IF(COUNTIFS(T_TTAFStock_Log[Part Name],$A12,T_TTAFStock_Log[WeekIndex],25)=0,"",SUMIFS(T_TTAFStock_Log[TTAF_Qty],T_TTAFStock_Log[Part Name],$A12,T_TTAFStock_Log[WeekIndex],25))</f>
        <v/>
      </c>
      <c r="AA12" s="12">
        <f>IF(COUNTIFS(T_TTAFStock_Log[Part Name],$A12,T_TTAFStock_Log[WeekIndex],26)=0,"",SUMIFS(T_TTAFStock_Log[TTAF_Qty],T_TTAFStock_Log[Part Name],$A12,T_TTAFStock_Log[WeekIndex],26))</f>
        <v/>
      </c>
      <c r="AB12" s="12">
        <f>IF(COUNTIFS(T_TTAFStock_Log[Part Name],$A12,T_TTAFStock_Log[WeekIndex],27)=0,"",SUMIFS(T_TTAFStock_Log[TTAF_Qty],T_TTAFStock_Log[Part Name],$A12,T_TTAFStock_Log[WeekIndex],27))</f>
        <v/>
      </c>
      <c r="AC12" s="12">
        <f>IF(COUNTIFS(T_TTAFStock_Log[Part Name],$A12,T_TTAFStock_Log[WeekIndex],28)=0,"",SUMIFS(T_TTAFStock_Log[TTAF_Qty],T_TTAFStock_Log[Part Name],$A12,T_TTAFStock_Log[WeekIndex],28))</f>
        <v/>
      </c>
      <c r="AD12" s="12">
        <f>IF(COUNTIFS(T_TTAFStock_Log[Part Name],$A12,T_TTAFStock_Log[WeekIndex],29)=0,"",SUMIFS(T_TTAFStock_Log[TTAF_Qty],T_TTAFStock_Log[Part Name],$A12,T_TTAFStock_Log[WeekIndex],29))</f>
        <v/>
      </c>
      <c r="AE12" s="12">
        <f>IF(COUNTIFS(T_TTAFStock_Log[Part Name],$A12,T_TTAFStock_Log[WeekIndex],30)=0,"",SUMIFS(T_TTAFStock_Log[TTAF_Qty],T_TTAFStock_Log[Part Name],$A12,T_TTAFStock_Log[WeekIndex],30))</f>
        <v/>
      </c>
      <c r="AF12" s="12">
        <f>IF(COUNTIFS(T_TTAFStock_Log[Part Name],$A12,T_TTAFStock_Log[WeekIndex],31)=0,"",SUMIFS(T_TTAFStock_Log[TTAF_Qty],T_TTAFStock_Log[Part Name],$A12,T_TTAFStock_Log[WeekIndex],31))</f>
        <v/>
      </c>
      <c r="AG12" s="12">
        <f>IF(COUNTIFS(T_TTAFStock_Log[Part Name],$A12,T_TTAFStock_Log[WeekIndex],32)=0,"",SUMIFS(T_TTAFStock_Log[TTAF_Qty],T_TTAFStock_Log[Part Name],$A12,T_TTAFStock_Log[WeekIndex],32))</f>
        <v/>
      </c>
      <c r="AH12" s="12">
        <f>IF(COUNTIFS(T_TTAFStock_Log[Part Name],$A12,T_TTAFStock_Log[WeekIndex],33)=0,"",SUMIFS(T_TTAFStock_Log[TTAF_Qty],T_TTAFStock_Log[Part Name],$A12,T_TTAFStock_Log[WeekIndex],33))</f>
        <v/>
      </c>
      <c r="AI12" s="12">
        <f>IF(COUNTIFS(T_TTAFStock_Log[Part Name],$A12,T_TTAFStock_Log[WeekIndex],34)=0,"",SUMIFS(T_TTAFStock_Log[TTAF_Qty],T_TTAFStock_Log[Part Name],$A12,T_TTAFStock_Log[WeekIndex],34))</f>
        <v/>
      </c>
      <c r="AJ12" s="12">
        <f>IF(COUNTIFS(T_TTAFStock_Log[Part Name],$A12,T_TTAFStock_Log[WeekIndex],35)=0,"",SUMIFS(T_TTAFStock_Log[TTAF_Qty],T_TTAFStock_Log[Part Name],$A12,T_TTAFStock_Log[WeekIndex],35))</f>
        <v/>
      </c>
      <c r="AK12" s="12">
        <f>IF(COUNTIFS(T_TTAFStock_Log[Part Name],$A12,T_TTAFStock_Log[WeekIndex],36)=0,"",SUMIFS(T_TTAFStock_Log[TTAF_Qty],T_TTAFStock_Log[Part Name],$A12,T_TTAFStock_Log[WeekIndex],36))</f>
        <v/>
      </c>
      <c r="AL12" s="12">
        <f>IF(COUNTIFS(T_TTAFStock_Log[Part Name],$A12,T_TTAFStock_Log[WeekIndex],37)=0,"",SUMIFS(T_TTAFStock_Log[TTAF_Qty],T_TTAFStock_Log[Part Name],$A12,T_TTAFStock_Log[WeekIndex],37))</f>
        <v/>
      </c>
      <c r="AM12" s="12">
        <f>IF(COUNTIFS(T_TTAFStock_Log[Part Name],$A12,T_TTAFStock_Log[WeekIndex],38)=0,"",SUMIFS(T_TTAFStock_Log[TTAF_Qty],T_TTAFStock_Log[Part Name],$A12,T_TTAFStock_Log[WeekIndex],38))</f>
        <v/>
      </c>
      <c r="AN12" s="12">
        <f>IF(COUNTIFS(T_TTAFStock_Log[Part Name],$A12,T_TTAFStock_Log[WeekIndex],39)=0,"",SUMIFS(T_TTAFStock_Log[TTAF_Qty],T_TTAFStock_Log[Part Name],$A12,T_TTAFStock_Log[WeekIndex],39))</f>
        <v/>
      </c>
      <c r="AO12" s="12">
        <f>IF(COUNTIFS(T_TTAFStock_Log[Part Name],$A12,T_TTAFStock_Log[WeekIndex],40)=0,"",SUMIFS(T_TTAFStock_Log[TTAF_Qty],T_TTAFStock_Log[Part Name],$A12,T_TTAFStock_Log[WeekIndex],40))</f>
        <v/>
      </c>
      <c r="AP12" s="12">
        <f>IF(COUNTIFS(T_TTAFStock_Log[Part Name],$A12,T_TTAFStock_Log[WeekIndex],41)=0,"",SUMIFS(T_TTAFStock_Log[TTAF_Qty],T_TTAFStock_Log[Part Name],$A12,T_TTAFStock_Log[WeekIndex],41))</f>
        <v/>
      </c>
      <c r="AQ12" s="12">
        <f>IF(COUNTIFS(T_TTAFStock_Log[Part Name],$A12,T_TTAFStock_Log[WeekIndex],42)=0,"",SUMIFS(T_TTAFStock_Log[TTAF_Qty],T_TTAFStock_Log[Part Name],$A12,T_TTAFStock_Log[WeekIndex],42))</f>
        <v/>
      </c>
      <c r="AR12" s="12">
        <f>IF(COUNTIFS(T_TTAFStock_Log[Part Name],$A12,T_TTAFStock_Log[WeekIndex],43)=0,"",SUMIFS(T_TTAFStock_Log[TTAF_Qty],T_TTAFStock_Log[Part Name],$A12,T_TTAFStock_Log[WeekIndex],43))</f>
        <v/>
      </c>
      <c r="AS12" s="12">
        <f>IF(COUNTIFS(T_TTAFStock_Log[Part Name],$A12,T_TTAFStock_Log[WeekIndex],44)=0,"",SUMIFS(T_TTAFStock_Log[TTAF_Qty],T_TTAFStock_Log[Part Name],$A12,T_TTAFStock_Log[WeekIndex],44))</f>
        <v/>
      </c>
      <c r="AT12" s="12">
        <f>IF(COUNTIFS(T_TTAFStock_Log[Part Name],$A12,T_TTAFStock_Log[WeekIndex],45)=0,"",SUMIFS(T_TTAFStock_Log[TTAF_Qty],T_TTAFStock_Log[Part Name],$A12,T_TTAFStock_Log[WeekIndex],45))</f>
        <v/>
      </c>
      <c r="AU12" s="12">
        <f>IF(COUNTIFS(T_TTAFStock_Log[Part Name],$A12,T_TTAFStock_Log[WeekIndex],46)=0,"",SUMIFS(T_TTAFStock_Log[TTAF_Qty],T_TTAFStock_Log[Part Name],$A12,T_TTAFStock_Log[WeekIndex],46))</f>
        <v/>
      </c>
      <c r="AV12" s="12">
        <f>IF(COUNTIFS(T_TTAFStock_Log[Part Name],$A12,T_TTAFStock_Log[WeekIndex],47)=0,"",SUMIFS(T_TTAFStock_Log[TTAF_Qty],T_TTAFStock_Log[Part Name],$A12,T_TTAFStock_Log[WeekIndex],47))</f>
        <v/>
      </c>
      <c r="AW12" s="12">
        <f>IF(COUNTIFS(T_TTAFStock_Log[Part Name],$A12,T_TTAFStock_Log[WeekIndex],48)=0,"",SUMIFS(T_TTAFStock_Log[TTAF_Qty],T_TTAFStock_Log[Part Name],$A12,T_TTAFStock_Log[WeekIndex],48))</f>
        <v/>
      </c>
      <c r="AX12" s="12">
        <f>IF(COUNTIFS(T_TTAFStock_Log[Part Name],$A12,T_TTAFStock_Log[WeekIndex],49)=0,"",SUMIFS(T_TTAFStock_Log[TTAF_Qty],T_TTAFStock_Log[Part Name],$A12,T_TTAFStock_Log[WeekIndex],49))</f>
        <v/>
      </c>
      <c r="AY12" s="12">
        <f>IF(COUNTIFS(T_TTAFStock_Log[Part Name],$A12,T_TTAFStock_Log[WeekIndex],50)=0,"",SUMIFS(T_TTAFStock_Log[TTAF_Qty],T_TTAFStock_Log[Part Name],$A12,T_TTAFStock_Log[WeekIndex],50))</f>
        <v/>
      </c>
      <c r="AZ12" s="12">
        <f>IF(COUNTIFS(T_TTAFStock_Log[Part Name],$A12,T_TTAFStock_Log[WeekIndex],51)=0,"",SUMIFS(T_TTAFStock_Log[TTAF_Qty],T_TTAFStock_Log[Part Name],$A12,T_TTAFStock_Log[WeekIndex],51))</f>
        <v/>
      </c>
      <c r="BA12" s="12">
        <f>IF(COUNTIFS(T_TTAFStock_Log[Part Name],$A12,T_TTAFStock_Log[WeekIndex],52)=0,"",SUMIFS(T_TTAFStock_Log[TTAF_Qty],T_TTAFStock_Log[Part Name],$A12,T_TTAFStock_Log[WeekIndex],52))</f>
        <v/>
      </c>
      <c r="BB12" s="12">
        <f>IF(COUNTIFS(T_TTAFStock_Log[Part Name],$A12,T_TTAFStock_Log[WeekIndex],53)=0,"",SUMIFS(T_TTAFStock_Log[TTAF_Qty],T_TTAFStock_Log[Part Name],$A12,T_TTAFStock_Log[WeekIndex],53))</f>
        <v/>
      </c>
      <c r="BC12" s="12">
        <f>IF(COUNTIFS(T_TTAFStock_Log[Part Name],$A12,T_TTAFStock_Log[WeekIndex],54)=0,"",SUMIFS(T_TTAFStock_Log[TTAF_Qty],T_TTAFStock_Log[Part Name],$A12,T_TTAFStock_Log[WeekIndex],54))</f>
        <v/>
      </c>
      <c r="BD12" s="12">
        <f>IF(COUNTIFS(T_TTAFStock_Log[Part Name],$A12,T_TTAFStock_Log[WeekIndex],55)=0,"",SUMIFS(T_TTAFStock_Log[TTAF_Qty],T_TTAFStock_Log[Part Name],$A12,T_TTAFStock_Log[WeekIndex],55))</f>
        <v/>
      </c>
      <c r="BE12" s="12">
        <f>IF(COUNTIFS(T_TTAFStock_Log[Part Name],$A12,T_TTAFStock_Log[WeekIndex],56)=0,"",SUMIFS(T_TTAFStock_Log[TTAF_Qty],T_TTAFStock_Log[Part Name],$A12,T_TTAFStock_Log[WeekIndex],56))</f>
        <v/>
      </c>
      <c r="BF12" s="12">
        <f>IF(COUNTIFS(T_TTAFStock_Log[Part Name],$A12,T_TTAFStock_Log[WeekIndex],57)=0,"",SUMIFS(T_TTAFStock_Log[TTAF_Qty],T_TTAFStock_Log[Part Name],$A12,T_TTAFStock_Log[WeekIndex],57))</f>
        <v/>
      </c>
      <c r="BG12" s="12">
        <f>IF(COUNTIFS(T_TTAFStock_Log[Part Name],$A12,T_TTAFStock_Log[WeekIndex],58)=0,"",SUMIFS(T_TTAFStock_Log[TTAF_Qty],T_TTAFStock_Log[Part Name],$A12,T_TTAFStock_Log[WeekIndex],58))</f>
        <v/>
      </c>
      <c r="BH12" s="12">
        <f>IF(COUNTIFS(T_TTAFStock_Log[Part Name],$A12,T_TTAFStock_Log[WeekIndex],59)=0,"",SUMIFS(T_TTAFStock_Log[TTAF_Qty],T_TTAFStock_Log[Part Name],$A12,T_TTAFStock_Log[WeekIndex],59))</f>
        <v/>
      </c>
      <c r="BI12" s="12">
        <f>IF(COUNTIFS(T_TTAFStock_Log[Part Name],$A12,T_TTAFStock_Log[WeekIndex],60)=0,"",SUMIFS(T_TTAFStock_Log[TTAF_Qty],T_TTAFStock_Log[Part Name],$A12,T_TTAFStock_Log[WeekIndex],60))</f>
        <v/>
      </c>
      <c r="BJ12" s="12">
        <f>IF(COUNTIFS(T_TTAFStock_Log[Part Name],$A12,T_TTAFStock_Log[WeekIndex],61)=0,"",SUMIFS(T_TTAFStock_Log[TTAF_Qty],T_TTAFStock_Log[Part Name],$A12,T_TTAFStock_Log[WeekIndex],61))</f>
        <v/>
      </c>
      <c r="BK12" s="12">
        <f>IF(COUNTIFS(T_TTAFStock_Log[Part Name],$A12,T_TTAFStock_Log[WeekIndex],62)=0,"",SUMIFS(T_TTAFStock_Log[TTAF_Qty],T_TTAFStock_Log[Part Name],$A12,T_TTAFStock_Log[WeekIndex],62))</f>
        <v/>
      </c>
      <c r="BL12" s="12">
        <f>IF(COUNTIFS(T_TTAFStock_Log[Part Name],$A12,T_TTAFStock_Log[WeekIndex],63)=0,"",SUMIFS(T_TTAFStock_Log[TTAF_Qty],T_TTAFStock_Log[Part Name],$A12,T_TTAFStock_Log[WeekIndex],63))</f>
        <v/>
      </c>
      <c r="BM12" s="12">
        <f>IF(COUNTIFS(T_TTAFStock_Log[Part Name],$A12,T_TTAFStock_Log[WeekIndex],64)=0,"",SUMIFS(T_TTAFStock_Log[TTAF_Qty],T_TTAFStock_Log[Part Name],$A12,T_TTAFStock_Log[WeekIndex],64))</f>
        <v/>
      </c>
      <c r="BN12" s="12">
        <f>IF(COUNTIFS(T_TTAFStock_Log[Part Name],$A12,T_TTAFStock_Log[WeekIndex],65)=0,"",SUMIFS(T_TTAFStock_Log[TTAF_Qty],T_TTAFStock_Log[Part Name],$A12,T_TTAFStock_Log[WeekIndex],65))</f>
        <v/>
      </c>
      <c r="BO12" s="12">
        <f>IF(COUNTIFS(T_TTAFStock_Log[Part Name],$A12,T_TTAFStock_Log[WeekIndex],66)=0,"",SUMIFS(T_TTAFStock_Log[TTAF_Qty],T_TTAFStock_Log[Part Name],$A12,T_TTAFStock_Log[WeekIndex],66))</f>
        <v/>
      </c>
      <c r="BP12" s="12">
        <f>IF(COUNTIFS(T_TTAFStock_Log[Part Name],$A12,T_TTAFStock_Log[WeekIndex],67)=0,"",SUMIFS(T_TTAFStock_Log[TTAF_Qty],T_TTAFStock_Log[Part Name],$A12,T_TTAFStock_Log[WeekIndex],67))</f>
        <v/>
      </c>
      <c r="BQ12" s="12">
        <f>IF(COUNTIFS(T_TTAFStock_Log[Part Name],$A12,T_TTAFStock_Log[WeekIndex],68)=0,"",SUMIFS(T_TTAFStock_Log[TTAF_Qty],T_TTAFStock_Log[Part Name],$A12,T_TTAFStock_Log[WeekIndex],68))</f>
        <v/>
      </c>
      <c r="BR12" s="12">
        <f>IF(COUNTIFS(T_TTAFStock_Log[Part Name],$A12,T_TTAFStock_Log[WeekIndex],69)=0,"",SUMIFS(T_TTAFStock_Log[TTAF_Qty],T_TTAFStock_Log[Part Name],$A12,T_TTAFStock_Log[WeekIndex],69))</f>
        <v/>
      </c>
      <c r="BS12" s="12">
        <f>IF(COUNTIFS(T_TTAFStock_Log[Part Name],$A12,T_TTAFStock_Log[WeekIndex],70)=0,"",SUMIFS(T_TTAFStock_Log[TTAF_Qty],T_TTAFStock_Log[Part Name],$A12,T_TTAFStock_Log[WeekIndex],70))</f>
        <v/>
      </c>
      <c r="BT12" s="12">
        <f>IF(COUNTIFS(T_TTAFStock_Log[Part Name],$A12,T_TTAFStock_Log[WeekIndex],71)=0,"",SUMIFS(T_TTAFStock_Log[TTAF_Qty],T_TTAFStock_Log[Part Name],$A12,T_TTAFStock_Log[WeekIndex],71))</f>
        <v/>
      </c>
      <c r="BU12" s="12">
        <f>IF(COUNTIFS(T_TTAFStock_Log[Part Name],$A12,T_TTAFStock_Log[WeekIndex],72)=0,"",SUMIFS(T_TTAFStock_Log[TTAF_Qty],T_TTAFStock_Log[Part Name],$A12,T_TTAFStock_Log[WeekIndex],72))</f>
        <v/>
      </c>
      <c r="BV12" s="12">
        <f>IF(COUNTIFS(T_TTAFStock_Log[Part Name],$A12,T_TTAFStock_Log[WeekIndex],73)=0,"",SUMIFS(T_TTAFStock_Log[TTAF_Qty],T_TTAFStock_Log[Part Name],$A12,T_TTAFStock_Log[WeekIndex],73))</f>
        <v/>
      </c>
      <c r="BW12" s="12">
        <f>IF(COUNTIFS(T_TTAFStock_Log[Part Name],$A12,T_TTAFStock_Log[WeekIndex],74)=0,"",SUMIFS(T_TTAFStock_Log[TTAF_Qty],T_TTAFStock_Log[Part Name],$A12,T_TTAFStock_Log[WeekIndex],74))</f>
        <v/>
      </c>
      <c r="BX12" s="12">
        <f>IF(COUNTIFS(T_TTAFStock_Log[Part Name],$A12,T_TTAFStock_Log[WeekIndex],75)=0,"",SUMIFS(T_TTAFStock_Log[TTAF_Qty],T_TTAFStock_Log[Part Name],$A12,T_TTAFStock_Log[WeekIndex],75))</f>
        <v/>
      </c>
      <c r="BY12" s="12">
        <f>IF(COUNTIFS(T_TTAFStock_Log[Part Name],$A12,T_TTAFStock_Log[WeekIndex],76)=0,"",SUMIFS(T_TTAFStock_Log[TTAF_Qty],T_TTAFStock_Log[Part Name],$A12,T_TTAFStock_Log[WeekIndex],76))</f>
        <v/>
      </c>
      <c r="BZ12" s="12">
        <f>IF(COUNTIFS(T_TTAFStock_Log[Part Name],$A12,T_TTAFStock_Log[WeekIndex],77)=0,"",SUMIFS(T_TTAFStock_Log[TTAF_Qty],T_TTAFStock_Log[Part Name],$A12,T_TTAFStock_Log[WeekIndex],77))</f>
        <v/>
      </c>
      <c r="CA12" s="12">
        <f>IF(COUNTIFS(T_TTAFStock_Log[Part Name],$A12,T_TTAFStock_Log[WeekIndex],78)=0,"",SUMIFS(T_TTAFStock_Log[TTAF_Qty],T_TTAFStock_Log[Part Name],$A12,T_TTAFStock_Log[WeekIndex],78))</f>
        <v/>
      </c>
      <c r="CB12" s="12">
        <f>IF(COUNTIFS(T_TTAFStock_Log[Part Name],$A12,T_TTAFStock_Log[WeekIndex],79)=0,"",SUMIFS(T_TTAFStock_Log[TTAF_Qty],T_TTAFStock_Log[Part Name],$A12,T_TTAFStock_Log[WeekIndex],79))</f>
        <v/>
      </c>
      <c r="CC12" s="12">
        <f>IF(COUNTIFS(T_TTAFStock_Log[Part Name],$A12,T_TTAFStock_Log[WeekIndex],80)=0,"",SUMIFS(T_TTAFStock_Log[TTAF_Qty],T_TTAFStock_Log[Part Name],$A12,T_TTAFStock_Log[WeekIndex],80))</f>
        <v/>
      </c>
      <c r="CD12" s="12">
        <f>IF(COUNTIFS(T_TTAFStock_Log[Part Name],$A12,T_TTAFStock_Log[WeekIndex],81)=0,"",SUMIFS(T_TTAFStock_Log[TTAF_Qty],T_TTAFStock_Log[Part Name],$A12,T_TTAFStock_Log[WeekIndex],81))</f>
        <v/>
      </c>
      <c r="CE12" s="12">
        <f>IF(COUNTIFS(T_TTAFStock_Log[Part Name],$A12,T_TTAFStock_Log[WeekIndex],82)=0,"",SUMIFS(T_TTAFStock_Log[TTAF_Qty],T_TTAFStock_Log[Part Name],$A12,T_TTAFStock_Log[WeekIndex],82))</f>
        <v/>
      </c>
      <c r="CF12" s="12">
        <f>IF(COUNTIFS(T_TTAFStock_Log[Part Name],$A12,T_TTAFStock_Log[WeekIndex],83)=0,"",SUMIFS(T_TTAFStock_Log[TTAF_Qty],T_TTAFStock_Log[Part Name],$A12,T_TTAFStock_Log[WeekIndex],83))</f>
        <v/>
      </c>
      <c r="CG12" s="12">
        <f>IF(COUNTIFS(T_TTAFStock_Log[Part Name],$A12,T_TTAFStock_Log[WeekIndex],84)=0,"",SUMIFS(T_TTAFStock_Log[TTAF_Qty],T_TTAFStock_Log[Part Name],$A12,T_TTAFStock_Log[WeekIndex],84))</f>
        <v/>
      </c>
      <c r="CH12" s="12">
        <f>IF(COUNTIFS(T_TTAFStock_Log[Part Name],$A12,T_TTAFStock_Log[WeekIndex],85)=0,"",SUMIFS(T_TTAFStock_Log[TTAF_Qty],T_TTAFStock_Log[Part Name],$A12,T_TTAFStock_Log[WeekIndex],85))</f>
        <v/>
      </c>
      <c r="CI12" s="12">
        <f>IF(COUNTIFS(T_TTAFStock_Log[Part Name],$A12,T_TTAFStock_Log[WeekIndex],86)=0,"",SUMIFS(T_TTAFStock_Log[TTAF_Qty],T_TTAFStock_Log[Part Name],$A12,T_TTAFStock_Log[WeekIndex],86))</f>
        <v/>
      </c>
      <c r="CJ12" s="12">
        <f>IF(COUNTIFS(T_TTAFStock_Log[Part Name],$A12,T_TTAFStock_Log[WeekIndex],87)=0,"",SUMIFS(T_TTAFStock_Log[TTAF_Qty],T_TTAFStock_Log[Part Name],$A12,T_TTAFStock_Log[WeekIndex],87))</f>
        <v/>
      </c>
      <c r="CK12" s="12">
        <f>IF(COUNTIFS(T_TTAFStock_Log[Part Name],$A12,T_TTAFStock_Log[WeekIndex],88)=0,"",SUMIFS(T_TTAFStock_Log[TTAF_Qty],T_TTAFStock_Log[Part Name],$A12,T_TTAFStock_Log[WeekIndex],88))</f>
        <v/>
      </c>
      <c r="CL12" s="12">
        <f>IF(COUNTIFS(T_TTAFStock_Log[Part Name],$A12,T_TTAFStock_Log[WeekIndex],89)=0,"",SUMIFS(T_TTAFStock_Log[TTAF_Qty],T_TTAFStock_Log[Part Name],$A12,T_TTAFStock_Log[WeekIndex],89))</f>
        <v/>
      </c>
      <c r="CM12" s="12">
        <f>IF(COUNTIFS(T_TTAFStock_Log[Part Name],$A12,T_TTAFStock_Log[WeekIndex],90)=0,"",SUMIFS(T_TTAFStock_Log[TTAF_Qty],T_TTAFStock_Log[Part Name],$A12,T_TTAFStock_Log[WeekIndex],90))</f>
        <v/>
      </c>
      <c r="CN12" s="12">
        <f>IF(COUNTIFS(T_TTAFStock_Log[Part Name],$A12,T_TTAFStock_Log[WeekIndex],91)=0,"",SUMIFS(T_TTAFStock_Log[TTAF_Qty],T_TTAFStock_Log[Part Name],$A12,T_TTAFStock_Log[WeekIndex],91))</f>
        <v/>
      </c>
      <c r="CO12" s="12">
        <f>IF(COUNTIFS(T_TTAFStock_Log[Part Name],$A12,T_TTAFStock_Log[WeekIndex],92)=0,"",SUMIFS(T_TTAFStock_Log[TTAF_Qty],T_TTAFStock_Log[Part Name],$A12,T_TTAFStock_Log[WeekIndex],92))</f>
        <v/>
      </c>
      <c r="CP12" s="12">
        <f>IF(COUNTIFS(T_TTAFStock_Log[Part Name],$A12,T_TTAFStock_Log[WeekIndex],93)=0,"",SUMIFS(T_TTAFStock_Log[TTAF_Qty],T_TTAFStock_Log[Part Name],$A12,T_TTAFStock_Log[WeekIndex],93))</f>
        <v/>
      </c>
      <c r="CQ12" s="12">
        <f>IF(COUNTIFS(T_TTAFStock_Log[Part Name],$A12,T_TTAFStock_Log[WeekIndex],94)=0,"",SUMIFS(T_TTAFStock_Log[TTAF_Qty],T_TTAFStock_Log[Part Name],$A12,T_TTAFStock_Log[WeekIndex],94))</f>
        <v/>
      </c>
      <c r="CR12" s="12">
        <f>IF(COUNTIFS(T_TTAFStock_Log[Part Name],$A12,T_TTAFStock_Log[WeekIndex],95)=0,"",SUMIFS(T_TTAFStock_Log[TTAF_Qty],T_TTAFStock_Log[Part Name],$A12,T_TTAFStock_Log[WeekIndex],95))</f>
        <v/>
      </c>
      <c r="CS12" s="12">
        <f>IF(COUNTIFS(T_TTAFStock_Log[Part Name],$A12,T_TTAFStock_Log[WeekIndex],96)=0,"",SUMIFS(T_TTAFStock_Log[TTAF_Qty],T_TTAFStock_Log[Part Name],$A12,T_TTAFStock_Log[WeekIndex],96))</f>
        <v/>
      </c>
      <c r="CT12" s="12">
        <f>IF(COUNTIFS(T_TTAFStock_Log[Part Name],$A12,T_TTAFStock_Log[WeekIndex],97)=0,"",SUMIFS(T_TTAFStock_Log[TTAF_Qty],T_TTAFStock_Log[Part Name],$A12,T_TTAFStock_Log[WeekIndex],97))</f>
        <v/>
      </c>
      <c r="CU12" s="12">
        <f>IF(COUNTIFS(T_TTAFStock_Log[Part Name],$A12,T_TTAFStock_Log[WeekIndex],98)=0,"",SUMIFS(T_TTAFStock_Log[TTAF_Qty],T_TTAFStock_Log[Part Name],$A12,T_TTAFStock_Log[WeekIndex],98))</f>
        <v/>
      </c>
      <c r="CV12" s="12">
        <f>IF(COUNTIFS(T_TTAFStock_Log[Part Name],$A12,T_TTAFStock_Log[WeekIndex],99)=0,"",SUMIFS(T_TTAFStock_Log[TTAF_Qty],T_TTAFStock_Log[Part Name],$A12,T_TTAFStock_Log[WeekIndex],99))</f>
        <v/>
      </c>
      <c r="CW12" s="12">
        <f>IF(COUNTIFS(T_TTAFStock_Log[Part Name],$A12,T_TTAFStock_Log[WeekIndex],100)=0,"",SUMIFS(T_TTAFStock_Log[TTAF_Qty],T_TTAFStock_Log[Part Name],$A12,T_TTAFStock_Log[WeekIndex],100))</f>
        <v/>
      </c>
      <c r="CX12" s="12">
        <f>IF(COUNTIFS(T_TTAFStock_Log[Part Name],$A12,T_TTAFStock_Log[WeekIndex],101)=0,"",SUMIFS(T_TTAFStock_Log[TTAF_Qty],T_TTAFStock_Log[Part Name],$A12,T_TTAFStock_Log[WeekIndex],101))</f>
        <v/>
      </c>
      <c r="CY12" s="12">
        <f>IF(COUNTIFS(T_TTAFStock_Log[Part Name],$A12,T_TTAFStock_Log[WeekIndex],102)=0,"",SUMIFS(T_TTAFStock_Log[TTAF_Qty],T_TTAFStock_Log[Part Name],$A12,T_TTAFStock_Log[WeekIndex],102))</f>
        <v/>
      </c>
      <c r="CZ12" s="12">
        <f>IF(COUNTIFS(T_TTAFStock_Log[Part Name],$A12,T_TTAFStock_Log[WeekIndex],103)=0,"",SUMIFS(T_TTAFStock_Log[TTAF_Qty],T_TTAFStock_Log[Part Name],$A12,T_TTAFStock_Log[WeekIndex],103))</f>
        <v/>
      </c>
      <c r="DA12" s="12">
        <f>IF(COUNTIFS(T_TTAFStock_Log[Part Name],$A12,T_TTAFStock_Log[WeekIndex],104)=0,"",SUMIFS(T_TTAFStock_Log[TTAF_Qty],T_TTAFStock_Log[Part Name],$A12,T_TTAFStock_Log[WeekIndex],104))</f>
        <v/>
      </c>
    </row>
    <row r="13">
      <c r="A13" s="13" t="inlineStr">
        <is>
          <t>CHEM-1720</t>
        </is>
      </c>
      <c r="B13" s="13">
        <f>IF(COUNTIFS(T_TTAFStock_Log[Part Name],$A13,T_TTAFStock_Log[WeekIndex],1)=0,"",SUMIFS(T_TTAFStock_Log[TTAF_Qty],T_TTAFStock_Log[Part Name],$A13,T_TTAFStock_Log[WeekIndex],1))</f>
        <v/>
      </c>
      <c r="C13" s="13">
        <f>IF(COUNTIFS(T_TTAFStock_Log[Part Name],$A13,T_TTAFStock_Log[WeekIndex],2)=0,"",SUMIFS(T_TTAFStock_Log[TTAF_Qty],T_TTAFStock_Log[Part Name],$A13,T_TTAFStock_Log[WeekIndex],2))</f>
        <v/>
      </c>
      <c r="D13" s="13">
        <f>IF(COUNTIFS(T_TTAFStock_Log[Part Name],$A13,T_TTAFStock_Log[WeekIndex],3)=0,"",SUMIFS(T_TTAFStock_Log[TTAF_Qty],T_TTAFStock_Log[Part Name],$A13,T_TTAFStock_Log[WeekIndex],3))</f>
        <v/>
      </c>
      <c r="E13" s="13">
        <f>IF(COUNTIFS(T_TTAFStock_Log[Part Name],$A13,T_TTAFStock_Log[WeekIndex],4)=0,"",SUMIFS(T_TTAFStock_Log[TTAF_Qty],T_TTAFStock_Log[Part Name],$A13,T_TTAFStock_Log[WeekIndex],4))</f>
        <v/>
      </c>
      <c r="F13" s="13">
        <f>IF(COUNTIFS(T_TTAFStock_Log[Part Name],$A13,T_TTAFStock_Log[WeekIndex],5)=0,"",SUMIFS(T_TTAFStock_Log[TTAF_Qty],T_TTAFStock_Log[Part Name],$A13,T_TTAFStock_Log[WeekIndex],5))</f>
        <v/>
      </c>
      <c r="G13" s="13">
        <f>IF(COUNTIFS(T_TTAFStock_Log[Part Name],$A13,T_TTAFStock_Log[WeekIndex],6)=0,"",SUMIFS(T_TTAFStock_Log[TTAF_Qty],T_TTAFStock_Log[Part Name],$A13,T_TTAFStock_Log[WeekIndex],6))</f>
        <v/>
      </c>
      <c r="H13" s="13">
        <f>IF(COUNTIFS(T_TTAFStock_Log[Part Name],$A13,T_TTAFStock_Log[WeekIndex],7)=0,"",SUMIFS(T_TTAFStock_Log[TTAF_Qty],T_TTAFStock_Log[Part Name],$A13,T_TTAFStock_Log[WeekIndex],7))</f>
        <v/>
      </c>
      <c r="I13" s="13">
        <f>IF(COUNTIFS(T_TTAFStock_Log[Part Name],$A13,T_TTAFStock_Log[WeekIndex],8)=0,"",SUMIFS(T_TTAFStock_Log[TTAF_Qty],T_TTAFStock_Log[Part Name],$A13,T_TTAFStock_Log[WeekIndex],8))</f>
        <v/>
      </c>
      <c r="J13" s="13">
        <f>IF(COUNTIFS(T_TTAFStock_Log[Part Name],$A13,T_TTAFStock_Log[WeekIndex],9)=0,"",SUMIFS(T_TTAFStock_Log[TTAF_Qty],T_TTAFStock_Log[Part Name],$A13,T_TTAFStock_Log[WeekIndex],9))</f>
        <v/>
      </c>
      <c r="K13" s="13">
        <f>IF(COUNTIFS(T_TTAFStock_Log[Part Name],$A13,T_TTAFStock_Log[WeekIndex],10)=0,"",SUMIFS(T_TTAFStock_Log[TTAF_Qty],T_TTAFStock_Log[Part Name],$A13,T_TTAFStock_Log[WeekIndex],10))</f>
        <v/>
      </c>
      <c r="L13" s="13">
        <f>IF(COUNTIFS(T_TTAFStock_Log[Part Name],$A13,T_TTAFStock_Log[WeekIndex],11)=0,"",SUMIFS(T_TTAFStock_Log[TTAF_Qty],T_TTAFStock_Log[Part Name],$A13,T_TTAFStock_Log[WeekIndex],11))</f>
        <v/>
      </c>
      <c r="M13" s="13">
        <f>IF(COUNTIFS(T_TTAFStock_Log[Part Name],$A13,T_TTAFStock_Log[WeekIndex],12)=0,"",SUMIFS(T_TTAFStock_Log[TTAF_Qty],T_TTAFStock_Log[Part Name],$A13,T_TTAFStock_Log[WeekIndex],12))</f>
        <v/>
      </c>
      <c r="N13" s="13">
        <f>IF(COUNTIFS(T_TTAFStock_Log[Part Name],$A13,T_TTAFStock_Log[WeekIndex],13)=0,"",SUMIFS(T_TTAFStock_Log[TTAF_Qty],T_TTAFStock_Log[Part Name],$A13,T_TTAFStock_Log[WeekIndex],13))</f>
        <v/>
      </c>
      <c r="O13" s="13">
        <f>IF(COUNTIFS(T_TTAFStock_Log[Part Name],$A13,T_TTAFStock_Log[WeekIndex],14)=0,"",SUMIFS(T_TTAFStock_Log[TTAF_Qty],T_TTAFStock_Log[Part Name],$A13,T_TTAFStock_Log[WeekIndex],14))</f>
        <v/>
      </c>
      <c r="P13" s="13">
        <f>IF(COUNTIFS(T_TTAFStock_Log[Part Name],$A13,T_TTAFStock_Log[WeekIndex],15)=0,"",SUMIFS(T_TTAFStock_Log[TTAF_Qty],T_TTAFStock_Log[Part Name],$A13,T_TTAFStock_Log[WeekIndex],15))</f>
        <v/>
      </c>
      <c r="Q13" s="13">
        <f>IF(COUNTIFS(T_TTAFStock_Log[Part Name],$A13,T_TTAFStock_Log[WeekIndex],16)=0,"",SUMIFS(T_TTAFStock_Log[TTAF_Qty],T_TTAFStock_Log[Part Name],$A13,T_TTAFStock_Log[WeekIndex],16))</f>
        <v/>
      </c>
      <c r="R13" s="13">
        <f>IF(COUNTIFS(T_TTAFStock_Log[Part Name],$A13,T_TTAFStock_Log[WeekIndex],17)=0,"",SUMIFS(T_TTAFStock_Log[TTAF_Qty],T_TTAFStock_Log[Part Name],$A13,T_TTAFStock_Log[WeekIndex],17))</f>
        <v/>
      </c>
      <c r="S13" s="13">
        <f>IF(COUNTIFS(T_TTAFStock_Log[Part Name],$A13,T_TTAFStock_Log[WeekIndex],18)=0,"",SUMIFS(T_TTAFStock_Log[TTAF_Qty],T_TTAFStock_Log[Part Name],$A13,T_TTAFStock_Log[WeekIndex],18))</f>
        <v/>
      </c>
      <c r="T13" s="13">
        <f>IF(COUNTIFS(T_TTAFStock_Log[Part Name],$A13,T_TTAFStock_Log[WeekIndex],19)=0,"",SUMIFS(T_TTAFStock_Log[TTAF_Qty],T_TTAFStock_Log[Part Name],$A13,T_TTAFStock_Log[WeekIndex],19))</f>
        <v/>
      </c>
      <c r="U13" s="13">
        <f>IF(COUNTIFS(T_TTAFStock_Log[Part Name],$A13,T_TTAFStock_Log[WeekIndex],20)=0,"",SUMIFS(T_TTAFStock_Log[TTAF_Qty],T_TTAFStock_Log[Part Name],$A13,T_TTAFStock_Log[WeekIndex],20))</f>
        <v/>
      </c>
      <c r="V13" s="13">
        <f>IF(COUNTIFS(T_TTAFStock_Log[Part Name],$A13,T_TTAFStock_Log[WeekIndex],21)=0,"",SUMIFS(T_TTAFStock_Log[TTAF_Qty],T_TTAFStock_Log[Part Name],$A13,T_TTAFStock_Log[WeekIndex],21))</f>
        <v/>
      </c>
      <c r="W13" s="13">
        <f>IF(COUNTIFS(T_TTAFStock_Log[Part Name],$A13,T_TTAFStock_Log[WeekIndex],22)=0,"",SUMIFS(T_TTAFStock_Log[TTAF_Qty],T_TTAFStock_Log[Part Name],$A13,T_TTAFStock_Log[WeekIndex],22))</f>
        <v/>
      </c>
      <c r="X13" s="13">
        <f>IF(COUNTIFS(T_TTAFStock_Log[Part Name],$A13,T_TTAFStock_Log[WeekIndex],23)=0,"",SUMIFS(T_TTAFStock_Log[TTAF_Qty],T_TTAFStock_Log[Part Name],$A13,T_TTAFStock_Log[WeekIndex],23))</f>
        <v/>
      </c>
      <c r="Y13" s="13">
        <f>IF(COUNTIFS(T_TTAFStock_Log[Part Name],$A13,T_TTAFStock_Log[WeekIndex],24)=0,"",SUMIFS(T_TTAFStock_Log[TTAF_Qty],T_TTAFStock_Log[Part Name],$A13,T_TTAFStock_Log[WeekIndex],24))</f>
        <v/>
      </c>
      <c r="Z13" s="13">
        <f>IF(COUNTIFS(T_TTAFStock_Log[Part Name],$A13,T_TTAFStock_Log[WeekIndex],25)=0,"",SUMIFS(T_TTAFStock_Log[TTAF_Qty],T_TTAFStock_Log[Part Name],$A13,T_TTAFStock_Log[WeekIndex],25))</f>
        <v/>
      </c>
      <c r="AA13" s="13">
        <f>IF(COUNTIFS(T_TTAFStock_Log[Part Name],$A13,T_TTAFStock_Log[WeekIndex],26)=0,"",SUMIFS(T_TTAFStock_Log[TTAF_Qty],T_TTAFStock_Log[Part Name],$A13,T_TTAFStock_Log[WeekIndex],26))</f>
        <v/>
      </c>
      <c r="AB13" s="13">
        <f>IF(COUNTIFS(T_TTAFStock_Log[Part Name],$A13,T_TTAFStock_Log[WeekIndex],27)=0,"",SUMIFS(T_TTAFStock_Log[TTAF_Qty],T_TTAFStock_Log[Part Name],$A13,T_TTAFStock_Log[WeekIndex],27))</f>
        <v/>
      </c>
      <c r="AC13" s="13">
        <f>IF(COUNTIFS(T_TTAFStock_Log[Part Name],$A13,T_TTAFStock_Log[WeekIndex],28)=0,"",SUMIFS(T_TTAFStock_Log[TTAF_Qty],T_TTAFStock_Log[Part Name],$A13,T_TTAFStock_Log[WeekIndex],28))</f>
        <v/>
      </c>
      <c r="AD13" s="13">
        <f>IF(COUNTIFS(T_TTAFStock_Log[Part Name],$A13,T_TTAFStock_Log[WeekIndex],29)=0,"",SUMIFS(T_TTAFStock_Log[TTAF_Qty],T_TTAFStock_Log[Part Name],$A13,T_TTAFStock_Log[WeekIndex],29))</f>
        <v/>
      </c>
      <c r="AE13" s="13">
        <f>IF(COUNTIFS(T_TTAFStock_Log[Part Name],$A13,T_TTAFStock_Log[WeekIndex],30)=0,"",SUMIFS(T_TTAFStock_Log[TTAF_Qty],T_TTAFStock_Log[Part Name],$A13,T_TTAFStock_Log[WeekIndex],30))</f>
        <v/>
      </c>
      <c r="AF13" s="13">
        <f>IF(COUNTIFS(T_TTAFStock_Log[Part Name],$A13,T_TTAFStock_Log[WeekIndex],31)=0,"",SUMIFS(T_TTAFStock_Log[TTAF_Qty],T_TTAFStock_Log[Part Name],$A13,T_TTAFStock_Log[WeekIndex],31))</f>
        <v/>
      </c>
      <c r="AG13" s="13">
        <f>IF(COUNTIFS(T_TTAFStock_Log[Part Name],$A13,T_TTAFStock_Log[WeekIndex],32)=0,"",SUMIFS(T_TTAFStock_Log[TTAF_Qty],T_TTAFStock_Log[Part Name],$A13,T_TTAFStock_Log[WeekIndex],32))</f>
        <v/>
      </c>
      <c r="AH13" s="13">
        <f>IF(COUNTIFS(T_TTAFStock_Log[Part Name],$A13,T_TTAFStock_Log[WeekIndex],33)=0,"",SUMIFS(T_TTAFStock_Log[TTAF_Qty],T_TTAFStock_Log[Part Name],$A13,T_TTAFStock_Log[WeekIndex],33))</f>
        <v/>
      </c>
      <c r="AI13" s="13">
        <f>IF(COUNTIFS(T_TTAFStock_Log[Part Name],$A13,T_TTAFStock_Log[WeekIndex],34)=0,"",SUMIFS(T_TTAFStock_Log[TTAF_Qty],T_TTAFStock_Log[Part Name],$A13,T_TTAFStock_Log[WeekIndex],34))</f>
        <v/>
      </c>
      <c r="AJ13" s="13">
        <f>IF(COUNTIFS(T_TTAFStock_Log[Part Name],$A13,T_TTAFStock_Log[WeekIndex],35)=0,"",SUMIFS(T_TTAFStock_Log[TTAF_Qty],T_TTAFStock_Log[Part Name],$A13,T_TTAFStock_Log[WeekIndex],35))</f>
        <v/>
      </c>
      <c r="AK13" s="13">
        <f>IF(COUNTIFS(T_TTAFStock_Log[Part Name],$A13,T_TTAFStock_Log[WeekIndex],36)=0,"",SUMIFS(T_TTAFStock_Log[TTAF_Qty],T_TTAFStock_Log[Part Name],$A13,T_TTAFStock_Log[WeekIndex],36))</f>
        <v/>
      </c>
      <c r="AL13" s="13">
        <f>IF(COUNTIFS(T_TTAFStock_Log[Part Name],$A13,T_TTAFStock_Log[WeekIndex],37)=0,"",SUMIFS(T_TTAFStock_Log[TTAF_Qty],T_TTAFStock_Log[Part Name],$A13,T_TTAFStock_Log[WeekIndex],37))</f>
        <v/>
      </c>
      <c r="AM13" s="13">
        <f>IF(COUNTIFS(T_TTAFStock_Log[Part Name],$A13,T_TTAFStock_Log[WeekIndex],38)=0,"",SUMIFS(T_TTAFStock_Log[TTAF_Qty],T_TTAFStock_Log[Part Name],$A13,T_TTAFStock_Log[WeekIndex],38))</f>
        <v/>
      </c>
      <c r="AN13" s="13">
        <f>IF(COUNTIFS(T_TTAFStock_Log[Part Name],$A13,T_TTAFStock_Log[WeekIndex],39)=0,"",SUMIFS(T_TTAFStock_Log[TTAF_Qty],T_TTAFStock_Log[Part Name],$A13,T_TTAFStock_Log[WeekIndex],39))</f>
        <v/>
      </c>
      <c r="AO13" s="13">
        <f>IF(COUNTIFS(T_TTAFStock_Log[Part Name],$A13,T_TTAFStock_Log[WeekIndex],40)=0,"",SUMIFS(T_TTAFStock_Log[TTAF_Qty],T_TTAFStock_Log[Part Name],$A13,T_TTAFStock_Log[WeekIndex],40))</f>
        <v/>
      </c>
      <c r="AP13" s="13">
        <f>IF(COUNTIFS(T_TTAFStock_Log[Part Name],$A13,T_TTAFStock_Log[WeekIndex],41)=0,"",SUMIFS(T_TTAFStock_Log[TTAF_Qty],T_TTAFStock_Log[Part Name],$A13,T_TTAFStock_Log[WeekIndex],41))</f>
        <v/>
      </c>
      <c r="AQ13" s="13">
        <f>IF(COUNTIFS(T_TTAFStock_Log[Part Name],$A13,T_TTAFStock_Log[WeekIndex],42)=0,"",SUMIFS(T_TTAFStock_Log[TTAF_Qty],T_TTAFStock_Log[Part Name],$A13,T_TTAFStock_Log[WeekIndex],42))</f>
        <v/>
      </c>
      <c r="AR13" s="13">
        <f>IF(COUNTIFS(T_TTAFStock_Log[Part Name],$A13,T_TTAFStock_Log[WeekIndex],43)=0,"",SUMIFS(T_TTAFStock_Log[TTAF_Qty],T_TTAFStock_Log[Part Name],$A13,T_TTAFStock_Log[WeekIndex],43))</f>
        <v/>
      </c>
      <c r="AS13" s="13">
        <f>IF(COUNTIFS(T_TTAFStock_Log[Part Name],$A13,T_TTAFStock_Log[WeekIndex],44)=0,"",SUMIFS(T_TTAFStock_Log[TTAF_Qty],T_TTAFStock_Log[Part Name],$A13,T_TTAFStock_Log[WeekIndex],44))</f>
        <v/>
      </c>
      <c r="AT13" s="13">
        <f>IF(COUNTIFS(T_TTAFStock_Log[Part Name],$A13,T_TTAFStock_Log[WeekIndex],45)=0,"",SUMIFS(T_TTAFStock_Log[TTAF_Qty],T_TTAFStock_Log[Part Name],$A13,T_TTAFStock_Log[WeekIndex],45))</f>
        <v/>
      </c>
      <c r="AU13" s="13">
        <f>IF(COUNTIFS(T_TTAFStock_Log[Part Name],$A13,T_TTAFStock_Log[WeekIndex],46)=0,"",SUMIFS(T_TTAFStock_Log[TTAF_Qty],T_TTAFStock_Log[Part Name],$A13,T_TTAFStock_Log[WeekIndex],46))</f>
        <v/>
      </c>
      <c r="AV13" s="13">
        <f>IF(COUNTIFS(T_TTAFStock_Log[Part Name],$A13,T_TTAFStock_Log[WeekIndex],47)=0,"",SUMIFS(T_TTAFStock_Log[TTAF_Qty],T_TTAFStock_Log[Part Name],$A13,T_TTAFStock_Log[WeekIndex],47))</f>
        <v/>
      </c>
      <c r="AW13" s="13">
        <f>IF(COUNTIFS(T_TTAFStock_Log[Part Name],$A13,T_TTAFStock_Log[WeekIndex],48)=0,"",SUMIFS(T_TTAFStock_Log[TTAF_Qty],T_TTAFStock_Log[Part Name],$A13,T_TTAFStock_Log[WeekIndex],48))</f>
        <v/>
      </c>
      <c r="AX13" s="13">
        <f>IF(COUNTIFS(T_TTAFStock_Log[Part Name],$A13,T_TTAFStock_Log[WeekIndex],49)=0,"",SUMIFS(T_TTAFStock_Log[TTAF_Qty],T_TTAFStock_Log[Part Name],$A13,T_TTAFStock_Log[WeekIndex],49))</f>
        <v/>
      </c>
      <c r="AY13" s="13">
        <f>IF(COUNTIFS(T_TTAFStock_Log[Part Name],$A13,T_TTAFStock_Log[WeekIndex],50)=0,"",SUMIFS(T_TTAFStock_Log[TTAF_Qty],T_TTAFStock_Log[Part Name],$A13,T_TTAFStock_Log[WeekIndex],50))</f>
        <v/>
      </c>
      <c r="AZ13" s="13">
        <f>IF(COUNTIFS(T_TTAFStock_Log[Part Name],$A13,T_TTAFStock_Log[WeekIndex],51)=0,"",SUMIFS(T_TTAFStock_Log[TTAF_Qty],T_TTAFStock_Log[Part Name],$A13,T_TTAFStock_Log[WeekIndex],51))</f>
        <v/>
      </c>
      <c r="BA13" s="13">
        <f>IF(COUNTIFS(T_TTAFStock_Log[Part Name],$A13,T_TTAFStock_Log[WeekIndex],52)=0,"",SUMIFS(T_TTAFStock_Log[TTAF_Qty],T_TTAFStock_Log[Part Name],$A13,T_TTAFStock_Log[WeekIndex],52))</f>
        <v/>
      </c>
      <c r="BB13" s="13">
        <f>IF(COUNTIFS(T_TTAFStock_Log[Part Name],$A13,T_TTAFStock_Log[WeekIndex],53)=0,"",SUMIFS(T_TTAFStock_Log[TTAF_Qty],T_TTAFStock_Log[Part Name],$A13,T_TTAFStock_Log[WeekIndex],53))</f>
        <v/>
      </c>
      <c r="BC13" s="13">
        <f>IF(COUNTIFS(T_TTAFStock_Log[Part Name],$A13,T_TTAFStock_Log[WeekIndex],54)=0,"",SUMIFS(T_TTAFStock_Log[TTAF_Qty],T_TTAFStock_Log[Part Name],$A13,T_TTAFStock_Log[WeekIndex],54))</f>
        <v/>
      </c>
      <c r="BD13" s="13">
        <f>IF(COUNTIFS(T_TTAFStock_Log[Part Name],$A13,T_TTAFStock_Log[WeekIndex],55)=0,"",SUMIFS(T_TTAFStock_Log[TTAF_Qty],T_TTAFStock_Log[Part Name],$A13,T_TTAFStock_Log[WeekIndex],55))</f>
        <v/>
      </c>
      <c r="BE13" s="13">
        <f>IF(COUNTIFS(T_TTAFStock_Log[Part Name],$A13,T_TTAFStock_Log[WeekIndex],56)=0,"",SUMIFS(T_TTAFStock_Log[TTAF_Qty],T_TTAFStock_Log[Part Name],$A13,T_TTAFStock_Log[WeekIndex],56))</f>
        <v/>
      </c>
      <c r="BF13" s="13">
        <f>IF(COUNTIFS(T_TTAFStock_Log[Part Name],$A13,T_TTAFStock_Log[WeekIndex],57)=0,"",SUMIFS(T_TTAFStock_Log[TTAF_Qty],T_TTAFStock_Log[Part Name],$A13,T_TTAFStock_Log[WeekIndex],57))</f>
        <v/>
      </c>
      <c r="BG13" s="13">
        <f>IF(COUNTIFS(T_TTAFStock_Log[Part Name],$A13,T_TTAFStock_Log[WeekIndex],58)=0,"",SUMIFS(T_TTAFStock_Log[TTAF_Qty],T_TTAFStock_Log[Part Name],$A13,T_TTAFStock_Log[WeekIndex],58))</f>
        <v/>
      </c>
      <c r="BH13" s="13">
        <f>IF(COUNTIFS(T_TTAFStock_Log[Part Name],$A13,T_TTAFStock_Log[WeekIndex],59)=0,"",SUMIFS(T_TTAFStock_Log[TTAF_Qty],T_TTAFStock_Log[Part Name],$A13,T_TTAFStock_Log[WeekIndex],59))</f>
        <v/>
      </c>
      <c r="BI13" s="13">
        <f>IF(COUNTIFS(T_TTAFStock_Log[Part Name],$A13,T_TTAFStock_Log[WeekIndex],60)=0,"",SUMIFS(T_TTAFStock_Log[TTAF_Qty],T_TTAFStock_Log[Part Name],$A13,T_TTAFStock_Log[WeekIndex],60))</f>
        <v/>
      </c>
      <c r="BJ13" s="13">
        <f>IF(COUNTIFS(T_TTAFStock_Log[Part Name],$A13,T_TTAFStock_Log[WeekIndex],61)=0,"",SUMIFS(T_TTAFStock_Log[TTAF_Qty],T_TTAFStock_Log[Part Name],$A13,T_TTAFStock_Log[WeekIndex],61))</f>
        <v/>
      </c>
      <c r="BK13" s="13">
        <f>IF(COUNTIFS(T_TTAFStock_Log[Part Name],$A13,T_TTAFStock_Log[WeekIndex],62)=0,"",SUMIFS(T_TTAFStock_Log[TTAF_Qty],T_TTAFStock_Log[Part Name],$A13,T_TTAFStock_Log[WeekIndex],62))</f>
        <v/>
      </c>
      <c r="BL13" s="13">
        <f>IF(COUNTIFS(T_TTAFStock_Log[Part Name],$A13,T_TTAFStock_Log[WeekIndex],63)=0,"",SUMIFS(T_TTAFStock_Log[TTAF_Qty],T_TTAFStock_Log[Part Name],$A13,T_TTAFStock_Log[WeekIndex],63))</f>
        <v/>
      </c>
      <c r="BM13" s="13">
        <f>IF(COUNTIFS(T_TTAFStock_Log[Part Name],$A13,T_TTAFStock_Log[WeekIndex],64)=0,"",SUMIFS(T_TTAFStock_Log[TTAF_Qty],T_TTAFStock_Log[Part Name],$A13,T_TTAFStock_Log[WeekIndex],64))</f>
        <v/>
      </c>
      <c r="BN13" s="13">
        <f>IF(COUNTIFS(T_TTAFStock_Log[Part Name],$A13,T_TTAFStock_Log[WeekIndex],65)=0,"",SUMIFS(T_TTAFStock_Log[TTAF_Qty],T_TTAFStock_Log[Part Name],$A13,T_TTAFStock_Log[WeekIndex],65))</f>
        <v/>
      </c>
      <c r="BO13" s="13">
        <f>IF(COUNTIFS(T_TTAFStock_Log[Part Name],$A13,T_TTAFStock_Log[WeekIndex],66)=0,"",SUMIFS(T_TTAFStock_Log[TTAF_Qty],T_TTAFStock_Log[Part Name],$A13,T_TTAFStock_Log[WeekIndex],66))</f>
        <v/>
      </c>
      <c r="BP13" s="13">
        <f>IF(COUNTIFS(T_TTAFStock_Log[Part Name],$A13,T_TTAFStock_Log[WeekIndex],67)=0,"",SUMIFS(T_TTAFStock_Log[TTAF_Qty],T_TTAFStock_Log[Part Name],$A13,T_TTAFStock_Log[WeekIndex],67))</f>
        <v/>
      </c>
      <c r="BQ13" s="13">
        <f>IF(COUNTIFS(T_TTAFStock_Log[Part Name],$A13,T_TTAFStock_Log[WeekIndex],68)=0,"",SUMIFS(T_TTAFStock_Log[TTAF_Qty],T_TTAFStock_Log[Part Name],$A13,T_TTAFStock_Log[WeekIndex],68))</f>
        <v/>
      </c>
      <c r="BR13" s="13">
        <f>IF(COUNTIFS(T_TTAFStock_Log[Part Name],$A13,T_TTAFStock_Log[WeekIndex],69)=0,"",SUMIFS(T_TTAFStock_Log[TTAF_Qty],T_TTAFStock_Log[Part Name],$A13,T_TTAFStock_Log[WeekIndex],69))</f>
        <v/>
      </c>
      <c r="BS13" s="13">
        <f>IF(COUNTIFS(T_TTAFStock_Log[Part Name],$A13,T_TTAFStock_Log[WeekIndex],70)=0,"",SUMIFS(T_TTAFStock_Log[TTAF_Qty],T_TTAFStock_Log[Part Name],$A13,T_TTAFStock_Log[WeekIndex],70))</f>
        <v/>
      </c>
      <c r="BT13" s="13">
        <f>IF(COUNTIFS(T_TTAFStock_Log[Part Name],$A13,T_TTAFStock_Log[WeekIndex],71)=0,"",SUMIFS(T_TTAFStock_Log[TTAF_Qty],T_TTAFStock_Log[Part Name],$A13,T_TTAFStock_Log[WeekIndex],71))</f>
        <v/>
      </c>
      <c r="BU13" s="13">
        <f>IF(COUNTIFS(T_TTAFStock_Log[Part Name],$A13,T_TTAFStock_Log[WeekIndex],72)=0,"",SUMIFS(T_TTAFStock_Log[TTAF_Qty],T_TTAFStock_Log[Part Name],$A13,T_TTAFStock_Log[WeekIndex],72))</f>
        <v/>
      </c>
      <c r="BV13" s="13">
        <f>IF(COUNTIFS(T_TTAFStock_Log[Part Name],$A13,T_TTAFStock_Log[WeekIndex],73)=0,"",SUMIFS(T_TTAFStock_Log[TTAF_Qty],T_TTAFStock_Log[Part Name],$A13,T_TTAFStock_Log[WeekIndex],73))</f>
        <v/>
      </c>
      <c r="BW13" s="13">
        <f>IF(COUNTIFS(T_TTAFStock_Log[Part Name],$A13,T_TTAFStock_Log[WeekIndex],74)=0,"",SUMIFS(T_TTAFStock_Log[TTAF_Qty],T_TTAFStock_Log[Part Name],$A13,T_TTAFStock_Log[WeekIndex],74))</f>
        <v/>
      </c>
      <c r="BX13" s="13">
        <f>IF(COUNTIFS(T_TTAFStock_Log[Part Name],$A13,T_TTAFStock_Log[WeekIndex],75)=0,"",SUMIFS(T_TTAFStock_Log[TTAF_Qty],T_TTAFStock_Log[Part Name],$A13,T_TTAFStock_Log[WeekIndex],75))</f>
        <v/>
      </c>
      <c r="BY13" s="13">
        <f>IF(COUNTIFS(T_TTAFStock_Log[Part Name],$A13,T_TTAFStock_Log[WeekIndex],76)=0,"",SUMIFS(T_TTAFStock_Log[TTAF_Qty],T_TTAFStock_Log[Part Name],$A13,T_TTAFStock_Log[WeekIndex],76))</f>
        <v/>
      </c>
      <c r="BZ13" s="13">
        <f>IF(COUNTIFS(T_TTAFStock_Log[Part Name],$A13,T_TTAFStock_Log[WeekIndex],77)=0,"",SUMIFS(T_TTAFStock_Log[TTAF_Qty],T_TTAFStock_Log[Part Name],$A13,T_TTAFStock_Log[WeekIndex],77))</f>
        <v/>
      </c>
      <c r="CA13" s="13">
        <f>IF(COUNTIFS(T_TTAFStock_Log[Part Name],$A13,T_TTAFStock_Log[WeekIndex],78)=0,"",SUMIFS(T_TTAFStock_Log[TTAF_Qty],T_TTAFStock_Log[Part Name],$A13,T_TTAFStock_Log[WeekIndex],78))</f>
        <v/>
      </c>
      <c r="CB13" s="13">
        <f>IF(COUNTIFS(T_TTAFStock_Log[Part Name],$A13,T_TTAFStock_Log[WeekIndex],79)=0,"",SUMIFS(T_TTAFStock_Log[TTAF_Qty],T_TTAFStock_Log[Part Name],$A13,T_TTAFStock_Log[WeekIndex],79))</f>
        <v/>
      </c>
      <c r="CC13" s="13">
        <f>IF(COUNTIFS(T_TTAFStock_Log[Part Name],$A13,T_TTAFStock_Log[WeekIndex],80)=0,"",SUMIFS(T_TTAFStock_Log[TTAF_Qty],T_TTAFStock_Log[Part Name],$A13,T_TTAFStock_Log[WeekIndex],80))</f>
        <v/>
      </c>
      <c r="CD13" s="13">
        <f>IF(COUNTIFS(T_TTAFStock_Log[Part Name],$A13,T_TTAFStock_Log[WeekIndex],81)=0,"",SUMIFS(T_TTAFStock_Log[TTAF_Qty],T_TTAFStock_Log[Part Name],$A13,T_TTAFStock_Log[WeekIndex],81))</f>
        <v/>
      </c>
      <c r="CE13" s="13">
        <f>IF(COUNTIFS(T_TTAFStock_Log[Part Name],$A13,T_TTAFStock_Log[WeekIndex],82)=0,"",SUMIFS(T_TTAFStock_Log[TTAF_Qty],T_TTAFStock_Log[Part Name],$A13,T_TTAFStock_Log[WeekIndex],82))</f>
        <v/>
      </c>
      <c r="CF13" s="13">
        <f>IF(COUNTIFS(T_TTAFStock_Log[Part Name],$A13,T_TTAFStock_Log[WeekIndex],83)=0,"",SUMIFS(T_TTAFStock_Log[TTAF_Qty],T_TTAFStock_Log[Part Name],$A13,T_TTAFStock_Log[WeekIndex],83))</f>
        <v/>
      </c>
      <c r="CG13" s="13">
        <f>IF(COUNTIFS(T_TTAFStock_Log[Part Name],$A13,T_TTAFStock_Log[WeekIndex],84)=0,"",SUMIFS(T_TTAFStock_Log[TTAF_Qty],T_TTAFStock_Log[Part Name],$A13,T_TTAFStock_Log[WeekIndex],84))</f>
        <v/>
      </c>
      <c r="CH13" s="13">
        <f>IF(COUNTIFS(T_TTAFStock_Log[Part Name],$A13,T_TTAFStock_Log[WeekIndex],85)=0,"",SUMIFS(T_TTAFStock_Log[TTAF_Qty],T_TTAFStock_Log[Part Name],$A13,T_TTAFStock_Log[WeekIndex],85))</f>
        <v/>
      </c>
      <c r="CI13" s="13">
        <f>IF(COUNTIFS(T_TTAFStock_Log[Part Name],$A13,T_TTAFStock_Log[WeekIndex],86)=0,"",SUMIFS(T_TTAFStock_Log[TTAF_Qty],T_TTAFStock_Log[Part Name],$A13,T_TTAFStock_Log[WeekIndex],86))</f>
        <v/>
      </c>
      <c r="CJ13" s="13">
        <f>IF(COUNTIFS(T_TTAFStock_Log[Part Name],$A13,T_TTAFStock_Log[WeekIndex],87)=0,"",SUMIFS(T_TTAFStock_Log[TTAF_Qty],T_TTAFStock_Log[Part Name],$A13,T_TTAFStock_Log[WeekIndex],87))</f>
        <v/>
      </c>
      <c r="CK13" s="13">
        <f>IF(COUNTIFS(T_TTAFStock_Log[Part Name],$A13,T_TTAFStock_Log[WeekIndex],88)=0,"",SUMIFS(T_TTAFStock_Log[TTAF_Qty],T_TTAFStock_Log[Part Name],$A13,T_TTAFStock_Log[WeekIndex],88))</f>
        <v/>
      </c>
      <c r="CL13" s="13">
        <f>IF(COUNTIFS(T_TTAFStock_Log[Part Name],$A13,T_TTAFStock_Log[WeekIndex],89)=0,"",SUMIFS(T_TTAFStock_Log[TTAF_Qty],T_TTAFStock_Log[Part Name],$A13,T_TTAFStock_Log[WeekIndex],89))</f>
        <v/>
      </c>
      <c r="CM13" s="13">
        <f>IF(COUNTIFS(T_TTAFStock_Log[Part Name],$A13,T_TTAFStock_Log[WeekIndex],90)=0,"",SUMIFS(T_TTAFStock_Log[TTAF_Qty],T_TTAFStock_Log[Part Name],$A13,T_TTAFStock_Log[WeekIndex],90))</f>
        <v/>
      </c>
      <c r="CN13" s="13">
        <f>IF(COUNTIFS(T_TTAFStock_Log[Part Name],$A13,T_TTAFStock_Log[WeekIndex],91)=0,"",SUMIFS(T_TTAFStock_Log[TTAF_Qty],T_TTAFStock_Log[Part Name],$A13,T_TTAFStock_Log[WeekIndex],91))</f>
        <v/>
      </c>
      <c r="CO13" s="13">
        <f>IF(COUNTIFS(T_TTAFStock_Log[Part Name],$A13,T_TTAFStock_Log[WeekIndex],92)=0,"",SUMIFS(T_TTAFStock_Log[TTAF_Qty],T_TTAFStock_Log[Part Name],$A13,T_TTAFStock_Log[WeekIndex],92))</f>
        <v/>
      </c>
      <c r="CP13" s="13">
        <f>IF(COUNTIFS(T_TTAFStock_Log[Part Name],$A13,T_TTAFStock_Log[WeekIndex],93)=0,"",SUMIFS(T_TTAFStock_Log[TTAF_Qty],T_TTAFStock_Log[Part Name],$A13,T_TTAFStock_Log[WeekIndex],93))</f>
        <v/>
      </c>
      <c r="CQ13" s="13">
        <f>IF(COUNTIFS(T_TTAFStock_Log[Part Name],$A13,T_TTAFStock_Log[WeekIndex],94)=0,"",SUMIFS(T_TTAFStock_Log[TTAF_Qty],T_TTAFStock_Log[Part Name],$A13,T_TTAFStock_Log[WeekIndex],94))</f>
        <v/>
      </c>
      <c r="CR13" s="13">
        <f>IF(COUNTIFS(T_TTAFStock_Log[Part Name],$A13,T_TTAFStock_Log[WeekIndex],95)=0,"",SUMIFS(T_TTAFStock_Log[TTAF_Qty],T_TTAFStock_Log[Part Name],$A13,T_TTAFStock_Log[WeekIndex],95))</f>
        <v/>
      </c>
      <c r="CS13" s="13">
        <f>IF(COUNTIFS(T_TTAFStock_Log[Part Name],$A13,T_TTAFStock_Log[WeekIndex],96)=0,"",SUMIFS(T_TTAFStock_Log[TTAF_Qty],T_TTAFStock_Log[Part Name],$A13,T_TTAFStock_Log[WeekIndex],96))</f>
        <v/>
      </c>
      <c r="CT13" s="13">
        <f>IF(COUNTIFS(T_TTAFStock_Log[Part Name],$A13,T_TTAFStock_Log[WeekIndex],97)=0,"",SUMIFS(T_TTAFStock_Log[TTAF_Qty],T_TTAFStock_Log[Part Name],$A13,T_TTAFStock_Log[WeekIndex],97))</f>
        <v/>
      </c>
      <c r="CU13" s="13">
        <f>IF(COUNTIFS(T_TTAFStock_Log[Part Name],$A13,T_TTAFStock_Log[WeekIndex],98)=0,"",SUMIFS(T_TTAFStock_Log[TTAF_Qty],T_TTAFStock_Log[Part Name],$A13,T_TTAFStock_Log[WeekIndex],98))</f>
        <v/>
      </c>
      <c r="CV13" s="13">
        <f>IF(COUNTIFS(T_TTAFStock_Log[Part Name],$A13,T_TTAFStock_Log[WeekIndex],99)=0,"",SUMIFS(T_TTAFStock_Log[TTAF_Qty],T_TTAFStock_Log[Part Name],$A13,T_TTAFStock_Log[WeekIndex],99))</f>
        <v/>
      </c>
      <c r="CW13" s="13">
        <f>IF(COUNTIFS(T_TTAFStock_Log[Part Name],$A13,T_TTAFStock_Log[WeekIndex],100)=0,"",SUMIFS(T_TTAFStock_Log[TTAF_Qty],T_TTAFStock_Log[Part Name],$A13,T_TTAFStock_Log[WeekIndex],100))</f>
        <v/>
      </c>
      <c r="CX13" s="13">
        <f>IF(COUNTIFS(T_TTAFStock_Log[Part Name],$A13,T_TTAFStock_Log[WeekIndex],101)=0,"",SUMIFS(T_TTAFStock_Log[TTAF_Qty],T_TTAFStock_Log[Part Name],$A13,T_TTAFStock_Log[WeekIndex],101))</f>
        <v/>
      </c>
      <c r="CY13" s="13">
        <f>IF(COUNTIFS(T_TTAFStock_Log[Part Name],$A13,T_TTAFStock_Log[WeekIndex],102)=0,"",SUMIFS(T_TTAFStock_Log[TTAF_Qty],T_TTAFStock_Log[Part Name],$A13,T_TTAFStock_Log[WeekIndex],102))</f>
        <v/>
      </c>
      <c r="CZ13" s="13">
        <f>IF(COUNTIFS(T_TTAFStock_Log[Part Name],$A13,T_TTAFStock_Log[WeekIndex],103)=0,"",SUMIFS(T_TTAFStock_Log[TTAF_Qty],T_TTAFStock_Log[Part Name],$A13,T_TTAFStock_Log[WeekIndex],103))</f>
        <v/>
      </c>
      <c r="DA13" s="13">
        <f>IF(COUNTIFS(T_TTAFStock_Log[Part Name],$A13,T_TTAFStock_Log[WeekIndex],104)=0,"",SUMIFS(T_TTAFStock_Log[TTAF_Qty],T_TTAFStock_Log[Part Name],$A13,T_TTAFStock_Log[WeekIndex],104))</f>
        <v/>
      </c>
    </row>
    <row r="14">
      <c r="A14" s="12" t="inlineStr">
        <is>
          <t>CHEM-1440</t>
        </is>
      </c>
      <c r="B14" s="12">
        <f>IF(COUNTIFS(T_TTAFStock_Log[Part Name],$A14,T_TTAFStock_Log[WeekIndex],1)=0,"",SUMIFS(T_TTAFStock_Log[TTAF_Qty],T_TTAFStock_Log[Part Name],$A14,T_TTAFStock_Log[WeekIndex],1))</f>
        <v/>
      </c>
      <c r="C14" s="12">
        <f>IF(COUNTIFS(T_TTAFStock_Log[Part Name],$A14,T_TTAFStock_Log[WeekIndex],2)=0,"",SUMIFS(T_TTAFStock_Log[TTAF_Qty],T_TTAFStock_Log[Part Name],$A14,T_TTAFStock_Log[WeekIndex],2))</f>
        <v/>
      </c>
      <c r="D14" s="12">
        <f>IF(COUNTIFS(T_TTAFStock_Log[Part Name],$A14,T_TTAFStock_Log[WeekIndex],3)=0,"",SUMIFS(T_TTAFStock_Log[TTAF_Qty],T_TTAFStock_Log[Part Name],$A14,T_TTAFStock_Log[WeekIndex],3))</f>
        <v/>
      </c>
      <c r="E14" s="12">
        <f>IF(COUNTIFS(T_TTAFStock_Log[Part Name],$A14,T_TTAFStock_Log[WeekIndex],4)=0,"",SUMIFS(T_TTAFStock_Log[TTAF_Qty],T_TTAFStock_Log[Part Name],$A14,T_TTAFStock_Log[WeekIndex],4))</f>
        <v/>
      </c>
      <c r="F14" s="12">
        <f>IF(COUNTIFS(T_TTAFStock_Log[Part Name],$A14,T_TTAFStock_Log[WeekIndex],5)=0,"",SUMIFS(T_TTAFStock_Log[TTAF_Qty],T_TTAFStock_Log[Part Name],$A14,T_TTAFStock_Log[WeekIndex],5))</f>
        <v/>
      </c>
      <c r="G14" s="12">
        <f>IF(COUNTIFS(T_TTAFStock_Log[Part Name],$A14,T_TTAFStock_Log[WeekIndex],6)=0,"",SUMIFS(T_TTAFStock_Log[TTAF_Qty],T_TTAFStock_Log[Part Name],$A14,T_TTAFStock_Log[WeekIndex],6))</f>
        <v/>
      </c>
      <c r="H14" s="12">
        <f>IF(COUNTIFS(T_TTAFStock_Log[Part Name],$A14,T_TTAFStock_Log[WeekIndex],7)=0,"",SUMIFS(T_TTAFStock_Log[TTAF_Qty],T_TTAFStock_Log[Part Name],$A14,T_TTAFStock_Log[WeekIndex],7))</f>
        <v/>
      </c>
      <c r="I14" s="12">
        <f>IF(COUNTIFS(T_TTAFStock_Log[Part Name],$A14,T_TTAFStock_Log[WeekIndex],8)=0,"",SUMIFS(T_TTAFStock_Log[TTAF_Qty],T_TTAFStock_Log[Part Name],$A14,T_TTAFStock_Log[WeekIndex],8))</f>
        <v/>
      </c>
      <c r="J14" s="12">
        <f>IF(COUNTIFS(T_TTAFStock_Log[Part Name],$A14,T_TTAFStock_Log[WeekIndex],9)=0,"",SUMIFS(T_TTAFStock_Log[TTAF_Qty],T_TTAFStock_Log[Part Name],$A14,T_TTAFStock_Log[WeekIndex],9))</f>
        <v/>
      </c>
      <c r="K14" s="12">
        <f>IF(COUNTIFS(T_TTAFStock_Log[Part Name],$A14,T_TTAFStock_Log[WeekIndex],10)=0,"",SUMIFS(T_TTAFStock_Log[TTAF_Qty],T_TTAFStock_Log[Part Name],$A14,T_TTAFStock_Log[WeekIndex],10))</f>
        <v/>
      </c>
      <c r="L14" s="12">
        <f>IF(COUNTIFS(T_TTAFStock_Log[Part Name],$A14,T_TTAFStock_Log[WeekIndex],11)=0,"",SUMIFS(T_TTAFStock_Log[TTAF_Qty],T_TTAFStock_Log[Part Name],$A14,T_TTAFStock_Log[WeekIndex],11))</f>
        <v/>
      </c>
      <c r="M14" s="12">
        <f>IF(COUNTIFS(T_TTAFStock_Log[Part Name],$A14,T_TTAFStock_Log[WeekIndex],12)=0,"",SUMIFS(T_TTAFStock_Log[TTAF_Qty],T_TTAFStock_Log[Part Name],$A14,T_TTAFStock_Log[WeekIndex],12))</f>
        <v/>
      </c>
      <c r="N14" s="12">
        <f>IF(COUNTIFS(T_TTAFStock_Log[Part Name],$A14,T_TTAFStock_Log[WeekIndex],13)=0,"",SUMIFS(T_TTAFStock_Log[TTAF_Qty],T_TTAFStock_Log[Part Name],$A14,T_TTAFStock_Log[WeekIndex],13))</f>
        <v/>
      </c>
      <c r="O14" s="12">
        <f>IF(COUNTIFS(T_TTAFStock_Log[Part Name],$A14,T_TTAFStock_Log[WeekIndex],14)=0,"",SUMIFS(T_TTAFStock_Log[TTAF_Qty],T_TTAFStock_Log[Part Name],$A14,T_TTAFStock_Log[WeekIndex],14))</f>
        <v/>
      </c>
      <c r="P14" s="12">
        <f>IF(COUNTIFS(T_TTAFStock_Log[Part Name],$A14,T_TTAFStock_Log[WeekIndex],15)=0,"",SUMIFS(T_TTAFStock_Log[TTAF_Qty],T_TTAFStock_Log[Part Name],$A14,T_TTAFStock_Log[WeekIndex],15))</f>
        <v/>
      </c>
      <c r="Q14" s="12">
        <f>IF(COUNTIFS(T_TTAFStock_Log[Part Name],$A14,T_TTAFStock_Log[WeekIndex],16)=0,"",SUMIFS(T_TTAFStock_Log[TTAF_Qty],T_TTAFStock_Log[Part Name],$A14,T_TTAFStock_Log[WeekIndex],16))</f>
        <v/>
      </c>
      <c r="R14" s="12">
        <f>IF(COUNTIFS(T_TTAFStock_Log[Part Name],$A14,T_TTAFStock_Log[WeekIndex],17)=0,"",SUMIFS(T_TTAFStock_Log[TTAF_Qty],T_TTAFStock_Log[Part Name],$A14,T_TTAFStock_Log[WeekIndex],17))</f>
        <v/>
      </c>
      <c r="S14" s="12">
        <f>IF(COUNTIFS(T_TTAFStock_Log[Part Name],$A14,T_TTAFStock_Log[WeekIndex],18)=0,"",SUMIFS(T_TTAFStock_Log[TTAF_Qty],T_TTAFStock_Log[Part Name],$A14,T_TTAFStock_Log[WeekIndex],18))</f>
        <v/>
      </c>
      <c r="T14" s="12">
        <f>IF(COUNTIFS(T_TTAFStock_Log[Part Name],$A14,T_TTAFStock_Log[WeekIndex],19)=0,"",SUMIFS(T_TTAFStock_Log[TTAF_Qty],T_TTAFStock_Log[Part Name],$A14,T_TTAFStock_Log[WeekIndex],19))</f>
        <v/>
      </c>
      <c r="U14" s="12">
        <f>IF(COUNTIFS(T_TTAFStock_Log[Part Name],$A14,T_TTAFStock_Log[WeekIndex],20)=0,"",SUMIFS(T_TTAFStock_Log[TTAF_Qty],T_TTAFStock_Log[Part Name],$A14,T_TTAFStock_Log[WeekIndex],20))</f>
        <v/>
      </c>
      <c r="V14" s="12">
        <f>IF(COUNTIFS(T_TTAFStock_Log[Part Name],$A14,T_TTAFStock_Log[WeekIndex],21)=0,"",SUMIFS(T_TTAFStock_Log[TTAF_Qty],T_TTAFStock_Log[Part Name],$A14,T_TTAFStock_Log[WeekIndex],21))</f>
        <v/>
      </c>
      <c r="W14" s="12">
        <f>IF(COUNTIFS(T_TTAFStock_Log[Part Name],$A14,T_TTAFStock_Log[WeekIndex],22)=0,"",SUMIFS(T_TTAFStock_Log[TTAF_Qty],T_TTAFStock_Log[Part Name],$A14,T_TTAFStock_Log[WeekIndex],22))</f>
        <v/>
      </c>
      <c r="X14" s="12">
        <f>IF(COUNTIFS(T_TTAFStock_Log[Part Name],$A14,T_TTAFStock_Log[WeekIndex],23)=0,"",SUMIFS(T_TTAFStock_Log[TTAF_Qty],T_TTAFStock_Log[Part Name],$A14,T_TTAFStock_Log[WeekIndex],23))</f>
        <v/>
      </c>
      <c r="Y14" s="12">
        <f>IF(COUNTIFS(T_TTAFStock_Log[Part Name],$A14,T_TTAFStock_Log[WeekIndex],24)=0,"",SUMIFS(T_TTAFStock_Log[TTAF_Qty],T_TTAFStock_Log[Part Name],$A14,T_TTAFStock_Log[WeekIndex],24))</f>
        <v/>
      </c>
      <c r="Z14" s="12">
        <f>IF(COUNTIFS(T_TTAFStock_Log[Part Name],$A14,T_TTAFStock_Log[WeekIndex],25)=0,"",SUMIFS(T_TTAFStock_Log[TTAF_Qty],T_TTAFStock_Log[Part Name],$A14,T_TTAFStock_Log[WeekIndex],25))</f>
        <v/>
      </c>
      <c r="AA14" s="12">
        <f>IF(COUNTIFS(T_TTAFStock_Log[Part Name],$A14,T_TTAFStock_Log[WeekIndex],26)=0,"",SUMIFS(T_TTAFStock_Log[TTAF_Qty],T_TTAFStock_Log[Part Name],$A14,T_TTAFStock_Log[WeekIndex],26))</f>
        <v/>
      </c>
      <c r="AB14" s="12">
        <f>IF(COUNTIFS(T_TTAFStock_Log[Part Name],$A14,T_TTAFStock_Log[WeekIndex],27)=0,"",SUMIFS(T_TTAFStock_Log[TTAF_Qty],T_TTAFStock_Log[Part Name],$A14,T_TTAFStock_Log[WeekIndex],27))</f>
        <v/>
      </c>
      <c r="AC14" s="12">
        <f>IF(COUNTIFS(T_TTAFStock_Log[Part Name],$A14,T_TTAFStock_Log[WeekIndex],28)=0,"",SUMIFS(T_TTAFStock_Log[TTAF_Qty],T_TTAFStock_Log[Part Name],$A14,T_TTAFStock_Log[WeekIndex],28))</f>
        <v/>
      </c>
      <c r="AD14" s="12">
        <f>IF(COUNTIFS(T_TTAFStock_Log[Part Name],$A14,T_TTAFStock_Log[WeekIndex],29)=0,"",SUMIFS(T_TTAFStock_Log[TTAF_Qty],T_TTAFStock_Log[Part Name],$A14,T_TTAFStock_Log[WeekIndex],29))</f>
        <v/>
      </c>
      <c r="AE14" s="12">
        <f>IF(COUNTIFS(T_TTAFStock_Log[Part Name],$A14,T_TTAFStock_Log[WeekIndex],30)=0,"",SUMIFS(T_TTAFStock_Log[TTAF_Qty],T_TTAFStock_Log[Part Name],$A14,T_TTAFStock_Log[WeekIndex],30))</f>
        <v/>
      </c>
      <c r="AF14" s="12">
        <f>IF(COUNTIFS(T_TTAFStock_Log[Part Name],$A14,T_TTAFStock_Log[WeekIndex],31)=0,"",SUMIFS(T_TTAFStock_Log[TTAF_Qty],T_TTAFStock_Log[Part Name],$A14,T_TTAFStock_Log[WeekIndex],31))</f>
        <v/>
      </c>
      <c r="AG14" s="12">
        <f>IF(COUNTIFS(T_TTAFStock_Log[Part Name],$A14,T_TTAFStock_Log[WeekIndex],32)=0,"",SUMIFS(T_TTAFStock_Log[TTAF_Qty],T_TTAFStock_Log[Part Name],$A14,T_TTAFStock_Log[WeekIndex],32))</f>
        <v/>
      </c>
      <c r="AH14" s="12">
        <f>IF(COUNTIFS(T_TTAFStock_Log[Part Name],$A14,T_TTAFStock_Log[WeekIndex],33)=0,"",SUMIFS(T_TTAFStock_Log[TTAF_Qty],T_TTAFStock_Log[Part Name],$A14,T_TTAFStock_Log[WeekIndex],33))</f>
        <v/>
      </c>
      <c r="AI14" s="12">
        <f>IF(COUNTIFS(T_TTAFStock_Log[Part Name],$A14,T_TTAFStock_Log[WeekIndex],34)=0,"",SUMIFS(T_TTAFStock_Log[TTAF_Qty],T_TTAFStock_Log[Part Name],$A14,T_TTAFStock_Log[WeekIndex],34))</f>
        <v/>
      </c>
      <c r="AJ14" s="12">
        <f>IF(COUNTIFS(T_TTAFStock_Log[Part Name],$A14,T_TTAFStock_Log[WeekIndex],35)=0,"",SUMIFS(T_TTAFStock_Log[TTAF_Qty],T_TTAFStock_Log[Part Name],$A14,T_TTAFStock_Log[WeekIndex],35))</f>
        <v/>
      </c>
      <c r="AK14" s="12">
        <f>IF(COUNTIFS(T_TTAFStock_Log[Part Name],$A14,T_TTAFStock_Log[WeekIndex],36)=0,"",SUMIFS(T_TTAFStock_Log[TTAF_Qty],T_TTAFStock_Log[Part Name],$A14,T_TTAFStock_Log[WeekIndex],36))</f>
        <v/>
      </c>
      <c r="AL14" s="12">
        <f>IF(COUNTIFS(T_TTAFStock_Log[Part Name],$A14,T_TTAFStock_Log[WeekIndex],37)=0,"",SUMIFS(T_TTAFStock_Log[TTAF_Qty],T_TTAFStock_Log[Part Name],$A14,T_TTAFStock_Log[WeekIndex],37))</f>
        <v/>
      </c>
      <c r="AM14" s="12">
        <f>IF(COUNTIFS(T_TTAFStock_Log[Part Name],$A14,T_TTAFStock_Log[WeekIndex],38)=0,"",SUMIFS(T_TTAFStock_Log[TTAF_Qty],T_TTAFStock_Log[Part Name],$A14,T_TTAFStock_Log[WeekIndex],38))</f>
        <v/>
      </c>
      <c r="AN14" s="12">
        <f>IF(COUNTIFS(T_TTAFStock_Log[Part Name],$A14,T_TTAFStock_Log[WeekIndex],39)=0,"",SUMIFS(T_TTAFStock_Log[TTAF_Qty],T_TTAFStock_Log[Part Name],$A14,T_TTAFStock_Log[WeekIndex],39))</f>
        <v/>
      </c>
      <c r="AO14" s="12">
        <f>IF(COUNTIFS(T_TTAFStock_Log[Part Name],$A14,T_TTAFStock_Log[WeekIndex],40)=0,"",SUMIFS(T_TTAFStock_Log[TTAF_Qty],T_TTAFStock_Log[Part Name],$A14,T_TTAFStock_Log[WeekIndex],40))</f>
        <v/>
      </c>
      <c r="AP14" s="12">
        <f>IF(COUNTIFS(T_TTAFStock_Log[Part Name],$A14,T_TTAFStock_Log[WeekIndex],41)=0,"",SUMIFS(T_TTAFStock_Log[TTAF_Qty],T_TTAFStock_Log[Part Name],$A14,T_TTAFStock_Log[WeekIndex],41))</f>
        <v/>
      </c>
      <c r="AQ14" s="12">
        <f>IF(COUNTIFS(T_TTAFStock_Log[Part Name],$A14,T_TTAFStock_Log[WeekIndex],42)=0,"",SUMIFS(T_TTAFStock_Log[TTAF_Qty],T_TTAFStock_Log[Part Name],$A14,T_TTAFStock_Log[WeekIndex],42))</f>
        <v/>
      </c>
      <c r="AR14" s="12">
        <f>IF(COUNTIFS(T_TTAFStock_Log[Part Name],$A14,T_TTAFStock_Log[WeekIndex],43)=0,"",SUMIFS(T_TTAFStock_Log[TTAF_Qty],T_TTAFStock_Log[Part Name],$A14,T_TTAFStock_Log[WeekIndex],43))</f>
        <v/>
      </c>
      <c r="AS14" s="12">
        <f>IF(COUNTIFS(T_TTAFStock_Log[Part Name],$A14,T_TTAFStock_Log[WeekIndex],44)=0,"",SUMIFS(T_TTAFStock_Log[TTAF_Qty],T_TTAFStock_Log[Part Name],$A14,T_TTAFStock_Log[WeekIndex],44))</f>
        <v/>
      </c>
      <c r="AT14" s="12">
        <f>IF(COUNTIFS(T_TTAFStock_Log[Part Name],$A14,T_TTAFStock_Log[WeekIndex],45)=0,"",SUMIFS(T_TTAFStock_Log[TTAF_Qty],T_TTAFStock_Log[Part Name],$A14,T_TTAFStock_Log[WeekIndex],45))</f>
        <v/>
      </c>
      <c r="AU14" s="12">
        <f>IF(COUNTIFS(T_TTAFStock_Log[Part Name],$A14,T_TTAFStock_Log[WeekIndex],46)=0,"",SUMIFS(T_TTAFStock_Log[TTAF_Qty],T_TTAFStock_Log[Part Name],$A14,T_TTAFStock_Log[WeekIndex],46))</f>
        <v/>
      </c>
      <c r="AV14" s="12">
        <f>IF(COUNTIFS(T_TTAFStock_Log[Part Name],$A14,T_TTAFStock_Log[WeekIndex],47)=0,"",SUMIFS(T_TTAFStock_Log[TTAF_Qty],T_TTAFStock_Log[Part Name],$A14,T_TTAFStock_Log[WeekIndex],47))</f>
        <v/>
      </c>
      <c r="AW14" s="12">
        <f>IF(COUNTIFS(T_TTAFStock_Log[Part Name],$A14,T_TTAFStock_Log[WeekIndex],48)=0,"",SUMIFS(T_TTAFStock_Log[TTAF_Qty],T_TTAFStock_Log[Part Name],$A14,T_TTAFStock_Log[WeekIndex],48))</f>
        <v/>
      </c>
      <c r="AX14" s="12">
        <f>IF(COUNTIFS(T_TTAFStock_Log[Part Name],$A14,T_TTAFStock_Log[WeekIndex],49)=0,"",SUMIFS(T_TTAFStock_Log[TTAF_Qty],T_TTAFStock_Log[Part Name],$A14,T_TTAFStock_Log[WeekIndex],49))</f>
        <v/>
      </c>
      <c r="AY14" s="12">
        <f>IF(COUNTIFS(T_TTAFStock_Log[Part Name],$A14,T_TTAFStock_Log[WeekIndex],50)=0,"",SUMIFS(T_TTAFStock_Log[TTAF_Qty],T_TTAFStock_Log[Part Name],$A14,T_TTAFStock_Log[WeekIndex],50))</f>
        <v/>
      </c>
      <c r="AZ14" s="12">
        <f>IF(COUNTIFS(T_TTAFStock_Log[Part Name],$A14,T_TTAFStock_Log[WeekIndex],51)=0,"",SUMIFS(T_TTAFStock_Log[TTAF_Qty],T_TTAFStock_Log[Part Name],$A14,T_TTAFStock_Log[WeekIndex],51))</f>
        <v/>
      </c>
      <c r="BA14" s="12">
        <f>IF(COUNTIFS(T_TTAFStock_Log[Part Name],$A14,T_TTAFStock_Log[WeekIndex],52)=0,"",SUMIFS(T_TTAFStock_Log[TTAF_Qty],T_TTAFStock_Log[Part Name],$A14,T_TTAFStock_Log[WeekIndex],52))</f>
        <v/>
      </c>
      <c r="BB14" s="12">
        <f>IF(COUNTIFS(T_TTAFStock_Log[Part Name],$A14,T_TTAFStock_Log[WeekIndex],53)=0,"",SUMIFS(T_TTAFStock_Log[TTAF_Qty],T_TTAFStock_Log[Part Name],$A14,T_TTAFStock_Log[WeekIndex],53))</f>
        <v/>
      </c>
      <c r="BC14" s="12">
        <f>IF(COUNTIFS(T_TTAFStock_Log[Part Name],$A14,T_TTAFStock_Log[WeekIndex],54)=0,"",SUMIFS(T_TTAFStock_Log[TTAF_Qty],T_TTAFStock_Log[Part Name],$A14,T_TTAFStock_Log[WeekIndex],54))</f>
        <v/>
      </c>
      <c r="BD14" s="12">
        <f>IF(COUNTIFS(T_TTAFStock_Log[Part Name],$A14,T_TTAFStock_Log[WeekIndex],55)=0,"",SUMIFS(T_TTAFStock_Log[TTAF_Qty],T_TTAFStock_Log[Part Name],$A14,T_TTAFStock_Log[WeekIndex],55))</f>
        <v/>
      </c>
      <c r="BE14" s="12">
        <f>IF(COUNTIFS(T_TTAFStock_Log[Part Name],$A14,T_TTAFStock_Log[WeekIndex],56)=0,"",SUMIFS(T_TTAFStock_Log[TTAF_Qty],T_TTAFStock_Log[Part Name],$A14,T_TTAFStock_Log[WeekIndex],56))</f>
        <v/>
      </c>
      <c r="BF14" s="12">
        <f>IF(COUNTIFS(T_TTAFStock_Log[Part Name],$A14,T_TTAFStock_Log[WeekIndex],57)=0,"",SUMIFS(T_TTAFStock_Log[TTAF_Qty],T_TTAFStock_Log[Part Name],$A14,T_TTAFStock_Log[WeekIndex],57))</f>
        <v/>
      </c>
      <c r="BG14" s="12">
        <f>IF(COUNTIFS(T_TTAFStock_Log[Part Name],$A14,T_TTAFStock_Log[WeekIndex],58)=0,"",SUMIFS(T_TTAFStock_Log[TTAF_Qty],T_TTAFStock_Log[Part Name],$A14,T_TTAFStock_Log[WeekIndex],58))</f>
        <v/>
      </c>
      <c r="BH14" s="12">
        <f>IF(COUNTIFS(T_TTAFStock_Log[Part Name],$A14,T_TTAFStock_Log[WeekIndex],59)=0,"",SUMIFS(T_TTAFStock_Log[TTAF_Qty],T_TTAFStock_Log[Part Name],$A14,T_TTAFStock_Log[WeekIndex],59))</f>
        <v/>
      </c>
      <c r="BI14" s="12">
        <f>IF(COUNTIFS(T_TTAFStock_Log[Part Name],$A14,T_TTAFStock_Log[WeekIndex],60)=0,"",SUMIFS(T_TTAFStock_Log[TTAF_Qty],T_TTAFStock_Log[Part Name],$A14,T_TTAFStock_Log[WeekIndex],60))</f>
        <v/>
      </c>
      <c r="BJ14" s="12">
        <f>IF(COUNTIFS(T_TTAFStock_Log[Part Name],$A14,T_TTAFStock_Log[WeekIndex],61)=0,"",SUMIFS(T_TTAFStock_Log[TTAF_Qty],T_TTAFStock_Log[Part Name],$A14,T_TTAFStock_Log[WeekIndex],61))</f>
        <v/>
      </c>
      <c r="BK14" s="12">
        <f>IF(COUNTIFS(T_TTAFStock_Log[Part Name],$A14,T_TTAFStock_Log[WeekIndex],62)=0,"",SUMIFS(T_TTAFStock_Log[TTAF_Qty],T_TTAFStock_Log[Part Name],$A14,T_TTAFStock_Log[WeekIndex],62))</f>
        <v/>
      </c>
      <c r="BL14" s="12">
        <f>IF(COUNTIFS(T_TTAFStock_Log[Part Name],$A14,T_TTAFStock_Log[WeekIndex],63)=0,"",SUMIFS(T_TTAFStock_Log[TTAF_Qty],T_TTAFStock_Log[Part Name],$A14,T_TTAFStock_Log[WeekIndex],63))</f>
        <v/>
      </c>
      <c r="BM14" s="12">
        <f>IF(COUNTIFS(T_TTAFStock_Log[Part Name],$A14,T_TTAFStock_Log[WeekIndex],64)=0,"",SUMIFS(T_TTAFStock_Log[TTAF_Qty],T_TTAFStock_Log[Part Name],$A14,T_TTAFStock_Log[WeekIndex],64))</f>
        <v/>
      </c>
      <c r="BN14" s="12">
        <f>IF(COUNTIFS(T_TTAFStock_Log[Part Name],$A14,T_TTAFStock_Log[WeekIndex],65)=0,"",SUMIFS(T_TTAFStock_Log[TTAF_Qty],T_TTAFStock_Log[Part Name],$A14,T_TTAFStock_Log[WeekIndex],65))</f>
        <v/>
      </c>
      <c r="BO14" s="12">
        <f>IF(COUNTIFS(T_TTAFStock_Log[Part Name],$A14,T_TTAFStock_Log[WeekIndex],66)=0,"",SUMIFS(T_TTAFStock_Log[TTAF_Qty],T_TTAFStock_Log[Part Name],$A14,T_TTAFStock_Log[WeekIndex],66))</f>
        <v/>
      </c>
      <c r="BP14" s="12">
        <f>IF(COUNTIFS(T_TTAFStock_Log[Part Name],$A14,T_TTAFStock_Log[WeekIndex],67)=0,"",SUMIFS(T_TTAFStock_Log[TTAF_Qty],T_TTAFStock_Log[Part Name],$A14,T_TTAFStock_Log[WeekIndex],67))</f>
        <v/>
      </c>
      <c r="BQ14" s="12">
        <f>IF(COUNTIFS(T_TTAFStock_Log[Part Name],$A14,T_TTAFStock_Log[WeekIndex],68)=0,"",SUMIFS(T_TTAFStock_Log[TTAF_Qty],T_TTAFStock_Log[Part Name],$A14,T_TTAFStock_Log[WeekIndex],68))</f>
        <v/>
      </c>
      <c r="BR14" s="12">
        <f>IF(COUNTIFS(T_TTAFStock_Log[Part Name],$A14,T_TTAFStock_Log[WeekIndex],69)=0,"",SUMIFS(T_TTAFStock_Log[TTAF_Qty],T_TTAFStock_Log[Part Name],$A14,T_TTAFStock_Log[WeekIndex],69))</f>
        <v/>
      </c>
      <c r="BS14" s="12">
        <f>IF(COUNTIFS(T_TTAFStock_Log[Part Name],$A14,T_TTAFStock_Log[WeekIndex],70)=0,"",SUMIFS(T_TTAFStock_Log[TTAF_Qty],T_TTAFStock_Log[Part Name],$A14,T_TTAFStock_Log[WeekIndex],70))</f>
        <v/>
      </c>
      <c r="BT14" s="12">
        <f>IF(COUNTIFS(T_TTAFStock_Log[Part Name],$A14,T_TTAFStock_Log[WeekIndex],71)=0,"",SUMIFS(T_TTAFStock_Log[TTAF_Qty],T_TTAFStock_Log[Part Name],$A14,T_TTAFStock_Log[WeekIndex],71))</f>
        <v/>
      </c>
      <c r="BU14" s="12">
        <f>IF(COUNTIFS(T_TTAFStock_Log[Part Name],$A14,T_TTAFStock_Log[WeekIndex],72)=0,"",SUMIFS(T_TTAFStock_Log[TTAF_Qty],T_TTAFStock_Log[Part Name],$A14,T_TTAFStock_Log[WeekIndex],72))</f>
        <v/>
      </c>
      <c r="BV14" s="12">
        <f>IF(COUNTIFS(T_TTAFStock_Log[Part Name],$A14,T_TTAFStock_Log[WeekIndex],73)=0,"",SUMIFS(T_TTAFStock_Log[TTAF_Qty],T_TTAFStock_Log[Part Name],$A14,T_TTAFStock_Log[WeekIndex],73))</f>
        <v/>
      </c>
      <c r="BW14" s="12">
        <f>IF(COUNTIFS(T_TTAFStock_Log[Part Name],$A14,T_TTAFStock_Log[WeekIndex],74)=0,"",SUMIFS(T_TTAFStock_Log[TTAF_Qty],T_TTAFStock_Log[Part Name],$A14,T_TTAFStock_Log[WeekIndex],74))</f>
        <v/>
      </c>
      <c r="BX14" s="12">
        <f>IF(COUNTIFS(T_TTAFStock_Log[Part Name],$A14,T_TTAFStock_Log[WeekIndex],75)=0,"",SUMIFS(T_TTAFStock_Log[TTAF_Qty],T_TTAFStock_Log[Part Name],$A14,T_TTAFStock_Log[WeekIndex],75))</f>
        <v/>
      </c>
      <c r="BY14" s="12">
        <f>IF(COUNTIFS(T_TTAFStock_Log[Part Name],$A14,T_TTAFStock_Log[WeekIndex],76)=0,"",SUMIFS(T_TTAFStock_Log[TTAF_Qty],T_TTAFStock_Log[Part Name],$A14,T_TTAFStock_Log[WeekIndex],76))</f>
        <v/>
      </c>
      <c r="BZ14" s="12">
        <f>IF(COUNTIFS(T_TTAFStock_Log[Part Name],$A14,T_TTAFStock_Log[WeekIndex],77)=0,"",SUMIFS(T_TTAFStock_Log[TTAF_Qty],T_TTAFStock_Log[Part Name],$A14,T_TTAFStock_Log[WeekIndex],77))</f>
        <v/>
      </c>
      <c r="CA14" s="12">
        <f>IF(COUNTIFS(T_TTAFStock_Log[Part Name],$A14,T_TTAFStock_Log[WeekIndex],78)=0,"",SUMIFS(T_TTAFStock_Log[TTAF_Qty],T_TTAFStock_Log[Part Name],$A14,T_TTAFStock_Log[WeekIndex],78))</f>
        <v/>
      </c>
      <c r="CB14" s="12">
        <f>IF(COUNTIFS(T_TTAFStock_Log[Part Name],$A14,T_TTAFStock_Log[WeekIndex],79)=0,"",SUMIFS(T_TTAFStock_Log[TTAF_Qty],T_TTAFStock_Log[Part Name],$A14,T_TTAFStock_Log[WeekIndex],79))</f>
        <v/>
      </c>
      <c r="CC14" s="12">
        <f>IF(COUNTIFS(T_TTAFStock_Log[Part Name],$A14,T_TTAFStock_Log[WeekIndex],80)=0,"",SUMIFS(T_TTAFStock_Log[TTAF_Qty],T_TTAFStock_Log[Part Name],$A14,T_TTAFStock_Log[WeekIndex],80))</f>
        <v/>
      </c>
      <c r="CD14" s="12">
        <f>IF(COUNTIFS(T_TTAFStock_Log[Part Name],$A14,T_TTAFStock_Log[WeekIndex],81)=0,"",SUMIFS(T_TTAFStock_Log[TTAF_Qty],T_TTAFStock_Log[Part Name],$A14,T_TTAFStock_Log[WeekIndex],81))</f>
        <v/>
      </c>
      <c r="CE14" s="12">
        <f>IF(COUNTIFS(T_TTAFStock_Log[Part Name],$A14,T_TTAFStock_Log[WeekIndex],82)=0,"",SUMIFS(T_TTAFStock_Log[TTAF_Qty],T_TTAFStock_Log[Part Name],$A14,T_TTAFStock_Log[WeekIndex],82))</f>
        <v/>
      </c>
      <c r="CF14" s="12">
        <f>IF(COUNTIFS(T_TTAFStock_Log[Part Name],$A14,T_TTAFStock_Log[WeekIndex],83)=0,"",SUMIFS(T_TTAFStock_Log[TTAF_Qty],T_TTAFStock_Log[Part Name],$A14,T_TTAFStock_Log[WeekIndex],83))</f>
        <v/>
      </c>
      <c r="CG14" s="12">
        <f>IF(COUNTIFS(T_TTAFStock_Log[Part Name],$A14,T_TTAFStock_Log[WeekIndex],84)=0,"",SUMIFS(T_TTAFStock_Log[TTAF_Qty],T_TTAFStock_Log[Part Name],$A14,T_TTAFStock_Log[WeekIndex],84))</f>
        <v/>
      </c>
      <c r="CH14" s="12">
        <f>IF(COUNTIFS(T_TTAFStock_Log[Part Name],$A14,T_TTAFStock_Log[WeekIndex],85)=0,"",SUMIFS(T_TTAFStock_Log[TTAF_Qty],T_TTAFStock_Log[Part Name],$A14,T_TTAFStock_Log[WeekIndex],85))</f>
        <v/>
      </c>
      <c r="CI14" s="12">
        <f>IF(COUNTIFS(T_TTAFStock_Log[Part Name],$A14,T_TTAFStock_Log[WeekIndex],86)=0,"",SUMIFS(T_TTAFStock_Log[TTAF_Qty],T_TTAFStock_Log[Part Name],$A14,T_TTAFStock_Log[WeekIndex],86))</f>
        <v/>
      </c>
      <c r="CJ14" s="12">
        <f>IF(COUNTIFS(T_TTAFStock_Log[Part Name],$A14,T_TTAFStock_Log[WeekIndex],87)=0,"",SUMIFS(T_TTAFStock_Log[TTAF_Qty],T_TTAFStock_Log[Part Name],$A14,T_TTAFStock_Log[WeekIndex],87))</f>
        <v/>
      </c>
      <c r="CK14" s="12">
        <f>IF(COUNTIFS(T_TTAFStock_Log[Part Name],$A14,T_TTAFStock_Log[WeekIndex],88)=0,"",SUMIFS(T_TTAFStock_Log[TTAF_Qty],T_TTAFStock_Log[Part Name],$A14,T_TTAFStock_Log[WeekIndex],88))</f>
        <v/>
      </c>
      <c r="CL14" s="12">
        <f>IF(COUNTIFS(T_TTAFStock_Log[Part Name],$A14,T_TTAFStock_Log[WeekIndex],89)=0,"",SUMIFS(T_TTAFStock_Log[TTAF_Qty],T_TTAFStock_Log[Part Name],$A14,T_TTAFStock_Log[WeekIndex],89))</f>
        <v/>
      </c>
      <c r="CM14" s="12">
        <f>IF(COUNTIFS(T_TTAFStock_Log[Part Name],$A14,T_TTAFStock_Log[WeekIndex],90)=0,"",SUMIFS(T_TTAFStock_Log[TTAF_Qty],T_TTAFStock_Log[Part Name],$A14,T_TTAFStock_Log[WeekIndex],90))</f>
        <v/>
      </c>
      <c r="CN14" s="12">
        <f>IF(COUNTIFS(T_TTAFStock_Log[Part Name],$A14,T_TTAFStock_Log[WeekIndex],91)=0,"",SUMIFS(T_TTAFStock_Log[TTAF_Qty],T_TTAFStock_Log[Part Name],$A14,T_TTAFStock_Log[WeekIndex],91))</f>
        <v/>
      </c>
      <c r="CO14" s="12">
        <f>IF(COUNTIFS(T_TTAFStock_Log[Part Name],$A14,T_TTAFStock_Log[WeekIndex],92)=0,"",SUMIFS(T_TTAFStock_Log[TTAF_Qty],T_TTAFStock_Log[Part Name],$A14,T_TTAFStock_Log[WeekIndex],92))</f>
        <v/>
      </c>
      <c r="CP14" s="12">
        <f>IF(COUNTIFS(T_TTAFStock_Log[Part Name],$A14,T_TTAFStock_Log[WeekIndex],93)=0,"",SUMIFS(T_TTAFStock_Log[TTAF_Qty],T_TTAFStock_Log[Part Name],$A14,T_TTAFStock_Log[WeekIndex],93))</f>
        <v/>
      </c>
      <c r="CQ14" s="12">
        <f>IF(COUNTIFS(T_TTAFStock_Log[Part Name],$A14,T_TTAFStock_Log[WeekIndex],94)=0,"",SUMIFS(T_TTAFStock_Log[TTAF_Qty],T_TTAFStock_Log[Part Name],$A14,T_TTAFStock_Log[WeekIndex],94))</f>
        <v/>
      </c>
      <c r="CR14" s="12">
        <f>IF(COUNTIFS(T_TTAFStock_Log[Part Name],$A14,T_TTAFStock_Log[WeekIndex],95)=0,"",SUMIFS(T_TTAFStock_Log[TTAF_Qty],T_TTAFStock_Log[Part Name],$A14,T_TTAFStock_Log[WeekIndex],95))</f>
        <v/>
      </c>
      <c r="CS14" s="12">
        <f>IF(COUNTIFS(T_TTAFStock_Log[Part Name],$A14,T_TTAFStock_Log[WeekIndex],96)=0,"",SUMIFS(T_TTAFStock_Log[TTAF_Qty],T_TTAFStock_Log[Part Name],$A14,T_TTAFStock_Log[WeekIndex],96))</f>
        <v/>
      </c>
      <c r="CT14" s="12">
        <f>IF(COUNTIFS(T_TTAFStock_Log[Part Name],$A14,T_TTAFStock_Log[WeekIndex],97)=0,"",SUMIFS(T_TTAFStock_Log[TTAF_Qty],T_TTAFStock_Log[Part Name],$A14,T_TTAFStock_Log[WeekIndex],97))</f>
        <v/>
      </c>
      <c r="CU14" s="12">
        <f>IF(COUNTIFS(T_TTAFStock_Log[Part Name],$A14,T_TTAFStock_Log[WeekIndex],98)=0,"",SUMIFS(T_TTAFStock_Log[TTAF_Qty],T_TTAFStock_Log[Part Name],$A14,T_TTAFStock_Log[WeekIndex],98))</f>
        <v/>
      </c>
      <c r="CV14" s="12">
        <f>IF(COUNTIFS(T_TTAFStock_Log[Part Name],$A14,T_TTAFStock_Log[WeekIndex],99)=0,"",SUMIFS(T_TTAFStock_Log[TTAF_Qty],T_TTAFStock_Log[Part Name],$A14,T_TTAFStock_Log[WeekIndex],99))</f>
        <v/>
      </c>
      <c r="CW14" s="12">
        <f>IF(COUNTIFS(T_TTAFStock_Log[Part Name],$A14,T_TTAFStock_Log[WeekIndex],100)=0,"",SUMIFS(T_TTAFStock_Log[TTAF_Qty],T_TTAFStock_Log[Part Name],$A14,T_TTAFStock_Log[WeekIndex],100))</f>
        <v/>
      </c>
      <c r="CX14" s="12">
        <f>IF(COUNTIFS(T_TTAFStock_Log[Part Name],$A14,T_TTAFStock_Log[WeekIndex],101)=0,"",SUMIFS(T_TTAFStock_Log[TTAF_Qty],T_TTAFStock_Log[Part Name],$A14,T_TTAFStock_Log[WeekIndex],101))</f>
        <v/>
      </c>
      <c r="CY14" s="12">
        <f>IF(COUNTIFS(T_TTAFStock_Log[Part Name],$A14,T_TTAFStock_Log[WeekIndex],102)=0,"",SUMIFS(T_TTAFStock_Log[TTAF_Qty],T_TTAFStock_Log[Part Name],$A14,T_TTAFStock_Log[WeekIndex],102))</f>
        <v/>
      </c>
      <c r="CZ14" s="12">
        <f>IF(COUNTIFS(T_TTAFStock_Log[Part Name],$A14,T_TTAFStock_Log[WeekIndex],103)=0,"",SUMIFS(T_TTAFStock_Log[TTAF_Qty],T_TTAFStock_Log[Part Name],$A14,T_TTAFStock_Log[WeekIndex],103))</f>
        <v/>
      </c>
      <c r="DA14" s="12">
        <f>IF(COUNTIFS(T_TTAFStock_Log[Part Name],$A14,T_TTAFStock_Log[WeekIndex],104)=0,"",SUMIFS(T_TTAFStock_Log[TTAF_Qty],T_TTAFStock_Log[Part Name],$A14,T_TTAFStock_Log[WeekIndex],104))</f>
        <v/>
      </c>
    </row>
    <row r="15">
      <c r="A15" s="13" t="inlineStr">
        <is>
          <t>4HL</t>
        </is>
      </c>
      <c r="B15" s="13">
        <f>IF(COUNTIFS(T_TTAFStock_Log[Part Name],$A15,T_TTAFStock_Log[WeekIndex],1)=0,"",SUMIFS(T_TTAFStock_Log[TTAF_Qty],T_TTAFStock_Log[Part Name],$A15,T_TTAFStock_Log[WeekIndex],1))</f>
        <v/>
      </c>
      <c r="C15" s="13">
        <f>IF(COUNTIFS(T_TTAFStock_Log[Part Name],$A15,T_TTAFStock_Log[WeekIndex],2)=0,"",SUMIFS(T_TTAFStock_Log[TTAF_Qty],T_TTAFStock_Log[Part Name],$A15,T_TTAFStock_Log[WeekIndex],2))</f>
        <v/>
      </c>
      <c r="D15" s="13">
        <f>IF(COUNTIFS(T_TTAFStock_Log[Part Name],$A15,T_TTAFStock_Log[WeekIndex],3)=0,"",SUMIFS(T_TTAFStock_Log[TTAF_Qty],T_TTAFStock_Log[Part Name],$A15,T_TTAFStock_Log[WeekIndex],3))</f>
        <v/>
      </c>
      <c r="E15" s="13">
        <f>IF(COUNTIFS(T_TTAFStock_Log[Part Name],$A15,T_TTAFStock_Log[WeekIndex],4)=0,"",SUMIFS(T_TTAFStock_Log[TTAF_Qty],T_TTAFStock_Log[Part Name],$A15,T_TTAFStock_Log[WeekIndex],4))</f>
        <v/>
      </c>
      <c r="F15" s="13">
        <f>IF(COUNTIFS(T_TTAFStock_Log[Part Name],$A15,T_TTAFStock_Log[WeekIndex],5)=0,"",SUMIFS(T_TTAFStock_Log[TTAF_Qty],T_TTAFStock_Log[Part Name],$A15,T_TTAFStock_Log[WeekIndex],5))</f>
        <v/>
      </c>
      <c r="G15" s="13">
        <f>IF(COUNTIFS(T_TTAFStock_Log[Part Name],$A15,T_TTAFStock_Log[WeekIndex],6)=0,"",SUMIFS(T_TTAFStock_Log[TTAF_Qty],T_TTAFStock_Log[Part Name],$A15,T_TTAFStock_Log[WeekIndex],6))</f>
        <v/>
      </c>
      <c r="H15" s="13">
        <f>IF(COUNTIFS(T_TTAFStock_Log[Part Name],$A15,T_TTAFStock_Log[WeekIndex],7)=0,"",SUMIFS(T_TTAFStock_Log[TTAF_Qty],T_TTAFStock_Log[Part Name],$A15,T_TTAFStock_Log[WeekIndex],7))</f>
        <v/>
      </c>
      <c r="I15" s="13">
        <f>IF(COUNTIFS(T_TTAFStock_Log[Part Name],$A15,T_TTAFStock_Log[WeekIndex],8)=0,"",SUMIFS(T_TTAFStock_Log[TTAF_Qty],T_TTAFStock_Log[Part Name],$A15,T_TTAFStock_Log[WeekIndex],8))</f>
        <v/>
      </c>
      <c r="J15" s="13">
        <f>IF(COUNTIFS(T_TTAFStock_Log[Part Name],$A15,T_TTAFStock_Log[WeekIndex],9)=0,"",SUMIFS(T_TTAFStock_Log[TTAF_Qty],T_TTAFStock_Log[Part Name],$A15,T_TTAFStock_Log[WeekIndex],9))</f>
        <v/>
      </c>
      <c r="K15" s="13">
        <f>IF(COUNTIFS(T_TTAFStock_Log[Part Name],$A15,T_TTAFStock_Log[WeekIndex],10)=0,"",SUMIFS(T_TTAFStock_Log[TTAF_Qty],T_TTAFStock_Log[Part Name],$A15,T_TTAFStock_Log[WeekIndex],10))</f>
        <v/>
      </c>
      <c r="L15" s="13">
        <f>IF(COUNTIFS(T_TTAFStock_Log[Part Name],$A15,T_TTAFStock_Log[WeekIndex],11)=0,"",SUMIFS(T_TTAFStock_Log[TTAF_Qty],T_TTAFStock_Log[Part Name],$A15,T_TTAFStock_Log[WeekIndex],11))</f>
        <v/>
      </c>
      <c r="M15" s="13">
        <f>IF(COUNTIFS(T_TTAFStock_Log[Part Name],$A15,T_TTAFStock_Log[WeekIndex],12)=0,"",SUMIFS(T_TTAFStock_Log[TTAF_Qty],T_TTAFStock_Log[Part Name],$A15,T_TTAFStock_Log[WeekIndex],12))</f>
        <v/>
      </c>
      <c r="N15" s="13">
        <f>IF(COUNTIFS(T_TTAFStock_Log[Part Name],$A15,T_TTAFStock_Log[WeekIndex],13)=0,"",SUMIFS(T_TTAFStock_Log[TTAF_Qty],T_TTAFStock_Log[Part Name],$A15,T_TTAFStock_Log[WeekIndex],13))</f>
        <v/>
      </c>
      <c r="O15" s="13">
        <f>IF(COUNTIFS(T_TTAFStock_Log[Part Name],$A15,T_TTAFStock_Log[WeekIndex],14)=0,"",SUMIFS(T_TTAFStock_Log[TTAF_Qty],T_TTAFStock_Log[Part Name],$A15,T_TTAFStock_Log[WeekIndex],14))</f>
        <v/>
      </c>
      <c r="P15" s="13">
        <f>IF(COUNTIFS(T_TTAFStock_Log[Part Name],$A15,T_TTAFStock_Log[WeekIndex],15)=0,"",SUMIFS(T_TTAFStock_Log[TTAF_Qty],T_TTAFStock_Log[Part Name],$A15,T_TTAFStock_Log[WeekIndex],15))</f>
        <v/>
      </c>
      <c r="Q15" s="13">
        <f>IF(COUNTIFS(T_TTAFStock_Log[Part Name],$A15,T_TTAFStock_Log[WeekIndex],16)=0,"",SUMIFS(T_TTAFStock_Log[TTAF_Qty],T_TTAFStock_Log[Part Name],$A15,T_TTAFStock_Log[WeekIndex],16))</f>
        <v/>
      </c>
      <c r="R15" s="13">
        <f>IF(COUNTIFS(T_TTAFStock_Log[Part Name],$A15,T_TTAFStock_Log[WeekIndex],17)=0,"",SUMIFS(T_TTAFStock_Log[TTAF_Qty],T_TTAFStock_Log[Part Name],$A15,T_TTAFStock_Log[WeekIndex],17))</f>
        <v/>
      </c>
      <c r="S15" s="13">
        <f>IF(COUNTIFS(T_TTAFStock_Log[Part Name],$A15,T_TTAFStock_Log[WeekIndex],18)=0,"",SUMIFS(T_TTAFStock_Log[TTAF_Qty],T_TTAFStock_Log[Part Name],$A15,T_TTAFStock_Log[WeekIndex],18))</f>
        <v/>
      </c>
      <c r="T15" s="13">
        <f>IF(COUNTIFS(T_TTAFStock_Log[Part Name],$A15,T_TTAFStock_Log[WeekIndex],19)=0,"",SUMIFS(T_TTAFStock_Log[TTAF_Qty],T_TTAFStock_Log[Part Name],$A15,T_TTAFStock_Log[WeekIndex],19))</f>
        <v/>
      </c>
      <c r="U15" s="13">
        <f>IF(COUNTIFS(T_TTAFStock_Log[Part Name],$A15,T_TTAFStock_Log[WeekIndex],20)=0,"",SUMIFS(T_TTAFStock_Log[TTAF_Qty],T_TTAFStock_Log[Part Name],$A15,T_TTAFStock_Log[WeekIndex],20))</f>
        <v/>
      </c>
      <c r="V15" s="13">
        <f>IF(COUNTIFS(T_TTAFStock_Log[Part Name],$A15,T_TTAFStock_Log[WeekIndex],21)=0,"",SUMIFS(T_TTAFStock_Log[TTAF_Qty],T_TTAFStock_Log[Part Name],$A15,T_TTAFStock_Log[WeekIndex],21))</f>
        <v/>
      </c>
      <c r="W15" s="13">
        <f>IF(COUNTIFS(T_TTAFStock_Log[Part Name],$A15,T_TTAFStock_Log[WeekIndex],22)=0,"",SUMIFS(T_TTAFStock_Log[TTAF_Qty],T_TTAFStock_Log[Part Name],$A15,T_TTAFStock_Log[WeekIndex],22))</f>
        <v/>
      </c>
      <c r="X15" s="13">
        <f>IF(COUNTIFS(T_TTAFStock_Log[Part Name],$A15,T_TTAFStock_Log[WeekIndex],23)=0,"",SUMIFS(T_TTAFStock_Log[TTAF_Qty],T_TTAFStock_Log[Part Name],$A15,T_TTAFStock_Log[WeekIndex],23))</f>
        <v/>
      </c>
      <c r="Y15" s="13">
        <f>IF(COUNTIFS(T_TTAFStock_Log[Part Name],$A15,T_TTAFStock_Log[WeekIndex],24)=0,"",SUMIFS(T_TTAFStock_Log[TTAF_Qty],T_TTAFStock_Log[Part Name],$A15,T_TTAFStock_Log[WeekIndex],24))</f>
        <v/>
      </c>
      <c r="Z15" s="13">
        <f>IF(COUNTIFS(T_TTAFStock_Log[Part Name],$A15,T_TTAFStock_Log[WeekIndex],25)=0,"",SUMIFS(T_TTAFStock_Log[TTAF_Qty],T_TTAFStock_Log[Part Name],$A15,T_TTAFStock_Log[WeekIndex],25))</f>
        <v/>
      </c>
      <c r="AA15" s="13">
        <f>IF(COUNTIFS(T_TTAFStock_Log[Part Name],$A15,T_TTAFStock_Log[WeekIndex],26)=0,"",SUMIFS(T_TTAFStock_Log[TTAF_Qty],T_TTAFStock_Log[Part Name],$A15,T_TTAFStock_Log[WeekIndex],26))</f>
        <v/>
      </c>
      <c r="AB15" s="13">
        <f>IF(COUNTIFS(T_TTAFStock_Log[Part Name],$A15,T_TTAFStock_Log[WeekIndex],27)=0,"",SUMIFS(T_TTAFStock_Log[TTAF_Qty],T_TTAFStock_Log[Part Name],$A15,T_TTAFStock_Log[WeekIndex],27))</f>
        <v/>
      </c>
      <c r="AC15" s="13">
        <f>IF(COUNTIFS(T_TTAFStock_Log[Part Name],$A15,T_TTAFStock_Log[WeekIndex],28)=0,"",SUMIFS(T_TTAFStock_Log[TTAF_Qty],T_TTAFStock_Log[Part Name],$A15,T_TTAFStock_Log[WeekIndex],28))</f>
        <v/>
      </c>
      <c r="AD15" s="13">
        <f>IF(COUNTIFS(T_TTAFStock_Log[Part Name],$A15,T_TTAFStock_Log[WeekIndex],29)=0,"",SUMIFS(T_TTAFStock_Log[TTAF_Qty],T_TTAFStock_Log[Part Name],$A15,T_TTAFStock_Log[WeekIndex],29))</f>
        <v/>
      </c>
      <c r="AE15" s="13">
        <f>IF(COUNTIFS(T_TTAFStock_Log[Part Name],$A15,T_TTAFStock_Log[WeekIndex],30)=0,"",SUMIFS(T_TTAFStock_Log[TTAF_Qty],T_TTAFStock_Log[Part Name],$A15,T_TTAFStock_Log[WeekIndex],30))</f>
        <v/>
      </c>
      <c r="AF15" s="13">
        <f>IF(COUNTIFS(T_TTAFStock_Log[Part Name],$A15,T_TTAFStock_Log[WeekIndex],31)=0,"",SUMIFS(T_TTAFStock_Log[TTAF_Qty],T_TTAFStock_Log[Part Name],$A15,T_TTAFStock_Log[WeekIndex],31))</f>
        <v/>
      </c>
      <c r="AG15" s="13">
        <f>IF(COUNTIFS(T_TTAFStock_Log[Part Name],$A15,T_TTAFStock_Log[WeekIndex],32)=0,"",SUMIFS(T_TTAFStock_Log[TTAF_Qty],T_TTAFStock_Log[Part Name],$A15,T_TTAFStock_Log[WeekIndex],32))</f>
        <v/>
      </c>
      <c r="AH15" s="13">
        <f>IF(COUNTIFS(T_TTAFStock_Log[Part Name],$A15,T_TTAFStock_Log[WeekIndex],33)=0,"",SUMIFS(T_TTAFStock_Log[TTAF_Qty],T_TTAFStock_Log[Part Name],$A15,T_TTAFStock_Log[WeekIndex],33))</f>
        <v/>
      </c>
      <c r="AI15" s="13">
        <f>IF(COUNTIFS(T_TTAFStock_Log[Part Name],$A15,T_TTAFStock_Log[WeekIndex],34)=0,"",SUMIFS(T_TTAFStock_Log[TTAF_Qty],T_TTAFStock_Log[Part Name],$A15,T_TTAFStock_Log[WeekIndex],34))</f>
        <v/>
      </c>
      <c r="AJ15" s="13">
        <f>IF(COUNTIFS(T_TTAFStock_Log[Part Name],$A15,T_TTAFStock_Log[WeekIndex],35)=0,"",SUMIFS(T_TTAFStock_Log[TTAF_Qty],T_TTAFStock_Log[Part Name],$A15,T_TTAFStock_Log[WeekIndex],35))</f>
        <v/>
      </c>
      <c r="AK15" s="13">
        <f>IF(COUNTIFS(T_TTAFStock_Log[Part Name],$A15,T_TTAFStock_Log[WeekIndex],36)=0,"",SUMIFS(T_TTAFStock_Log[TTAF_Qty],T_TTAFStock_Log[Part Name],$A15,T_TTAFStock_Log[WeekIndex],36))</f>
        <v/>
      </c>
      <c r="AL15" s="13">
        <f>IF(COUNTIFS(T_TTAFStock_Log[Part Name],$A15,T_TTAFStock_Log[WeekIndex],37)=0,"",SUMIFS(T_TTAFStock_Log[TTAF_Qty],T_TTAFStock_Log[Part Name],$A15,T_TTAFStock_Log[WeekIndex],37))</f>
        <v/>
      </c>
      <c r="AM15" s="13">
        <f>IF(COUNTIFS(T_TTAFStock_Log[Part Name],$A15,T_TTAFStock_Log[WeekIndex],38)=0,"",SUMIFS(T_TTAFStock_Log[TTAF_Qty],T_TTAFStock_Log[Part Name],$A15,T_TTAFStock_Log[WeekIndex],38))</f>
        <v/>
      </c>
      <c r="AN15" s="13">
        <f>IF(COUNTIFS(T_TTAFStock_Log[Part Name],$A15,T_TTAFStock_Log[WeekIndex],39)=0,"",SUMIFS(T_TTAFStock_Log[TTAF_Qty],T_TTAFStock_Log[Part Name],$A15,T_TTAFStock_Log[WeekIndex],39))</f>
        <v/>
      </c>
      <c r="AO15" s="13">
        <f>IF(COUNTIFS(T_TTAFStock_Log[Part Name],$A15,T_TTAFStock_Log[WeekIndex],40)=0,"",SUMIFS(T_TTAFStock_Log[TTAF_Qty],T_TTAFStock_Log[Part Name],$A15,T_TTAFStock_Log[WeekIndex],40))</f>
        <v/>
      </c>
      <c r="AP15" s="13">
        <f>IF(COUNTIFS(T_TTAFStock_Log[Part Name],$A15,T_TTAFStock_Log[WeekIndex],41)=0,"",SUMIFS(T_TTAFStock_Log[TTAF_Qty],T_TTAFStock_Log[Part Name],$A15,T_TTAFStock_Log[WeekIndex],41))</f>
        <v/>
      </c>
      <c r="AQ15" s="13">
        <f>IF(COUNTIFS(T_TTAFStock_Log[Part Name],$A15,T_TTAFStock_Log[WeekIndex],42)=0,"",SUMIFS(T_TTAFStock_Log[TTAF_Qty],T_TTAFStock_Log[Part Name],$A15,T_TTAFStock_Log[WeekIndex],42))</f>
        <v/>
      </c>
      <c r="AR15" s="13">
        <f>IF(COUNTIFS(T_TTAFStock_Log[Part Name],$A15,T_TTAFStock_Log[WeekIndex],43)=0,"",SUMIFS(T_TTAFStock_Log[TTAF_Qty],T_TTAFStock_Log[Part Name],$A15,T_TTAFStock_Log[WeekIndex],43))</f>
        <v/>
      </c>
      <c r="AS15" s="13">
        <f>IF(COUNTIFS(T_TTAFStock_Log[Part Name],$A15,T_TTAFStock_Log[WeekIndex],44)=0,"",SUMIFS(T_TTAFStock_Log[TTAF_Qty],T_TTAFStock_Log[Part Name],$A15,T_TTAFStock_Log[WeekIndex],44))</f>
        <v/>
      </c>
      <c r="AT15" s="13">
        <f>IF(COUNTIFS(T_TTAFStock_Log[Part Name],$A15,T_TTAFStock_Log[WeekIndex],45)=0,"",SUMIFS(T_TTAFStock_Log[TTAF_Qty],T_TTAFStock_Log[Part Name],$A15,T_TTAFStock_Log[WeekIndex],45))</f>
        <v/>
      </c>
      <c r="AU15" s="13">
        <f>IF(COUNTIFS(T_TTAFStock_Log[Part Name],$A15,T_TTAFStock_Log[WeekIndex],46)=0,"",SUMIFS(T_TTAFStock_Log[TTAF_Qty],T_TTAFStock_Log[Part Name],$A15,T_TTAFStock_Log[WeekIndex],46))</f>
        <v/>
      </c>
      <c r="AV15" s="13">
        <f>IF(COUNTIFS(T_TTAFStock_Log[Part Name],$A15,T_TTAFStock_Log[WeekIndex],47)=0,"",SUMIFS(T_TTAFStock_Log[TTAF_Qty],T_TTAFStock_Log[Part Name],$A15,T_TTAFStock_Log[WeekIndex],47))</f>
        <v/>
      </c>
      <c r="AW15" s="13">
        <f>IF(COUNTIFS(T_TTAFStock_Log[Part Name],$A15,T_TTAFStock_Log[WeekIndex],48)=0,"",SUMIFS(T_TTAFStock_Log[TTAF_Qty],T_TTAFStock_Log[Part Name],$A15,T_TTAFStock_Log[WeekIndex],48))</f>
        <v/>
      </c>
      <c r="AX15" s="13">
        <f>IF(COUNTIFS(T_TTAFStock_Log[Part Name],$A15,T_TTAFStock_Log[WeekIndex],49)=0,"",SUMIFS(T_TTAFStock_Log[TTAF_Qty],T_TTAFStock_Log[Part Name],$A15,T_TTAFStock_Log[WeekIndex],49))</f>
        <v/>
      </c>
      <c r="AY15" s="13">
        <f>IF(COUNTIFS(T_TTAFStock_Log[Part Name],$A15,T_TTAFStock_Log[WeekIndex],50)=0,"",SUMIFS(T_TTAFStock_Log[TTAF_Qty],T_TTAFStock_Log[Part Name],$A15,T_TTAFStock_Log[WeekIndex],50))</f>
        <v/>
      </c>
      <c r="AZ15" s="13">
        <f>IF(COUNTIFS(T_TTAFStock_Log[Part Name],$A15,T_TTAFStock_Log[WeekIndex],51)=0,"",SUMIFS(T_TTAFStock_Log[TTAF_Qty],T_TTAFStock_Log[Part Name],$A15,T_TTAFStock_Log[WeekIndex],51))</f>
        <v/>
      </c>
      <c r="BA15" s="13">
        <f>IF(COUNTIFS(T_TTAFStock_Log[Part Name],$A15,T_TTAFStock_Log[WeekIndex],52)=0,"",SUMIFS(T_TTAFStock_Log[TTAF_Qty],T_TTAFStock_Log[Part Name],$A15,T_TTAFStock_Log[WeekIndex],52))</f>
        <v/>
      </c>
      <c r="BB15" s="13">
        <f>IF(COUNTIFS(T_TTAFStock_Log[Part Name],$A15,T_TTAFStock_Log[WeekIndex],53)=0,"",SUMIFS(T_TTAFStock_Log[TTAF_Qty],T_TTAFStock_Log[Part Name],$A15,T_TTAFStock_Log[WeekIndex],53))</f>
        <v/>
      </c>
      <c r="BC15" s="13">
        <f>IF(COUNTIFS(T_TTAFStock_Log[Part Name],$A15,T_TTAFStock_Log[WeekIndex],54)=0,"",SUMIFS(T_TTAFStock_Log[TTAF_Qty],T_TTAFStock_Log[Part Name],$A15,T_TTAFStock_Log[WeekIndex],54))</f>
        <v/>
      </c>
      <c r="BD15" s="13">
        <f>IF(COUNTIFS(T_TTAFStock_Log[Part Name],$A15,T_TTAFStock_Log[WeekIndex],55)=0,"",SUMIFS(T_TTAFStock_Log[TTAF_Qty],T_TTAFStock_Log[Part Name],$A15,T_TTAFStock_Log[WeekIndex],55))</f>
        <v/>
      </c>
      <c r="BE15" s="13">
        <f>IF(COUNTIFS(T_TTAFStock_Log[Part Name],$A15,T_TTAFStock_Log[WeekIndex],56)=0,"",SUMIFS(T_TTAFStock_Log[TTAF_Qty],T_TTAFStock_Log[Part Name],$A15,T_TTAFStock_Log[WeekIndex],56))</f>
        <v/>
      </c>
      <c r="BF15" s="13">
        <f>IF(COUNTIFS(T_TTAFStock_Log[Part Name],$A15,T_TTAFStock_Log[WeekIndex],57)=0,"",SUMIFS(T_TTAFStock_Log[TTAF_Qty],T_TTAFStock_Log[Part Name],$A15,T_TTAFStock_Log[WeekIndex],57))</f>
        <v/>
      </c>
      <c r="BG15" s="13">
        <f>IF(COUNTIFS(T_TTAFStock_Log[Part Name],$A15,T_TTAFStock_Log[WeekIndex],58)=0,"",SUMIFS(T_TTAFStock_Log[TTAF_Qty],T_TTAFStock_Log[Part Name],$A15,T_TTAFStock_Log[WeekIndex],58))</f>
        <v/>
      </c>
      <c r="BH15" s="13">
        <f>IF(COUNTIFS(T_TTAFStock_Log[Part Name],$A15,T_TTAFStock_Log[WeekIndex],59)=0,"",SUMIFS(T_TTAFStock_Log[TTAF_Qty],T_TTAFStock_Log[Part Name],$A15,T_TTAFStock_Log[WeekIndex],59))</f>
        <v/>
      </c>
      <c r="BI15" s="13">
        <f>IF(COUNTIFS(T_TTAFStock_Log[Part Name],$A15,T_TTAFStock_Log[WeekIndex],60)=0,"",SUMIFS(T_TTAFStock_Log[TTAF_Qty],T_TTAFStock_Log[Part Name],$A15,T_TTAFStock_Log[WeekIndex],60))</f>
        <v/>
      </c>
      <c r="BJ15" s="13">
        <f>IF(COUNTIFS(T_TTAFStock_Log[Part Name],$A15,T_TTAFStock_Log[WeekIndex],61)=0,"",SUMIFS(T_TTAFStock_Log[TTAF_Qty],T_TTAFStock_Log[Part Name],$A15,T_TTAFStock_Log[WeekIndex],61))</f>
        <v/>
      </c>
      <c r="BK15" s="13">
        <f>IF(COUNTIFS(T_TTAFStock_Log[Part Name],$A15,T_TTAFStock_Log[WeekIndex],62)=0,"",SUMIFS(T_TTAFStock_Log[TTAF_Qty],T_TTAFStock_Log[Part Name],$A15,T_TTAFStock_Log[WeekIndex],62))</f>
        <v/>
      </c>
      <c r="BL15" s="13">
        <f>IF(COUNTIFS(T_TTAFStock_Log[Part Name],$A15,T_TTAFStock_Log[WeekIndex],63)=0,"",SUMIFS(T_TTAFStock_Log[TTAF_Qty],T_TTAFStock_Log[Part Name],$A15,T_TTAFStock_Log[WeekIndex],63))</f>
        <v/>
      </c>
      <c r="BM15" s="13">
        <f>IF(COUNTIFS(T_TTAFStock_Log[Part Name],$A15,T_TTAFStock_Log[WeekIndex],64)=0,"",SUMIFS(T_TTAFStock_Log[TTAF_Qty],T_TTAFStock_Log[Part Name],$A15,T_TTAFStock_Log[WeekIndex],64))</f>
        <v/>
      </c>
      <c r="BN15" s="13">
        <f>IF(COUNTIFS(T_TTAFStock_Log[Part Name],$A15,T_TTAFStock_Log[WeekIndex],65)=0,"",SUMIFS(T_TTAFStock_Log[TTAF_Qty],T_TTAFStock_Log[Part Name],$A15,T_TTAFStock_Log[WeekIndex],65))</f>
        <v/>
      </c>
      <c r="BO15" s="13">
        <f>IF(COUNTIFS(T_TTAFStock_Log[Part Name],$A15,T_TTAFStock_Log[WeekIndex],66)=0,"",SUMIFS(T_TTAFStock_Log[TTAF_Qty],T_TTAFStock_Log[Part Name],$A15,T_TTAFStock_Log[WeekIndex],66))</f>
        <v/>
      </c>
      <c r="BP15" s="13">
        <f>IF(COUNTIFS(T_TTAFStock_Log[Part Name],$A15,T_TTAFStock_Log[WeekIndex],67)=0,"",SUMIFS(T_TTAFStock_Log[TTAF_Qty],T_TTAFStock_Log[Part Name],$A15,T_TTAFStock_Log[WeekIndex],67))</f>
        <v/>
      </c>
      <c r="BQ15" s="13">
        <f>IF(COUNTIFS(T_TTAFStock_Log[Part Name],$A15,T_TTAFStock_Log[WeekIndex],68)=0,"",SUMIFS(T_TTAFStock_Log[TTAF_Qty],T_TTAFStock_Log[Part Name],$A15,T_TTAFStock_Log[WeekIndex],68))</f>
        <v/>
      </c>
      <c r="BR15" s="13">
        <f>IF(COUNTIFS(T_TTAFStock_Log[Part Name],$A15,T_TTAFStock_Log[WeekIndex],69)=0,"",SUMIFS(T_TTAFStock_Log[TTAF_Qty],T_TTAFStock_Log[Part Name],$A15,T_TTAFStock_Log[WeekIndex],69))</f>
        <v/>
      </c>
      <c r="BS15" s="13">
        <f>IF(COUNTIFS(T_TTAFStock_Log[Part Name],$A15,T_TTAFStock_Log[WeekIndex],70)=0,"",SUMIFS(T_TTAFStock_Log[TTAF_Qty],T_TTAFStock_Log[Part Name],$A15,T_TTAFStock_Log[WeekIndex],70))</f>
        <v/>
      </c>
      <c r="BT15" s="13">
        <f>IF(COUNTIFS(T_TTAFStock_Log[Part Name],$A15,T_TTAFStock_Log[WeekIndex],71)=0,"",SUMIFS(T_TTAFStock_Log[TTAF_Qty],T_TTAFStock_Log[Part Name],$A15,T_TTAFStock_Log[WeekIndex],71))</f>
        <v/>
      </c>
      <c r="BU15" s="13">
        <f>IF(COUNTIFS(T_TTAFStock_Log[Part Name],$A15,T_TTAFStock_Log[WeekIndex],72)=0,"",SUMIFS(T_TTAFStock_Log[TTAF_Qty],T_TTAFStock_Log[Part Name],$A15,T_TTAFStock_Log[WeekIndex],72))</f>
        <v/>
      </c>
      <c r="BV15" s="13">
        <f>IF(COUNTIFS(T_TTAFStock_Log[Part Name],$A15,T_TTAFStock_Log[WeekIndex],73)=0,"",SUMIFS(T_TTAFStock_Log[TTAF_Qty],T_TTAFStock_Log[Part Name],$A15,T_TTAFStock_Log[WeekIndex],73))</f>
        <v/>
      </c>
      <c r="BW15" s="13">
        <f>IF(COUNTIFS(T_TTAFStock_Log[Part Name],$A15,T_TTAFStock_Log[WeekIndex],74)=0,"",SUMIFS(T_TTAFStock_Log[TTAF_Qty],T_TTAFStock_Log[Part Name],$A15,T_TTAFStock_Log[WeekIndex],74))</f>
        <v/>
      </c>
      <c r="BX15" s="13">
        <f>IF(COUNTIFS(T_TTAFStock_Log[Part Name],$A15,T_TTAFStock_Log[WeekIndex],75)=0,"",SUMIFS(T_TTAFStock_Log[TTAF_Qty],T_TTAFStock_Log[Part Name],$A15,T_TTAFStock_Log[WeekIndex],75))</f>
        <v/>
      </c>
      <c r="BY15" s="13">
        <f>IF(COUNTIFS(T_TTAFStock_Log[Part Name],$A15,T_TTAFStock_Log[WeekIndex],76)=0,"",SUMIFS(T_TTAFStock_Log[TTAF_Qty],T_TTAFStock_Log[Part Name],$A15,T_TTAFStock_Log[WeekIndex],76))</f>
        <v/>
      </c>
      <c r="BZ15" s="13">
        <f>IF(COUNTIFS(T_TTAFStock_Log[Part Name],$A15,T_TTAFStock_Log[WeekIndex],77)=0,"",SUMIFS(T_TTAFStock_Log[TTAF_Qty],T_TTAFStock_Log[Part Name],$A15,T_TTAFStock_Log[WeekIndex],77))</f>
        <v/>
      </c>
      <c r="CA15" s="13">
        <f>IF(COUNTIFS(T_TTAFStock_Log[Part Name],$A15,T_TTAFStock_Log[WeekIndex],78)=0,"",SUMIFS(T_TTAFStock_Log[TTAF_Qty],T_TTAFStock_Log[Part Name],$A15,T_TTAFStock_Log[WeekIndex],78))</f>
        <v/>
      </c>
      <c r="CB15" s="13">
        <f>IF(COUNTIFS(T_TTAFStock_Log[Part Name],$A15,T_TTAFStock_Log[WeekIndex],79)=0,"",SUMIFS(T_TTAFStock_Log[TTAF_Qty],T_TTAFStock_Log[Part Name],$A15,T_TTAFStock_Log[WeekIndex],79))</f>
        <v/>
      </c>
      <c r="CC15" s="13">
        <f>IF(COUNTIFS(T_TTAFStock_Log[Part Name],$A15,T_TTAFStock_Log[WeekIndex],80)=0,"",SUMIFS(T_TTAFStock_Log[TTAF_Qty],T_TTAFStock_Log[Part Name],$A15,T_TTAFStock_Log[WeekIndex],80))</f>
        <v/>
      </c>
      <c r="CD15" s="13">
        <f>IF(COUNTIFS(T_TTAFStock_Log[Part Name],$A15,T_TTAFStock_Log[WeekIndex],81)=0,"",SUMIFS(T_TTAFStock_Log[TTAF_Qty],T_TTAFStock_Log[Part Name],$A15,T_TTAFStock_Log[WeekIndex],81))</f>
        <v/>
      </c>
      <c r="CE15" s="13">
        <f>IF(COUNTIFS(T_TTAFStock_Log[Part Name],$A15,T_TTAFStock_Log[WeekIndex],82)=0,"",SUMIFS(T_TTAFStock_Log[TTAF_Qty],T_TTAFStock_Log[Part Name],$A15,T_TTAFStock_Log[WeekIndex],82))</f>
        <v/>
      </c>
      <c r="CF15" s="13">
        <f>IF(COUNTIFS(T_TTAFStock_Log[Part Name],$A15,T_TTAFStock_Log[WeekIndex],83)=0,"",SUMIFS(T_TTAFStock_Log[TTAF_Qty],T_TTAFStock_Log[Part Name],$A15,T_TTAFStock_Log[WeekIndex],83))</f>
        <v/>
      </c>
      <c r="CG15" s="13">
        <f>IF(COUNTIFS(T_TTAFStock_Log[Part Name],$A15,T_TTAFStock_Log[WeekIndex],84)=0,"",SUMIFS(T_TTAFStock_Log[TTAF_Qty],T_TTAFStock_Log[Part Name],$A15,T_TTAFStock_Log[WeekIndex],84))</f>
        <v/>
      </c>
      <c r="CH15" s="13">
        <f>IF(COUNTIFS(T_TTAFStock_Log[Part Name],$A15,T_TTAFStock_Log[WeekIndex],85)=0,"",SUMIFS(T_TTAFStock_Log[TTAF_Qty],T_TTAFStock_Log[Part Name],$A15,T_TTAFStock_Log[WeekIndex],85))</f>
        <v/>
      </c>
      <c r="CI15" s="13">
        <f>IF(COUNTIFS(T_TTAFStock_Log[Part Name],$A15,T_TTAFStock_Log[WeekIndex],86)=0,"",SUMIFS(T_TTAFStock_Log[TTAF_Qty],T_TTAFStock_Log[Part Name],$A15,T_TTAFStock_Log[WeekIndex],86))</f>
        <v/>
      </c>
      <c r="CJ15" s="13">
        <f>IF(COUNTIFS(T_TTAFStock_Log[Part Name],$A15,T_TTAFStock_Log[WeekIndex],87)=0,"",SUMIFS(T_TTAFStock_Log[TTAF_Qty],T_TTAFStock_Log[Part Name],$A15,T_TTAFStock_Log[WeekIndex],87))</f>
        <v/>
      </c>
      <c r="CK15" s="13">
        <f>IF(COUNTIFS(T_TTAFStock_Log[Part Name],$A15,T_TTAFStock_Log[WeekIndex],88)=0,"",SUMIFS(T_TTAFStock_Log[TTAF_Qty],T_TTAFStock_Log[Part Name],$A15,T_TTAFStock_Log[WeekIndex],88))</f>
        <v/>
      </c>
      <c r="CL15" s="13">
        <f>IF(COUNTIFS(T_TTAFStock_Log[Part Name],$A15,T_TTAFStock_Log[WeekIndex],89)=0,"",SUMIFS(T_TTAFStock_Log[TTAF_Qty],T_TTAFStock_Log[Part Name],$A15,T_TTAFStock_Log[WeekIndex],89))</f>
        <v/>
      </c>
      <c r="CM15" s="13">
        <f>IF(COUNTIFS(T_TTAFStock_Log[Part Name],$A15,T_TTAFStock_Log[WeekIndex],90)=0,"",SUMIFS(T_TTAFStock_Log[TTAF_Qty],T_TTAFStock_Log[Part Name],$A15,T_TTAFStock_Log[WeekIndex],90))</f>
        <v/>
      </c>
      <c r="CN15" s="13">
        <f>IF(COUNTIFS(T_TTAFStock_Log[Part Name],$A15,T_TTAFStock_Log[WeekIndex],91)=0,"",SUMIFS(T_TTAFStock_Log[TTAF_Qty],T_TTAFStock_Log[Part Name],$A15,T_TTAFStock_Log[WeekIndex],91))</f>
        <v/>
      </c>
      <c r="CO15" s="13">
        <f>IF(COUNTIFS(T_TTAFStock_Log[Part Name],$A15,T_TTAFStock_Log[WeekIndex],92)=0,"",SUMIFS(T_TTAFStock_Log[TTAF_Qty],T_TTAFStock_Log[Part Name],$A15,T_TTAFStock_Log[WeekIndex],92))</f>
        <v/>
      </c>
      <c r="CP15" s="13">
        <f>IF(COUNTIFS(T_TTAFStock_Log[Part Name],$A15,T_TTAFStock_Log[WeekIndex],93)=0,"",SUMIFS(T_TTAFStock_Log[TTAF_Qty],T_TTAFStock_Log[Part Name],$A15,T_TTAFStock_Log[WeekIndex],93))</f>
        <v/>
      </c>
      <c r="CQ15" s="13">
        <f>IF(COUNTIFS(T_TTAFStock_Log[Part Name],$A15,T_TTAFStock_Log[WeekIndex],94)=0,"",SUMIFS(T_TTAFStock_Log[TTAF_Qty],T_TTAFStock_Log[Part Name],$A15,T_TTAFStock_Log[WeekIndex],94))</f>
        <v/>
      </c>
      <c r="CR15" s="13">
        <f>IF(COUNTIFS(T_TTAFStock_Log[Part Name],$A15,T_TTAFStock_Log[WeekIndex],95)=0,"",SUMIFS(T_TTAFStock_Log[TTAF_Qty],T_TTAFStock_Log[Part Name],$A15,T_TTAFStock_Log[WeekIndex],95))</f>
        <v/>
      </c>
      <c r="CS15" s="13">
        <f>IF(COUNTIFS(T_TTAFStock_Log[Part Name],$A15,T_TTAFStock_Log[WeekIndex],96)=0,"",SUMIFS(T_TTAFStock_Log[TTAF_Qty],T_TTAFStock_Log[Part Name],$A15,T_TTAFStock_Log[WeekIndex],96))</f>
        <v/>
      </c>
      <c r="CT15" s="13">
        <f>IF(COUNTIFS(T_TTAFStock_Log[Part Name],$A15,T_TTAFStock_Log[WeekIndex],97)=0,"",SUMIFS(T_TTAFStock_Log[TTAF_Qty],T_TTAFStock_Log[Part Name],$A15,T_TTAFStock_Log[WeekIndex],97))</f>
        <v/>
      </c>
      <c r="CU15" s="13">
        <f>IF(COUNTIFS(T_TTAFStock_Log[Part Name],$A15,T_TTAFStock_Log[WeekIndex],98)=0,"",SUMIFS(T_TTAFStock_Log[TTAF_Qty],T_TTAFStock_Log[Part Name],$A15,T_TTAFStock_Log[WeekIndex],98))</f>
        <v/>
      </c>
      <c r="CV15" s="13">
        <f>IF(COUNTIFS(T_TTAFStock_Log[Part Name],$A15,T_TTAFStock_Log[WeekIndex],99)=0,"",SUMIFS(T_TTAFStock_Log[TTAF_Qty],T_TTAFStock_Log[Part Name],$A15,T_TTAFStock_Log[WeekIndex],99))</f>
        <v/>
      </c>
      <c r="CW15" s="13">
        <f>IF(COUNTIFS(T_TTAFStock_Log[Part Name],$A15,T_TTAFStock_Log[WeekIndex],100)=0,"",SUMIFS(T_TTAFStock_Log[TTAF_Qty],T_TTAFStock_Log[Part Name],$A15,T_TTAFStock_Log[WeekIndex],100))</f>
        <v/>
      </c>
      <c r="CX15" s="13">
        <f>IF(COUNTIFS(T_TTAFStock_Log[Part Name],$A15,T_TTAFStock_Log[WeekIndex],101)=0,"",SUMIFS(T_TTAFStock_Log[TTAF_Qty],T_TTAFStock_Log[Part Name],$A15,T_TTAFStock_Log[WeekIndex],101))</f>
        <v/>
      </c>
      <c r="CY15" s="13">
        <f>IF(COUNTIFS(T_TTAFStock_Log[Part Name],$A15,T_TTAFStock_Log[WeekIndex],102)=0,"",SUMIFS(T_TTAFStock_Log[TTAF_Qty],T_TTAFStock_Log[Part Name],$A15,T_TTAFStock_Log[WeekIndex],102))</f>
        <v/>
      </c>
      <c r="CZ15" s="13">
        <f>IF(COUNTIFS(T_TTAFStock_Log[Part Name],$A15,T_TTAFStock_Log[WeekIndex],103)=0,"",SUMIFS(T_TTAFStock_Log[TTAF_Qty],T_TTAFStock_Log[Part Name],$A15,T_TTAFStock_Log[WeekIndex],103))</f>
        <v/>
      </c>
      <c r="DA15" s="13">
        <f>IF(COUNTIFS(T_TTAFStock_Log[Part Name],$A15,T_TTAFStock_Log[WeekIndex],104)=0,"",SUMIFS(T_TTAFStock_Log[TTAF_Qty],T_TTAFStock_Log[Part Name],$A15,T_TTAFStock_Log[WeekIndex],104))</f>
        <v/>
      </c>
    </row>
    <row r="16">
      <c r="A16" s="12" t="inlineStr">
        <is>
          <t>1EK</t>
        </is>
      </c>
      <c r="B16" s="12">
        <f>IF(COUNTIFS(T_TTAFStock_Log[Part Name],$A16,T_TTAFStock_Log[WeekIndex],1)=0,"",SUMIFS(T_TTAFStock_Log[TTAF_Qty],T_TTAFStock_Log[Part Name],$A16,T_TTAFStock_Log[WeekIndex],1))</f>
        <v/>
      </c>
      <c r="C16" s="12">
        <f>IF(COUNTIFS(T_TTAFStock_Log[Part Name],$A16,T_TTAFStock_Log[WeekIndex],2)=0,"",SUMIFS(T_TTAFStock_Log[TTAF_Qty],T_TTAFStock_Log[Part Name],$A16,T_TTAFStock_Log[WeekIndex],2))</f>
        <v/>
      </c>
      <c r="D16" s="12">
        <f>IF(COUNTIFS(T_TTAFStock_Log[Part Name],$A16,T_TTAFStock_Log[WeekIndex],3)=0,"",SUMIFS(T_TTAFStock_Log[TTAF_Qty],T_TTAFStock_Log[Part Name],$A16,T_TTAFStock_Log[WeekIndex],3))</f>
        <v/>
      </c>
      <c r="E16" s="12">
        <f>IF(COUNTIFS(T_TTAFStock_Log[Part Name],$A16,T_TTAFStock_Log[WeekIndex],4)=0,"",SUMIFS(T_TTAFStock_Log[TTAF_Qty],T_TTAFStock_Log[Part Name],$A16,T_TTAFStock_Log[WeekIndex],4))</f>
        <v/>
      </c>
      <c r="F16" s="12">
        <f>IF(COUNTIFS(T_TTAFStock_Log[Part Name],$A16,T_TTAFStock_Log[WeekIndex],5)=0,"",SUMIFS(T_TTAFStock_Log[TTAF_Qty],T_TTAFStock_Log[Part Name],$A16,T_TTAFStock_Log[WeekIndex],5))</f>
        <v/>
      </c>
      <c r="G16" s="12">
        <f>IF(COUNTIFS(T_TTAFStock_Log[Part Name],$A16,T_TTAFStock_Log[WeekIndex],6)=0,"",SUMIFS(T_TTAFStock_Log[TTAF_Qty],T_TTAFStock_Log[Part Name],$A16,T_TTAFStock_Log[WeekIndex],6))</f>
        <v/>
      </c>
      <c r="H16" s="12">
        <f>IF(COUNTIFS(T_TTAFStock_Log[Part Name],$A16,T_TTAFStock_Log[WeekIndex],7)=0,"",SUMIFS(T_TTAFStock_Log[TTAF_Qty],T_TTAFStock_Log[Part Name],$A16,T_TTAFStock_Log[WeekIndex],7))</f>
        <v/>
      </c>
      <c r="I16" s="12">
        <f>IF(COUNTIFS(T_TTAFStock_Log[Part Name],$A16,T_TTAFStock_Log[WeekIndex],8)=0,"",SUMIFS(T_TTAFStock_Log[TTAF_Qty],T_TTAFStock_Log[Part Name],$A16,T_TTAFStock_Log[WeekIndex],8))</f>
        <v/>
      </c>
      <c r="J16" s="12">
        <f>IF(COUNTIFS(T_TTAFStock_Log[Part Name],$A16,T_TTAFStock_Log[WeekIndex],9)=0,"",SUMIFS(T_TTAFStock_Log[TTAF_Qty],T_TTAFStock_Log[Part Name],$A16,T_TTAFStock_Log[WeekIndex],9))</f>
        <v/>
      </c>
      <c r="K16" s="12">
        <f>IF(COUNTIFS(T_TTAFStock_Log[Part Name],$A16,T_TTAFStock_Log[WeekIndex],10)=0,"",SUMIFS(T_TTAFStock_Log[TTAF_Qty],T_TTAFStock_Log[Part Name],$A16,T_TTAFStock_Log[WeekIndex],10))</f>
        <v/>
      </c>
      <c r="L16" s="12">
        <f>IF(COUNTIFS(T_TTAFStock_Log[Part Name],$A16,T_TTAFStock_Log[WeekIndex],11)=0,"",SUMIFS(T_TTAFStock_Log[TTAF_Qty],T_TTAFStock_Log[Part Name],$A16,T_TTAFStock_Log[WeekIndex],11))</f>
        <v/>
      </c>
      <c r="M16" s="12">
        <f>IF(COUNTIFS(T_TTAFStock_Log[Part Name],$A16,T_TTAFStock_Log[WeekIndex],12)=0,"",SUMIFS(T_TTAFStock_Log[TTAF_Qty],T_TTAFStock_Log[Part Name],$A16,T_TTAFStock_Log[WeekIndex],12))</f>
        <v/>
      </c>
      <c r="N16" s="12">
        <f>IF(COUNTIFS(T_TTAFStock_Log[Part Name],$A16,T_TTAFStock_Log[WeekIndex],13)=0,"",SUMIFS(T_TTAFStock_Log[TTAF_Qty],T_TTAFStock_Log[Part Name],$A16,T_TTAFStock_Log[WeekIndex],13))</f>
        <v/>
      </c>
      <c r="O16" s="12">
        <f>IF(COUNTIFS(T_TTAFStock_Log[Part Name],$A16,T_TTAFStock_Log[WeekIndex],14)=0,"",SUMIFS(T_TTAFStock_Log[TTAF_Qty],T_TTAFStock_Log[Part Name],$A16,T_TTAFStock_Log[WeekIndex],14))</f>
        <v/>
      </c>
      <c r="P16" s="12">
        <f>IF(COUNTIFS(T_TTAFStock_Log[Part Name],$A16,T_TTAFStock_Log[WeekIndex],15)=0,"",SUMIFS(T_TTAFStock_Log[TTAF_Qty],T_TTAFStock_Log[Part Name],$A16,T_TTAFStock_Log[WeekIndex],15))</f>
        <v/>
      </c>
      <c r="Q16" s="12">
        <f>IF(COUNTIFS(T_TTAFStock_Log[Part Name],$A16,T_TTAFStock_Log[WeekIndex],16)=0,"",SUMIFS(T_TTAFStock_Log[TTAF_Qty],T_TTAFStock_Log[Part Name],$A16,T_TTAFStock_Log[WeekIndex],16))</f>
        <v/>
      </c>
      <c r="R16" s="12">
        <f>IF(COUNTIFS(T_TTAFStock_Log[Part Name],$A16,T_TTAFStock_Log[WeekIndex],17)=0,"",SUMIFS(T_TTAFStock_Log[TTAF_Qty],T_TTAFStock_Log[Part Name],$A16,T_TTAFStock_Log[WeekIndex],17))</f>
        <v/>
      </c>
      <c r="S16" s="12">
        <f>IF(COUNTIFS(T_TTAFStock_Log[Part Name],$A16,T_TTAFStock_Log[WeekIndex],18)=0,"",SUMIFS(T_TTAFStock_Log[TTAF_Qty],T_TTAFStock_Log[Part Name],$A16,T_TTAFStock_Log[WeekIndex],18))</f>
        <v/>
      </c>
      <c r="T16" s="12">
        <f>IF(COUNTIFS(T_TTAFStock_Log[Part Name],$A16,T_TTAFStock_Log[WeekIndex],19)=0,"",SUMIFS(T_TTAFStock_Log[TTAF_Qty],T_TTAFStock_Log[Part Name],$A16,T_TTAFStock_Log[WeekIndex],19))</f>
        <v/>
      </c>
      <c r="U16" s="12">
        <f>IF(COUNTIFS(T_TTAFStock_Log[Part Name],$A16,T_TTAFStock_Log[WeekIndex],20)=0,"",SUMIFS(T_TTAFStock_Log[TTAF_Qty],T_TTAFStock_Log[Part Name],$A16,T_TTAFStock_Log[WeekIndex],20))</f>
        <v/>
      </c>
      <c r="V16" s="12">
        <f>IF(COUNTIFS(T_TTAFStock_Log[Part Name],$A16,T_TTAFStock_Log[WeekIndex],21)=0,"",SUMIFS(T_TTAFStock_Log[TTAF_Qty],T_TTAFStock_Log[Part Name],$A16,T_TTAFStock_Log[WeekIndex],21))</f>
        <v/>
      </c>
      <c r="W16" s="12">
        <f>IF(COUNTIFS(T_TTAFStock_Log[Part Name],$A16,T_TTAFStock_Log[WeekIndex],22)=0,"",SUMIFS(T_TTAFStock_Log[TTAF_Qty],T_TTAFStock_Log[Part Name],$A16,T_TTAFStock_Log[WeekIndex],22))</f>
        <v/>
      </c>
      <c r="X16" s="12">
        <f>IF(COUNTIFS(T_TTAFStock_Log[Part Name],$A16,T_TTAFStock_Log[WeekIndex],23)=0,"",SUMIFS(T_TTAFStock_Log[TTAF_Qty],T_TTAFStock_Log[Part Name],$A16,T_TTAFStock_Log[WeekIndex],23))</f>
        <v/>
      </c>
      <c r="Y16" s="12">
        <f>IF(COUNTIFS(T_TTAFStock_Log[Part Name],$A16,T_TTAFStock_Log[WeekIndex],24)=0,"",SUMIFS(T_TTAFStock_Log[TTAF_Qty],T_TTAFStock_Log[Part Name],$A16,T_TTAFStock_Log[WeekIndex],24))</f>
        <v/>
      </c>
      <c r="Z16" s="12">
        <f>IF(COUNTIFS(T_TTAFStock_Log[Part Name],$A16,T_TTAFStock_Log[WeekIndex],25)=0,"",SUMIFS(T_TTAFStock_Log[TTAF_Qty],T_TTAFStock_Log[Part Name],$A16,T_TTAFStock_Log[WeekIndex],25))</f>
        <v/>
      </c>
      <c r="AA16" s="12">
        <f>IF(COUNTIFS(T_TTAFStock_Log[Part Name],$A16,T_TTAFStock_Log[WeekIndex],26)=0,"",SUMIFS(T_TTAFStock_Log[TTAF_Qty],T_TTAFStock_Log[Part Name],$A16,T_TTAFStock_Log[WeekIndex],26))</f>
        <v/>
      </c>
      <c r="AB16" s="12">
        <f>IF(COUNTIFS(T_TTAFStock_Log[Part Name],$A16,T_TTAFStock_Log[WeekIndex],27)=0,"",SUMIFS(T_TTAFStock_Log[TTAF_Qty],T_TTAFStock_Log[Part Name],$A16,T_TTAFStock_Log[WeekIndex],27))</f>
        <v/>
      </c>
      <c r="AC16" s="12">
        <f>IF(COUNTIFS(T_TTAFStock_Log[Part Name],$A16,T_TTAFStock_Log[WeekIndex],28)=0,"",SUMIFS(T_TTAFStock_Log[TTAF_Qty],T_TTAFStock_Log[Part Name],$A16,T_TTAFStock_Log[WeekIndex],28))</f>
        <v/>
      </c>
      <c r="AD16" s="12">
        <f>IF(COUNTIFS(T_TTAFStock_Log[Part Name],$A16,T_TTAFStock_Log[WeekIndex],29)=0,"",SUMIFS(T_TTAFStock_Log[TTAF_Qty],T_TTAFStock_Log[Part Name],$A16,T_TTAFStock_Log[WeekIndex],29))</f>
        <v/>
      </c>
      <c r="AE16" s="12">
        <f>IF(COUNTIFS(T_TTAFStock_Log[Part Name],$A16,T_TTAFStock_Log[WeekIndex],30)=0,"",SUMIFS(T_TTAFStock_Log[TTAF_Qty],T_TTAFStock_Log[Part Name],$A16,T_TTAFStock_Log[WeekIndex],30))</f>
        <v/>
      </c>
      <c r="AF16" s="12">
        <f>IF(COUNTIFS(T_TTAFStock_Log[Part Name],$A16,T_TTAFStock_Log[WeekIndex],31)=0,"",SUMIFS(T_TTAFStock_Log[TTAF_Qty],T_TTAFStock_Log[Part Name],$A16,T_TTAFStock_Log[WeekIndex],31))</f>
        <v/>
      </c>
      <c r="AG16" s="12">
        <f>IF(COUNTIFS(T_TTAFStock_Log[Part Name],$A16,T_TTAFStock_Log[WeekIndex],32)=0,"",SUMIFS(T_TTAFStock_Log[TTAF_Qty],T_TTAFStock_Log[Part Name],$A16,T_TTAFStock_Log[WeekIndex],32))</f>
        <v/>
      </c>
      <c r="AH16" s="12">
        <f>IF(COUNTIFS(T_TTAFStock_Log[Part Name],$A16,T_TTAFStock_Log[WeekIndex],33)=0,"",SUMIFS(T_TTAFStock_Log[TTAF_Qty],T_TTAFStock_Log[Part Name],$A16,T_TTAFStock_Log[WeekIndex],33))</f>
        <v/>
      </c>
      <c r="AI16" s="12">
        <f>IF(COUNTIFS(T_TTAFStock_Log[Part Name],$A16,T_TTAFStock_Log[WeekIndex],34)=0,"",SUMIFS(T_TTAFStock_Log[TTAF_Qty],T_TTAFStock_Log[Part Name],$A16,T_TTAFStock_Log[WeekIndex],34))</f>
        <v/>
      </c>
      <c r="AJ16" s="12">
        <f>IF(COUNTIFS(T_TTAFStock_Log[Part Name],$A16,T_TTAFStock_Log[WeekIndex],35)=0,"",SUMIFS(T_TTAFStock_Log[TTAF_Qty],T_TTAFStock_Log[Part Name],$A16,T_TTAFStock_Log[WeekIndex],35))</f>
        <v/>
      </c>
      <c r="AK16" s="12">
        <f>IF(COUNTIFS(T_TTAFStock_Log[Part Name],$A16,T_TTAFStock_Log[WeekIndex],36)=0,"",SUMIFS(T_TTAFStock_Log[TTAF_Qty],T_TTAFStock_Log[Part Name],$A16,T_TTAFStock_Log[WeekIndex],36))</f>
        <v/>
      </c>
      <c r="AL16" s="12">
        <f>IF(COUNTIFS(T_TTAFStock_Log[Part Name],$A16,T_TTAFStock_Log[WeekIndex],37)=0,"",SUMIFS(T_TTAFStock_Log[TTAF_Qty],T_TTAFStock_Log[Part Name],$A16,T_TTAFStock_Log[WeekIndex],37))</f>
        <v/>
      </c>
      <c r="AM16" s="12">
        <f>IF(COUNTIFS(T_TTAFStock_Log[Part Name],$A16,T_TTAFStock_Log[WeekIndex],38)=0,"",SUMIFS(T_TTAFStock_Log[TTAF_Qty],T_TTAFStock_Log[Part Name],$A16,T_TTAFStock_Log[WeekIndex],38))</f>
        <v/>
      </c>
      <c r="AN16" s="12">
        <f>IF(COUNTIFS(T_TTAFStock_Log[Part Name],$A16,T_TTAFStock_Log[WeekIndex],39)=0,"",SUMIFS(T_TTAFStock_Log[TTAF_Qty],T_TTAFStock_Log[Part Name],$A16,T_TTAFStock_Log[WeekIndex],39))</f>
        <v/>
      </c>
      <c r="AO16" s="12">
        <f>IF(COUNTIFS(T_TTAFStock_Log[Part Name],$A16,T_TTAFStock_Log[WeekIndex],40)=0,"",SUMIFS(T_TTAFStock_Log[TTAF_Qty],T_TTAFStock_Log[Part Name],$A16,T_TTAFStock_Log[WeekIndex],40))</f>
        <v/>
      </c>
      <c r="AP16" s="12">
        <f>IF(COUNTIFS(T_TTAFStock_Log[Part Name],$A16,T_TTAFStock_Log[WeekIndex],41)=0,"",SUMIFS(T_TTAFStock_Log[TTAF_Qty],T_TTAFStock_Log[Part Name],$A16,T_TTAFStock_Log[WeekIndex],41))</f>
        <v/>
      </c>
      <c r="AQ16" s="12">
        <f>IF(COUNTIFS(T_TTAFStock_Log[Part Name],$A16,T_TTAFStock_Log[WeekIndex],42)=0,"",SUMIFS(T_TTAFStock_Log[TTAF_Qty],T_TTAFStock_Log[Part Name],$A16,T_TTAFStock_Log[WeekIndex],42))</f>
        <v/>
      </c>
      <c r="AR16" s="12">
        <f>IF(COUNTIFS(T_TTAFStock_Log[Part Name],$A16,T_TTAFStock_Log[WeekIndex],43)=0,"",SUMIFS(T_TTAFStock_Log[TTAF_Qty],T_TTAFStock_Log[Part Name],$A16,T_TTAFStock_Log[WeekIndex],43))</f>
        <v/>
      </c>
      <c r="AS16" s="12">
        <f>IF(COUNTIFS(T_TTAFStock_Log[Part Name],$A16,T_TTAFStock_Log[WeekIndex],44)=0,"",SUMIFS(T_TTAFStock_Log[TTAF_Qty],T_TTAFStock_Log[Part Name],$A16,T_TTAFStock_Log[WeekIndex],44))</f>
        <v/>
      </c>
      <c r="AT16" s="12">
        <f>IF(COUNTIFS(T_TTAFStock_Log[Part Name],$A16,T_TTAFStock_Log[WeekIndex],45)=0,"",SUMIFS(T_TTAFStock_Log[TTAF_Qty],T_TTAFStock_Log[Part Name],$A16,T_TTAFStock_Log[WeekIndex],45))</f>
        <v/>
      </c>
      <c r="AU16" s="12">
        <f>IF(COUNTIFS(T_TTAFStock_Log[Part Name],$A16,T_TTAFStock_Log[WeekIndex],46)=0,"",SUMIFS(T_TTAFStock_Log[TTAF_Qty],T_TTAFStock_Log[Part Name],$A16,T_TTAFStock_Log[WeekIndex],46))</f>
        <v/>
      </c>
      <c r="AV16" s="12">
        <f>IF(COUNTIFS(T_TTAFStock_Log[Part Name],$A16,T_TTAFStock_Log[WeekIndex],47)=0,"",SUMIFS(T_TTAFStock_Log[TTAF_Qty],T_TTAFStock_Log[Part Name],$A16,T_TTAFStock_Log[WeekIndex],47))</f>
        <v/>
      </c>
      <c r="AW16" s="12">
        <f>IF(COUNTIFS(T_TTAFStock_Log[Part Name],$A16,T_TTAFStock_Log[WeekIndex],48)=0,"",SUMIFS(T_TTAFStock_Log[TTAF_Qty],T_TTAFStock_Log[Part Name],$A16,T_TTAFStock_Log[WeekIndex],48))</f>
        <v/>
      </c>
      <c r="AX16" s="12">
        <f>IF(COUNTIFS(T_TTAFStock_Log[Part Name],$A16,T_TTAFStock_Log[WeekIndex],49)=0,"",SUMIFS(T_TTAFStock_Log[TTAF_Qty],T_TTAFStock_Log[Part Name],$A16,T_TTAFStock_Log[WeekIndex],49))</f>
        <v/>
      </c>
      <c r="AY16" s="12">
        <f>IF(COUNTIFS(T_TTAFStock_Log[Part Name],$A16,T_TTAFStock_Log[WeekIndex],50)=0,"",SUMIFS(T_TTAFStock_Log[TTAF_Qty],T_TTAFStock_Log[Part Name],$A16,T_TTAFStock_Log[WeekIndex],50))</f>
        <v/>
      </c>
      <c r="AZ16" s="12">
        <f>IF(COUNTIFS(T_TTAFStock_Log[Part Name],$A16,T_TTAFStock_Log[WeekIndex],51)=0,"",SUMIFS(T_TTAFStock_Log[TTAF_Qty],T_TTAFStock_Log[Part Name],$A16,T_TTAFStock_Log[WeekIndex],51))</f>
        <v/>
      </c>
      <c r="BA16" s="12">
        <f>IF(COUNTIFS(T_TTAFStock_Log[Part Name],$A16,T_TTAFStock_Log[WeekIndex],52)=0,"",SUMIFS(T_TTAFStock_Log[TTAF_Qty],T_TTAFStock_Log[Part Name],$A16,T_TTAFStock_Log[WeekIndex],52))</f>
        <v/>
      </c>
      <c r="BB16" s="12">
        <f>IF(COUNTIFS(T_TTAFStock_Log[Part Name],$A16,T_TTAFStock_Log[WeekIndex],53)=0,"",SUMIFS(T_TTAFStock_Log[TTAF_Qty],T_TTAFStock_Log[Part Name],$A16,T_TTAFStock_Log[WeekIndex],53))</f>
        <v/>
      </c>
      <c r="BC16" s="12">
        <f>IF(COUNTIFS(T_TTAFStock_Log[Part Name],$A16,T_TTAFStock_Log[WeekIndex],54)=0,"",SUMIFS(T_TTAFStock_Log[TTAF_Qty],T_TTAFStock_Log[Part Name],$A16,T_TTAFStock_Log[WeekIndex],54))</f>
        <v/>
      </c>
      <c r="BD16" s="12">
        <f>IF(COUNTIFS(T_TTAFStock_Log[Part Name],$A16,T_TTAFStock_Log[WeekIndex],55)=0,"",SUMIFS(T_TTAFStock_Log[TTAF_Qty],T_TTAFStock_Log[Part Name],$A16,T_TTAFStock_Log[WeekIndex],55))</f>
        <v/>
      </c>
      <c r="BE16" s="12">
        <f>IF(COUNTIFS(T_TTAFStock_Log[Part Name],$A16,T_TTAFStock_Log[WeekIndex],56)=0,"",SUMIFS(T_TTAFStock_Log[TTAF_Qty],T_TTAFStock_Log[Part Name],$A16,T_TTAFStock_Log[WeekIndex],56))</f>
        <v/>
      </c>
      <c r="BF16" s="12">
        <f>IF(COUNTIFS(T_TTAFStock_Log[Part Name],$A16,T_TTAFStock_Log[WeekIndex],57)=0,"",SUMIFS(T_TTAFStock_Log[TTAF_Qty],T_TTAFStock_Log[Part Name],$A16,T_TTAFStock_Log[WeekIndex],57))</f>
        <v/>
      </c>
      <c r="BG16" s="12">
        <f>IF(COUNTIFS(T_TTAFStock_Log[Part Name],$A16,T_TTAFStock_Log[WeekIndex],58)=0,"",SUMIFS(T_TTAFStock_Log[TTAF_Qty],T_TTAFStock_Log[Part Name],$A16,T_TTAFStock_Log[WeekIndex],58))</f>
        <v/>
      </c>
      <c r="BH16" s="12">
        <f>IF(COUNTIFS(T_TTAFStock_Log[Part Name],$A16,T_TTAFStock_Log[WeekIndex],59)=0,"",SUMIFS(T_TTAFStock_Log[TTAF_Qty],T_TTAFStock_Log[Part Name],$A16,T_TTAFStock_Log[WeekIndex],59))</f>
        <v/>
      </c>
      <c r="BI16" s="12">
        <f>IF(COUNTIFS(T_TTAFStock_Log[Part Name],$A16,T_TTAFStock_Log[WeekIndex],60)=0,"",SUMIFS(T_TTAFStock_Log[TTAF_Qty],T_TTAFStock_Log[Part Name],$A16,T_TTAFStock_Log[WeekIndex],60))</f>
        <v/>
      </c>
      <c r="BJ16" s="12">
        <f>IF(COUNTIFS(T_TTAFStock_Log[Part Name],$A16,T_TTAFStock_Log[WeekIndex],61)=0,"",SUMIFS(T_TTAFStock_Log[TTAF_Qty],T_TTAFStock_Log[Part Name],$A16,T_TTAFStock_Log[WeekIndex],61))</f>
        <v/>
      </c>
      <c r="BK16" s="12">
        <f>IF(COUNTIFS(T_TTAFStock_Log[Part Name],$A16,T_TTAFStock_Log[WeekIndex],62)=0,"",SUMIFS(T_TTAFStock_Log[TTAF_Qty],T_TTAFStock_Log[Part Name],$A16,T_TTAFStock_Log[WeekIndex],62))</f>
        <v/>
      </c>
      <c r="BL16" s="12">
        <f>IF(COUNTIFS(T_TTAFStock_Log[Part Name],$A16,T_TTAFStock_Log[WeekIndex],63)=0,"",SUMIFS(T_TTAFStock_Log[TTAF_Qty],T_TTAFStock_Log[Part Name],$A16,T_TTAFStock_Log[WeekIndex],63))</f>
        <v/>
      </c>
      <c r="BM16" s="12">
        <f>IF(COUNTIFS(T_TTAFStock_Log[Part Name],$A16,T_TTAFStock_Log[WeekIndex],64)=0,"",SUMIFS(T_TTAFStock_Log[TTAF_Qty],T_TTAFStock_Log[Part Name],$A16,T_TTAFStock_Log[WeekIndex],64))</f>
        <v/>
      </c>
      <c r="BN16" s="12">
        <f>IF(COUNTIFS(T_TTAFStock_Log[Part Name],$A16,T_TTAFStock_Log[WeekIndex],65)=0,"",SUMIFS(T_TTAFStock_Log[TTAF_Qty],T_TTAFStock_Log[Part Name],$A16,T_TTAFStock_Log[WeekIndex],65))</f>
        <v/>
      </c>
      <c r="BO16" s="12">
        <f>IF(COUNTIFS(T_TTAFStock_Log[Part Name],$A16,T_TTAFStock_Log[WeekIndex],66)=0,"",SUMIFS(T_TTAFStock_Log[TTAF_Qty],T_TTAFStock_Log[Part Name],$A16,T_TTAFStock_Log[WeekIndex],66))</f>
        <v/>
      </c>
      <c r="BP16" s="12">
        <f>IF(COUNTIFS(T_TTAFStock_Log[Part Name],$A16,T_TTAFStock_Log[WeekIndex],67)=0,"",SUMIFS(T_TTAFStock_Log[TTAF_Qty],T_TTAFStock_Log[Part Name],$A16,T_TTAFStock_Log[WeekIndex],67))</f>
        <v/>
      </c>
      <c r="BQ16" s="12">
        <f>IF(COUNTIFS(T_TTAFStock_Log[Part Name],$A16,T_TTAFStock_Log[WeekIndex],68)=0,"",SUMIFS(T_TTAFStock_Log[TTAF_Qty],T_TTAFStock_Log[Part Name],$A16,T_TTAFStock_Log[WeekIndex],68))</f>
        <v/>
      </c>
      <c r="BR16" s="12">
        <f>IF(COUNTIFS(T_TTAFStock_Log[Part Name],$A16,T_TTAFStock_Log[WeekIndex],69)=0,"",SUMIFS(T_TTAFStock_Log[TTAF_Qty],T_TTAFStock_Log[Part Name],$A16,T_TTAFStock_Log[WeekIndex],69))</f>
        <v/>
      </c>
      <c r="BS16" s="12">
        <f>IF(COUNTIFS(T_TTAFStock_Log[Part Name],$A16,T_TTAFStock_Log[WeekIndex],70)=0,"",SUMIFS(T_TTAFStock_Log[TTAF_Qty],T_TTAFStock_Log[Part Name],$A16,T_TTAFStock_Log[WeekIndex],70))</f>
        <v/>
      </c>
      <c r="BT16" s="12">
        <f>IF(COUNTIFS(T_TTAFStock_Log[Part Name],$A16,T_TTAFStock_Log[WeekIndex],71)=0,"",SUMIFS(T_TTAFStock_Log[TTAF_Qty],T_TTAFStock_Log[Part Name],$A16,T_TTAFStock_Log[WeekIndex],71))</f>
        <v/>
      </c>
      <c r="BU16" s="12">
        <f>IF(COUNTIFS(T_TTAFStock_Log[Part Name],$A16,T_TTAFStock_Log[WeekIndex],72)=0,"",SUMIFS(T_TTAFStock_Log[TTAF_Qty],T_TTAFStock_Log[Part Name],$A16,T_TTAFStock_Log[WeekIndex],72))</f>
        <v/>
      </c>
      <c r="BV16" s="12">
        <f>IF(COUNTIFS(T_TTAFStock_Log[Part Name],$A16,T_TTAFStock_Log[WeekIndex],73)=0,"",SUMIFS(T_TTAFStock_Log[TTAF_Qty],T_TTAFStock_Log[Part Name],$A16,T_TTAFStock_Log[WeekIndex],73))</f>
        <v/>
      </c>
      <c r="BW16" s="12">
        <f>IF(COUNTIFS(T_TTAFStock_Log[Part Name],$A16,T_TTAFStock_Log[WeekIndex],74)=0,"",SUMIFS(T_TTAFStock_Log[TTAF_Qty],T_TTAFStock_Log[Part Name],$A16,T_TTAFStock_Log[WeekIndex],74))</f>
        <v/>
      </c>
      <c r="BX16" s="12">
        <f>IF(COUNTIFS(T_TTAFStock_Log[Part Name],$A16,T_TTAFStock_Log[WeekIndex],75)=0,"",SUMIFS(T_TTAFStock_Log[TTAF_Qty],T_TTAFStock_Log[Part Name],$A16,T_TTAFStock_Log[WeekIndex],75))</f>
        <v/>
      </c>
      <c r="BY16" s="12">
        <f>IF(COUNTIFS(T_TTAFStock_Log[Part Name],$A16,T_TTAFStock_Log[WeekIndex],76)=0,"",SUMIFS(T_TTAFStock_Log[TTAF_Qty],T_TTAFStock_Log[Part Name],$A16,T_TTAFStock_Log[WeekIndex],76))</f>
        <v/>
      </c>
      <c r="BZ16" s="12">
        <f>IF(COUNTIFS(T_TTAFStock_Log[Part Name],$A16,T_TTAFStock_Log[WeekIndex],77)=0,"",SUMIFS(T_TTAFStock_Log[TTAF_Qty],T_TTAFStock_Log[Part Name],$A16,T_TTAFStock_Log[WeekIndex],77))</f>
        <v/>
      </c>
      <c r="CA16" s="12">
        <f>IF(COUNTIFS(T_TTAFStock_Log[Part Name],$A16,T_TTAFStock_Log[WeekIndex],78)=0,"",SUMIFS(T_TTAFStock_Log[TTAF_Qty],T_TTAFStock_Log[Part Name],$A16,T_TTAFStock_Log[WeekIndex],78))</f>
        <v/>
      </c>
      <c r="CB16" s="12">
        <f>IF(COUNTIFS(T_TTAFStock_Log[Part Name],$A16,T_TTAFStock_Log[WeekIndex],79)=0,"",SUMIFS(T_TTAFStock_Log[TTAF_Qty],T_TTAFStock_Log[Part Name],$A16,T_TTAFStock_Log[WeekIndex],79))</f>
        <v/>
      </c>
      <c r="CC16" s="12">
        <f>IF(COUNTIFS(T_TTAFStock_Log[Part Name],$A16,T_TTAFStock_Log[WeekIndex],80)=0,"",SUMIFS(T_TTAFStock_Log[TTAF_Qty],T_TTAFStock_Log[Part Name],$A16,T_TTAFStock_Log[WeekIndex],80))</f>
        <v/>
      </c>
      <c r="CD16" s="12">
        <f>IF(COUNTIFS(T_TTAFStock_Log[Part Name],$A16,T_TTAFStock_Log[WeekIndex],81)=0,"",SUMIFS(T_TTAFStock_Log[TTAF_Qty],T_TTAFStock_Log[Part Name],$A16,T_TTAFStock_Log[WeekIndex],81))</f>
        <v/>
      </c>
      <c r="CE16" s="12">
        <f>IF(COUNTIFS(T_TTAFStock_Log[Part Name],$A16,T_TTAFStock_Log[WeekIndex],82)=0,"",SUMIFS(T_TTAFStock_Log[TTAF_Qty],T_TTAFStock_Log[Part Name],$A16,T_TTAFStock_Log[WeekIndex],82))</f>
        <v/>
      </c>
      <c r="CF16" s="12">
        <f>IF(COUNTIFS(T_TTAFStock_Log[Part Name],$A16,T_TTAFStock_Log[WeekIndex],83)=0,"",SUMIFS(T_TTAFStock_Log[TTAF_Qty],T_TTAFStock_Log[Part Name],$A16,T_TTAFStock_Log[WeekIndex],83))</f>
        <v/>
      </c>
      <c r="CG16" s="12">
        <f>IF(COUNTIFS(T_TTAFStock_Log[Part Name],$A16,T_TTAFStock_Log[WeekIndex],84)=0,"",SUMIFS(T_TTAFStock_Log[TTAF_Qty],T_TTAFStock_Log[Part Name],$A16,T_TTAFStock_Log[WeekIndex],84))</f>
        <v/>
      </c>
      <c r="CH16" s="12">
        <f>IF(COUNTIFS(T_TTAFStock_Log[Part Name],$A16,T_TTAFStock_Log[WeekIndex],85)=0,"",SUMIFS(T_TTAFStock_Log[TTAF_Qty],T_TTAFStock_Log[Part Name],$A16,T_TTAFStock_Log[WeekIndex],85))</f>
        <v/>
      </c>
      <c r="CI16" s="12">
        <f>IF(COUNTIFS(T_TTAFStock_Log[Part Name],$A16,T_TTAFStock_Log[WeekIndex],86)=0,"",SUMIFS(T_TTAFStock_Log[TTAF_Qty],T_TTAFStock_Log[Part Name],$A16,T_TTAFStock_Log[WeekIndex],86))</f>
        <v/>
      </c>
      <c r="CJ16" s="12">
        <f>IF(COUNTIFS(T_TTAFStock_Log[Part Name],$A16,T_TTAFStock_Log[WeekIndex],87)=0,"",SUMIFS(T_TTAFStock_Log[TTAF_Qty],T_TTAFStock_Log[Part Name],$A16,T_TTAFStock_Log[WeekIndex],87))</f>
        <v/>
      </c>
      <c r="CK16" s="12">
        <f>IF(COUNTIFS(T_TTAFStock_Log[Part Name],$A16,T_TTAFStock_Log[WeekIndex],88)=0,"",SUMIFS(T_TTAFStock_Log[TTAF_Qty],T_TTAFStock_Log[Part Name],$A16,T_TTAFStock_Log[WeekIndex],88))</f>
        <v/>
      </c>
      <c r="CL16" s="12">
        <f>IF(COUNTIFS(T_TTAFStock_Log[Part Name],$A16,T_TTAFStock_Log[WeekIndex],89)=0,"",SUMIFS(T_TTAFStock_Log[TTAF_Qty],T_TTAFStock_Log[Part Name],$A16,T_TTAFStock_Log[WeekIndex],89))</f>
        <v/>
      </c>
      <c r="CM16" s="12">
        <f>IF(COUNTIFS(T_TTAFStock_Log[Part Name],$A16,T_TTAFStock_Log[WeekIndex],90)=0,"",SUMIFS(T_TTAFStock_Log[TTAF_Qty],T_TTAFStock_Log[Part Name],$A16,T_TTAFStock_Log[WeekIndex],90))</f>
        <v/>
      </c>
      <c r="CN16" s="12">
        <f>IF(COUNTIFS(T_TTAFStock_Log[Part Name],$A16,T_TTAFStock_Log[WeekIndex],91)=0,"",SUMIFS(T_TTAFStock_Log[TTAF_Qty],T_TTAFStock_Log[Part Name],$A16,T_TTAFStock_Log[WeekIndex],91))</f>
        <v/>
      </c>
      <c r="CO16" s="12">
        <f>IF(COUNTIFS(T_TTAFStock_Log[Part Name],$A16,T_TTAFStock_Log[WeekIndex],92)=0,"",SUMIFS(T_TTAFStock_Log[TTAF_Qty],T_TTAFStock_Log[Part Name],$A16,T_TTAFStock_Log[WeekIndex],92))</f>
        <v/>
      </c>
      <c r="CP16" s="12">
        <f>IF(COUNTIFS(T_TTAFStock_Log[Part Name],$A16,T_TTAFStock_Log[WeekIndex],93)=0,"",SUMIFS(T_TTAFStock_Log[TTAF_Qty],T_TTAFStock_Log[Part Name],$A16,T_TTAFStock_Log[WeekIndex],93))</f>
        <v/>
      </c>
      <c r="CQ16" s="12">
        <f>IF(COUNTIFS(T_TTAFStock_Log[Part Name],$A16,T_TTAFStock_Log[WeekIndex],94)=0,"",SUMIFS(T_TTAFStock_Log[TTAF_Qty],T_TTAFStock_Log[Part Name],$A16,T_TTAFStock_Log[WeekIndex],94))</f>
        <v/>
      </c>
      <c r="CR16" s="12">
        <f>IF(COUNTIFS(T_TTAFStock_Log[Part Name],$A16,T_TTAFStock_Log[WeekIndex],95)=0,"",SUMIFS(T_TTAFStock_Log[TTAF_Qty],T_TTAFStock_Log[Part Name],$A16,T_TTAFStock_Log[WeekIndex],95))</f>
        <v/>
      </c>
      <c r="CS16" s="12">
        <f>IF(COUNTIFS(T_TTAFStock_Log[Part Name],$A16,T_TTAFStock_Log[WeekIndex],96)=0,"",SUMIFS(T_TTAFStock_Log[TTAF_Qty],T_TTAFStock_Log[Part Name],$A16,T_TTAFStock_Log[WeekIndex],96))</f>
        <v/>
      </c>
      <c r="CT16" s="12">
        <f>IF(COUNTIFS(T_TTAFStock_Log[Part Name],$A16,T_TTAFStock_Log[WeekIndex],97)=0,"",SUMIFS(T_TTAFStock_Log[TTAF_Qty],T_TTAFStock_Log[Part Name],$A16,T_TTAFStock_Log[WeekIndex],97))</f>
        <v/>
      </c>
      <c r="CU16" s="12">
        <f>IF(COUNTIFS(T_TTAFStock_Log[Part Name],$A16,T_TTAFStock_Log[WeekIndex],98)=0,"",SUMIFS(T_TTAFStock_Log[TTAF_Qty],T_TTAFStock_Log[Part Name],$A16,T_TTAFStock_Log[WeekIndex],98))</f>
        <v/>
      </c>
      <c r="CV16" s="12">
        <f>IF(COUNTIFS(T_TTAFStock_Log[Part Name],$A16,T_TTAFStock_Log[WeekIndex],99)=0,"",SUMIFS(T_TTAFStock_Log[TTAF_Qty],T_TTAFStock_Log[Part Name],$A16,T_TTAFStock_Log[WeekIndex],99))</f>
        <v/>
      </c>
      <c r="CW16" s="12">
        <f>IF(COUNTIFS(T_TTAFStock_Log[Part Name],$A16,T_TTAFStock_Log[WeekIndex],100)=0,"",SUMIFS(T_TTAFStock_Log[TTAF_Qty],T_TTAFStock_Log[Part Name],$A16,T_TTAFStock_Log[WeekIndex],100))</f>
        <v/>
      </c>
      <c r="CX16" s="12">
        <f>IF(COUNTIFS(T_TTAFStock_Log[Part Name],$A16,T_TTAFStock_Log[WeekIndex],101)=0,"",SUMIFS(T_TTAFStock_Log[TTAF_Qty],T_TTAFStock_Log[Part Name],$A16,T_TTAFStock_Log[WeekIndex],101))</f>
        <v/>
      </c>
      <c r="CY16" s="12">
        <f>IF(COUNTIFS(T_TTAFStock_Log[Part Name],$A16,T_TTAFStock_Log[WeekIndex],102)=0,"",SUMIFS(T_TTAFStock_Log[TTAF_Qty],T_TTAFStock_Log[Part Name],$A16,T_TTAFStock_Log[WeekIndex],102))</f>
        <v/>
      </c>
      <c r="CZ16" s="12">
        <f>IF(COUNTIFS(T_TTAFStock_Log[Part Name],$A16,T_TTAFStock_Log[WeekIndex],103)=0,"",SUMIFS(T_TTAFStock_Log[TTAF_Qty],T_TTAFStock_Log[Part Name],$A16,T_TTAFStock_Log[WeekIndex],103))</f>
        <v/>
      </c>
      <c r="DA16" s="12">
        <f>IF(COUNTIFS(T_TTAFStock_Log[Part Name],$A16,T_TTAFStock_Log[WeekIndex],104)=0,"",SUMIFS(T_TTAFStock_Log[TTAF_Qty],T_TTAFStock_Log[Part Name],$A16,T_TTAFStock_Log[WeekIndex],104))</f>
        <v/>
      </c>
    </row>
    <row r="17">
      <c r="A17" s="13" t="inlineStr">
        <is>
          <t>7CL</t>
        </is>
      </c>
      <c r="B17" s="13">
        <f>IF(COUNTIFS(T_TTAFStock_Log[Part Name],$A17,T_TTAFStock_Log[WeekIndex],1)=0,"",SUMIFS(T_TTAFStock_Log[TTAF_Qty],T_TTAFStock_Log[Part Name],$A17,T_TTAFStock_Log[WeekIndex],1))</f>
        <v/>
      </c>
      <c r="C17" s="13">
        <f>IF(COUNTIFS(T_TTAFStock_Log[Part Name],$A17,T_TTAFStock_Log[WeekIndex],2)=0,"",SUMIFS(T_TTAFStock_Log[TTAF_Qty],T_TTAFStock_Log[Part Name],$A17,T_TTAFStock_Log[WeekIndex],2))</f>
        <v/>
      </c>
      <c r="D17" s="13">
        <f>IF(COUNTIFS(T_TTAFStock_Log[Part Name],$A17,T_TTAFStock_Log[WeekIndex],3)=0,"",SUMIFS(T_TTAFStock_Log[TTAF_Qty],T_TTAFStock_Log[Part Name],$A17,T_TTAFStock_Log[WeekIndex],3))</f>
        <v/>
      </c>
      <c r="E17" s="13">
        <f>IF(COUNTIFS(T_TTAFStock_Log[Part Name],$A17,T_TTAFStock_Log[WeekIndex],4)=0,"",SUMIFS(T_TTAFStock_Log[TTAF_Qty],T_TTAFStock_Log[Part Name],$A17,T_TTAFStock_Log[WeekIndex],4))</f>
        <v/>
      </c>
      <c r="F17" s="13">
        <f>IF(COUNTIFS(T_TTAFStock_Log[Part Name],$A17,T_TTAFStock_Log[WeekIndex],5)=0,"",SUMIFS(T_TTAFStock_Log[TTAF_Qty],T_TTAFStock_Log[Part Name],$A17,T_TTAFStock_Log[WeekIndex],5))</f>
        <v/>
      </c>
      <c r="G17" s="13">
        <f>IF(COUNTIFS(T_TTAFStock_Log[Part Name],$A17,T_TTAFStock_Log[WeekIndex],6)=0,"",SUMIFS(T_TTAFStock_Log[TTAF_Qty],T_TTAFStock_Log[Part Name],$A17,T_TTAFStock_Log[WeekIndex],6))</f>
        <v/>
      </c>
      <c r="H17" s="13">
        <f>IF(COUNTIFS(T_TTAFStock_Log[Part Name],$A17,T_TTAFStock_Log[WeekIndex],7)=0,"",SUMIFS(T_TTAFStock_Log[TTAF_Qty],T_TTAFStock_Log[Part Name],$A17,T_TTAFStock_Log[WeekIndex],7))</f>
        <v/>
      </c>
      <c r="I17" s="13">
        <f>IF(COUNTIFS(T_TTAFStock_Log[Part Name],$A17,T_TTAFStock_Log[WeekIndex],8)=0,"",SUMIFS(T_TTAFStock_Log[TTAF_Qty],T_TTAFStock_Log[Part Name],$A17,T_TTAFStock_Log[WeekIndex],8))</f>
        <v/>
      </c>
      <c r="J17" s="13">
        <f>IF(COUNTIFS(T_TTAFStock_Log[Part Name],$A17,T_TTAFStock_Log[WeekIndex],9)=0,"",SUMIFS(T_TTAFStock_Log[TTAF_Qty],T_TTAFStock_Log[Part Name],$A17,T_TTAFStock_Log[WeekIndex],9))</f>
        <v/>
      </c>
      <c r="K17" s="13">
        <f>IF(COUNTIFS(T_TTAFStock_Log[Part Name],$A17,T_TTAFStock_Log[WeekIndex],10)=0,"",SUMIFS(T_TTAFStock_Log[TTAF_Qty],T_TTAFStock_Log[Part Name],$A17,T_TTAFStock_Log[WeekIndex],10))</f>
        <v/>
      </c>
      <c r="L17" s="13">
        <f>IF(COUNTIFS(T_TTAFStock_Log[Part Name],$A17,T_TTAFStock_Log[WeekIndex],11)=0,"",SUMIFS(T_TTAFStock_Log[TTAF_Qty],T_TTAFStock_Log[Part Name],$A17,T_TTAFStock_Log[WeekIndex],11))</f>
        <v/>
      </c>
      <c r="M17" s="13">
        <f>IF(COUNTIFS(T_TTAFStock_Log[Part Name],$A17,T_TTAFStock_Log[WeekIndex],12)=0,"",SUMIFS(T_TTAFStock_Log[TTAF_Qty],T_TTAFStock_Log[Part Name],$A17,T_TTAFStock_Log[WeekIndex],12))</f>
        <v/>
      </c>
      <c r="N17" s="13">
        <f>IF(COUNTIFS(T_TTAFStock_Log[Part Name],$A17,T_TTAFStock_Log[WeekIndex],13)=0,"",SUMIFS(T_TTAFStock_Log[TTAF_Qty],T_TTAFStock_Log[Part Name],$A17,T_TTAFStock_Log[WeekIndex],13))</f>
        <v/>
      </c>
      <c r="O17" s="13">
        <f>IF(COUNTIFS(T_TTAFStock_Log[Part Name],$A17,T_TTAFStock_Log[WeekIndex],14)=0,"",SUMIFS(T_TTAFStock_Log[TTAF_Qty],T_TTAFStock_Log[Part Name],$A17,T_TTAFStock_Log[WeekIndex],14))</f>
        <v/>
      </c>
      <c r="P17" s="13">
        <f>IF(COUNTIFS(T_TTAFStock_Log[Part Name],$A17,T_TTAFStock_Log[WeekIndex],15)=0,"",SUMIFS(T_TTAFStock_Log[TTAF_Qty],T_TTAFStock_Log[Part Name],$A17,T_TTAFStock_Log[WeekIndex],15))</f>
        <v/>
      </c>
      <c r="Q17" s="13">
        <f>IF(COUNTIFS(T_TTAFStock_Log[Part Name],$A17,T_TTAFStock_Log[WeekIndex],16)=0,"",SUMIFS(T_TTAFStock_Log[TTAF_Qty],T_TTAFStock_Log[Part Name],$A17,T_TTAFStock_Log[WeekIndex],16))</f>
        <v/>
      </c>
      <c r="R17" s="13">
        <f>IF(COUNTIFS(T_TTAFStock_Log[Part Name],$A17,T_TTAFStock_Log[WeekIndex],17)=0,"",SUMIFS(T_TTAFStock_Log[TTAF_Qty],T_TTAFStock_Log[Part Name],$A17,T_TTAFStock_Log[WeekIndex],17))</f>
        <v/>
      </c>
      <c r="S17" s="13">
        <f>IF(COUNTIFS(T_TTAFStock_Log[Part Name],$A17,T_TTAFStock_Log[WeekIndex],18)=0,"",SUMIFS(T_TTAFStock_Log[TTAF_Qty],T_TTAFStock_Log[Part Name],$A17,T_TTAFStock_Log[WeekIndex],18))</f>
        <v/>
      </c>
      <c r="T17" s="13">
        <f>IF(COUNTIFS(T_TTAFStock_Log[Part Name],$A17,T_TTAFStock_Log[WeekIndex],19)=0,"",SUMIFS(T_TTAFStock_Log[TTAF_Qty],T_TTAFStock_Log[Part Name],$A17,T_TTAFStock_Log[WeekIndex],19))</f>
        <v/>
      </c>
      <c r="U17" s="13">
        <f>IF(COUNTIFS(T_TTAFStock_Log[Part Name],$A17,T_TTAFStock_Log[WeekIndex],20)=0,"",SUMIFS(T_TTAFStock_Log[TTAF_Qty],T_TTAFStock_Log[Part Name],$A17,T_TTAFStock_Log[WeekIndex],20))</f>
        <v/>
      </c>
      <c r="V17" s="13">
        <f>IF(COUNTIFS(T_TTAFStock_Log[Part Name],$A17,T_TTAFStock_Log[WeekIndex],21)=0,"",SUMIFS(T_TTAFStock_Log[TTAF_Qty],T_TTAFStock_Log[Part Name],$A17,T_TTAFStock_Log[WeekIndex],21))</f>
        <v/>
      </c>
      <c r="W17" s="13">
        <f>IF(COUNTIFS(T_TTAFStock_Log[Part Name],$A17,T_TTAFStock_Log[WeekIndex],22)=0,"",SUMIFS(T_TTAFStock_Log[TTAF_Qty],T_TTAFStock_Log[Part Name],$A17,T_TTAFStock_Log[WeekIndex],22))</f>
        <v/>
      </c>
      <c r="X17" s="13">
        <f>IF(COUNTIFS(T_TTAFStock_Log[Part Name],$A17,T_TTAFStock_Log[WeekIndex],23)=0,"",SUMIFS(T_TTAFStock_Log[TTAF_Qty],T_TTAFStock_Log[Part Name],$A17,T_TTAFStock_Log[WeekIndex],23))</f>
        <v/>
      </c>
      <c r="Y17" s="13">
        <f>IF(COUNTIFS(T_TTAFStock_Log[Part Name],$A17,T_TTAFStock_Log[WeekIndex],24)=0,"",SUMIFS(T_TTAFStock_Log[TTAF_Qty],T_TTAFStock_Log[Part Name],$A17,T_TTAFStock_Log[WeekIndex],24))</f>
        <v/>
      </c>
      <c r="Z17" s="13">
        <f>IF(COUNTIFS(T_TTAFStock_Log[Part Name],$A17,T_TTAFStock_Log[WeekIndex],25)=0,"",SUMIFS(T_TTAFStock_Log[TTAF_Qty],T_TTAFStock_Log[Part Name],$A17,T_TTAFStock_Log[WeekIndex],25))</f>
        <v/>
      </c>
      <c r="AA17" s="13">
        <f>IF(COUNTIFS(T_TTAFStock_Log[Part Name],$A17,T_TTAFStock_Log[WeekIndex],26)=0,"",SUMIFS(T_TTAFStock_Log[TTAF_Qty],T_TTAFStock_Log[Part Name],$A17,T_TTAFStock_Log[WeekIndex],26))</f>
        <v/>
      </c>
      <c r="AB17" s="13">
        <f>IF(COUNTIFS(T_TTAFStock_Log[Part Name],$A17,T_TTAFStock_Log[WeekIndex],27)=0,"",SUMIFS(T_TTAFStock_Log[TTAF_Qty],T_TTAFStock_Log[Part Name],$A17,T_TTAFStock_Log[WeekIndex],27))</f>
        <v/>
      </c>
      <c r="AC17" s="13">
        <f>IF(COUNTIFS(T_TTAFStock_Log[Part Name],$A17,T_TTAFStock_Log[WeekIndex],28)=0,"",SUMIFS(T_TTAFStock_Log[TTAF_Qty],T_TTAFStock_Log[Part Name],$A17,T_TTAFStock_Log[WeekIndex],28))</f>
        <v/>
      </c>
      <c r="AD17" s="13">
        <f>IF(COUNTIFS(T_TTAFStock_Log[Part Name],$A17,T_TTAFStock_Log[WeekIndex],29)=0,"",SUMIFS(T_TTAFStock_Log[TTAF_Qty],T_TTAFStock_Log[Part Name],$A17,T_TTAFStock_Log[WeekIndex],29))</f>
        <v/>
      </c>
      <c r="AE17" s="13">
        <f>IF(COUNTIFS(T_TTAFStock_Log[Part Name],$A17,T_TTAFStock_Log[WeekIndex],30)=0,"",SUMIFS(T_TTAFStock_Log[TTAF_Qty],T_TTAFStock_Log[Part Name],$A17,T_TTAFStock_Log[WeekIndex],30))</f>
        <v/>
      </c>
      <c r="AF17" s="13">
        <f>IF(COUNTIFS(T_TTAFStock_Log[Part Name],$A17,T_TTAFStock_Log[WeekIndex],31)=0,"",SUMIFS(T_TTAFStock_Log[TTAF_Qty],T_TTAFStock_Log[Part Name],$A17,T_TTAFStock_Log[WeekIndex],31))</f>
        <v/>
      </c>
      <c r="AG17" s="13">
        <f>IF(COUNTIFS(T_TTAFStock_Log[Part Name],$A17,T_TTAFStock_Log[WeekIndex],32)=0,"",SUMIFS(T_TTAFStock_Log[TTAF_Qty],T_TTAFStock_Log[Part Name],$A17,T_TTAFStock_Log[WeekIndex],32))</f>
        <v/>
      </c>
      <c r="AH17" s="13">
        <f>IF(COUNTIFS(T_TTAFStock_Log[Part Name],$A17,T_TTAFStock_Log[WeekIndex],33)=0,"",SUMIFS(T_TTAFStock_Log[TTAF_Qty],T_TTAFStock_Log[Part Name],$A17,T_TTAFStock_Log[WeekIndex],33))</f>
        <v/>
      </c>
      <c r="AI17" s="13">
        <f>IF(COUNTIFS(T_TTAFStock_Log[Part Name],$A17,T_TTAFStock_Log[WeekIndex],34)=0,"",SUMIFS(T_TTAFStock_Log[TTAF_Qty],T_TTAFStock_Log[Part Name],$A17,T_TTAFStock_Log[WeekIndex],34))</f>
        <v/>
      </c>
      <c r="AJ17" s="13">
        <f>IF(COUNTIFS(T_TTAFStock_Log[Part Name],$A17,T_TTAFStock_Log[WeekIndex],35)=0,"",SUMIFS(T_TTAFStock_Log[TTAF_Qty],T_TTAFStock_Log[Part Name],$A17,T_TTAFStock_Log[WeekIndex],35))</f>
        <v/>
      </c>
      <c r="AK17" s="13">
        <f>IF(COUNTIFS(T_TTAFStock_Log[Part Name],$A17,T_TTAFStock_Log[WeekIndex],36)=0,"",SUMIFS(T_TTAFStock_Log[TTAF_Qty],T_TTAFStock_Log[Part Name],$A17,T_TTAFStock_Log[WeekIndex],36))</f>
        <v/>
      </c>
      <c r="AL17" s="13">
        <f>IF(COUNTIFS(T_TTAFStock_Log[Part Name],$A17,T_TTAFStock_Log[WeekIndex],37)=0,"",SUMIFS(T_TTAFStock_Log[TTAF_Qty],T_TTAFStock_Log[Part Name],$A17,T_TTAFStock_Log[WeekIndex],37))</f>
        <v/>
      </c>
      <c r="AM17" s="13">
        <f>IF(COUNTIFS(T_TTAFStock_Log[Part Name],$A17,T_TTAFStock_Log[WeekIndex],38)=0,"",SUMIFS(T_TTAFStock_Log[TTAF_Qty],T_TTAFStock_Log[Part Name],$A17,T_TTAFStock_Log[WeekIndex],38))</f>
        <v/>
      </c>
      <c r="AN17" s="13">
        <f>IF(COUNTIFS(T_TTAFStock_Log[Part Name],$A17,T_TTAFStock_Log[WeekIndex],39)=0,"",SUMIFS(T_TTAFStock_Log[TTAF_Qty],T_TTAFStock_Log[Part Name],$A17,T_TTAFStock_Log[WeekIndex],39))</f>
        <v/>
      </c>
      <c r="AO17" s="13">
        <f>IF(COUNTIFS(T_TTAFStock_Log[Part Name],$A17,T_TTAFStock_Log[WeekIndex],40)=0,"",SUMIFS(T_TTAFStock_Log[TTAF_Qty],T_TTAFStock_Log[Part Name],$A17,T_TTAFStock_Log[WeekIndex],40))</f>
        <v/>
      </c>
      <c r="AP17" s="13">
        <f>IF(COUNTIFS(T_TTAFStock_Log[Part Name],$A17,T_TTAFStock_Log[WeekIndex],41)=0,"",SUMIFS(T_TTAFStock_Log[TTAF_Qty],T_TTAFStock_Log[Part Name],$A17,T_TTAFStock_Log[WeekIndex],41))</f>
        <v/>
      </c>
      <c r="AQ17" s="13">
        <f>IF(COUNTIFS(T_TTAFStock_Log[Part Name],$A17,T_TTAFStock_Log[WeekIndex],42)=0,"",SUMIFS(T_TTAFStock_Log[TTAF_Qty],T_TTAFStock_Log[Part Name],$A17,T_TTAFStock_Log[WeekIndex],42))</f>
        <v/>
      </c>
      <c r="AR17" s="13">
        <f>IF(COUNTIFS(T_TTAFStock_Log[Part Name],$A17,T_TTAFStock_Log[WeekIndex],43)=0,"",SUMIFS(T_TTAFStock_Log[TTAF_Qty],T_TTAFStock_Log[Part Name],$A17,T_TTAFStock_Log[WeekIndex],43))</f>
        <v/>
      </c>
      <c r="AS17" s="13">
        <f>IF(COUNTIFS(T_TTAFStock_Log[Part Name],$A17,T_TTAFStock_Log[WeekIndex],44)=0,"",SUMIFS(T_TTAFStock_Log[TTAF_Qty],T_TTAFStock_Log[Part Name],$A17,T_TTAFStock_Log[WeekIndex],44))</f>
        <v/>
      </c>
      <c r="AT17" s="13">
        <f>IF(COUNTIFS(T_TTAFStock_Log[Part Name],$A17,T_TTAFStock_Log[WeekIndex],45)=0,"",SUMIFS(T_TTAFStock_Log[TTAF_Qty],T_TTAFStock_Log[Part Name],$A17,T_TTAFStock_Log[WeekIndex],45))</f>
        <v/>
      </c>
      <c r="AU17" s="13">
        <f>IF(COUNTIFS(T_TTAFStock_Log[Part Name],$A17,T_TTAFStock_Log[WeekIndex],46)=0,"",SUMIFS(T_TTAFStock_Log[TTAF_Qty],T_TTAFStock_Log[Part Name],$A17,T_TTAFStock_Log[WeekIndex],46))</f>
        <v/>
      </c>
      <c r="AV17" s="13">
        <f>IF(COUNTIFS(T_TTAFStock_Log[Part Name],$A17,T_TTAFStock_Log[WeekIndex],47)=0,"",SUMIFS(T_TTAFStock_Log[TTAF_Qty],T_TTAFStock_Log[Part Name],$A17,T_TTAFStock_Log[WeekIndex],47))</f>
        <v/>
      </c>
      <c r="AW17" s="13">
        <f>IF(COUNTIFS(T_TTAFStock_Log[Part Name],$A17,T_TTAFStock_Log[WeekIndex],48)=0,"",SUMIFS(T_TTAFStock_Log[TTAF_Qty],T_TTAFStock_Log[Part Name],$A17,T_TTAFStock_Log[WeekIndex],48))</f>
        <v/>
      </c>
      <c r="AX17" s="13">
        <f>IF(COUNTIFS(T_TTAFStock_Log[Part Name],$A17,T_TTAFStock_Log[WeekIndex],49)=0,"",SUMIFS(T_TTAFStock_Log[TTAF_Qty],T_TTAFStock_Log[Part Name],$A17,T_TTAFStock_Log[WeekIndex],49))</f>
        <v/>
      </c>
      <c r="AY17" s="13">
        <f>IF(COUNTIFS(T_TTAFStock_Log[Part Name],$A17,T_TTAFStock_Log[WeekIndex],50)=0,"",SUMIFS(T_TTAFStock_Log[TTAF_Qty],T_TTAFStock_Log[Part Name],$A17,T_TTAFStock_Log[WeekIndex],50))</f>
        <v/>
      </c>
      <c r="AZ17" s="13">
        <f>IF(COUNTIFS(T_TTAFStock_Log[Part Name],$A17,T_TTAFStock_Log[WeekIndex],51)=0,"",SUMIFS(T_TTAFStock_Log[TTAF_Qty],T_TTAFStock_Log[Part Name],$A17,T_TTAFStock_Log[WeekIndex],51))</f>
        <v/>
      </c>
      <c r="BA17" s="13">
        <f>IF(COUNTIFS(T_TTAFStock_Log[Part Name],$A17,T_TTAFStock_Log[WeekIndex],52)=0,"",SUMIFS(T_TTAFStock_Log[TTAF_Qty],T_TTAFStock_Log[Part Name],$A17,T_TTAFStock_Log[WeekIndex],52))</f>
        <v/>
      </c>
      <c r="BB17" s="13">
        <f>IF(COUNTIFS(T_TTAFStock_Log[Part Name],$A17,T_TTAFStock_Log[WeekIndex],53)=0,"",SUMIFS(T_TTAFStock_Log[TTAF_Qty],T_TTAFStock_Log[Part Name],$A17,T_TTAFStock_Log[WeekIndex],53))</f>
        <v/>
      </c>
      <c r="BC17" s="13">
        <f>IF(COUNTIFS(T_TTAFStock_Log[Part Name],$A17,T_TTAFStock_Log[WeekIndex],54)=0,"",SUMIFS(T_TTAFStock_Log[TTAF_Qty],T_TTAFStock_Log[Part Name],$A17,T_TTAFStock_Log[WeekIndex],54))</f>
        <v/>
      </c>
      <c r="BD17" s="13">
        <f>IF(COUNTIFS(T_TTAFStock_Log[Part Name],$A17,T_TTAFStock_Log[WeekIndex],55)=0,"",SUMIFS(T_TTAFStock_Log[TTAF_Qty],T_TTAFStock_Log[Part Name],$A17,T_TTAFStock_Log[WeekIndex],55))</f>
        <v/>
      </c>
      <c r="BE17" s="13">
        <f>IF(COUNTIFS(T_TTAFStock_Log[Part Name],$A17,T_TTAFStock_Log[WeekIndex],56)=0,"",SUMIFS(T_TTAFStock_Log[TTAF_Qty],T_TTAFStock_Log[Part Name],$A17,T_TTAFStock_Log[WeekIndex],56))</f>
        <v/>
      </c>
      <c r="BF17" s="13">
        <f>IF(COUNTIFS(T_TTAFStock_Log[Part Name],$A17,T_TTAFStock_Log[WeekIndex],57)=0,"",SUMIFS(T_TTAFStock_Log[TTAF_Qty],T_TTAFStock_Log[Part Name],$A17,T_TTAFStock_Log[WeekIndex],57))</f>
        <v/>
      </c>
      <c r="BG17" s="13">
        <f>IF(COUNTIFS(T_TTAFStock_Log[Part Name],$A17,T_TTAFStock_Log[WeekIndex],58)=0,"",SUMIFS(T_TTAFStock_Log[TTAF_Qty],T_TTAFStock_Log[Part Name],$A17,T_TTAFStock_Log[WeekIndex],58))</f>
        <v/>
      </c>
      <c r="BH17" s="13">
        <f>IF(COUNTIFS(T_TTAFStock_Log[Part Name],$A17,T_TTAFStock_Log[WeekIndex],59)=0,"",SUMIFS(T_TTAFStock_Log[TTAF_Qty],T_TTAFStock_Log[Part Name],$A17,T_TTAFStock_Log[WeekIndex],59))</f>
        <v/>
      </c>
      <c r="BI17" s="13">
        <f>IF(COUNTIFS(T_TTAFStock_Log[Part Name],$A17,T_TTAFStock_Log[WeekIndex],60)=0,"",SUMIFS(T_TTAFStock_Log[TTAF_Qty],T_TTAFStock_Log[Part Name],$A17,T_TTAFStock_Log[WeekIndex],60))</f>
        <v/>
      </c>
      <c r="BJ17" s="13">
        <f>IF(COUNTIFS(T_TTAFStock_Log[Part Name],$A17,T_TTAFStock_Log[WeekIndex],61)=0,"",SUMIFS(T_TTAFStock_Log[TTAF_Qty],T_TTAFStock_Log[Part Name],$A17,T_TTAFStock_Log[WeekIndex],61))</f>
        <v/>
      </c>
      <c r="BK17" s="13">
        <f>IF(COUNTIFS(T_TTAFStock_Log[Part Name],$A17,T_TTAFStock_Log[WeekIndex],62)=0,"",SUMIFS(T_TTAFStock_Log[TTAF_Qty],T_TTAFStock_Log[Part Name],$A17,T_TTAFStock_Log[WeekIndex],62))</f>
        <v/>
      </c>
      <c r="BL17" s="13">
        <f>IF(COUNTIFS(T_TTAFStock_Log[Part Name],$A17,T_TTAFStock_Log[WeekIndex],63)=0,"",SUMIFS(T_TTAFStock_Log[TTAF_Qty],T_TTAFStock_Log[Part Name],$A17,T_TTAFStock_Log[WeekIndex],63))</f>
        <v/>
      </c>
      <c r="BM17" s="13">
        <f>IF(COUNTIFS(T_TTAFStock_Log[Part Name],$A17,T_TTAFStock_Log[WeekIndex],64)=0,"",SUMIFS(T_TTAFStock_Log[TTAF_Qty],T_TTAFStock_Log[Part Name],$A17,T_TTAFStock_Log[WeekIndex],64))</f>
        <v/>
      </c>
      <c r="BN17" s="13">
        <f>IF(COUNTIFS(T_TTAFStock_Log[Part Name],$A17,T_TTAFStock_Log[WeekIndex],65)=0,"",SUMIFS(T_TTAFStock_Log[TTAF_Qty],T_TTAFStock_Log[Part Name],$A17,T_TTAFStock_Log[WeekIndex],65))</f>
        <v/>
      </c>
      <c r="BO17" s="13">
        <f>IF(COUNTIFS(T_TTAFStock_Log[Part Name],$A17,T_TTAFStock_Log[WeekIndex],66)=0,"",SUMIFS(T_TTAFStock_Log[TTAF_Qty],T_TTAFStock_Log[Part Name],$A17,T_TTAFStock_Log[WeekIndex],66))</f>
        <v/>
      </c>
      <c r="BP17" s="13">
        <f>IF(COUNTIFS(T_TTAFStock_Log[Part Name],$A17,T_TTAFStock_Log[WeekIndex],67)=0,"",SUMIFS(T_TTAFStock_Log[TTAF_Qty],T_TTAFStock_Log[Part Name],$A17,T_TTAFStock_Log[WeekIndex],67))</f>
        <v/>
      </c>
      <c r="BQ17" s="13">
        <f>IF(COUNTIFS(T_TTAFStock_Log[Part Name],$A17,T_TTAFStock_Log[WeekIndex],68)=0,"",SUMIFS(T_TTAFStock_Log[TTAF_Qty],T_TTAFStock_Log[Part Name],$A17,T_TTAFStock_Log[WeekIndex],68))</f>
        <v/>
      </c>
      <c r="BR17" s="13">
        <f>IF(COUNTIFS(T_TTAFStock_Log[Part Name],$A17,T_TTAFStock_Log[WeekIndex],69)=0,"",SUMIFS(T_TTAFStock_Log[TTAF_Qty],T_TTAFStock_Log[Part Name],$A17,T_TTAFStock_Log[WeekIndex],69))</f>
        <v/>
      </c>
      <c r="BS17" s="13">
        <f>IF(COUNTIFS(T_TTAFStock_Log[Part Name],$A17,T_TTAFStock_Log[WeekIndex],70)=0,"",SUMIFS(T_TTAFStock_Log[TTAF_Qty],T_TTAFStock_Log[Part Name],$A17,T_TTAFStock_Log[WeekIndex],70))</f>
        <v/>
      </c>
      <c r="BT17" s="13">
        <f>IF(COUNTIFS(T_TTAFStock_Log[Part Name],$A17,T_TTAFStock_Log[WeekIndex],71)=0,"",SUMIFS(T_TTAFStock_Log[TTAF_Qty],T_TTAFStock_Log[Part Name],$A17,T_TTAFStock_Log[WeekIndex],71))</f>
        <v/>
      </c>
      <c r="BU17" s="13">
        <f>IF(COUNTIFS(T_TTAFStock_Log[Part Name],$A17,T_TTAFStock_Log[WeekIndex],72)=0,"",SUMIFS(T_TTAFStock_Log[TTAF_Qty],T_TTAFStock_Log[Part Name],$A17,T_TTAFStock_Log[WeekIndex],72))</f>
        <v/>
      </c>
      <c r="BV17" s="13">
        <f>IF(COUNTIFS(T_TTAFStock_Log[Part Name],$A17,T_TTAFStock_Log[WeekIndex],73)=0,"",SUMIFS(T_TTAFStock_Log[TTAF_Qty],T_TTAFStock_Log[Part Name],$A17,T_TTAFStock_Log[WeekIndex],73))</f>
        <v/>
      </c>
      <c r="BW17" s="13">
        <f>IF(COUNTIFS(T_TTAFStock_Log[Part Name],$A17,T_TTAFStock_Log[WeekIndex],74)=0,"",SUMIFS(T_TTAFStock_Log[TTAF_Qty],T_TTAFStock_Log[Part Name],$A17,T_TTAFStock_Log[WeekIndex],74))</f>
        <v/>
      </c>
      <c r="BX17" s="13">
        <f>IF(COUNTIFS(T_TTAFStock_Log[Part Name],$A17,T_TTAFStock_Log[WeekIndex],75)=0,"",SUMIFS(T_TTAFStock_Log[TTAF_Qty],T_TTAFStock_Log[Part Name],$A17,T_TTAFStock_Log[WeekIndex],75))</f>
        <v/>
      </c>
      <c r="BY17" s="13">
        <f>IF(COUNTIFS(T_TTAFStock_Log[Part Name],$A17,T_TTAFStock_Log[WeekIndex],76)=0,"",SUMIFS(T_TTAFStock_Log[TTAF_Qty],T_TTAFStock_Log[Part Name],$A17,T_TTAFStock_Log[WeekIndex],76))</f>
        <v/>
      </c>
      <c r="BZ17" s="13">
        <f>IF(COUNTIFS(T_TTAFStock_Log[Part Name],$A17,T_TTAFStock_Log[WeekIndex],77)=0,"",SUMIFS(T_TTAFStock_Log[TTAF_Qty],T_TTAFStock_Log[Part Name],$A17,T_TTAFStock_Log[WeekIndex],77))</f>
        <v/>
      </c>
      <c r="CA17" s="13">
        <f>IF(COUNTIFS(T_TTAFStock_Log[Part Name],$A17,T_TTAFStock_Log[WeekIndex],78)=0,"",SUMIFS(T_TTAFStock_Log[TTAF_Qty],T_TTAFStock_Log[Part Name],$A17,T_TTAFStock_Log[WeekIndex],78))</f>
        <v/>
      </c>
      <c r="CB17" s="13">
        <f>IF(COUNTIFS(T_TTAFStock_Log[Part Name],$A17,T_TTAFStock_Log[WeekIndex],79)=0,"",SUMIFS(T_TTAFStock_Log[TTAF_Qty],T_TTAFStock_Log[Part Name],$A17,T_TTAFStock_Log[WeekIndex],79))</f>
        <v/>
      </c>
      <c r="CC17" s="13">
        <f>IF(COUNTIFS(T_TTAFStock_Log[Part Name],$A17,T_TTAFStock_Log[WeekIndex],80)=0,"",SUMIFS(T_TTAFStock_Log[TTAF_Qty],T_TTAFStock_Log[Part Name],$A17,T_TTAFStock_Log[WeekIndex],80))</f>
        <v/>
      </c>
      <c r="CD17" s="13">
        <f>IF(COUNTIFS(T_TTAFStock_Log[Part Name],$A17,T_TTAFStock_Log[WeekIndex],81)=0,"",SUMIFS(T_TTAFStock_Log[TTAF_Qty],T_TTAFStock_Log[Part Name],$A17,T_TTAFStock_Log[WeekIndex],81))</f>
        <v/>
      </c>
      <c r="CE17" s="13">
        <f>IF(COUNTIFS(T_TTAFStock_Log[Part Name],$A17,T_TTAFStock_Log[WeekIndex],82)=0,"",SUMIFS(T_TTAFStock_Log[TTAF_Qty],T_TTAFStock_Log[Part Name],$A17,T_TTAFStock_Log[WeekIndex],82))</f>
        <v/>
      </c>
      <c r="CF17" s="13">
        <f>IF(COUNTIFS(T_TTAFStock_Log[Part Name],$A17,T_TTAFStock_Log[WeekIndex],83)=0,"",SUMIFS(T_TTAFStock_Log[TTAF_Qty],T_TTAFStock_Log[Part Name],$A17,T_TTAFStock_Log[WeekIndex],83))</f>
        <v/>
      </c>
      <c r="CG17" s="13">
        <f>IF(COUNTIFS(T_TTAFStock_Log[Part Name],$A17,T_TTAFStock_Log[WeekIndex],84)=0,"",SUMIFS(T_TTAFStock_Log[TTAF_Qty],T_TTAFStock_Log[Part Name],$A17,T_TTAFStock_Log[WeekIndex],84))</f>
        <v/>
      </c>
      <c r="CH17" s="13">
        <f>IF(COUNTIFS(T_TTAFStock_Log[Part Name],$A17,T_TTAFStock_Log[WeekIndex],85)=0,"",SUMIFS(T_TTAFStock_Log[TTAF_Qty],T_TTAFStock_Log[Part Name],$A17,T_TTAFStock_Log[WeekIndex],85))</f>
        <v/>
      </c>
      <c r="CI17" s="13">
        <f>IF(COUNTIFS(T_TTAFStock_Log[Part Name],$A17,T_TTAFStock_Log[WeekIndex],86)=0,"",SUMIFS(T_TTAFStock_Log[TTAF_Qty],T_TTAFStock_Log[Part Name],$A17,T_TTAFStock_Log[WeekIndex],86))</f>
        <v/>
      </c>
      <c r="CJ17" s="13">
        <f>IF(COUNTIFS(T_TTAFStock_Log[Part Name],$A17,T_TTAFStock_Log[WeekIndex],87)=0,"",SUMIFS(T_TTAFStock_Log[TTAF_Qty],T_TTAFStock_Log[Part Name],$A17,T_TTAFStock_Log[WeekIndex],87))</f>
        <v/>
      </c>
      <c r="CK17" s="13">
        <f>IF(COUNTIFS(T_TTAFStock_Log[Part Name],$A17,T_TTAFStock_Log[WeekIndex],88)=0,"",SUMIFS(T_TTAFStock_Log[TTAF_Qty],T_TTAFStock_Log[Part Name],$A17,T_TTAFStock_Log[WeekIndex],88))</f>
        <v/>
      </c>
      <c r="CL17" s="13">
        <f>IF(COUNTIFS(T_TTAFStock_Log[Part Name],$A17,T_TTAFStock_Log[WeekIndex],89)=0,"",SUMIFS(T_TTAFStock_Log[TTAF_Qty],T_TTAFStock_Log[Part Name],$A17,T_TTAFStock_Log[WeekIndex],89))</f>
        <v/>
      </c>
      <c r="CM17" s="13">
        <f>IF(COUNTIFS(T_TTAFStock_Log[Part Name],$A17,T_TTAFStock_Log[WeekIndex],90)=0,"",SUMIFS(T_TTAFStock_Log[TTAF_Qty],T_TTAFStock_Log[Part Name],$A17,T_TTAFStock_Log[WeekIndex],90))</f>
        <v/>
      </c>
      <c r="CN17" s="13">
        <f>IF(COUNTIFS(T_TTAFStock_Log[Part Name],$A17,T_TTAFStock_Log[WeekIndex],91)=0,"",SUMIFS(T_TTAFStock_Log[TTAF_Qty],T_TTAFStock_Log[Part Name],$A17,T_TTAFStock_Log[WeekIndex],91))</f>
        <v/>
      </c>
      <c r="CO17" s="13">
        <f>IF(COUNTIFS(T_TTAFStock_Log[Part Name],$A17,T_TTAFStock_Log[WeekIndex],92)=0,"",SUMIFS(T_TTAFStock_Log[TTAF_Qty],T_TTAFStock_Log[Part Name],$A17,T_TTAFStock_Log[WeekIndex],92))</f>
        <v/>
      </c>
      <c r="CP17" s="13">
        <f>IF(COUNTIFS(T_TTAFStock_Log[Part Name],$A17,T_TTAFStock_Log[WeekIndex],93)=0,"",SUMIFS(T_TTAFStock_Log[TTAF_Qty],T_TTAFStock_Log[Part Name],$A17,T_TTAFStock_Log[WeekIndex],93))</f>
        <v/>
      </c>
      <c r="CQ17" s="13">
        <f>IF(COUNTIFS(T_TTAFStock_Log[Part Name],$A17,T_TTAFStock_Log[WeekIndex],94)=0,"",SUMIFS(T_TTAFStock_Log[TTAF_Qty],T_TTAFStock_Log[Part Name],$A17,T_TTAFStock_Log[WeekIndex],94))</f>
        <v/>
      </c>
      <c r="CR17" s="13">
        <f>IF(COUNTIFS(T_TTAFStock_Log[Part Name],$A17,T_TTAFStock_Log[WeekIndex],95)=0,"",SUMIFS(T_TTAFStock_Log[TTAF_Qty],T_TTAFStock_Log[Part Name],$A17,T_TTAFStock_Log[WeekIndex],95))</f>
        <v/>
      </c>
      <c r="CS17" s="13">
        <f>IF(COUNTIFS(T_TTAFStock_Log[Part Name],$A17,T_TTAFStock_Log[WeekIndex],96)=0,"",SUMIFS(T_TTAFStock_Log[TTAF_Qty],T_TTAFStock_Log[Part Name],$A17,T_TTAFStock_Log[WeekIndex],96))</f>
        <v/>
      </c>
      <c r="CT17" s="13">
        <f>IF(COUNTIFS(T_TTAFStock_Log[Part Name],$A17,T_TTAFStock_Log[WeekIndex],97)=0,"",SUMIFS(T_TTAFStock_Log[TTAF_Qty],T_TTAFStock_Log[Part Name],$A17,T_TTAFStock_Log[WeekIndex],97))</f>
        <v/>
      </c>
      <c r="CU17" s="13">
        <f>IF(COUNTIFS(T_TTAFStock_Log[Part Name],$A17,T_TTAFStock_Log[WeekIndex],98)=0,"",SUMIFS(T_TTAFStock_Log[TTAF_Qty],T_TTAFStock_Log[Part Name],$A17,T_TTAFStock_Log[WeekIndex],98))</f>
        <v/>
      </c>
      <c r="CV17" s="13">
        <f>IF(COUNTIFS(T_TTAFStock_Log[Part Name],$A17,T_TTAFStock_Log[WeekIndex],99)=0,"",SUMIFS(T_TTAFStock_Log[TTAF_Qty],T_TTAFStock_Log[Part Name],$A17,T_TTAFStock_Log[WeekIndex],99))</f>
        <v/>
      </c>
      <c r="CW17" s="13">
        <f>IF(COUNTIFS(T_TTAFStock_Log[Part Name],$A17,T_TTAFStock_Log[WeekIndex],100)=0,"",SUMIFS(T_TTAFStock_Log[TTAF_Qty],T_TTAFStock_Log[Part Name],$A17,T_TTAFStock_Log[WeekIndex],100))</f>
        <v/>
      </c>
      <c r="CX17" s="13">
        <f>IF(COUNTIFS(T_TTAFStock_Log[Part Name],$A17,T_TTAFStock_Log[WeekIndex],101)=0,"",SUMIFS(T_TTAFStock_Log[TTAF_Qty],T_TTAFStock_Log[Part Name],$A17,T_TTAFStock_Log[WeekIndex],101))</f>
        <v/>
      </c>
      <c r="CY17" s="13">
        <f>IF(COUNTIFS(T_TTAFStock_Log[Part Name],$A17,T_TTAFStock_Log[WeekIndex],102)=0,"",SUMIFS(T_TTAFStock_Log[TTAF_Qty],T_TTAFStock_Log[Part Name],$A17,T_TTAFStock_Log[WeekIndex],102))</f>
        <v/>
      </c>
      <c r="CZ17" s="13">
        <f>IF(COUNTIFS(T_TTAFStock_Log[Part Name],$A17,T_TTAFStock_Log[WeekIndex],103)=0,"",SUMIFS(T_TTAFStock_Log[TTAF_Qty],T_TTAFStock_Log[Part Name],$A17,T_TTAFStock_Log[WeekIndex],103))</f>
        <v/>
      </c>
      <c r="DA17" s="13">
        <f>IF(COUNTIFS(T_TTAFStock_Log[Part Name],$A17,T_TTAFStock_Log[WeekIndex],104)=0,"",SUMIFS(T_TTAFStock_Log[TTAF_Qty],T_TTAFStock_Log[Part Name],$A17,T_TTAFStock_Log[WeekIndex],104))</f>
        <v/>
      </c>
    </row>
    <row r="18">
      <c r="A18" s="12" t="inlineStr">
        <is>
          <t>9RN</t>
        </is>
      </c>
      <c r="B18" s="12">
        <f>IF(COUNTIFS(T_TTAFStock_Log[Part Name],$A18,T_TTAFStock_Log[WeekIndex],1)=0,"",SUMIFS(T_TTAFStock_Log[TTAF_Qty],T_TTAFStock_Log[Part Name],$A18,T_TTAFStock_Log[WeekIndex],1))</f>
        <v/>
      </c>
      <c r="C18" s="12">
        <f>IF(COUNTIFS(T_TTAFStock_Log[Part Name],$A18,T_TTAFStock_Log[WeekIndex],2)=0,"",SUMIFS(T_TTAFStock_Log[TTAF_Qty],T_TTAFStock_Log[Part Name],$A18,T_TTAFStock_Log[WeekIndex],2))</f>
        <v/>
      </c>
      <c r="D18" s="12">
        <f>IF(COUNTIFS(T_TTAFStock_Log[Part Name],$A18,T_TTAFStock_Log[WeekIndex],3)=0,"",SUMIFS(T_TTAFStock_Log[TTAF_Qty],T_TTAFStock_Log[Part Name],$A18,T_TTAFStock_Log[WeekIndex],3))</f>
        <v/>
      </c>
      <c r="E18" s="12">
        <f>IF(COUNTIFS(T_TTAFStock_Log[Part Name],$A18,T_TTAFStock_Log[WeekIndex],4)=0,"",SUMIFS(T_TTAFStock_Log[TTAF_Qty],T_TTAFStock_Log[Part Name],$A18,T_TTAFStock_Log[WeekIndex],4))</f>
        <v/>
      </c>
      <c r="F18" s="12">
        <f>IF(COUNTIFS(T_TTAFStock_Log[Part Name],$A18,T_TTAFStock_Log[WeekIndex],5)=0,"",SUMIFS(T_TTAFStock_Log[TTAF_Qty],T_TTAFStock_Log[Part Name],$A18,T_TTAFStock_Log[WeekIndex],5))</f>
        <v/>
      </c>
      <c r="G18" s="12">
        <f>IF(COUNTIFS(T_TTAFStock_Log[Part Name],$A18,T_TTAFStock_Log[WeekIndex],6)=0,"",SUMIFS(T_TTAFStock_Log[TTAF_Qty],T_TTAFStock_Log[Part Name],$A18,T_TTAFStock_Log[WeekIndex],6))</f>
        <v/>
      </c>
      <c r="H18" s="12">
        <f>IF(COUNTIFS(T_TTAFStock_Log[Part Name],$A18,T_TTAFStock_Log[WeekIndex],7)=0,"",SUMIFS(T_TTAFStock_Log[TTAF_Qty],T_TTAFStock_Log[Part Name],$A18,T_TTAFStock_Log[WeekIndex],7))</f>
        <v/>
      </c>
      <c r="I18" s="12">
        <f>IF(COUNTIFS(T_TTAFStock_Log[Part Name],$A18,T_TTAFStock_Log[WeekIndex],8)=0,"",SUMIFS(T_TTAFStock_Log[TTAF_Qty],T_TTAFStock_Log[Part Name],$A18,T_TTAFStock_Log[WeekIndex],8))</f>
        <v/>
      </c>
      <c r="J18" s="12">
        <f>IF(COUNTIFS(T_TTAFStock_Log[Part Name],$A18,T_TTAFStock_Log[WeekIndex],9)=0,"",SUMIFS(T_TTAFStock_Log[TTAF_Qty],T_TTAFStock_Log[Part Name],$A18,T_TTAFStock_Log[WeekIndex],9))</f>
        <v/>
      </c>
      <c r="K18" s="12">
        <f>IF(COUNTIFS(T_TTAFStock_Log[Part Name],$A18,T_TTAFStock_Log[WeekIndex],10)=0,"",SUMIFS(T_TTAFStock_Log[TTAF_Qty],T_TTAFStock_Log[Part Name],$A18,T_TTAFStock_Log[WeekIndex],10))</f>
        <v/>
      </c>
      <c r="L18" s="12">
        <f>IF(COUNTIFS(T_TTAFStock_Log[Part Name],$A18,T_TTAFStock_Log[WeekIndex],11)=0,"",SUMIFS(T_TTAFStock_Log[TTAF_Qty],T_TTAFStock_Log[Part Name],$A18,T_TTAFStock_Log[WeekIndex],11))</f>
        <v/>
      </c>
      <c r="M18" s="12">
        <f>IF(COUNTIFS(T_TTAFStock_Log[Part Name],$A18,T_TTAFStock_Log[WeekIndex],12)=0,"",SUMIFS(T_TTAFStock_Log[TTAF_Qty],T_TTAFStock_Log[Part Name],$A18,T_TTAFStock_Log[WeekIndex],12))</f>
        <v/>
      </c>
      <c r="N18" s="12">
        <f>IF(COUNTIFS(T_TTAFStock_Log[Part Name],$A18,T_TTAFStock_Log[WeekIndex],13)=0,"",SUMIFS(T_TTAFStock_Log[TTAF_Qty],T_TTAFStock_Log[Part Name],$A18,T_TTAFStock_Log[WeekIndex],13))</f>
        <v/>
      </c>
      <c r="O18" s="12">
        <f>IF(COUNTIFS(T_TTAFStock_Log[Part Name],$A18,T_TTAFStock_Log[WeekIndex],14)=0,"",SUMIFS(T_TTAFStock_Log[TTAF_Qty],T_TTAFStock_Log[Part Name],$A18,T_TTAFStock_Log[WeekIndex],14))</f>
        <v/>
      </c>
      <c r="P18" s="12">
        <f>IF(COUNTIFS(T_TTAFStock_Log[Part Name],$A18,T_TTAFStock_Log[WeekIndex],15)=0,"",SUMIFS(T_TTAFStock_Log[TTAF_Qty],T_TTAFStock_Log[Part Name],$A18,T_TTAFStock_Log[WeekIndex],15))</f>
        <v/>
      </c>
      <c r="Q18" s="12">
        <f>IF(COUNTIFS(T_TTAFStock_Log[Part Name],$A18,T_TTAFStock_Log[WeekIndex],16)=0,"",SUMIFS(T_TTAFStock_Log[TTAF_Qty],T_TTAFStock_Log[Part Name],$A18,T_TTAFStock_Log[WeekIndex],16))</f>
        <v/>
      </c>
      <c r="R18" s="12">
        <f>IF(COUNTIFS(T_TTAFStock_Log[Part Name],$A18,T_TTAFStock_Log[WeekIndex],17)=0,"",SUMIFS(T_TTAFStock_Log[TTAF_Qty],T_TTAFStock_Log[Part Name],$A18,T_TTAFStock_Log[WeekIndex],17))</f>
        <v/>
      </c>
      <c r="S18" s="12">
        <f>IF(COUNTIFS(T_TTAFStock_Log[Part Name],$A18,T_TTAFStock_Log[WeekIndex],18)=0,"",SUMIFS(T_TTAFStock_Log[TTAF_Qty],T_TTAFStock_Log[Part Name],$A18,T_TTAFStock_Log[WeekIndex],18))</f>
        <v/>
      </c>
      <c r="T18" s="12">
        <f>IF(COUNTIFS(T_TTAFStock_Log[Part Name],$A18,T_TTAFStock_Log[WeekIndex],19)=0,"",SUMIFS(T_TTAFStock_Log[TTAF_Qty],T_TTAFStock_Log[Part Name],$A18,T_TTAFStock_Log[WeekIndex],19))</f>
        <v/>
      </c>
      <c r="U18" s="12">
        <f>IF(COUNTIFS(T_TTAFStock_Log[Part Name],$A18,T_TTAFStock_Log[WeekIndex],20)=0,"",SUMIFS(T_TTAFStock_Log[TTAF_Qty],T_TTAFStock_Log[Part Name],$A18,T_TTAFStock_Log[WeekIndex],20))</f>
        <v/>
      </c>
      <c r="V18" s="12">
        <f>IF(COUNTIFS(T_TTAFStock_Log[Part Name],$A18,T_TTAFStock_Log[WeekIndex],21)=0,"",SUMIFS(T_TTAFStock_Log[TTAF_Qty],T_TTAFStock_Log[Part Name],$A18,T_TTAFStock_Log[WeekIndex],21))</f>
        <v/>
      </c>
      <c r="W18" s="12">
        <f>IF(COUNTIFS(T_TTAFStock_Log[Part Name],$A18,T_TTAFStock_Log[WeekIndex],22)=0,"",SUMIFS(T_TTAFStock_Log[TTAF_Qty],T_TTAFStock_Log[Part Name],$A18,T_TTAFStock_Log[WeekIndex],22))</f>
        <v/>
      </c>
      <c r="X18" s="12">
        <f>IF(COUNTIFS(T_TTAFStock_Log[Part Name],$A18,T_TTAFStock_Log[WeekIndex],23)=0,"",SUMIFS(T_TTAFStock_Log[TTAF_Qty],T_TTAFStock_Log[Part Name],$A18,T_TTAFStock_Log[WeekIndex],23))</f>
        <v/>
      </c>
      <c r="Y18" s="12">
        <f>IF(COUNTIFS(T_TTAFStock_Log[Part Name],$A18,T_TTAFStock_Log[WeekIndex],24)=0,"",SUMIFS(T_TTAFStock_Log[TTAF_Qty],T_TTAFStock_Log[Part Name],$A18,T_TTAFStock_Log[WeekIndex],24))</f>
        <v/>
      </c>
      <c r="Z18" s="12">
        <f>IF(COUNTIFS(T_TTAFStock_Log[Part Name],$A18,T_TTAFStock_Log[WeekIndex],25)=0,"",SUMIFS(T_TTAFStock_Log[TTAF_Qty],T_TTAFStock_Log[Part Name],$A18,T_TTAFStock_Log[WeekIndex],25))</f>
        <v/>
      </c>
      <c r="AA18" s="12">
        <f>IF(COUNTIFS(T_TTAFStock_Log[Part Name],$A18,T_TTAFStock_Log[WeekIndex],26)=0,"",SUMIFS(T_TTAFStock_Log[TTAF_Qty],T_TTAFStock_Log[Part Name],$A18,T_TTAFStock_Log[WeekIndex],26))</f>
        <v/>
      </c>
      <c r="AB18" s="12">
        <f>IF(COUNTIFS(T_TTAFStock_Log[Part Name],$A18,T_TTAFStock_Log[WeekIndex],27)=0,"",SUMIFS(T_TTAFStock_Log[TTAF_Qty],T_TTAFStock_Log[Part Name],$A18,T_TTAFStock_Log[WeekIndex],27))</f>
        <v/>
      </c>
      <c r="AC18" s="12">
        <f>IF(COUNTIFS(T_TTAFStock_Log[Part Name],$A18,T_TTAFStock_Log[WeekIndex],28)=0,"",SUMIFS(T_TTAFStock_Log[TTAF_Qty],T_TTAFStock_Log[Part Name],$A18,T_TTAFStock_Log[WeekIndex],28))</f>
        <v/>
      </c>
      <c r="AD18" s="12">
        <f>IF(COUNTIFS(T_TTAFStock_Log[Part Name],$A18,T_TTAFStock_Log[WeekIndex],29)=0,"",SUMIFS(T_TTAFStock_Log[TTAF_Qty],T_TTAFStock_Log[Part Name],$A18,T_TTAFStock_Log[WeekIndex],29))</f>
        <v/>
      </c>
      <c r="AE18" s="12">
        <f>IF(COUNTIFS(T_TTAFStock_Log[Part Name],$A18,T_TTAFStock_Log[WeekIndex],30)=0,"",SUMIFS(T_TTAFStock_Log[TTAF_Qty],T_TTAFStock_Log[Part Name],$A18,T_TTAFStock_Log[WeekIndex],30))</f>
        <v/>
      </c>
      <c r="AF18" s="12">
        <f>IF(COUNTIFS(T_TTAFStock_Log[Part Name],$A18,T_TTAFStock_Log[WeekIndex],31)=0,"",SUMIFS(T_TTAFStock_Log[TTAF_Qty],T_TTAFStock_Log[Part Name],$A18,T_TTAFStock_Log[WeekIndex],31))</f>
        <v/>
      </c>
      <c r="AG18" s="12">
        <f>IF(COUNTIFS(T_TTAFStock_Log[Part Name],$A18,T_TTAFStock_Log[WeekIndex],32)=0,"",SUMIFS(T_TTAFStock_Log[TTAF_Qty],T_TTAFStock_Log[Part Name],$A18,T_TTAFStock_Log[WeekIndex],32))</f>
        <v/>
      </c>
      <c r="AH18" s="12">
        <f>IF(COUNTIFS(T_TTAFStock_Log[Part Name],$A18,T_TTAFStock_Log[WeekIndex],33)=0,"",SUMIFS(T_TTAFStock_Log[TTAF_Qty],T_TTAFStock_Log[Part Name],$A18,T_TTAFStock_Log[WeekIndex],33))</f>
        <v/>
      </c>
      <c r="AI18" s="12">
        <f>IF(COUNTIFS(T_TTAFStock_Log[Part Name],$A18,T_TTAFStock_Log[WeekIndex],34)=0,"",SUMIFS(T_TTAFStock_Log[TTAF_Qty],T_TTAFStock_Log[Part Name],$A18,T_TTAFStock_Log[WeekIndex],34))</f>
        <v/>
      </c>
      <c r="AJ18" s="12">
        <f>IF(COUNTIFS(T_TTAFStock_Log[Part Name],$A18,T_TTAFStock_Log[WeekIndex],35)=0,"",SUMIFS(T_TTAFStock_Log[TTAF_Qty],T_TTAFStock_Log[Part Name],$A18,T_TTAFStock_Log[WeekIndex],35))</f>
        <v/>
      </c>
      <c r="AK18" s="12">
        <f>IF(COUNTIFS(T_TTAFStock_Log[Part Name],$A18,T_TTAFStock_Log[WeekIndex],36)=0,"",SUMIFS(T_TTAFStock_Log[TTAF_Qty],T_TTAFStock_Log[Part Name],$A18,T_TTAFStock_Log[WeekIndex],36))</f>
        <v/>
      </c>
      <c r="AL18" s="12">
        <f>IF(COUNTIFS(T_TTAFStock_Log[Part Name],$A18,T_TTAFStock_Log[WeekIndex],37)=0,"",SUMIFS(T_TTAFStock_Log[TTAF_Qty],T_TTAFStock_Log[Part Name],$A18,T_TTAFStock_Log[WeekIndex],37))</f>
        <v/>
      </c>
      <c r="AM18" s="12">
        <f>IF(COUNTIFS(T_TTAFStock_Log[Part Name],$A18,T_TTAFStock_Log[WeekIndex],38)=0,"",SUMIFS(T_TTAFStock_Log[TTAF_Qty],T_TTAFStock_Log[Part Name],$A18,T_TTAFStock_Log[WeekIndex],38))</f>
        <v/>
      </c>
      <c r="AN18" s="12">
        <f>IF(COUNTIFS(T_TTAFStock_Log[Part Name],$A18,T_TTAFStock_Log[WeekIndex],39)=0,"",SUMIFS(T_TTAFStock_Log[TTAF_Qty],T_TTAFStock_Log[Part Name],$A18,T_TTAFStock_Log[WeekIndex],39))</f>
        <v/>
      </c>
      <c r="AO18" s="12">
        <f>IF(COUNTIFS(T_TTAFStock_Log[Part Name],$A18,T_TTAFStock_Log[WeekIndex],40)=0,"",SUMIFS(T_TTAFStock_Log[TTAF_Qty],T_TTAFStock_Log[Part Name],$A18,T_TTAFStock_Log[WeekIndex],40))</f>
        <v/>
      </c>
      <c r="AP18" s="12">
        <f>IF(COUNTIFS(T_TTAFStock_Log[Part Name],$A18,T_TTAFStock_Log[WeekIndex],41)=0,"",SUMIFS(T_TTAFStock_Log[TTAF_Qty],T_TTAFStock_Log[Part Name],$A18,T_TTAFStock_Log[WeekIndex],41))</f>
        <v/>
      </c>
      <c r="AQ18" s="12">
        <f>IF(COUNTIFS(T_TTAFStock_Log[Part Name],$A18,T_TTAFStock_Log[WeekIndex],42)=0,"",SUMIFS(T_TTAFStock_Log[TTAF_Qty],T_TTAFStock_Log[Part Name],$A18,T_TTAFStock_Log[WeekIndex],42))</f>
        <v/>
      </c>
      <c r="AR18" s="12">
        <f>IF(COUNTIFS(T_TTAFStock_Log[Part Name],$A18,T_TTAFStock_Log[WeekIndex],43)=0,"",SUMIFS(T_TTAFStock_Log[TTAF_Qty],T_TTAFStock_Log[Part Name],$A18,T_TTAFStock_Log[WeekIndex],43))</f>
        <v/>
      </c>
      <c r="AS18" s="12">
        <f>IF(COUNTIFS(T_TTAFStock_Log[Part Name],$A18,T_TTAFStock_Log[WeekIndex],44)=0,"",SUMIFS(T_TTAFStock_Log[TTAF_Qty],T_TTAFStock_Log[Part Name],$A18,T_TTAFStock_Log[WeekIndex],44))</f>
        <v/>
      </c>
      <c r="AT18" s="12">
        <f>IF(COUNTIFS(T_TTAFStock_Log[Part Name],$A18,T_TTAFStock_Log[WeekIndex],45)=0,"",SUMIFS(T_TTAFStock_Log[TTAF_Qty],T_TTAFStock_Log[Part Name],$A18,T_TTAFStock_Log[WeekIndex],45))</f>
        <v/>
      </c>
      <c r="AU18" s="12">
        <f>IF(COUNTIFS(T_TTAFStock_Log[Part Name],$A18,T_TTAFStock_Log[WeekIndex],46)=0,"",SUMIFS(T_TTAFStock_Log[TTAF_Qty],T_TTAFStock_Log[Part Name],$A18,T_TTAFStock_Log[WeekIndex],46))</f>
        <v/>
      </c>
      <c r="AV18" s="12">
        <f>IF(COUNTIFS(T_TTAFStock_Log[Part Name],$A18,T_TTAFStock_Log[WeekIndex],47)=0,"",SUMIFS(T_TTAFStock_Log[TTAF_Qty],T_TTAFStock_Log[Part Name],$A18,T_TTAFStock_Log[WeekIndex],47))</f>
        <v/>
      </c>
      <c r="AW18" s="12">
        <f>IF(COUNTIFS(T_TTAFStock_Log[Part Name],$A18,T_TTAFStock_Log[WeekIndex],48)=0,"",SUMIFS(T_TTAFStock_Log[TTAF_Qty],T_TTAFStock_Log[Part Name],$A18,T_TTAFStock_Log[WeekIndex],48))</f>
        <v/>
      </c>
      <c r="AX18" s="12">
        <f>IF(COUNTIFS(T_TTAFStock_Log[Part Name],$A18,T_TTAFStock_Log[WeekIndex],49)=0,"",SUMIFS(T_TTAFStock_Log[TTAF_Qty],T_TTAFStock_Log[Part Name],$A18,T_TTAFStock_Log[WeekIndex],49))</f>
        <v/>
      </c>
      <c r="AY18" s="12">
        <f>IF(COUNTIFS(T_TTAFStock_Log[Part Name],$A18,T_TTAFStock_Log[WeekIndex],50)=0,"",SUMIFS(T_TTAFStock_Log[TTAF_Qty],T_TTAFStock_Log[Part Name],$A18,T_TTAFStock_Log[WeekIndex],50))</f>
        <v/>
      </c>
      <c r="AZ18" s="12">
        <f>IF(COUNTIFS(T_TTAFStock_Log[Part Name],$A18,T_TTAFStock_Log[WeekIndex],51)=0,"",SUMIFS(T_TTAFStock_Log[TTAF_Qty],T_TTAFStock_Log[Part Name],$A18,T_TTAFStock_Log[WeekIndex],51))</f>
        <v/>
      </c>
      <c r="BA18" s="12">
        <f>IF(COUNTIFS(T_TTAFStock_Log[Part Name],$A18,T_TTAFStock_Log[WeekIndex],52)=0,"",SUMIFS(T_TTAFStock_Log[TTAF_Qty],T_TTAFStock_Log[Part Name],$A18,T_TTAFStock_Log[WeekIndex],52))</f>
        <v/>
      </c>
      <c r="BB18" s="12">
        <f>IF(COUNTIFS(T_TTAFStock_Log[Part Name],$A18,T_TTAFStock_Log[WeekIndex],53)=0,"",SUMIFS(T_TTAFStock_Log[TTAF_Qty],T_TTAFStock_Log[Part Name],$A18,T_TTAFStock_Log[WeekIndex],53))</f>
        <v/>
      </c>
      <c r="BC18" s="12">
        <f>IF(COUNTIFS(T_TTAFStock_Log[Part Name],$A18,T_TTAFStock_Log[WeekIndex],54)=0,"",SUMIFS(T_TTAFStock_Log[TTAF_Qty],T_TTAFStock_Log[Part Name],$A18,T_TTAFStock_Log[WeekIndex],54))</f>
        <v/>
      </c>
      <c r="BD18" s="12">
        <f>IF(COUNTIFS(T_TTAFStock_Log[Part Name],$A18,T_TTAFStock_Log[WeekIndex],55)=0,"",SUMIFS(T_TTAFStock_Log[TTAF_Qty],T_TTAFStock_Log[Part Name],$A18,T_TTAFStock_Log[WeekIndex],55))</f>
        <v/>
      </c>
      <c r="BE18" s="12">
        <f>IF(COUNTIFS(T_TTAFStock_Log[Part Name],$A18,T_TTAFStock_Log[WeekIndex],56)=0,"",SUMIFS(T_TTAFStock_Log[TTAF_Qty],T_TTAFStock_Log[Part Name],$A18,T_TTAFStock_Log[WeekIndex],56))</f>
        <v/>
      </c>
      <c r="BF18" s="12">
        <f>IF(COUNTIFS(T_TTAFStock_Log[Part Name],$A18,T_TTAFStock_Log[WeekIndex],57)=0,"",SUMIFS(T_TTAFStock_Log[TTAF_Qty],T_TTAFStock_Log[Part Name],$A18,T_TTAFStock_Log[WeekIndex],57))</f>
        <v/>
      </c>
      <c r="BG18" s="12">
        <f>IF(COUNTIFS(T_TTAFStock_Log[Part Name],$A18,T_TTAFStock_Log[WeekIndex],58)=0,"",SUMIFS(T_TTAFStock_Log[TTAF_Qty],T_TTAFStock_Log[Part Name],$A18,T_TTAFStock_Log[WeekIndex],58))</f>
        <v/>
      </c>
      <c r="BH18" s="12">
        <f>IF(COUNTIFS(T_TTAFStock_Log[Part Name],$A18,T_TTAFStock_Log[WeekIndex],59)=0,"",SUMIFS(T_TTAFStock_Log[TTAF_Qty],T_TTAFStock_Log[Part Name],$A18,T_TTAFStock_Log[WeekIndex],59))</f>
        <v/>
      </c>
      <c r="BI18" s="12">
        <f>IF(COUNTIFS(T_TTAFStock_Log[Part Name],$A18,T_TTAFStock_Log[WeekIndex],60)=0,"",SUMIFS(T_TTAFStock_Log[TTAF_Qty],T_TTAFStock_Log[Part Name],$A18,T_TTAFStock_Log[WeekIndex],60))</f>
        <v/>
      </c>
      <c r="BJ18" s="12">
        <f>IF(COUNTIFS(T_TTAFStock_Log[Part Name],$A18,T_TTAFStock_Log[WeekIndex],61)=0,"",SUMIFS(T_TTAFStock_Log[TTAF_Qty],T_TTAFStock_Log[Part Name],$A18,T_TTAFStock_Log[WeekIndex],61))</f>
        <v/>
      </c>
      <c r="BK18" s="12">
        <f>IF(COUNTIFS(T_TTAFStock_Log[Part Name],$A18,T_TTAFStock_Log[WeekIndex],62)=0,"",SUMIFS(T_TTAFStock_Log[TTAF_Qty],T_TTAFStock_Log[Part Name],$A18,T_TTAFStock_Log[WeekIndex],62))</f>
        <v/>
      </c>
      <c r="BL18" s="12">
        <f>IF(COUNTIFS(T_TTAFStock_Log[Part Name],$A18,T_TTAFStock_Log[WeekIndex],63)=0,"",SUMIFS(T_TTAFStock_Log[TTAF_Qty],T_TTAFStock_Log[Part Name],$A18,T_TTAFStock_Log[WeekIndex],63))</f>
        <v/>
      </c>
      <c r="BM18" s="12">
        <f>IF(COUNTIFS(T_TTAFStock_Log[Part Name],$A18,T_TTAFStock_Log[WeekIndex],64)=0,"",SUMIFS(T_TTAFStock_Log[TTAF_Qty],T_TTAFStock_Log[Part Name],$A18,T_TTAFStock_Log[WeekIndex],64))</f>
        <v/>
      </c>
      <c r="BN18" s="12">
        <f>IF(COUNTIFS(T_TTAFStock_Log[Part Name],$A18,T_TTAFStock_Log[WeekIndex],65)=0,"",SUMIFS(T_TTAFStock_Log[TTAF_Qty],T_TTAFStock_Log[Part Name],$A18,T_TTAFStock_Log[WeekIndex],65))</f>
        <v/>
      </c>
      <c r="BO18" s="12">
        <f>IF(COUNTIFS(T_TTAFStock_Log[Part Name],$A18,T_TTAFStock_Log[WeekIndex],66)=0,"",SUMIFS(T_TTAFStock_Log[TTAF_Qty],T_TTAFStock_Log[Part Name],$A18,T_TTAFStock_Log[WeekIndex],66))</f>
        <v/>
      </c>
      <c r="BP18" s="12">
        <f>IF(COUNTIFS(T_TTAFStock_Log[Part Name],$A18,T_TTAFStock_Log[WeekIndex],67)=0,"",SUMIFS(T_TTAFStock_Log[TTAF_Qty],T_TTAFStock_Log[Part Name],$A18,T_TTAFStock_Log[WeekIndex],67))</f>
        <v/>
      </c>
      <c r="BQ18" s="12">
        <f>IF(COUNTIFS(T_TTAFStock_Log[Part Name],$A18,T_TTAFStock_Log[WeekIndex],68)=0,"",SUMIFS(T_TTAFStock_Log[TTAF_Qty],T_TTAFStock_Log[Part Name],$A18,T_TTAFStock_Log[WeekIndex],68))</f>
        <v/>
      </c>
      <c r="BR18" s="12">
        <f>IF(COUNTIFS(T_TTAFStock_Log[Part Name],$A18,T_TTAFStock_Log[WeekIndex],69)=0,"",SUMIFS(T_TTAFStock_Log[TTAF_Qty],T_TTAFStock_Log[Part Name],$A18,T_TTAFStock_Log[WeekIndex],69))</f>
        <v/>
      </c>
      <c r="BS18" s="12">
        <f>IF(COUNTIFS(T_TTAFStock_Log[Part Name],$A18,T_TTAFStock_Log[WeekIndex],70)=0,"",SUMIFS(T_TTAFStock_Log[TTAF_Qty],T_TTAFStock_Log[Part Name],$A18,T_TTAFStock_Log[WeekIndex],70))</f>
        <v/>
      </c>
      <c r="BT18" s="12">
        <f>IF(COUNTIFS(T_TTAFStock_Log[Part Name],$A18,T_TTAFStock_Log[WeekIndex],71)=0,"",SUMIFS(T_TTAFStock_Log[TTAF_Qty],T_TTAFStock_Log[Part Name],$A18,T_TTAFStock_Log[WeekIndex],71))</f>
        <v/>
      </c>
      <c r="BU18" s="12">
        <f>IF(COUNTIFS(T_TTAFStock_Log[Part Name],$A18,T_TTAFStock_Log[WeekIndex],72)=0,"",SUMIFS(T_TTAFStock_Log[TTAF_Qty],T_TTAFStock_Log[Part Name],$A18,T_TTAFStock_Log[WeekIndex],72))</f>
        <v/>
      </c>
      <c r="BV18" s="12">
        <f>IF(COUNTIFS(T_TTAFStock_Log[Part Name],$A18,T_TTAFStock_Log[WeekIndex],73)=0,"",SUMIFS(T_TTAFStock_Log[TTAF_Qty],T_TTAFStock_Log[Part Name],$A18,T_TTAFStock_Log[WeekIndex],73))</f>
        <v/>
      </c>
      <c r="BW18" s="12">
        <f>IF(COUNTIFS(T_TTAFStock_Log[Part Name],$A18,T_TTAFStock_Log[WeekIndex],74)=0,"",SUMIFS(T_TTAFStock_Log[TTAF_Qty],T_TTAFStock_Log[Part Name],$A18,T_TTAFStock_Log[WeekIndex],74))</f>
        <v/>
      </c>
      <c r="BX18" s="12">
        <f>IF(COUNTIFS(T_TTAFStock_Log[Part Name],$A18,T_TTAFStock_Log[WeekIndex],75)=0,"",SUMIFS(T_TTAFStock_Log[TTAF_Qty],T_TTAFStock_Log[Part Name],$A18,T_TTAFStock_Log[WeekIndex],75))</f>
        <v/>
      </c>
      <c r="BY18" s="12">
        <f>IF(COUNTIFS(T_TTAFStock_Log[Part Name],$A18,T_TTAFStock_Log[WeekIndex],76)=0,"",SUMIFS(T_TTAFStock_Log[TTAF_Qty],T_TTAFStock_Log[Part Name],$A18,T_TTAFStock_Log[WeekIndex],76))</f>
        <v/>
      </c>
      <c r="BZ18" s="12">
        <f>IF(COUNTIFS(T_TTAFStock_Log[Part Name],$A18,T_TTAFStock_Log[WeekIndex],77)=0,"",SUMIFS(T_TTAFStock_Log[TTAF_Qty],T_TTAFStock_Log[Part Name],$A18,T_TTAFStock_Log[WeekIndex],77))</f>
        <v/>
      </c>
      <c r="CA18" s="12">
        <f>IF(COUNTIFS(T_TTAFStock_Log[Part Name],$A18,T_TTAFStock_Log[WeekIndex],78)=0,"",SUMIFS(T_TTAFStock_Log[TTAF_Qty],T_TTAFStock_Log[Part Name],$A18,T_TTAFStock_Log[WeekIndex],78))</f>
        <v/>
      </c>
      <c r="CB18" s="12">
        <f>IF(COUNTIFS(T_TTAFStock_Log[Part Name],$A18,T_TTAFStock_Log[WeekIndex],79)=0,"",SUMIFS(T_TTAFStock_Log[TTAF_Qty],T_TTAFStock_Log[Part Name],$A18,T_TTAFStock_Log[WeekIndex],79))</f>
        <v/>
      </c>
      <c r="CC18" s="12">
        <f>IF(COUNTIFS(T_TTAFStock_Log[Part Name],$A18,T_TTAFStock_Log[WeekIndex],80)=0,"",SUMIFS(T_TTAFStock_Log[TTAF_Qty],T_TTAFStock_Log[Part Name],$A18,T_TTAFStock_Log[WeekIndex],80))</f>
        <v/>
      </c>
      <c r="CD18" s="12">
        <f>IF(COUNTIFS(T_TTAFStock_Log[Part Name],$A18,T_TTAFStock_Log[WeekIndex],81)=0,"",SUMIFS(T_TTAFStock_Log[TTAF_Qty],T_TTAFStock_Log[Part Name],$A18,T_TTAFStock_Log[WeekIndex],81))</f>
        <v/>
      </c>
      <c r="CE18" s="12">
        <f>IF(COUNTIFS(T_TTAFStock_Log[Part Name],$A18,T_TTAFStock_Log[WeekIndex],82)=0,"",SUMIFS(T_TTAFStock_Log[TTAF_Qty],T_TTAFStock_Log[Part Name],$A18,T_TTAFStock_Log[WeekIndex],82))</f>
        <v/>
      </c>
      <c r="CF18" s="12">
        <f>IF(COUNTIFS(T_TTAFStock_Log[Part Name],$A18,T_TTAFStock_Log[WeekIndex],83)=0,"",SUMIFS(T_TTAFStock_Log[TTAF_Qty],T_TTAFStock_Log[Part Name],$A18,T_TTAFStock_Log[WeekIndex],83))</f>
        <v/>
      </c>
      <c r="CG18" s="12">
        <f>IF(COUNTIFS(T_TTAFStock_Log[Part Name],$A18,T_TTAFStock_Log[WeekIndex],84)=0,"",SUMIFS(T_TTAFStock_Log[TTAF_Qty],T_TTAFStock_Log[Part Name],$A18,T_TTAFStock_Log[WeekIndex],84))</f>
        <v/>
      </c>
      <c r="CH18" s="12">
        <f>IF(COUNTIFS(T_TTAFStock_Log[Part Name],$A18,T_TTAFStock_Log[WeekIndex],85)=0,"",SUMIFS(T_TTAFStock_Log[TTAF_Qty],T_TTAFStock_Log[Part Name],$A18,T_TTAFStock_Log[WeekIndex],85))</f>
        <v/>
      </c>
      <c r="CI18" s="12">
        <f>IF(COUNTIFS(T_TTAFStock_Log[Part Name],$A18,T_TTAFStock_Log[WeekIndex],86)=0,"",SUMIFS(T_TTAFStock_Log[TTAF_Qty],T_TTAFStock_Log[Part Name],$A18,T_TTAFStock_Log[WeekIndex],86))</f>
        <v/>
      </c>
      <c r="CJ18" s="12">
        <f>IF(COUNTIFS(T_TTAFStock_Log[Part Name],$A18,T_TTAFStock_Log[WeekIndex],87)=0,"",SUMIFS(T_TTAFStock_Log[TTAF_Qty],T_TTAFStock_Log[Part Name],$A18,T_TTAFStock_Log[WeekIndex],87))</f>
        <v/>
      </c>
      <c r="CK18" s="12">
        <f>IF(COUNTIFS(T_TTAFStock_Log[Part Name],$A18,T_TTAFStock_Log[WeekIndex],88)=0,"",SUMIFS(T_TTAFStock_Log[TTAF_Qty],T_TTAFStock_Log[Part Name],$A18,T_TTAFStock_Log[WeekIndex],88))</f>
        <v/>
      </c>
      <c r="CL18" s="12">
        <f>IF(COUNTIFS(T_TTAFStock_Log[Part Name],$A18,T_TTAFStock_Log[WeekIndex],89)=0,"",SUMIFS(T_TTAFStock_Log[TTAF_Qty],T_TTAFStock_Log[Part Name],$A18,T_TTAFStock_Log[WeekIndex],89))</f>
        <v/>
      </c>
      <c r="CM18" s="12">
        <f>IF(COUNTIFS(T_TTAFStock_Log[Part Name],$A18,T_TTAFStock_Log[WeekIndex],90)=0,"",SUMIFS(T_TTAFStock_Log[TTAF_Qty],T_TTAFStock_Log[Part Name],$A18,T_TTAFStock_Log[WeekIndex],90))</f>
        <v/>
      </c>
      <c r="CN18" s="12">
        <f>IF(COUNTIFS(T_TTAFStock_Log[Part Name],$A18,T_TTAFStock_Log[WeekIndex],91)=0,"",SUMIFS(T_TTAFStock_Log[TTAF_Qty],T_TTAFStock_Log[Part Name],$A18,T_TTAFStock_Log[WeekIndex],91))</f>
        <v/>
      </c>
      <c r="CO18" s="12">
        <f>IF(COUNTIFS(T_TTAFStock_Log[Part Name],$A18,T_TTAFStock_Log[WeekIndex],92)=0,"",SUMIFS(T_TTAFStock_Log[TTAF_Qty],T_TTAFStock_Log[Part Name],$A18,T_TTAFStock_Log[WeekIndex],92))</f>
        <v/>
      </c>
      <c r="CP18" s="12">
        <f>IF(COUNTIFS(T_TTAFStock_Log[Part Name],$A18,T_TTAFStock_Log[WeekIndex],93)=0,"",SUMIFS(T_TTAFStock_Log[TTAF_Qty],T_TTAFStock_Log[Part Name],$A18,T_TTAFStock_Log[WeekIndex],93))</f>
        <v/>
      </c>
      <c r="CQ18" s="12">
        <f>IF(COUNTIFS(T_TTAFStock_Log[Part Name],$A18,T_TTAFStock_Log[WeekIndex],94)=0,"",SUMIFS(T_TTAFStock_Log[TTAF_Qty],T_TTAFStock_Log[Part Name],$A18,T_TTAFStock_Log[WeekIndex],94))</f>
        <v/>
      </c>
      <c r="CR18" s="12">
        <f>IF(COUNTIFS(T_TTAFStock_Log[Part Name],$A18,T_TTAFStock_Log[WeekIndex],95)=0,"",SUMIFS(T_TTAFStock_Log[TTAF_Qty],T_TTAFStock_Log[Part Name],$A18,T_TTAFStock_Log[WeekIndex],95))</f>
        <v/>
      </c>
      <c r="CS18" s="12">
        <f>IF(COUNTIFS(T_TTAFStock_Log[Part Name],$A18,T_TTAFStock_Log[WeekIndex],96)=0,"",SUMIFS(T_TTAFStock_Log[TTAF_Qty],T_TTAFStock_Log[Part Name],$A18,T_TTAFStock_Log[WeekIndex],96))</f>
        <v/>
      </c>
      <c r="CT18" s="12">
        <f>IF(COUNTIFS(T_TTAFStock_Log[Part Name],$A18,T_TTAFStock_Log[WeekIndex],97)=0,"",SUMIFS(T_TTAFStock_Log[TTAF_Qty],T_TTAFStock_Log[Part Name],$A18,T_TTAFStock_Log[WeekIndex],97))</f>
        <v/>
      </c>
      <c r="CU18" s="12">
        <f>IF(COUNTIFS(T_TTAFStock_Log[Part Name],$A18,T_TTAFStock_Log[WeekIndex],98)=0,"",SUMIFS(T_TTAFStock_Log[TTAF_Qty],T_TTAFStock_Log[Part Name],$A18,T_TTAFStock_Log[WeekIndex],98))</f>
        <v/>
      </c>
      <c r="CV18" s="12">
        <f>IF(COUNTIFS(T_TTAFStock_Log[Part Name],$A18,T_TTAFStock_Log[WeekIndex],99)=0,"",SUMIFS(T_TTAFStock_Log[TTAF_Qty],T_TTAFStock_Log[Part Name],$A18,T_TTAFStock_Log[WeekIndex],99))</f>
        <v/>
      </c>
      <c r="CW18" s="12">
        <f>IF(COUNTIFS(T_TTAFStock_Log[Part Name],$A18,T_TTAFStock_Log[WeekIndex],100)=0,"",SUMIFS(T_TTAFStock_Log[TTAF_Qty],T_TTAFStock_Log[Part Name],$A18,T_TTAFStock_Log[WeekIndex],100))</f>
        <v/>
      </c>
      <c r="CX18" s="12">
        <f>IF(COUNTIFS(T_TTAFStock_Log[Part Name],$A18,T_TTAFStock_Log[WeekIndex],101)=0,"",SUMIFS(T_TTAFStock_Log[TTAF_Qty],T_TTAFStock_Log[Part Name],$A18,T_TTAFStock_Log[WeekIndex],101))</f>
        <v/>
      </c>
      <c r="CY18" s="12">
        <f>IF(COUNTIFS(T_TTAFStock_Log[Part Name],$A18,T_TTAFStock_Log[WeekIndex],102)=0,"",SUMIFS(T_TTAFStock_Log[TTAF_Qty],T_TTAFStock_Log[Part Name],$A18,T_TTAFStock_Log[WeekIndex],102))</f>
        <v/>
      </c>
      <c r="CZ18" s="12">
        <f>IF(COUNTIFS(T_TTAFStock_Log[Part Name],$A18,T_TTAFStock_Log[WeekIndex],103)=0,"",SUMIFS(T_TTAFStock_Log[TTAF_Qty],T_TTAFStock_Log[Part Name],$A18,T_TTAFStock_Log[WeekIndex],103))</f>
        <v/>
      </c>
      <c r="DA18" s="12">
        <f>IF(COUNTIFS(T_TTAFStock_Log[Part Name],$A18,T_TTAFStock_Log[WeekIndex],104)=0,"",SUMIFS(T_TTAFStock_Log[TTAF_Qty],T_TTAFStock_Log[Part Name],$A18,T_TTAFStock_Log[WeekIndex],104))</f>
        <v/>
      </c>
    </row>
    <row r="19">
      <c r="A19" s="13" t="inlineStr">
        <is>
          <t>CHEM-1400</t>
        </is>
      </c>
      <c r="B19" s="13">
        <f>IF(COUNTIFS(T_TTAFStock_Log[Part Name],$A19,T_TTAFStock_Log[WeekIndex],1)=0,"",SUMIFS(T_TTAFStock_Log[TTAF_Qty],T_TTAFStock_Log[Part Name],$A19,T_TTAFStock_Log[WeekIndex],1))</f>
        <v/>
      </c>
      <c r="C19" s="13">
        <f>IF(COUNTIFS(T_TTAFStock_Log[Part Name],$A19,T_TTAFStock_Log[WeekIndex],2)=0,"",SUMIFS(T_TTAFStock_Log[TTAF_Qty],T_TTAFStock_Log[Part Name],$A19,T_TTAFStock_Log[WeekIndex],2))</f>
        <v/>
      </c>
      <c r="D19" s="13">
        <f>IF(COUNTIFS(T_TTAFStock_Log[Part Name],$A19,T_TTAFStock_Log[WeekIndex],3)=0,"",SUMIFS(T_TTAFStock_Log[TTAF_Qty],T_TTAFStock_Log[Part Name],$A19,T_TTAFStock_Log[WeekIndex],3))</f>
        <v/>
      </c>
      <c r="E19" s="13">
        <f>IF(COUNTIFS(T_TTAFStock_Log[Part Name],$A19,T_TTAFStock_Log[WeekIndex],4)=0,"",SUMIFS(T_TTAFStock_Log[TTAF_Qty],T_TTAFStock_Log[Part Name],$A19,T_TTAFStock_Log[WeekIndex],4))</f>
        <v/>
      </c>
      <c r="F19" s="13">
        <f>IF(COUNTIFS(T_TTAFStock_Log[Part Name],$A19,T_TTAFStock_Log[WeekIndex],5)=0,"",SUMIFS(T_TTAFStock_Log[TTAF_Qty],T_TTAFStock_Log[Part Name],$A19,T_TTAFStock_Log[WeekIndex],5))</f>
        <v/>
      </c>
      <c r="G19" s="13">
        <f>IF(COUNTIFS(T_TTAFStock_Log[Part Name],$A19,T_TTAFStock_Log[WeekIndex],6)=0,"",SUMIFS(T_TTAFStock_Log[TTAF_Qty],T_TTAFStock_Log[Part Name],$A19,T_TTAFStock_Log[WeekIndex],6))</f>
        <v/>
      </c>
      <c r="H19" s="13">
        <f>IF(COUNTIFS(T_TTAFStock_Log[Part Name],$A19,T_TTAFStock_Log[WeekIndex],7)=0,"",SUMIFS(T_TTAFStock_Log[TTAF_Qty],T_TTAFStock_Log[Part Name],$A19,T_TTAFStock_Log[WeekIndex],7))</f>
        <v/>
      </c>
      <c r="I19" s="13">
        <f>IF(COUNTIFS(T_TTAFStock_Log[Part Name],$A19,T_TTAFStock_Log[WeekIndex],8)=0,"",SUMIFS(T_TTAFStock_Log[TTAF_Qty],T_TTAFStock_Log[Part Name],$A19,T_TTAFStock_Log[WeekIndex],8))</f>
        <v/>
      </c>
      <c r="J19" s="13">
        <f>IF(COUNTIFS(T_TTAFStock_Log[Part Name],$A19,T_TTAFStock_Log[WeekIndex],9)=0,"",SUMIFS(T_TTAFStock_Log[TTAF_Qty],T_TTAFStock_Log[Part Name],$A19,T_TTAFStock_Log[WeekIndex],9))</f>
        <v/>
      </c>
      <c r="K19" s="13">
        <f>IF(COUNTIFS(T_TTAFStock_Log[Part Name],$A19,T_TTAFStock_Log[WeekIndex],10)=0,"",SUMIFS(T_TTAFStock_Log[TTAF_Qty],T_TTAFStock_Log[Part Name],$A19,T_TTAFStock_Log[WeekIndex],10))</f>
        <v/>
      </c>
      <c r="L19" s="13">
        <f>IF(COUNTIFS(T_TTAFStock_Log[Part Name],$A19,T_TTAFStock_Log[WeekIndex],11)=0,"",SUMIFS(T_TTAFStock_Log[TTAF_Qty],T_TTAFStock_Log[Part Name],$A19,T_TTAFStock_Log[WeekIndex],11))</f>
        <v/>
      </c>
      <c r="M19" s="13">
        <f>IF(COUNTIFS(T_TTAFStock_Log[Part Name],$A19,T_TTAFStock_Log[WeekIndex],12)=0,"",SUMIFS(T_TTAFStock_Log[TTAF_Qty],T_TTAFStock_Log[Part Name],$A19,T_TTAFStock_Log[WeekIndex],12))</f>
        <v/>
      </c>
      <c r="N19" s="13">
        <f>IF(COUNTIFS(T_TTAFStock_Log[Part Name],$A19,T_TTAFStock_Log[WeekIndex],13)=0,"",SUMIFS(T_TTAFStock_Log[TTAF_Qty],T_TTAFStock_Log[Part Name],$A19,T_TTAFStock_Log[WeekIndex],13))</f>
        <v/>
      </c>
      <c r="O19" s="13">
        <f>IF(COUNTIFS(T_TTAFStock_Log[Part Name],$A19,T_TTAFStock_Log[WeekIndex],14)=0,"",SUMIFS(T_TTAFStock_Log[TTAF_Qty],T_TTAFStock_Log[Part Name],$A19,T_TTAFStock_Log[WeekIndex],14))</f>
        <v/>
      </c>
      <c r="P19" s="13">
        <f>IF(COUNTIFS(T_TTAFStock_Log[Part Name],$A19,T_TTAFStock_Log[WeekIndex],15)=0,"",SUMIFS(T_TTAFStock_Log[TTAF_Qty],T_TTAFStock_Log[Part Name],$A19,T_TTAFStock_Log[WeekIndex],15))</f>
        <v/>
      </c>
      <c r="Q19" s="13">
        <f>IF(COUNTIFS(T_TTAFStock_Log[Part Name],$A19,T_TTAFStock_Log[WeekIndex],16)=0,"",SUMIFS(T_TTAFStock_Log[TTAF_Qty],T_TTAFStock_Log[Part Name],$A19,T_TTAFStock_Log[WeekIndex],16))</f>
        <v/>
      </c>
      <c r="R19" s="13">
        <f>IF(COUNTIFS(T_TTAFStock_Log[Part Name],$A19,T_TTAFStock_Log[WeekIndex],17)=0,"",SUMIFS(T_TTAFStock_Log[TTAF_Qty],T_TTAFStock_Log[Part Name],$A19,T_TTAFStock_Log[WeekIndex],17))</f>
        <v/>
      </c>
      <c r="S19" s="13">
        <f>IF(COUNTIFS(T_TTAFStock_Log[Part Name],$A19,T_TTAFStock_Log[WeekIndex],18)=0,"",SUMIFS(T_TTAFStock_Log[TTAF_Qty],T_TTAFStock_Log[Part Name],$A19,T_TTAFStock_Log[WeekIndex],18))</f>
        <v/>
      </c>
      <c r="T19" s="13">
        <f>IF(COUNTIFS(T_TTAFStock_Log[Part Name],$A19,T_TTAFStock_Log[WeekIndex],19)=0,"",SUMIFS(T_TTAFStock_Log[TTAF_Qty],T_TTAFStock_Log[Part Name],$A19,T_TTAFStock_Log[WeekIndex],19))</f>
        <v/>
      </c>
      <c r="U19" s="13">
        <f>IF(COUNTIFS(T_TTAFStock_Log[Part Name],$A19,T_TTAFStock_Log[WeekIndex],20)=0,"",SUMIFS(T_TTAFStock_Log[TTAF_Qty],T_TTAFStock_Log[Part Name],$A19,T_TTAFStock_Log[WeekIndex],20))</f>
        <v/>
      </c>
      <c r="V19" s="13">
        <f>IF(COUNTIFS(T_TTAFStock_Log[Part Name],$A19,T_TTAFStock_Log[WeekIndex],21)=0,"",SUMIFS(T_TTAFStock_Log[TTAF_Qty],T_TTAFStock_Log[Part Name],$A19,T_TTAFStock_Log[WeekIndex],21))</f>
        <v/>
      </c>
      <c r="W19" s="13">
        <f>IF(COUNTIFS(T_TTAFStock_Log[Part Name],$A19,T_TTAFStock_Log[WeekIndex],22)=0,"",SUMIFS(T_TTAFStock_Log[TTAF_Qty],T_TTAFStock_Log[Part Name],$A19,T_TTAFStock_Log[WeekIndex],22))</f>
        <v/>
      </c>
      <c r="X19" s="13">
        <f>IF(COUNTIFS(T_TTAFStock_Log[Part Name],$A19,T_TTAFStock_Log[WeekIndex],23)=0,"",SUMIFS(T_TTAFStock_Log[TTAF_Qty],T_TTAFStock_Log[Part Name],$A19,T_TTAFStock_Log[WeekIndex],23))</f>
        <v/>
      </c>
      <c r="Y19" s="13">
        <f>IF(COUNTIFS(T_TTAFStock_Log[Part Name],$A19,T_TTAFStock_Log[WeekIndex],24)=0,"",SUMIFS(T_TTAFStock_Log[TTAF_Qty],T_TTAFStock_Log[Part Name],$A19,T_TTAFStock_Log[WeekIndex],24))</f>
        <v/>
      </c>
      <c r="Z19" s="13">
        <f>IF(COUNTIFS(T_TTAFStock_Log[Part Name],$A19,T_TTAFStock_Log[WeekIndex],25)=0,"",SUMIFS(T_TTAFStock_Log[TTAF_Qty],T_TTAFStock_Log[Part Name],$A19,T_TTAFStock_Log[WeekIndex],25))</f>
        <v/>
      </c>
      <c r="AA19" s="13">
        <f>IF(COUNTIFS(T_TTAFStock_Log[Part Name],$A19,T_TTAFStock_Log[WeekIndex],26)=0,"",SUMIFS(T_TTAFStock_Log[TTAF_Qty],T_TTAFStock_Log[Part Name],$A19,T_TTAFStock_Log[WeekIndex],26))</f>
        <v/>
      </c>
      <c r="AB19" s="13">
        <f>IF(COUNTIFS(T_TTAFStock_Log[Part Name],$A19,T_TTAFStock_Log[WeekIndex],27)=0,"",SUMIFS(T_TTAFStock_Log[TTAF_Qty],T_TTAFStock_Log[Part Name],$A19,T_TTAFStock_Log[WeekIndex],27))</f>
        <v/>
      </c>
      <c r="AC19" s="13">
        <f>IF(COUNTIFS(T_TTAFStock_Log[Part Name],$A19,T_TTAFStock_Log[WeekIndex],28)=0,"",SUMIFS(T_TTAFStock_Log[TTAF_Qty],T_TTAFStock_Log[Part Name],$A19,T_TTAFStock_Log[WeekIndex],28))</f>
        <v/>
      </c>
      <c r="AD19" s="13">
        <f>IF(COUNTIFS(T_TTAFStock_Log[Part Name],$A19,T_TTAFStock_Log[WeekIndex],29)=0,"",SUMIFS(T_TTAFStock_Log[TTAF_Qty],T_TTAFStock_Log[Part Name],$A19,T_TTAFStock_Log[WeekIndex],29))</f>
        <v/>
      </c>
      <c r="AE19" s="13">
        <f>IF(COUNTIFS(T_TTAFStock_Log[Part Name],$A19,T_TTAFStock_Log[WeekIndex],30)=0,"",SUMIFS(T_TTAFStock_Log[TTAF_Qty],T_TTAFStock_Log[Part Name],$A19,T_TTAFStock_Log[WeekIndex],30))</f>
        <v/>
      </c>
      <c r="AF19" s="13">
        <f>IF(COUNTIFS(T_TTAFStock_Log[Part Name],$A19,T_TTAFStock_Log[WeekIndex],31)=0,"",SUMIFS(T_TTAFStock_Log[TTAF_Qty],T_TTAFStock_Log[Part Name],$A19,T_TTAFStock_Log[WeekIndex],31))</f>
        <v/>
      </c>
      <c r="AG19" s="13">
        <f>IF(COUNTIFS(T_TTAFStock_Log[Part Name],$A19,T_TTAFStock_Log[WeekIndex],32)=0,"",SUMIFS(T_TTAFStock_Log[TTAF_Qty],T_TTAFStock_Log[Part Name],$A19,T_TTAFStock_Log[WeekIndex],32))</f>
        <v/>
      </c>
      <c r="AH19" s="13">
        <f>IF(COUNTIFS(T_TTAFStock_Log[Part Name],$A19,T_TTAFStock_Log[WeekIndex],33)=0,"",SUMIFS(T_TTAFStock_Log[TTAF_Qty],T_TTAFStock_Log[Part Name],$A19,T_TTAFStock_Log[WeekIndex],33))</f>
        <v/>
      </c>
      <c r="AI19" s="13">
        <f>IF(COUNTIFS(T_TTAFStock_Log[Part Name],$A19,T_TTAFStock_Log[WeekIndex],34)=0,"",SUMIFS(T_TTAFStock_Log[TTAF_Qty],T_TTAFStock_Log[Part Name],$A19,T_TTAFStock_Log[WeekIndex],34))</f>
        <v/>
      </c>
      <c r="AJ19" s="13">
        <f>IF(COUNTIFS(T_TTAFStock_Log[Part Name],$A19,T_TTAFStock_Log[WeekIndex],35)=0,"",SUMIFS(T_TTAFStock_Log[TTAF_Qty],T_TTAFStock_Log[Part Name],$A19,T_TTAFStock_Log[WeekIndex],35))</f>
        <v/>
      </c>
      <c r="AK19" s="13">
        <f>IF(COUNTIFS(T_TTAFStock_Log[Part Name],$A19,T_TTAFStock_Log[WeekIndex],36)=0,"",SUMIFS(T_TTAFStock_Log[TTAF_Qty],T_TTAFStock_Log[Part Name],$A19,T_TTAFStock_Log[WeekIndex],36))</f>
        <v/>
      </c>
      <c r="AL19" s="13">
        <f>IF(COUNTIFS(T_TTAFStock_Log[Part Name],$A19,T_TTAFStock_Log[WeekIndex],37)=0,"",SUMIFS(T_TTAFStock_Log[TTAF_Qty],T_TTAFStock_Log[Part Name],$A19,T_TTAFStock_Log[WeekIndex],37))</f>
        <v/>
      </c>
      <c r="AM19" s="13">
        <f>IF(COUNTIFS(T_TTAFStock_Log[Part Name],$A19,T_TTAFStock_Log[WeekIndex],38)=0,"",SUMIFS(T_TTAFStock_Log[TTAF_Qty],T_TTAFStock_Log[Part Name],$A19,T_TTAFStock_Log[WeekIndex],38))</f>
        <v/>
      </c>
      <c r="AN19" s="13">
        <f>IF(COUNTIFS(T_TTAFStock_Log[Part Name],$A19,T_TTAFStock_Log[WeekIndex],39)=0,"",SUMIFS(T_TTAFStock_Log[TTAF_Qty],T_TTAFStock_Log[Part Name],$A19,T_TTAFStock_Log[WeekIndex],39))</f>
        <v/>
      </c>
      <c r="AO19" s="13">
        <f>IF(COUNTIFS(T_TTAFStock_Log[Part Name],$A19,T_TTAFStock_Log[WeekIndex],40)=0,"",SUMIFS(T_TTAFStock_Log[TTAF_Qty],T_TTAFStock_Log[Part Name],$A19,T_TTAFStock_Log[WeekIndex],40))</f>
        <v/>
      </c>
      <c r="AP19" s="13">
        <f>IF(COUNTIFS(T_TTAFStock_Log[Part Name],$A19,T_TTAFStock_Log[WeekIndex],41)=0,"",SUMIFS(T_TTAFStock_Log[TTAF_Qty],T_TTAFStock_Log[Part Name],$A19,T_TTAFStock_Log[WeekIndex],41))</f>
        <v/>
      </c>
      <c r="AQ19" s="13">
        <f>IF(COUNTIFS(T_TTAFStock_Log[Part Name],$A19,T_TTAFStock_Log[WeekIndex],42)=0,"",SUMIFS(T_TTAFStock_Log[TTAF_Qty],T_TTAFStock_Log[Part Name],$A19,T_TTAFStock_Log[WeekIndex],42))</f>
        <v/>
      </c>
      <c r="AR19" s="13">
        <f>IF(COUNTIFS(T_TTAFStock_Log[Part Name],$A19,T_TTAFStock_Log[WeekIndex],43)=0,"",SUMIFS(T_TTAFStock_Log[TTAF_Qty],T_TTAFStock_Log[Part Name],$A19,T_TTAFStock_Log[WeekIndex],43))</f>
        <v/>
      </c>
      <c r="AS19" s="13">
        <f>IF(COUNTIFS(T_TTAFStock_Log[Part Name],$A19,T_TTAFStock_Log[WeekIndex],44)=0,"",SUMIFS(T_TTAFStock_Log[TTAF_Qty],T_TTAFStock_Log[Part Name],$A19,T_TTAFStock_Log[WeekIndex],44))</f>
        <v/>
      </c>
      <c r="AT19" s="13">
        <f>IF(COUNTIFS(T_TTAFStock_Log[Part Name],$A19,T_TTAFStock_Log[WeekIndex],45)=0,"",SUMIFS(T_TTAFStock_Log[TTAF_Qty],T_TTAFStock_Log[Part Name],$A19,T_TTAFStock_Log[WeekIndex],45))</f>
        <v/>
      </c>
      <c r="AU19" s="13">
        <f>IF(COUNTIFS(T_TTAFStock_Log[Part Name],$A19,T_TTAFStock_Log[WeekIndex],46)=0,"",SUMIFS(T_TTAFStock_Log[TTAF_Qty],T_TTAFStock_Log[Part Name],$A19,T_TTAFStock_Log[WeekIndex],46))</f>
        <v/>
      </c>
      <c r="AV19" s="13">
        <f>IF(COUNTIFS(T_TTAFStock_Log[Part Name],$A19,T_TTAFStock_Log[WeekIndex],47)=0,"",SUMIFS(T_TTAFStock_Log[TTAF_Qty],T_TTAFStock_Log[Part Name],$A19,T_TTAFStock_Log[WeekIndex],47))</f>
        <v/>
      </c>
      <c r="AW19" s="13">
        <f>IF(COUNTIFS(T_TTAFStock_Log[Part Name],$A19,T_TTAFStock_Log[WeekIndex],48)=0,"",SUMIFS(T_TTAFStock_Log[TTAF_Qty],T_TTAFStock_Log[Part Name],$A19,T_TTAFStock_Log[WeekIndex],48))</f>
        <v/>
      </c>
      <c r="AX19" s="13">
        <f>IF(COUNTIFS(T_TTAFStock_Log[Part Name],$A19,T_TTAFStock_Log[WeekIndex],49)=0,"",SUMIFS(T_TTAFStock_Log[TTAF_Qty],T_TTAFStock_Log[Part Name],$A19,T_TTAFStock_Log[WeekIndex],49))</f>
        <v/>
      </c>
      <c r="AY19" s="13">
        <f>IF(COUNTIFS(T_TTAFStock_Log[Part Name],$A19,T_TTAFStock_Log[WeekIndex],50)=0,"",SUMIFS(T_TTAFStock_Log[TTAF_Qty],T_TTAFStock_Log[Part Name],$A19,T_TTAFStock_Log[WeekIndex],50))</f>
        <v/>
      </c>
      <c r="AZ19" s="13">
        <f>IF(COUNTIFS(T_TTAFStock_Log[Part Name],$A19,T_TTAFStock_Log[WeekIndex],51)=0,"",SUMIFS(T_TTAFStock_Log[TTAF_Qty],T_TTAFStock_Log[Part Name],$A19,T_TTAFStock_Log[WeekIndex],51))</f>
        <v/>
      </c>
      <c r="BA19" s="13">
        <f>IF(COUNTIFS(T_TTAFStock_Log[Part Name],$A19,T_TTAFStock_Log[WeekIndex],52)=0,"",SUMIFS(T_TTAFStock_Log[TTAF_Qty],T_TTAFStock_Log[Part Name],$A19,T_TTAFStock_Log[WeekIndex],52))</f>
        <v/>
      </c>
      <c r="BB19" s="13">
        <f>IF(COUNTIFS(T_TTAFStock_Log[Part Name],$A19,T_TTAFStock_Log[WeekIndex],53)=0,"",SUMIFS(T_TTAFStock_Log[TTAF_Qty],T_TTAFStock_Log[Part Name],$A19,T_TTAFStock_Log[WeekIndex],53))</f>
        <v/>
      </c>
      <c r="BC19" s="13">
        <f>IF(COUNTIFS(T_TTAFStock_Log[Part Name],$A19,T_TTAFStock_Log[WeekIndex],54)=0,"",SUMIFS(T_TTAFStock_Log[TTAF_Qty],T_TTAFStock_Log[Part Name],$A19,T_TTAFStock_Log[WeekIndex],54))</f>
        <v/>
      </c>
      <c r="BD19" s="13">
        <f>IF(COUNTIFS(T_TTAFStock_Log[Part Name],$A19,T_TTAFStock_Log[WeekIndex],55)=0,"",SUMIFS(T_TTAFStock_Log[TTAF_Qty],T_TTAFStock_Log[Part Name],$A19,T_TTAFStock_Log[WeekIndex],55))</f>
        <v/>
      </c>
      <c r="BE19" s="13">
        <f>IF(COUNTIFS(T_TTAFStock_Log[Part Name],$A19,T_TTAFStock_Log[WeekIndex],56)=0,"",SUMIFS(T_TTAFStock_Log[TTAF_Qty],T_TTAFStock_Log[Part Name],$A19,T_TTAFStock_Log[WeekIndex],56))</f>
        <v/>
      </c>
      <c r="BF19" s="13">
        <f>IF(COUNTIFS(T_TTAFStock_Log[Part Name],$A19,T_TTAFStock_Log[WeekIndex],57)=0,"",SUMIFS(T_TTAFStock_Log[TTAF_Qty],T_TTAFStock_Log[Part Name],$A19,T_TTAFStock_Log[WeekIndex],57))</f>
        <v/>
      </c>
      <c r="BG19" s="13">
        <f>IF(COUNTIFS(T_TTAFStock_Log[Part Name],$A19,T_TTAFStock_Log[WeekIndex],58)=0,"",SUMIFS(T_TTAFStock_Log[TTAF_Qty],T_TTAFStock_Log[Part Name],$A19,T_TTAFStock_Log[WeekIndex],58))</f>
        <v/>
      </c>
      <c r="BH19" s="13">
        <f>IF(COUNTIFS(T_TTAFStock_Log[Part Name],$A19,T_TTAFStock_Log[WeekIndex],59)=0,"",SUMIFS(T_TTAFStock_Log[TTAF_Qty],T_TTAFStock_Log[Part Name],$A19,T_TTAFStock_Log[WeekIndex],59))</f>
        <v/>
      </c>
      <c r="BI19" s="13">
        <f>IF(COUNTIFS(T_TTAFStock_Log[Part Name],$A19,T_TTAFStock_Log[WeekIndex],60)=0,"",SUMIFS(T_TTAFStock_Log[TTAF_Qty],T_TTAFStock_Log[Part Name],$A19,T_TTAFStock_Log[WeekIndex],60))</f>
        <v/>
      </c>
      <c r="BJ19" s="13">
        <f>IF(COUNTIFS(T_TTAFStock_Log[Part Name],$A19,T_TTAFStock_Log[WeekIndex],61)=0,"",SUMIFS(T_TTAFStock_Log[TTAF_Qty],T_TTAFStock_Log[Part Name],$A19,T_TTAFStock_Log[WeekIndex],61))</f>
        <v/>
      </c>
      <c r="BK19" s="13">
        <f>IF(COUNTIFS(T_TTAFStock_Log[Part Name],$A19,T_TTAFStock_Log[WeekIndex],62)=0,"",SUMIFS(T_TTAFStock_Log[TTAF_Qty],T_TTAFStock_Log[Part Name],$A19,T_TTAFStock_Log[WeekIndex],62))</f>
        <v/>
      </c>
      <c r="BL19" s="13">
        <f>IF(COUNTIFS(T_TTAFStock_Log[Part Name],$A19,T_TTAFStock_Log[WeekIndex],63)=0,"",SUMIFS(T_TTAFStock_Log[TTAF_Qty],T_TTAFStock_Log[Part Name],$A19,T_TTAFStock_Log[WeekIndex],63))</f>
        <v/>
      </c>
      <c r="BM19" s="13">
        <f>IF(COUNTIFS(T_TTAFStock_Log[Part Name],$A19,T_TTAFStock_Log[WeekIndex],64)=0,"",SUMIFS(T_TTAFStock_Log[TTAF_Qty],T_TTAFStock_Log[Part Name],$A19,T_TTAFStock_Log[WeekIndex],64))</f>
        <v/>
      </c>
      <c r="BN19" s="13">
        <f>IF(COUNTIFS(T_TTAFStock_Log[Part Name],$A19,T_TTAFStock_Log[WeekIndex],65)=0,"",SUMIFS(T_TTAFStock_Log[TTAF_Qty],T_TTAFStock_Log[Part Name],$A19,T_TTAFStock_Log[WeekIndex],65))</f>
        <v/>
      </c>
      <c r="BO19" s="13">
        <f>IF(COUNTIFS(T_TTAFStock_Log[Part Name],$A19,T_TTAFStock_Log[WeekIndex],66)=0,"",SUMIFS(T_TTAFStock_Log[TTAF_Qty],T_TTAFStock_Log[Part Name],$A19,T_TTAFStock_Log[WeekIndex],66))</f>
        <v/>
      </c>
      <c r="BP19" s="13">
        <f>IF(COUNTIFS(T_TTAFStock_Log[Part Name],$A19,T_TTAFStock_Log[WeekIndex],67)=0,"",SUMIFS(T_TTAFStock_Log[TTAF_Qty],T_TTAFStock_Log[Part Name],$A19,T_TTAFStock_Log[WeekIndex],67))</f>
        <v/>
      </c>
      <c r="BQ19" s="13">
        <f>IF(COUNTIFS(T_TTAFStock_Log[Part Name],$A19,T_TTAFStock_Log[WeekIndex],68)=0,"",SUMIFS(T_TTAFStock_Log[TTAF_Qty],T_TTAFStock_Log[Part Name],$A19,T_TTAFStock_Log[WeekIndex],68))</f>
        <v/>
      </c>
      <c r="BR19" s="13">
        <f>IF(COUNTIFS(T_TTAFStock_Log[Part Name],$A19,T_TTAFStock_Log[WeekIndex],69)=0,"",SUMIFS(T_TTAFStock_Log[TTAF_Qty],T_TTAFStock_Log[Part Name],$A19,T_TTAFStock_Log[WeekIndex],69))</f>
        <v/>
      </c>
      <c r="BS19" s="13">
        <f>IF(COUNTIFS(T_TTAFStock_Log[Part Name],$A19,T_TTAFStock_Log[WeekIndex],70)=0,"",SUMIFS(T_TTAFStock_Log[TTAF_Qty],T_TTAFStock_Log[Part Name],$A19,T_TTAFStock_Log[WeekIndex],70))</f>
        <v/>
      </c>
      <c r="BT19" s="13">
        <f>IF(COUNTIFS(T_TTAFStock_Log[Part Name],$A19,T_TTAFStock_Log[WeekIndex],71)=0,"",SUMIFS(T_TTAFStock_Log[TTAF_Qty],T_TTAFStock_Log[Part Name],$A19,T_TTAFStock_Log[WeekIndex],71))</f>
        <v/>
      </c>
      <c r="BU19" s="13">
        <f>IF(COUNTIFS(T_TTAFStock_Log[Part Name],$A19,T_TTAFStock_Log[WeekIndex],72)=0,"",SUMIFS(T_TTAFStock_Log[TTAF_Qty],T_TTAFStock_Log[Part Name],$A19,T_TTAFStock_Log[WeekIndex],72))</f>
        <v/>
      </c>
      <c r="BV19" s="13">
        <f>IF(COUNTIFS(T_TTAFStock_Log[Part Name],$A19,T_TTAFStock_Log[WeekIndex],73)=0,"",SUMIFS(T_TTAFStock_Log[TTAF_Qty],T_TTAFStock_Log[Part Name],$A19,T_TTAFStock_Log[WeekIndex],73))</f>
        <v/>
      </c>
      <c r="BW19" s="13">
        <f>IF(COUNTIFS(T_TTAFStock_Log[Part Name],$A19,T_TTAFStock_Log[WeekIndex],74)=0,"",SUMIFS(T_TTAFStock_Log[TTAF_Qty],T_TTAFStock_Log[Part Name],$A19,T_TTAFStock_Log[WeekIndex],74))</f>
        <v/>
      </c>
      <c r="BX19" s="13">
        <f>IF(COUNTIFS(T_TTAFStock_Log[Part Name],$A19,T_TTAFStock_Log[WeekIndex],75)=0,"",SUMIFS(T_TTAFStock_Log[TTAF_Qty],T_TTAFStock_Log[Part Name],$A19,T_TTAFStock_Log[WeekIndex],75))</f>
        <v/>
      </c>
      <c r="BY19" s="13">
        <f>IF(COUNTIFS(T_TTAFStock_Log[Part Name],$A19,T_TTAFStock_Log[WeekIndex],76)=0,"",SUMIFS(T_TTAFStock_Log[TTAF_Qty],T_TTAFStock_Log[Part Name],$A19,T_TTAFStock_Log[WeekIndex],76))</f>
        <v/>
      </c>
      <c r="BZ19" s="13">
        <f>IF(COUNTIFS(T_TTAFStock_Log[Part Name],$A19,T_TTAFStock_Log[WeekIndex],77)=0,"",SUMIFS(T_TTAFStock_Log[TTAF_Qty],T_TTAFStock_Log[Part Name],$A19,T_TTAFStock_Log[WeekIndex],77))</f>
        <v/>
      </c>
      <c r="CA19" s="13">
        <f>IF(COUNTIFS(T_TTAFStock_Log[Part Name],$A19,T_TTAFStock_Log[WeekIndex],78)=0,"",SUMIFS(T_TTAFStock_Log[TTAF_Qty],T_TTAFStock_Log[Part Name],$A19,T_TTAFStock_Log[WeekIndex],78))</f>
        <v/>
      </c>
      <c r="CB19" s="13">
        <f>IF(COUNTIFS(T_TTAFStock_Log[Part Name],$A19,T_TTAFStock_Log[WeekIndex],79)=0,"",SUMIFS(T_TTAFStock_Log[TTAF_Qty],T_TTAFStock_Log[Part Name],$A19,T_TTAFStock_Log[WeekIndex],79))</f>
        <v/>
      </c>
      <c r="CC19" s="13">
        <f>IF(COUNTIFS(T_TTAFStock_Log[Part Name],$A19,T_TTAFStock_Log[WeekIndex],80)=0,"",SUMIFS(T_TTAFStock_Log[TTAF_Qty],T_TTAFStock_Log[Part Name],$A19,T_TTAFStock_Log[WeekIndex],80))</f>
        <v/>
      </c>
      <c r="CD19" s="13">
        <f>IF(COUNTIFS(T_TTAFStock_Log[Part Name],$A19,T_TTAFStock_Log[WeekIndex],81)=0,"",SUMIFS(T_TTAFStock_Log[TTAF_Qty],T_TTAFStock_Log[Part Name],$A19,T_TTAFStock_Log[WeekIndex],81))</f>
        <v/>
      </c>
      <c r="CE19" s="13">
        <f>IF(COUNTIFS(T_TTAFStock_Log[Part Name],$A19,T_TTAFStock_Log[WeekIndex],82)=0,"",SUMIFS(T_TTAFStock_Log[TTAF_Qty],T_TTAFStock_Log[Part Name],$A19,T_TTAFStock_Log[WeekIndex],82))</f>
        <v/>
      </c>
      <c r="CF19" s="13">
        <f>IF(COUNTIFS(T_TTAFStock_Log[Part Name],$A19,T_TTAFStock_Log[WeekIndex],83)=0,"",SUMIFS(T_TTAFStock_Log[TTAF_Qty],T_TTAFStock_Log[Part Name],$A19,T_TTAFStock_Log[WeekIndex],83))</f>
        <v/>
      </c>
      <c r="CG19" s="13">
        <f>IF(COUNTIFS(T_TTAFStock_Log[Part Name],$A19,T_TTAFStock_Log[WeekIndex],84)=0,"",SUMIFS(T_TTAFStock_Log[TTAF_Qty],T_TTAFStock_Log[Part Name],$A19,T_TTAFStock_Log[WeekIndex],84))</f>
        <v/>
      </c>
      <c r="CH19" s="13">
        <f>IF(COUNTIFS(T_TTAFStock_Log[Part Name],$A19,T_TTAFStock_Log[WeekIndex],85)=0,"",SUMIFS(T_TTAFStock_Log[TTAF_Qty],T_TTAFStock_Log[Part Name],$A19,T_TTAFStock_Log[WeekIndex],85))</f>
        <v/>
      </c>
      <c r="CI19" s="13">
        <f>IF(COUNTIFS(T_TTAFStock_Log[Part Name],$A19,T_TTAFStock_Log[WeekIndex],86)=0,"",SUMIFS(T_TTAFStock_Log[TTAF_Qty],T_TTAFStock_Log[Part Name],$A19,T_TTAFStock_Log[WeekIndex],86))</f>
        <v/>
      </c>
      <c r="CJ19" s="13">
        <f>IF(COUNTIFS(T_TTAFStock_Log[Part Name],$A19,T_TTAFStock_Log[WeekIndex],87)=0,"",SUMIFS(T_TTAFStock_Log[TTAF_Qty],T_TTAFStock_Log[Part Name],$A19,T_TTAFStock_Log[WeekIndex],87))</f>
        <v/>
      </c>
      <c r="CK19" s="13">
        <f>IF(COUNTIFS(T_TTAFStock_Log[Part Name],$A19,T_TTAFStock_Log[WeekIndex],88)=0,"",SUMIFS(T_TTAFStock_Log[TTAF_Qty],T_TTAFStock_Log[Part Name],$A19,T_TTAFStock_Log[WeekIndex],88))</f>
        <v/>
      </c>
      <c r="CL19" s="13">
        <f>IF(COUNTIFS(T_TTAFStock_Log[Part Name],$A19,T_TTAFStock_Log[WeekIndex],89)=0,"",SUMIFS(T_TTAFStock_Log[TTAF_Qty],T_TTAFStock_Log[Part Name],$A19,T_TTAFStock_Log[WeekIndex],89))</f>
        <v/>
      </c>
      <c r="CM19" s="13">
        <f>IF(COUNTIFS(T_TTAFStock_Log[Part Name],$A19,T_TTAFStock_Log[WeekIndex],90)=0,"",SUMIFS(T_TTAFStock_Log[TTAF_Qty],T_TTAFStock_Log[Part Name],$A19,T_TTAFStock_Log[WeekIndex],90))</f>
        <v/>
      </c>
      <c r="CN19" s="13">
        <f>IF(COUNTIFS(T_TTAFStock_Log[Part Name],$A19,T_TTAFStock_Log[WeekIndex],91)=0,"",SUMIFS(T_TTAFStock_Log[TTAF_Qty],T_TTAFStock_Log[Part Name],$A19,T_TTAFStock_Log[WeekIndex],91))</f>
        <v/>
      </c>
      <c r="CO19" s="13">
        <f>IF(COUNTIFS(T_TTAFStock_Log[Part Name],$A19,T_TTAFStock_Log[WeekIndex],92)=0,"",SUMIFS(T_TTAFStock_Log[TTAF_Qty],T_TTAFStock_Log[Part Name],$A19,T_TTAFStock_Log[WeekIndex],92))</f>
        <v/>
      </c>
      <c r="CP19" s="13">
        <f>IF(COUNTIFS(T_TTAFStock_Log[Part Name],$A19,T_TTAFStock_Log[WeekIndex],93)=0,"",SUMIFS(T_TTAFStock_Log[TTAF_Qty],T_TTAFStock_Log[Part Name],$A19,T_TTAFStock_Log[WeekIndex],93))</f>
        <v/>
      </c>
      <c r="CQ19" s="13">
        <f>IF(COUNTIFS(T_TTAFStock_Log[Part Name],$A19,T_TTAFStock_Log[WeekIndex],94)=0,"",SUMIFS(T_TTAFStock_Log[TTAF_Qty],T_TTAFStock_Log[Part Name],$A19,T_TTAFStock_Log[WeekIndex],94))</f>
        <v/>
      </c>
      <c r="CR19" s="13">
        <f>IF(COUNTIFS(T_TTAFStock_Log[Part Name],$A19,T_TTAFStock_Log[WeekIndex],95)=0,"",SUMIFS(T_TTAFStock_Log[TTAF_Qty],T_TTAFStock_Log[Part Name],$A19,T_TTAFStock_Log[WeekIndex],95))</f>
        <v/>
      </c>
      <c r="CS19" s="13">
        <f>IF(COUNTIFS(T_TTAFStock_Log[Part Name],$A19,T_TTAFStock_Log[WeekIndex],96)=0,"",SUMIFS(T_TTAFStock_Log[TTAF_Qty],T_TTAFStock_Log[Part Name],$A19,T_TTAFStock_Log[WeekIndex],96))</f>
        <v/>
      </c>
      <c r="CT19" s="13">
        <f>IF(COUNTIFS(T_TTAFStock_Log[Part Name],$A19,T_TTAFStock_Log[WeekIndex],97)=0,"",SUMIFS(T_TTAFStock_Log[TTAF_Qty],T_TTAFStock_Log[Part Name],$A19,T_TTAFStock_Log[WeekIndex],97))</f>
        <v/>
      </c>
      <c r="CU19" s="13">
        <f>IF(COUNTIFS(T_TTAFStock_Log[Part Name],$A19,T_TTAFStock_Log[WeekIndex],98)=0,"",SUMIFS(T_TTAFStock_Log[TTAF_Qty],T_TTAFStock_Log[Part Name],$A19,T_TTAFStock_Log[WeekIndex],98))</f>
        <v/>
      </c>
      <c r="CV19" s="13">
        <f>IF(COUNTIFS(T_TTAFStock_Log[Part Name],$A19,T_TTAFStock_Log[WeekIndex],99)=0,"",SUMIFS(T_TTAFStock_Log[TTAF_Qty],T_TTAFStock_Log[Part Name],$A19,T_TTAFStock_Log[WeekIndex],99))</f>
        <v/>
      </c>
      <c r="CW19" s="13">
        <f>IF(COUNTIFS(T_TTAFStock_Log[Part Name],$A19,T_TTAFStock_Log[WeekIndex],100)=0,"",SUMIFS(T_TTAFStock_Log[TTAF_Qty],T_TTAFStock_Log[Part Name],$A19,T_TTAFStock_Log[WeekIndex],100))</f>
        <v/>
      </c>
      <c r="CX19" s="13">
        <f>IF(COUNTIFS(T_TTAFStock_Log[Part Name],$A19,T_TTAFStock_Log[WeekIndex],101)=0,"",SUMIFS(T_TTAFStock_Log[TTAF_Qty],T_TTAFStock_Log[Part Name],$A19,T_TTAFStock_Log[WeekIndex],101))</f>
        <v/>
      </c>
      <c r="CY19" s="13">
        <f>IF(COUNTIFS(T_TTAFStock_Log[Part Name],$A19,T_TTAFStock_Log[WeekIndex],102)=0,"",SUMIFS(T_TTAFStock_Log[TTAF_Qty],T_TTAFStock_Log[Part Name],$A19,T_TTAFStock_Log[WeekIndex],102))</f>
        <v/>
      </c>
      <c r="CZ19" s="13">
        <f>IF(COUNTIFS(T_TTAFStock_Log[Part Name],$A19,T_TTAFStock_Log[WeekIndex],103)=0,"",SUMIFS(T_TTAFStock_Log[TTAF_Qty],T_TTAFStock_Log[Part Name],$A19,T_TTAFStock_Log[WeekIndex],103))</f>
        <v/>
      </c>
      <c r="DA19" s="13">
        <f>IF(COUNTIFS(T_TTAFStock_Log[Part Name],$A19,T_TTAFStock_Log[WeekIndex],104)=0,"",SUMIFS(T_TTAFStock_Log[TTAF_Qty],T_TTAFStock_Log[Part Name],$A19,T_TTAFStock_Log[WeekIndex],104))</f>
        <v/>
      </c>
    </row>
    <row r="20">
      <c r="A20" s="12" t="inlineStr">
        <is>
          <t>CHEM-1570</t>
        </is>
      </c>
      <c r="B20" s="12">
        <f>IF(COUNTIFS(T_TTAFStock_Log[Part Name],$A20,T_TTAFStock_Log[WeekIndex],1)=0,"",SUMIFS(T_TTAFStock_Log[TTAF_Qty],T_TTAFStock_Log[Part Name],$A20,T_TTAFStock_Log[WeekIndex],1))</f>
        <v/>
      </c>
      <c r="C20" s="12">
        <f>IF(COUNTIFS(T_TTAFStock_Log[Part Name],$A20,T_TTAFStock_Log[WeekIndex],2)=0,"",SUMIFS(T_TTAFStock_Log[TTAF_Qty],T_TTAFStock_Log[Part Name],$A20,T_TTAFStock_Log[WeekIndex],2))</f>
        <v/>
      </c>
      <c r="D20" s="12">
        <f>IF(COUNTIFS(T_TTAFStock_Log[Part Name],$A20,T_TTAFStock_Log[WeekIndex],3)=0,"",SUMIFS(T_TTAFStock_Log[TTAF_Qty],T_TTAFStock_Log[Part Name],$A20,T_TTAFStock_Log[WeekIndex],3))</f>
        <v/>
      </c>
      <c r="E20" s="12">
        <f>IF(COUNTIFS(T_TTAFStock_Log[Part Name],$A20,T_TTAFStock_Log[WeekIndex],4)=0,"",SUMIFS(T_TTAFStock_Log[TTAF_Qty],T_TTAFStock_Log[Part Name],$A20,T_TTAFStock_Log[WeekIndex],4))</f>
        <v/>
      </c>
      <c r="F20" s="12">
        <f>IF(COUNTIFS(T_TTAFStock_Log[Part Name],$A20,T_TTAFStock_Log[WeekIndex],5)=0,"",SUMIFS(T_TTAFStock_Log[TTAF_Qty],T_TTAFStock_Log[Part Name],$A20,T_TTAFStock_Log[WeekIndex],5))</f>
        <v/>
      </c>
      <c r="G20" s="12">
        <f>IF(COUNTIFS(T_TTAFStock_Log[Part Name],$A20,T_TTAFStock_Log[WeekIndex],6)=0,"",SUMIFS(T_TTAFStock_Log[TTAF_Qty],T_TTAFStock_Log[Part Name],$A20,T_TTAFStock_Log[WeekIndex],6))</f>
        <v/>
      </c>
      <c r="H20" s="12">
        <f>IF(COUNTIFS(T_TTAFStock_Log[Part Name],$A20,T_TTAFStock_Log[WeekIndex],7)=0,"",SUMIFS(T_TTAFStock_Log[TTAF_Qty],T_TTAFStock_Log[Part Name],$A20,T_TTAFStock_Log[WeekIndex],7))</f>
        <v/>
      </c>
      <c r="I20" s="12">
        <f>IF(COUNTIFS(T_TTAFStock_Log[Part Name],$A20,T_TTAFStock_Log[WeekIndex],8)=0,"",SUMIFS(T_TTAFStock_Log[TTAF_Qty],T_TTAFStock_Log[Part Name],$A20,T_TTAFStock_Log[WeekIndex],8))</f>
        <v/>
      </c>
      <c r="J20" s="12">
        <f>IF(COUNTIFS(T_TTAFStock_Log[Part Name],$A20,T_TTAFStock_Log[WeekIndex],9)=0,"",SUMIFS(T_TTAFStock_Log[TTAF_Qty],T_TTAFStock_Log[Part Name],$A20,T_TTAFStock_Log[WeekIndex],9))</f>
        <v/>
      </c>
      <c r="K20" s="12">
        <f>IF(COUNTIFS(T_TTAFStock_Log[Part Name],$A20,T_TTAFStock_Log[WeekIndex],10)=0,"",SUMIFS(T_TTAFStock_Log[TTAF_Qty],T_TTAFStock_Log[Part Name],$A20,T_TTAFStock_Log[WeekIndex],10))</f>
        <v/>
      </c>
      <c r="L20" s="12">
        <f>IF(COUNTIFS(T_TTAFStock_Log[Part Name],$A20,T_TTAFStock_Log[WeekIndex],11)=0,"",SUMIFS(T_TTAFStock_Log[TTAF_Qty],T_TTAFStock_Log[Part Name],$A20,T_TTAFStock_Log[WeekIndex],11))</f>
        <v/>
      </c>
      <c r="M20" s="12">
        <f>IF(COUNTIFS(T_TTAFStock_Log[Part Name],$A20,T_TTAFStock_Log[WeekIndex],12)=0,"",SUMIFS(T_TTAFStock_Log[TTAF_Qty],T_TTAFStock_Log[Part Name],$A20,T_TTAFStock_Log[WeekIndex],12))</f>
        <v/>
      </c>
      <c r="N20" s="12">
        <f>IF(COUNTIFS(T_TTAFStock_Log[Part Name],$A20,T_TTAFStock_Log[WeekIndex],13)=0,"",SUMIFS(T_TTAFStock_Log[TTAF_Qty],T_TTAFStock_Log[Part Name],$A20,T_TTAFStock_Log[WeekIndex],13))</f>
        <v/>
      </c>
      <c r="O20" s="12">
        <f>IF(COUNTIFS(T_TTAFStock_Log[Part Name],$A20,T_TTAFStock_Log[WeekIndex],14)=0,"",SUMIFS(T_TTAFStock_Log[TTAF_Qty],T_TTAFStock_Log[Part Name],$A20,T_TTAFStock_Log[WeekIndex],14))</f>
        <v/>
      </c>
      <c r="P20" s="12">
        <f>IF(COUNTIFS(T_TTAFStock_Log[Part Name],$A20,T_TTAFStock_Log[WeekIndex],15)=0,"",SUMIFS(T_TTAFStock_Log[TTAF_Qty],T_TTAFStock_Log[Part Name],$A20,T_TTAFStock_Log[WeekIndex],15))</f>
        <v/>
      </c>
      <c r="Q20" s="12">
        <f>IF(COUNTIFS(T_TTAFStock_Log[Part Name],$A20,T_TTAFStock_Log[WeekIndex],16)=0,"",SUMIFS(T_TTAFStock_Log[TTAF_Qty],T_TTAFStock_Log[Part Name],$A20,T_TTAFStock_Log[WeekIndex],16))</f>
        <v/>
      </c>
      <c r="R20" s="12">
        <f>IF(COUNTIFS(T_TTAFStock_Log[Part Name],$A20,T_TTAFStock_Log[WeekIndex],17)=0,"",SUMIFS(T_TTAFStock_Log[TTAF_Qty],T_TTAFStock_Log[Part Name],$A20,T_TTAFStock_Log[WeekIndex],17))</f>
        <v/>
      </c>
      <c r="S20" s="12">
        <f>IF(COUNTIFS(T_TTAFStock_Log[Part Name],$A20,T_TTAFStock_Log[WeekIndex],18)=0,"",SUMIFS(T_TTAFStock_Log[TTAF_Qty],T_TTAFStock_Log[Part Name],$A20,T_TTAFStock_Log[WeekIndex],18))</f>
        <v/>
      </c>
      <c r="T20" s="12">
        <f>IF(COUNTIFS(T_TTAFStock_Log[Part Name],$A20,T_TTAFStock_Log[WeekIndex],19)=0,"",SUMIFS(T_TTAFStock_Log[TTAF_Qty],T_TTAFStock_Log[Part Name],$A20,T_TTAFStock_Log[WeekIndex],19))</f>
        <v/>
      </c>
      <c r="U20" s="12">
        <f>IF(COUNTIFS(T_TTAFStock_Log[Part Name],$A20,T_TTAFStock_Log[WeekIndex],20)=0,"",SUMIFS(T_TTAFStock_Log[TTAF_Qty],T_TTAFStock_Log[Part Name],$A20,T_TTAFStock_Log[WeekIndex],20))</f>
        <v/>
      </c>
      <c r="V20" s="12">
        <f>IF(COUNTIFS(T_TTAFStock_Log[Part Name],$A20,T_TTAFStock_Log[WeekIndex],21)=0,"",SUMIFS(T_TTAFStock_Log[TTAF_Qty],T_TTAFStock_Log[Part Name],$A20,T_TTAFStock_Log[WeekIndex],21))</f>
        <v/>
      </c>
      <c r="W20" s="12">
        <f>IF(COUNTIFS(T_TTAFStock_Log[Part Name],$A20,T_TTAFStock_Log[WeekIndex],22)=0,"",SUMIFS(T_TTAFStock_Log[TTAF_Qty],T_TTAFStock_Log[Part Name],$A20,T_TTAFStock_Log[WeekIndex],22))</f>
        <v/>
      </c>
      <c r="X20" s="12">
        <f>IF(COUNTIFS(T_TTAFStock_Log[Part Name],$A20,T_TTAFStock_Log[WeekIndex],23)=0,"",SUMIFS(T_TTAFStock_Log[TTAF_Qty],T_TTAFStock_Log[Part Name],$A20,T_TTAFStock_Log[WeekIndex],23))</f>
        <v/>
      </c>
      <c r="Y20" s="12">
        <f>IF(COUNTIFS(T_TTAFStock_Log[Part Name],$A20,T_TTAFStock_Log[WeekIndex],24)=0,"",SUMIFS(T_TTAFStock_Log[TTAF_Qty],T_TTAFStock_Log[Part Name],$A20,T_TTAFStock_Log[WeekIndex],24))</f>
        <v/>
      </c>
      <c r="Z20" s="12">
        <f>IF(COUNTIFS(T_TTAFStock_Log[Part Name],$A20,T_TTAFStock_Log[WeekIndex],25)=0,"",SUMIFS(T_TTAFStock_Log[TTAF_Qty],T_TTAFStock_Log[Part Name],$A20,T_TTAFStock_Log[WeekIndex],25))</f>
        <v/>
      </c>
      <c r="AA20" s="12">
        <f>IF(COUNTIFS(T_TTAFStock_Log[Part Name],$A20,T_TTAFStock_Log[WeekIndex],26)=0,"",SUMIFS(T_TTAFStock_Log[TTAF_Qty],T_TTAFStock_Log[Part Name],$A20,T_TTAFStock_Log[WeekIndex],26))</f>
        <v/>
      </c>
      <c r="AB20" s="12">
        <f>IF(COUNTIFS(T_TTAFStock_Log[Part Name],$A20,T_TTAFStock_Log[WeekIndex],27)=0,"",SUMIFS(T_TTAFStock_Log[TTAF_Qty],T_TTAFStock_Log[Part Name],$A20,T_TTAFStock_Log[WeekIndex],27))</f>
        <v/>
      </c>
      <c r="AC20" s="12">
        <f>IF(COUNTIFS(T_TTAFStock_Log[Part Name],$A20,T_TTAFStock_Log[WeekIndex],28)=0,"",SUMIFS(T_TTAFStock_Log[TTAF_Qty],T_TTAFStock_Log[Part Name],$A20,T_TTAFStock_Log[WeekIndex],28))</f>
        <v/>
      </c>
      <c r="AD20" s="12">
        <f>IF(COUNTIFS(T_TTAFStock_Log[Part Name],$A20,T_TTAFStock_Log[WeekIndex],29)=0,"",SUMIFS(T_TTAFStock_Log[TTAF_Qty],T_TTAFStock_Log[Part Name],$A20,T_TTAFStock_Log[WeekIndex],29))</f>
        <v/>
      </c>
      <c r="AE20" s="12">
        <f>IF(COUNTIFS(T_TTAFStock_Log[Part Name],$A20,T_TTAFStock_Log[WeekIndex],30)=0,"",SUMIFS(T_TTAFStock_Log[TTAF_Qty],T_TTAFStock_Log[Part Name],$A20,T_TTAFStock_Log[WeekIndex],30))</f>
        <v/>
      </c>
      <c r="AF20" s="12">
        <f>IF(COUNTIFS(T_TTAFStock_Log[Part Name],$A20,T_TTAFStock_Log[WeekIndex],31)=0,"",SUMIFS(T_TTAFStock_Log[TTAF_Qty],T_TTAFStock_Log[Part Name],$A20,T_TTAFStock_Log[WeekIndex],31))</f>
        <v/>
      </c>
      <c r="AG20" s="12">
        <f>IF(COUNTIFS(T_TTAFStock_Log[Part Name],$A20,T_TTAFStock_Log[WeekIndex],32)=0,"",SUMIFS(T_TTAFStock_Log[TTAF_Qty],T_TTAFStock_Log[Part Name],$A20,T_TTAFStock_Log[WeekIndex],32))</f>
        <v/>
      </c>
      <c r="AH20" s="12">
        <f>IF(COUNTIFS(T_TTAFStock_Log[Part Name],$A20,T_TTAFStock_Log[WeekIndex],33)=0,"",SUMIFS(T_TTAFStock_Log[TTAF_Qty],T_TTAFStock_Log[Part Name],$A20,T_TTAFStock_Log[WeekIndex],33))</f>
        <v/>
      </c>
      <c r="AI20" s="12">
        <f>IF(COUNTIFS(T_TTAFStock_Log[Part Name],$A20,T_TTAFStock_Log[WeekIndex],34)=0,"",SUMIFS(T_TTAFStock_Log[TTAF_Qty],T_TTAFStock_Log[Part Name],$A20,T_TTAFStock_Log[WeekIndex],34))</f>
        <v/>
      </c>
      <c r="AJ20" s="12">
        <f>IF(COUNTIFS(T_TTAFStock_Log[Part Name],$A20,T_TTAFStock_Log[WeekIndex],35)=0,"",SUMIFS(T_TTAFStock_Log[TTAF_Qty],T_TTAFStock_Log[Part Name],$A20,T_TTAFStock_Log[WeekIndex],35))</f>
        <v/>
      </c>
      <c r="AK20" s="12">
        <f>IF(COUNTIFS(T_TTAFStock_Log[Part Name],$A20,T_TTAFStock_Log[WeekIndex],36)=0,"",SUMIFS(T_TTAFStock_Log[TTAF_Qty],T_TTAFStock_Log[Part Name],$A20,T_TTAFStock_Log[WeekIndex],36))</f>
        <v/>
      </c>
      <c r="AL20" s="12">
        <f>IF(COUNTIFS(T_TTAFStock_Log[Part Name],$A20,T_TTAFStock_Log[WeekIndex],37)=0,"",SUMIFS(T_TTAFStock_Log[TTAF_Qty],T_TTAFStock_Log[Part Name],$A20,T_TTAFStock_Log[WeekIndex],37))</f>
        <v/>
      </c>
      <c r="AM20" s="12">
        <f>IF(COUNTIFS(T_TTAFStock_Log[Part Name],$A20,T_TTAFStock_Log[WeekIndex],38)=0,"",SUMIFS(T_TTAFStock_Log[TTAF_Qty],T_TTAFStock_Log[Part Name],$A20,T_TTAFStock_Log[WeekIndex],38))</f>
        <v/>
      </c>
      <c r="AN20" s="12">
        <f>IF(COUNTIFS(T_TTAFStock_Log[Part Name],$A20,T_TTAFStock_Log[WeekIndex],39)=0,"",SUMIFS(T_TTAFStock_Log[TTAF_Qty],T_TTAFStock_Log[Part Name],$A20,T_TTAFStock_Log[WeekIndex],39))</f>
        <v/>
      </c>
      <c r="AO20" s="12">
        <f>IF(COUNTIFS(T_TTAFStock_Log[Part Name],$A20,T_TTAFStock_Log[WeekIndex],40)=0,"",SUMIFS(T_TTAFStock_Log[TTAF_Qty],T_TTAFStock_Log[Part Name],$A20,T_TTAFStock_Log[WeekIndex],40))</f>
        <v/>
      </c>
      <c r="AP20" s="12">
        <f>IF(COUNTIFS(T_TTAFStock_Log[Part Name],$A20,T_TTAFStock_Log[WeekIndex],41)=0,"",SUMIFS(T_TTAFStock_Log[TTAF_Qty],T_TTAFStock_Log[Part Name],$A20,T_TTAFStock_Log[WeekIndex],41))</f>
        <v/>
      </c>
      <c r="AQ20" s="12">
        <f>IF(COUNTIFS(T_TTAFStock_Log[Part Name],$A20,T_TTAFStock_Log[WeekIndex],42)=0,"",SUMIFS(T_TTAFStock_Log[TTAF_Qty],T_TTAFStock_Log[Part Name],$A20,T_TTAFStock_Log[WeekIndex],42))</f>
        <v/>
      </c>
      <c r="AR20" s="12">
        <f>IF(COUNTIFS(T_TTAFStock_Log[Part Name],$A20,T_TTAFStock_Log[WeekIndex],43)=0,"",SUMIFS(T_TTAFStock_Log[TTAF_Qty],T_TTAFStock_Log[Part Name],$A20,T_TTAFStock_Log[WeekIndex],43))</f>
        <v/>
      </c>
      <c r="AS20" s="12">
        <f>IF(COUNTIFS(T_TTAFStock_Log[Part Name],$A20,T_TTAFStock_Log[WeekIndex],44)=0,"",SUMIFS(T_TTAFStock_Log[TTAF_Qty],T_TTAFStock_Log[Part Name],$A20,T_TTAFStock_Log[WeekIndex],44))</f>
        <v/>
      </c>
      <c r="AT20" s="12">
        <f>IF(COUNTIFS(T_TTAFStock_Log[Part Name],$A20,T_TTAFStock_Log[WeekIndex],45)=0,"",SUMIFS(T_TTAFStock_Log[TTAF_Qty],T_TTAFStock_Log[Part Name],$A20,T_TTAFStock_Log[WeekIndex],45))</f>
        <v/>
      </c>
      <c r="AU20" s="12">
        <f>IF(COUNTIFS(T_TTAFStock_Log[Part Name],$A20,T_TTAFStock_Log[WeekIndex],46)=0,"",SUMIFS(T_TTAFStock_Log[TTAF_Qty],T_TTAFStock_Log[Part Name],$A20,T_TTAFStock_Log[WeekIndex],46))</f>
        <v/>
      </c>
      <c r="AV20" s="12">
        <f>IF(COUNTIFS(T_TTAFStock_Log[Part Name],$A20,T_TTAFStock_Log[WeekIndex],47)=0,"",SUMIFS(T_TTAFStock_Log[TTAF_Qty],T_TTAFStock_Log[Part Name],$A20,T_TTAFStock_Log[WeekIndex],47))</f>
        <v/>
      </c>
      <c r="AW20" s="12">
        <f>IF(COUNTIFS(T_TTAFStock_Log[Part Name],$A20,T_TTAFStock_Log[WeekIndex],48)=0,"",SUMIFS(T_TTAFStock_Log[TTAF_Qty],T_TTAFStock_Log[Part Name],$A20,T_TTAFStock_Log[WeekIndex],48))</f>
        <v/>
      </c>
      <c r="AX20" s="12">
        <f>IF(COUNTIFS(T_TTAFStock_Log[Part Name],$A20,T_TTAFStock_Log[WeekIndex],49)=0,"",SUMIFS(T_TTAFStock_Log[TTAF_Qty],T_TTAFStock_Log[Part Name],$A20,T_TTAFStock_Log[WeekIndex],49))</f>
        <v/>
      </c>
      <c r="AY20" s="12">
        <f>IF(COUNTIFS(T_TTAFStock_Log[Part Name],$A20,T_TTAFStock_Log[WeekIndex],50)=0,"",SUMIFS(T_TTAFStock_Log[TTAF_Qty],T_TTAFStock_Log[Part Name],$A20,T_TTAFStock_Log[WeekIndex],50))</f>
        <v/>
      </c>
      <c r="AZ20" s="12">
        <f>IF(COUNTIFS(T_TTAFStock_Log[Part Name],$A20,T_TTAFStock_Log[WeekIndex],51)=0,"",SUMIFS(T_TTAFStock_Log[TTAF_Qty],T_TTAFStock_Log[Part Name],$A20,T_TTAFStock_Log[WeekIndex],51))</f>
        <v/>
      </c>
      <c r="BA20" s="12">
        <f>IF(COUNTIFS(T_TTAFStock_Log[Part Name],$A20,T_TTAFStock_Log[WeekIndex],52)=0,"",SUMIFS(T_TTAFStock_Log[TTAF_Qty],T_TTAFStock_Log[Part Name],$A20,T_TTAFStock_Log[WeekIndex],52))</f>
        <v/>
      </c>
      <c r="BB20" s="12">
        <f>IF(COUNTIFS(T_TTAFStock_Log[Part Name],$A20,T_TTAFStock_Log[WeekIndex],53)=0,"",SUMIFS(T_TTAFStock_Log[TTAF_Qty],T_TTAFStock_Log[Part Name],$A20,T_TTAFStock_Log[WeekIndex],53))</f>
        <v/>
      </c>
      <c r="BC20" s="12">
        <f>IF(COUNTIFS(T_TTAFStock_Log[Part Name],$A20,T_TTAFStock_Log[WeekIndex],54)=0,"",SUMIFS(T_TTAFStock_Log[TTAF_Qty],T_TTAFStock_Log[Part Name],$A20,T_TTAFStock_Log[WeekIndex],54))</f>
        <v/>
      </c>
      <c r="BD20" s="12">
        <f>IF(COUNTIFS(T_TTAFStock_Log[Part Name],$A20,T_TTAFStock_Log[WeekIndex],55)=0,"",SUMIFS(T_TTAFStock_Log[TTAF_Qty],T_TTAFStock_Log[Part Name],$A20,T_TTAFStock_Log[WeekIndex],55))</f>
        <v/>
      </c>
      <c r="BE20" s="12">
        <f>IF(COUNTIFS(T_TTAFStock_Log[Part Name],$A20,T_TTAFStock_Log[WeekIndex],56)=0,"",SUMIFS(T_TTAFStock_Log[TTAF_Qty],T_TTAFStock_Log[Part Name],$A20,T_TTAFStock_Log[WeekIndex],56))</f>
        <v/>
      </c>
      <c r="BF20" s="12">
        <f>IF(COUNTIFS(T_TTAFStock_Log[Part Name],$A20,T_TTAFStock_Log[WeekIndex],57)=0,"",SUMIFS(T_TTAFStock_Log[TTAF_Qty],T_TTAFStock_Log[Part Name],$A20,T_TTAFStock_Log[WeekIndex],57))</f>
        <v/>
      </c>
      <c r="BG20" s="12">
        <f>IF(COUNTIFS(T_TTAFStock_Log[Part Name],$A20,T_TTAFStock_Log[WeekIndex],58)=0,"",SUMIFS(T_TTAFStock_Log[TTAF_Qty],T_TTAFStock_Log[Part Name],$A20,T_TTAFStock_Log[WeekIndex],58))</f>
        <v/>
      </c>
      <c r="BH20" s="12">
        <f>IF(COUNTIFS(T_TTAFStock_Log[Part Name],$A20,T_TTAFStock_Log[WeekIndex],59)=0,"",SUMIFS(T_TTAFStock_Log[TTAF_Qty],T_TTAFStock_Log[Part Name],$A20,T_TTAFStock_Log[WeekIndex],59))</f>
        <v/>
      </c>
      <c r="BI20" s="12">
        <f>IF(COUNTIFS(T_TTAFStock_Log[Part Name],$A20,T_TTAFStock_Log[WeekIndex],60)=0,"",SUMIFS(T_TTAFStock_Log[TTAF_Qty],T_TTAFStock_Log[Part Name],$A20,T_TTAFStock_Log[WeekIndex],60))</f>
        <v/>
      </c>
      <c r="BJ20" s="12">
        <f>IF(COUNTIFS(T_TTAFStock_Log[Part Name],$A20,T_TTAFStock_Log[WeekIndex],61)=0,"",SUMIFS(T_TTAFStock_Log[TTAF_Qty],T_TTAFStock_Log[Part Name],$A20,T_TTAFStock_Log[WeekIndex],61))</f>
        <v/>
      </c>
      <c r="BK20" s="12">
        <f>IF(COUNTIFS(T_TTAFStock_Log[Part Name],$A20,T_TTAFStock_Log[WeekIndex],62)=0,"",SUMIFS(T_TTAFStock_Log[TTAF_Qty],T_TTAFStock_Log[Part Name],$A20,T_TTAFStock_Log[WeekIndex],62))</f>
        <v/>
      </c>
      <c r="BL20" s="12">
        <f>IF(COUNTIFS(T_TTAFStock_Log[Part Name],$A20,T_TTAFStock_Log[WeekIndex],63)=0,"",SUMIFS(T_TTAFStock_Log[TTAF_Qty],T_TTAFStock_Log[Part Name],$A20,T_TTAFStock_Log[WeekIndex],63))</f>
        <v/>
      </c>
      <c r="BM20" s="12">
        <f>IF(COUNTIFS(T_TTAFStock_Log[Part Name],$A20,T_TTAFStock_Log[WeekIndex],64)=0,"",SUMIFS(T_TTAFStock_Log[TTAF_Qty],T_TTAFStock_Log[Part Name],$A20,T_TTAFStock_Log[WeekIndex],64))</f>
        <v/>
      </c>
      <c r="BN20" s="12">
        <f>IF(COUNTIFS(T_TTAFStock_Log[Part Name],$A20,T_TTAFStock_Log[WeekIndex],65)=0,"",SUMIFS(T_TTAFStock_Log[TTAF_Qty],T_TTAFStock_Log[Part Name],$A20,T_TTAFStock_Log[WeekIndex],65))</f>
        <v/>
      </c>
      <c r="BO20" s="12">
        <f>IF(COUNTIFS(T_TTAFStock_Log[Part Name],$A20,T_TTAFStock_Log[WeekIndex],66)=0,"",SUMIFS(T_TTAFStock_Log[TTAF_Qty],T_TTAFStock_Log[Part Name],$A20,T_TTAFStock_Log[WeekIndex],66))</f>
        <v/>
      </c>
      <c r="BP20" s="12">
        <f>IF(COUNTIFS(T_TTAFStock_Log[Part Name],$A20,T_TTAFStock_Log[WeekIndex],67)=0,"",SUMIFS(T_TTAFStock_Log[TTAF_Qty],T_TTAFStock_Log[Part Name],$A20,T_TTAFStock_Log[WeekIndex],67))</f>
        <v/>
      </c>
      <c r="BQ20" s="12">
        <f>IF(COUNTIFS(T_TTAFStock_Log[Part Name],$A20,T_TTAFStock_Log[WeekIndex],68)=0,"",SUMIFS(T_TTAFStock_Log[TTAF_Qty],T_TTAFStock_Log[Part Name],$A20,T_TTAFStock_Log[WeekIndex],68))</f>
        <v/>
      </c>
      <c r="BR20" s="12">
        <f>IF(COUNTIFS(T_TTAFStock_Log[Part Name],$A20,T_TTAFStock_Log[WeekIndex],69)=0,"",SUMIFS(T_TTAFStock_Log[TTAF_Qty],T_TTAFStock_Log[Part Name],$A20,T_TTAFStock_Log[WeekIndex],69))</f>
        <v/>
      </c>
      <c r="BS20" s="12">
        <f>IF(COUNTIFS(T_TTAFStock_Log[Part Name],$A20,T_TTAFStock_Log[WeekIndex],70)=0,"",SUMIFS(T_TTAFStock_Log[TTAF_Qty],T_TTAFStock_Log[Part Name],$A20,T_TTAFStock_Log[WeekIndex],70))</f>
        <v/>
      </c>
      <c r="BT20" s="12">
        <f>IF(COUNTIFS(T_TTAFStock_Log[Part Name],$A20,T_TTAFStock_Log[WeekIndex],71)=0,"",SUMIFS(T_TTAFStock_Log[TTAF_Qty],T_TTAFStock_Log[Part Name],$A20,T_TTAFStock_Log[WeekIndex],71))</f>
        <v/>
      </c>
      <c r="BU20" s="12">
        <f>IF(COUNTIFS(T_TTAFStock_Log[Part Name],$A20,T_TTAFStock_Log[WeekIndex],72)=0,"",SUMIFS(T_TTAFStock_Log[TTAF_Qty],T_TTAFStock_Log[Part Name],$A20,T_TTAFStock_Log[WeekIndex],72))</f>
        <v/>
      </c>
      <c r="BV20" s="12">
        <f>IF(COUNTIFS(T_TTAFStock_Log[Part Name],$A20,T_TTAFStock_Log[WeekIndex],73)=0,"",SUMIFS(T_TTAFStock_Log[TTAF_Qty],T_TTAFStock_Log[Part Name],$A20,T_TTAFStock_Log[WeekIndex],73))</f>
        <v/>
      </c>
      <c r="BW20" s="12">
        <f>IF(COUNTIFS(T_TTAFStock_Log[Part Name],$A20,T_TTAFStock_Log[WeekIndex],74)=0,"",SUMIFS(T_TTAFStock_Log[TTAF_Qty],T_TTAFStock_Log[Part Name],$A20,T_TTAFStock_Log[WeekIndex],74))</f>
        <v/>
      </c>
      <c r="BX20" s="12">
        <f>IF(COUNTIFS(T_TTAFStock_Log[Part Name],$A20,T_TTAFStock_Log[WeekIndex],75)=0,"",SUMIFS(T_TTAFStock_Log[TTAF_Qty],T_TTAFStock_Log[Part Name],$A20,T_TTAFStock_Log[WeekIndex],75))</f>
        <v/>
      </c>
      <c r="BY20" s="12">
        <f>IF(COUNTIFS(T_TTAFStock_Log[Part Name],$A20,T_TTAFStock_Log[WeekIndex],76)=0,"",SUMIFS(T_TTAFStock_Log[TTAF_Qty],T_TTAFStock_Log[Part Name],$A20,T_TTAFStock_Log[WeekIndex],76))</f>
        <v/>
      </c>
      <c r="BZ20" s="12">
        <f>IF(COUNTIFS(T_TTAFStock_Log[Part Name],$A20,T_TTAFStock_Log[WeekIndex],77)=0,"",SUMIFS(T_TTAFStock_Log[TTAF_Qty],T_TTAFStock_Log[Part Name],$A20,T_TTAFStock_Log[WeekIndex],77))</f>
        <v/>
      </c>
      <c r="CA20" s="12">
        <f>IF(COUNTIFS(T_TTAFStock_Log[Part Name],$A20,T_TTAFStock_Log[WeekIndex],78)=0,"",SUMIFS(T_TTAFStock_Log[TTAF_Qty],T_TTAFStock_Log[Part Name],$A20,T_TTAFStock_Log[WeekIndex],78))</f>
        <v/>
      </c>
      <c r="CB20" s="12">
        <f>IF(COUNTIFS(T_TTAFStock_Log[Part Name],$A20,T_TTAFStock_Log[WeekIndex],79)=0,"",SUMIFS(T_TTAFStock_Log[TTAF_Qty],T_TTAFStock_Log[Part Name],$A20,T_TTAFStock_Log[WeekIndex],79))</f>
        <v/>
      </c>
      <c r="CC20" s="12">
        <f>IF(COUNTIFS(T_TTAFStock_Log[Part Name],$A20,T_TTAFStock_Log[WeekIndex],80)=0,"",SUMIFS(T_TTAFStock_Log[TTAF_Qty],T_TTAFStock_Log[Part Name],$A20,T_TTAFStock_Log[WeekIndex],80))</f>
        <v/>
      </c>
      <c r="CD20" s="12">
        <f>IF(COUNTIFS(T_TTAFStock_Log[Part Name],$A20,T_TTAFStock_Log[WeekIndex],81)=0,"",SUMIFS(T_TTAFStock_Log[TTAF_Qty],T_TTAFStock_Log[Part Name],$A20,T_TTAFStock_Log[WeekIndex],81))</f>
        <v/>
      </c>
      <c r="CE20" s="12">
        <f>IF(COUNTIFS(T_TTAFStock_Log[Part Name],$A20,T_TTAFStock_Log[WeekIndex],82)=0,"",SUMIFS(T_TTAFStock_Log[TTAF_Qty],T_TTAFStock_Log[Part Name],$A20,T_TTAFStock_Log[WeekIndex],82))</f>
        <v/>
      </c>
      <c r="CF20" s="12">
        <f>IF(COUNTIFS(T_TTAFStock_Log[Part Name],$A20,T_TTAFStock_Log[WeekIndex],83)=0,"",SUMIFS(T_TTAFStock_Log[TTAF_Qty],T_TTAFStock_Log[Part Name],$A20,T_TTAFStock_Log[WeekIndex],83))</f>
        <v/>
      </c>
      <c r="CG20" s="12">
        <f>IF(COUNTIFS(T_TTAFStock_Log[Part Name],$A20,T_TTAFStock_Log[WeekIndex],84)=0,"",SUMIFS(T_TTAFStock_Log[TTAF_Qty],T_TTAFStock_Log[Part Name],$A20,T_TTAFStock_Log[WeekIndex],84))</f>
        <v/>
      </c>
      <c r="CH20" s="12">
        <f>IF(COUNTIFS(T_TTAFStock_Log[Part Name],$A20,T_TTAFStock_Log[WeekIndex],85)=0,"",SUMIFS(T_TTAFStock_Log[TTAF_Qty],T_TTAFStock_Log[Part Name],$A20,T_TTAFStock_Log[WeekIndex],85))</f>
        <v/>
      </c>
      <c r="CI20" s="12">
        <f>IF(COUNTIFS(T_TTAFStock_Log[Part Name],$A20,T_TTAFStock_Log[WeekIndex],86)=0,"",SUMIFS(T_TTAFStock_Log[TTAF_Qty],T_TTAFStock_Log[Part Name],$A20,T_TTAFStock_Log[WeekIndex],86))</f>
        <v/>
      </c>
      <c r="CJ20" s="12">
        <f>IF(COUNTIFS(T_TTAFStock_Log[Part Name],$A20,T_TTAFStock_Log[WeekIndex],87)=0,"",SUMIFS(T_TTAFStock_Log[TTAF_Qty],T_TTAFStock_Log[Part Name],$A20,T_TTAFStock_Log[WeekIndex],87))</f>
        <v/>
      </c>
      <c r="CK20" s="12">
        <f>IF(COUNTIFS(T_TTAFStock_Log[Part Name],$A20,T_TTAFStock_Log[WeekIndex],88)=0,"",SUMIFS(T_TTAFStock_Log[TTAF_Qty],T_TTAFStock_Log[Part Name],$A20,T_TTAFStock_Log[WeekIndex],88))</f>
        <v/>
      </c>
      <c r="CL20" s="12">
        <f>IF(COUNTIFS(T_TTAFStock_Log[Part Name],$A20,T_TTAFStock_Log[WeekIndex],89)=0,"",SUMIFS(T_TTAFStock_Log[TTAF_Qty],T_TTAFStock_Log[Part Name],$A20,T_TTAFStock_Log[WeekIndex],89))</f>
        <v/>
      </c>
      <c r="CM20" s="12">
        <f>IF(COUNTIFS(T_TTAFStock_Log[Part Name],$A20,T_TTAFStock_Log[WeekIndex],90)=0,"",SUMIFS(T_TTAFStock_Log[TTAF_Qty],T_TTAFStock_Log[Part Name],$A20,T_TTAFStock_Log[WeekIndex],90))</f>
        <v/>
      </c>
      <c r="CN20" s="12">
        <f>IF(COUNTIFS(T_TTAFStock_Log[Part Name],$A20,T_TTAFStock_Log[WeekIndex],91)=0,"",SUMIFS(T_TTAFStock_Log[TTAF_Qty],T_TTAFStock_Log[Part Name],$A20,T_TTAFStock_Log[WeekIndex],91))</f>
        <v/>
      </c>
      <c r="CO20" s="12">
        <f>IF(COUNTIFS(T_TTAFStock_Log[Part Name],$A20,T_TTAFStock_Log[WeekIndex],92)=0,"",SUMIFS(T_TTAFStock_Log[TTAF_Qty],T_TTAFStock_Log[Part Name],$A20,T_TTAFStock_Log[WeekIndex],92))</f>
        <v/>
      </c>
      <c r="CP20" s="12">
        <f>IF(COUNTIFS(T_TTAFStock_Log[Part Name],$A20,T_TTAFStock_Log[WeekIndex],93)=0,"",SUMIFS(T_TTAFStock_Log[TTAF_Qty],T_TTAFStock_Log[Part Name],$A20,T_TTAFStock_Log[WeekIndex],93))</f>
        <v/>
      </c>
      <c r="CQ20" s="12">
        <f>IF(COUNTIFS(T_TTAFStock_Log[Part Name],$A20,T_TTAFStock_Log[WeekIndex],94)=0,"",SUMIFS(T_TTAFStock_Log[TTAF_Qty],T_TTAFStock_Log[Part Name],$A20,T_TTAFStock_Log[WeekIndex],94))</f>
        <v/>
      </c>
      <c r="CR20" s="12">
        <f>IF(COUNTIFS(T_TTAFStock_Log[Part Name],$A20,T_TTAFStock_Log[WeekIndex],95)=0,"",SUMIFS(T_TTAFStock_Log[TTAF_Qty],T_TTAFStock_Log[Part Name],$A20,T_TTAFStock_Log[WeekIndex],95))</f>
        <v/>
      </c>
      <c r="CS20" s="12">
        <f>IF(COUNTIFS(T_TTAFStock_Log[Part Name],$A20,T_TTAFStock_Log[WeekIndex],96)=0,"",SUMIFS(T_TTAFStock_Log[TTAF_Qty],T_TTAFStock_Log[Part Name],$A20,T_TTAFStock_Log[WeekIndex],96))</f>
        <v/>
      </c>
      <c r="CT20" s="12">
        <f>IF(COUNTIFS(T_TTAFStock_Log[Part Name],$A20,T_TTAFStock_Log[WeekIndex],97)=0,"",SUMIFS(T_TTAFStock_Log[TTAF_Qty],T_TTAFStock_Log[Part Name],$A20,T_TTAFStock_Log[WeekIndex],97))</f>
        <v/>
      </c>
      <c r="CU20" s="12">
        <f>IF(COUNTIFS(T_TTAFStock_Log[Part Name],$A20,T_TTAFStock_Log[WeekIndex],98)=0,"",SUMIFS(T_TTAFStock_Log[TTAF_Qty],T_TTAFStock_Log[Part Name],$A20,T_TTAFStock_Log[WeekIndex],98))</f>
        <v/>
      </c>
      <c r="CV20" s="12">
        <f>IF(COUNTIFS(T_TTAFStock_Log[Part Name],$A20,T_TTAFStock_Log[WeekIndex],99)=0,"",SUMIFS(T_TTAFStock_Log[TTAF_Qty],T_TTAFStock_Log[Part Name],$A20,T_TTAFStock_Log[WeekIndex],99))</f>
        <v/>
      </c>
      <c r="CW20" s="12">
        <f>IF(COUNTIFS(T_TTAFStock_Log[Part Name],$A20,T_TTAFStock_Log[WeekIndex],100)=0,"",SUMIFS(T_TTAFStock_Log[TTAF_Qty],T_TTAFStock_Log[Part Name],$A20,T_TTAFStock_Log[WeekIndex],100))</f>
        <v/>
      </c>
      <c r="CX20" s="12">
        <f>IF(COUNTIFS(T_TTAFStock_Log[Part Name],$A20,T_TTAFStock_Log[WeekIndex],101)=0,"",SUMIFS(T_TTAFStock_Log[TTAF_Qty],T_TTAFStock_Log[Part Name],$A20,T_TTAFStock_Log[WeekIndex],101))</f>
        <v/>
      </c>
      <c r="CY20" s="12">
        <f>IF(COUNTIFS(T_TTAFStock_Log[Part Name],$A20,T_TTAFStock_Log[WeekIndex],102)=0,"",SUMIFS(T_TTAFStock_Log[TTAF_Qty],T_TTAFStock_Log[Part Name],$A20,T_TTAFStock_Log[WeekIndex],102))</f>
        <v/>
      </c>
      <c r="CZ20" s="12">
        <f>IF(COUNTIFS(T_TTAFStock_Log[Part Name],$A20,T_TTAFStock_Log[WeekIndex],103)=0,"",SUMIFS(T_TTAFStock_Log[TTAF_Qty],T_TTAFStock_Log[Part Name],$A20,T_TTAFStock_Log[WeekIndex],103))</f>
        <v/>
      </c>
      <c r="DA20" s="12">
        <f>IF(COUNTIFS(T_TTAFStock_Log[Part Name],$A20,T_TTAFStock_Log[WeekIndex],104)=0,"",SUMIFS(T_TTAFStock_Log[TTAF_Qty],T_TTAFStock_Log[Part Name],$A20,T_TTAFStock_Log[WeekIndex],104))</f>
        <v/>
      </c>
    </row>
    <row r="21">
      <c r="A21" s="13" t="inlineStr">
        <is>
          <t>CHEM-1650</t>
        </is>
      </c>
      <c r="B21" s="13">
        <f>IF(COUNTIFS(T_TTAFStock_Log[Part Name],$A21,T_TTAFStock_Log[WeekIndex],1)=0,"",SUMIFS(T_TTAFStock_Log[TTAF_Qty],T_TTAFStock_Log[Part Name],$A21,T_TTAFStock_Log[WeekIndex],1))</f>
        <v/>
      </c>
      <c r="C21" s="13">
        <f>IF(COUNTIFS(T_TTAFStock_Log[Part Name],$A21,T_TTAFStock_Log[WeekIndex],2)=0,"",SUMIFS(T_TTAFStock_Log[TTAF_Qty],T_TTAFStock_Log[Part Name],$A21,T_TTAFStock_Log[WeekIndex],2))</f>
        <v/>
      </c>
      <c r="D21" s="13">
        <f>IF(COUNTIFS(T_TTAFStock_Log[Part Name],$A21,T_TTAFStock_Log[WeekIndex],3)=0,"",SUMIFS(T_TTAFStock_Log[TTAF_Qty],T_TTAFStock_Log[Part Name],$A21,T_TTAFStock_Log[WeekIndex],3))</f>
        <v/>
      </c>
      <c r="E21" s="13">
        <f>IF(COUNTIFS(T_TTAFStock_Log[Part Name],$A21,T_TTAFStock_Log[WeekIndex],4)=0,"",SUMIFS(T_TTAFStock_Log[TTAF_Qty],T_TTAFStock_Log[Part Name],$A21,T_TTAFStock_Log[WeekIndex],4))</f>
        <v/>
      </c>
      <c r="F21" s="13">
        <f>IF(COUNTIFS(T_TTAFStock_Log[Part Name],$A21,T_TTAFStock_Log[WeekIndex],5)=0,"",SUMIFS(T_TTAFStock_Log[TTAF_Qty],T_TTAFStock_Log[Part Name],$A21,T_TTAFStock_Log[WeekIndex],5))</f>
        <v/>
      </c>
      <c r="G21" s="13">
        <f>IF(COUNTIFS(T_TTAFStock_Log[Part Name],$A21,T_TTAFStock_Log[WeekIndex],6)=0,"",SUMIFS(T_TTAFStock_Log[TTAF_Qty],T_TTAFStock_Log[Part Name],$A21,T_TTAFStock_Log[WeekIndex],6))</f>
        <v/>
      </c>
      <c r="H21" s="13">
        <f>IF(COUNTIFS(T_TTAFStock_Log[Part Name],$A21,T_TTAFStock_Log[WeekIndex],7)=0,"",SUMIFS(T_TTAFStock_Log[TTAF_Qty],T_TTAFStock_Log[Part Name],$A21,T_TTAFStock_Log[WeekIndex],7))</f>
        <v/>
      </c>
      <c r="I21" s="13">
        <f>IF(COUNTIFS(T_TTAFStock_Log[Part Name],$A21,T_TTAFStock_Log[WeekIndex],8)=0,"",SUMIFS(T_TTAFStock_Log[TTAF_Qty],T_TTAFStock_Log[Part Name],$A21,T_TTAFStock_Log[WeekIndex],8))</f>
        <v/>
      </c>
      <c r="J21" s="13">
        <f>IF(COUNTIFS(T_TTAFStock_Log[Part Name],$A21,T_TTAFStock_Log[WeekIndex],9)=0,"",SUMIFS(T_TTAFStock_Log[TTAF_Qty],T_TTAFStock_Log[Part Name],$A21,T_TTAFStock_Log[WeekIndex],9))</f>
        <v/>
      </c>
      <c r="K21" s="13">
        <f>IF(COUNTIFS(T_TTAFStock_Log[Part Name],$A21,T_TTAFStock_Log[WeekIndex],10)=0,"",SUMIFS(T_TTAFStock_Log[TTAF_Qty],T_TTAFStock_Log[Part Name],$A21,T_TTAFStock_Log[WeekIndex],10))</f>
        <v/>
      </c>
      <c r="L21" s="13">
        <f>IF(COUNTIFS(T_TTAFStock_Log[Part Name],$A21,T_TTAFStock_Log[WeekIndex],11)=0,"",SUMIFS(T_TTAFStock_Log[TTAF_Qty],T_TTAFStock_Log[Part Name],$A21,T_TTAFStock_Log[WeekIndex],11))</f>
        <v/>
      </c>
      <c r="M21" s="13">
        <f>IF(COUNTIFS(T_TTAFStock_Log[Part Name],$A21,T_TTAFStock_Log[WeekIndex],12)=0,"",SUMIFS(T_TTAFStock_Log[TTAF_Qty],T_TTAFStock_Log[Part Name],$A21,T_TTAFStock_Log[WeekIndex],12))</f>
        <v/>
      </c>
      <c r="N21" s="13">
        <f>IF(COUNTIFS(T_TTAFStock_Log[Part Name],$A21,T_TTAFStock_Log[WeekIndex],13)=0,"",SUMIFS(T_TTAFStock_Log[TTAF_Qty],T_TTAFStock_Log[Part Name],$A21,T_TTAFStock_Log[WeekIndex],13))</f>
        <v/>
      </c>
      <c r="O21" s="13">
        <f>IF(COUNTIFS(T_TTAFStock_Log[Part Name],$A21,T_TTAFStock_Log[WeekIndex],14)=0,"",SUMIFS(T_TTAFStock_Log[TTAF_Qty],T_TTAFStock_Log[Part Name],$A21,T_TTAFStock_Log[WeekIndex],14))</f>
        <v/>
      </c>
      <c r="P21" s="13">
        <f>IF(COUNTIFS(T_TTAFStock_Log[Part Name],$A21,T_TTAFStock_Log[WeekIndex],15)=0,"",SUMIFS(T_TTAFStock_Log[TTAF_Qty],T_TTAFStock_Log[Part Name],$A21,T_TTAFStock_Log[WeekIndex],15))</f>
        <v/>
      </c>
      <c r="Q21" s="13">
        <f>IF(COUNTIFS(T_TTAFStock_Log[Part Name],$A21,T_TTAFStock_Log[WeekIndex],16)=0,"",SUMIFS(T_TTAFStock_Log[TTAF_Qty],T_TTAFStock_Log[Part Name],$A21,T_TTAFStock_Log[WeekIndex],16))</f>
        <v/>
      </c>
      <c r="R21" s="13">
        <f>IF(COUNTIFS(T_TTAFStock_Log[Part Name],$A21,T_TTAFStock_Log[WeekIndex],17)=0,"",SUMIFS(T_TTAFStock_Log[TTAF_Qty],T_TTAFStock_Log[Part Name],$A21,T_TTAFStock_Log[WeekIndex],17))</f>
        <v/>
      </c>
      <c r="S21" s="13">
        <f>IF(COUNTIFS(T_TTAFStock_Log[Part Name],$A21,T_TTAFStock_Log[WeekIndex],18)=0,"",SUMIFS(T_TTAFStock_Log[TTAF_Qty],T_TTAFStock_Log[Part Name],$A21,T_TTAFStock_Log[WeekIndex],18))</f>
        <v/>
      </c>
      <c r="T21" s="13">
        <f>IF(COUNTIFS(T_TTAFStock_Log[Part Name],$A21,T_TTAFStock_Log[WeekIndex],19)=0,"",SUMIFS(T_TTAFStock_Log[TTAF_Qty],T_TTAFStock_Log[Part Name],$A21,T_TTAFStock_Log[WeekIndex],19))</f>
        <v/>
      </c>
      <c r="U21" s="13">
        <f>IF(COUNTIFS(T_TTAFStock_Log[Part Name],$A21,T_TTAFStock_Log[WeekIndex],20)=0,"",SUMIFS(T_TTAFStock_Log[TTAF_Qty],T_TTAFStock_Log[Part Name],$A21,T_TTAFStock_Log[WeekIndex],20))</f>
        <v/>
      </c>
      <c r="V21" s="13">
        <f>IF(COUNTIFS(T_TTAFStock_Log[Part Name],$A21,T_TTAFStock_Log[WeekIndex],21)=0,"",SUMIFS(T_TTAFStock_Log[TTAF_Qty],T_TTAFStock_Log[Part Name],$A21,T_TTAFStock_Log[WeekIndex],21))</f>
        <v/>
      </c>
      <c r="W21" s="13">
        <f>IF(COUNTIFS(T_TTAFStock_Log[Part Name],$A21,T_TTAFStock_Log[WeekIndex],22)=0,"",SUMIFS(T_TTAFStock_Log[TTAF_Qty],T_TTAFStock_Log[Part Name],$A21,T_TTAFStock_Log[WeekIndex],22))</f>
        <v/>
      </c>
      <c r="X21" s="13">
        <f>IF(COUNTIFS(T_TTAFStock_Log[Part Name],$A21,T_TTAFStock_Log[WeekIndex],23)=0,"",SUMIFS(T_TTAFStock_Log[TTAF_Qty],T_TTAFStock_Log[Part Name],$A21,T_TTAFStock_Log[WeekIndex],23))</f>
        <v/>
      </c>
      <c r="Y21" s="13">
        <f>IF(COUNTIFS(T_TTAFStock_Log[Part Name],$A21,T_TTAFStock_Log[WeekIndex],24)=0,"",SUMIFS(T_TTAFStock_Log[TTAF_Qty],T_TTAFStock_Log[Part Name],$A21,T_TTAFStock_Log[WeekIndex],24))</f>
        <v/>
      </c>
      <c r="Z21" s="13">
        <f>IF(COUNTIFS(T_TTAFStock_Log[Part Name],$A21,T_TTAFStock_Log[WeekIndex],25)=0,"",SUMIFS(T_TTAFStock_Log[TTAF_Qty],T_TTAFStock_Log[Part Name],$A21,T_TTAFStock_Log[WeekIndex],25))</f>
        <v/>
      </c>
      <c r="AA21" s="13">
        <f>IF(COUNTIFS(T_TTAFStock_Log[Part Name],$A21,T_TTAFStock_Log[WeekIndex],26)=0,"",SUMIFS(T_TTAFStock_Log[TTAF_Qty],T_TTAFStock_Log[Part Name],$A21,T_TTAFStock_Log[WeekIndex],26))</f>
        <v/>
      </c>
      <c r="AB21" s="13">
        <f>IF(COUNTIFS(T_TTAFStock_Log[Part Name],$A21,T_TTAFStock_Log[WeekIndex],27)=0,"",SUMIFS(T_TTAFStock_Log[TTAF_Qty],T_TTAFStock_Log[Part Name],$A21,T_TTAFStock_Log[WeekIndex],27))</f>
        <v/>
      </c>
      <c r="AC21" s="13">
        <f>IF(COUNTIFS(T_TTAFStock_Log[Part Name],$A21,T_TTAFStock_Log[WeekIndex],28)=0,"",SUMIFS(T_TTAFStock_Log[TTAF_Qty],T_TTAFStock_Log[Part Name],$A21,T_TTAFStock_Log[WeekIndex],28))</f>
        <v/>
      </c>
      <c r="AD21" s="13">
        <f>IF(COUNTIFS(T_TTAFStock_Log[Part Name],$A21,T_TTAFStock_Log[WeekIndex],29)=0,"",SUMIFS(T_TTAFStock_Log[TTAF_Qty],T_TTAFStock_Log[Part Name],$A21,T_TTAFStock_Log[WeekIndex],29))</f>
        <v/>
      </c>
      <c r="AE21" s="13">
        <f>IF(COUNTIFS(T_TTAFStock_Log[Part Name],$A21,T_TTAFStock_Log[WeekIndex],30)=0,"",SUMIFS(T_TTAFStock_Log[TTAF_Qty],T_TTAFStock_Log[Part Name],$A21,T_TTAFStock_Log[WeekIndex],30))</f>
        <v/>
      </c>
      <c r="AF21" s="13">
        <f>IF(COUNTIFS(T_TTAFStock_Log[Part Name],$A21,T_TTAFStock_Log[WeekIndex],31)=0,"",SUMIFS(T_TTAFStock_Log[TTAF_Qty],T_TTAFStock_Log[Part Name],$A21,T_TTAFStock_Log[WeekIndex],31))</f>
        <v/>
      </c>
      <c r="AG21" s="13">
        <f>IF(COUNTIFS(T_TTAFStock_Log[Part Name],$A21,T_TTAFStock_Log[WeekIndex],32)=0,"",SUMIFS(T_TTAFStock_Log[TTAF_Qty],T_TTAFStock_Log[Part Name],$A21,T_TTAFStock_Log[WeekIndex],32))</f>
        <v/>
      </c>
      <c r="AH21" s="13">
        <f>IF(COUNTIFS(T_TTAFStock_Log[Part Name],$A21,T_TTAFStock_Log[WeekIndex],33)=0,"",SUMIFS(T_TTAFStock_Log[TTAF_Qty],T_TTAFStock_Log[Part Name],$A21,T_TTAFStock_Log[WeekIndex],33))</f>
        <v/>
      </c>
      <c r="AI21" s="13">
        <f>IF(COUNTIFS(T_TTAFStock_Log[Part Name],$A21,T_TTAFStock_Log[WeekIndex],34)=0,"",SUMIFS(T_TTAFStock_Log[TTAF_Qty],T_TTAFStock_Log[Part Name],$A21,T_TTAFStock_Log[WeekIndex],34))</f>
        <v/>
      </c>
      <c r="AJ21" s="13">
        <f>IF(COUNTIFS(T_TTAFStock_Log[Part Name],$A21,T_TTAFStock_Log[WeekIndex],35)=0,"",SUMIFS(T_TTAFStock_Log[TTAF_Qty],T_TTAFStock_Log[Part Name],$A21,T_TTAFStock_Log[WeekIndex],35))</f>
        <v/>
      </c>
      <c r="AK21" s="13">
        <f>IF(COUNTIFS(T_TTAFStock_Log[Part Name],$A21,T_TTAFStock_Log[WeekIndex],36)=0,"",SUMIFS(T_TTAFStock_Log[TTAF_Qty],T_TTAFStock_Log[Part Name],$A21,T_TTAFStock_Log[WeekIndex],36))</f>
        <v/>
      </c>
      <c r="AL21" s="13">
        <f>IF(COUNTIFS(T_TTAFStock_Log[Part Name],$A21,T_TTAFStock_Log[WeekIndex],37)=0,"",SUMIFS(T_TTAFStock_Log[TTAF_Qty],T_TTAFStock_Log[Part Name],$A21,T_TTAFStock_Log[WeekIndex],37))</f>
        <v/>
      </c>
      <c r="AM21" s="13">
        <f>IF(COUNTIFS(T_TTAFStock_Log[Part Name],$A21,T_TTAFStock_Log[WeekIndex],38)=0,"",SUMIFS(T_TTAFStock_Log[TTAF_Qty],T_TTAFStock_Log[Part Name],$A21,T_TTAFStock_Log[WeekIndex],38))</f>
        <v/>
      </c>
      <c r="AN21" s="13">
        <f>IF(COUNTIFS(T_TTAFStock_Log[Part Name],$A21,T_TTAFStock_Log[WeekIndex],39)=0,"",SUMIFS(T_TTAFStock_Log[TTAF_Qty],T_TTAFStock_Log[Part Name],$A21,T_TTAFStock_Log[WeekIndex],39))</f>
        <v/>
      </c>
      <c r="AO21" s="13">
        <f>IF(COUNTIFS(T_TTAFStock_Log[Part Name],$A21,T_TTAFStock_Log[WeekIndex],40)=0,"",SUMIFS(T_TTAFStock_Log[TTAF_Qty],T_TTAFStock_Log[Part Name],$A21,T_TTAFStock_Log[WeekIndex],40))</f>
        <v/>
      </c>
      <c r="AP21" s="13">
        <f>IF(COUNTIFS(T_TTAFStock_Log[Part Name],$A21,T_TTAFStock_Log[WeekIndex],41)=0,"",SUMIFS(T_TTAFStock_Log[TTAF_Qty],T_TTAFStock_Log[Part Name],$A21,T_TTAFStock_Log[WeekIndex],41))</f>
        <v/>
      </c>
      <c r="AQ21" s="13">
        <f>IF(COUNTIFS(T_TTAFStock_Log[Part Name],$A21,T_TTAFStock_Log[WeekIndex],42)=0,"",SUMIFS(T_TTAFStock_Log[TTAF_Qty],T_TTAFStock_Log[Part Name],$A21,T_TTAFStock_Log[WeekIndex],42))</f>
        <v/>
      </c>
      <c r="AR21" s="13">
        <f>IF(COUNTIFS(T_TTAFStock_Log[Part Name],$A21,T_TTAFStock_Log[WeekIndex],43)=0,"",SUMIFS(T_TTAFStock_Log[TTAF_Qty],T_TTAFStock_Log[Part Name],$A21,T_TTAFStock_Log[WeekIndex],43))</f>
        <v/>
      </c>
      <c r="AS21" s="13">
        <f>IF(COUNTIFS(T_TTAFStock_Log[Part Name],$A21,T_TTAFStock_Log[WeekIndex],44)=0,"",SUMIFS(T_TTAFStock_Log[TTAF_Qty],T_TTAFStock_Log[Part Name],$A21,T_TTAFStock_Log[WeekIndex],44))</f>
        <v/>
      </c>
      <c r="AT21" s="13">
        <f>IF(COUNTIFS(T_TTAFStock_Log[Part Name],$A21,T_TTAFStock_Log[WeekIndex],45)=0,"",SUMIFS(T_TTAFStock_Log[TTAF_Qty],T_TTAFStock_Log[Part Name],$A21,T_TTAFStock_Log[WeekIndex],45))</f>
        <v/>
      </c>
      <c r="AU21" s="13">
        <f>IF(COUNTIFS(T_TTAFStock_Log[Part Name],$A21,T_TTAFStock_Log[WeekIndex],46)=0,"",SUMIFS(T_TTAFStock_Log[TTAF_Qty],T_TTAFStock_Log[Part Name],$A21,T_TTAFStock_Log[WeekIndex],46))</f>
        <v/>
      </c>
      <c r="AV21" s="13">
        <f>IF(COUNTIFS(T_TTAFStock_Log[Part Name],$A21,T_TTAFStock_Log[WeekIndex],47)=0,"",SUMIFS(T_TTAFStock_Log[TTAF_Qty],T_TTAFStock_Log[Part Name],$A21,T_TTAFStock_Log[WeekIndex],47))</f>
        <v/>
      </c>
      <c r="AW21" s="13">
        <f>IF(COUNTIFS(T_TTAFStock_Log[Part Name],$A21,T_TTAFStock_Log[WeekIndex],48)=0,"",SUMIFS(T_TTAFStock_Log[TTAF_Qty],T_TTAFStock_Log[Part Name],$A21,T_TTAFStock_Log[WeekIndex],48))</f>
        <v/>
      </c>
      <c r="AX21" s="13">
        <f>IF(COUNTIFS(T_TTAFStock_Log[Part Name],$A21,T_TTAFStock_Log[WeekIndex],49)=0,"",SUMIFS(T_TTAFStock_Log[TTAF_Qty],T_TTAFStock_Log[Part Name],$A21,T_TTAFStock_Log[WeekIndex],49))</f>
        <v/>
      </c>
      <c r="AY21" s="13">
        <f>IF(COUNTIFS(T_TTAFStock_Log[Part Name],$A21,T_TTAFStock_Log[WeekIndex],50)=0,"",SUMIFS(T_TTAFStock_Log[TTAF_Qty],T_TTAFStock_Log[Part Name],$A21,T_TTAFStock_Log[WeekIndex],50))</f>
        <v/>
      </c>
      <c r="AZ21" s="13">
        <f>IF(COUNTIFS(T_TTAFStock_Log[Part Name],$A21,T_TTAFStock_Log[WeekIndex],51)=0,"",SUMIFS(T_TTAFStock_Log[TTAF_Qty],T_TTAFStock_Log[Part Name],$A21,T_TTAFStock_Log[WeekIndex],51))</f>
        <v/>
      </c>
      <c r="BA21" s="13">
        <f>IF(COUNTIFS(T_TTAFStock_Log[Part Name],$A21,T_TTAFStock_Log[WeekIndex],52)=0,"",SUMIFS(T_TTAFStock_Log[TTAF_Qty],T_TTAFStock_Log[Part Name],$A21,T_TTAFStock_Log[WeekIndex],52))</f>
        <v/>
      </c>
      <c r="BB21" s="13">
        <f>IF(COUNTIFS(T_TTAFStock_Log[Part Name],$A21,T_TTAFStock_Log[WeekIndex],53)=0,"",SUMIFS(T_TTAFStock_Log[TTAF_Qty],T_TTAFStock_Log[Part Name],$A21,T_TTAFStock_Log[WeekIndex],53))</f>
        <v/>
      </c>
      <c r="BC21" s="13">
        <f>IF(COUNTIFS(T_TTAFStock_Log[Part Name],$A21,T_TTAFStock_Log[WeekIndex],54)=0,"",SUMIFS(T_TTAFStock_Log[TTAF_Qty],T_TTAFStock_Log[Part Name],$A21,T_TTAFStock_Log[WeekIndex],54))</f>
        <v/>
      </c>
      <c r="BD21" s="13">
        <f>IF(COUNTIFS(T_TTAFStock_Log[Part Name],$A21,T_TTAFStock_Log[WeekIndex],55)=0,"",SUMIFS(T_TTAFStock_Log[TTAF_Qty],T_TTAFStock_Log[Part Name],$A21,T_TTAFStock_Log[WeekIndex],55))</f>
        <v/>
      </c>
      <c r="BE21" s="13">
        <f>IF(COUNTIFS(T_TTAFStock_Log[Part Name],$A21,T_TTAFStock_Log[WeekIndex],56)=0,"",SUMIFS(T_TTAFStock_Log[TTAF_Qty],T_TTAFStock_Log[Part Name],$A21,T_TTAFStock_Log[WeekIndex],56))</f>
        <v/>
      </c>
      <c r="BF21" s="13">
        <f>IF(COUNTIFS(T_TTAFStock_Log[Part Name],$A21,T_TTAFStock_Log[WeekIndex],57)=0,"",SUMIFS(T_TTAFStock_Log[TTAF_Qty],T_TTAFStock_Log[Part Name],$A21,T_TTAFStock_Log[WeekIndex],57))</f>
        <v/>
      </c>
      <c r="BG21" s="13">
        <f>IF(COUNTIFS(T_TTAFStock_Log[Part Name],$A21,T_TTAFStock_Log[WeekIndex],58)=0,"",SUMIFS(T_TTAFStock_Log[TTAF_Qty],T_TTAFStock_Log[Part Name],$A21,T_TTAFStock_Log[WeekIndex],58))</f>
        <v/>
      </c>
      <c r="BH21" s="13">
        <f>IF(COUNTIFS(T_TTAFStock_Log[Part Name],$A21,T_TTAFStock_Log[WeekIndex],59)=0,"",SUMIFS(T_TTAFStock_Log[TTAF_Qty],T_TTAFStock_Log[Part Name],$A21,T_TTAFStock_Log[WeekIndex],59))</f>
        <v/>
      </c>
      <c r="BI21" s="13">
        <f>IF(COUNTIFS(T_TTAFStock_Log[Part Name],$A21,T_TTAFStock_Log[WeekIndex],60)=0,"",SUMIFS(T_TTAFStock_Log[TTAF_Qty],T_TTAFStock_Log[Part Name],$A21,T_TTAFStock_Log[WeekIndex],60))</f>
        <v/>
      </c>
      <c r="BJ21" s="13">
        <f>IF(COUNTIFS(T_TTAFStock_Log[Part Name],$A21,T_TTAFStock_Log[WeekIndex],61)=0,"",SUMIFS(T_TTAFStock_Log[TTAF_Qty],T_TTAFStock_Log[Part Name],$A21,T_TTAFStock_Log[WeekIndex],61))</f>
        <v/>
      </c>
      <c r="BK21" s="13">
        <f>IF(COUNTIFS(T_TTAFStock_Log[Part Name],$A21,T_TTAFStock_Log[WeekIndex],62)=0,"",SUMIFS(T_TTAFStock_Log[TTAF_Qty],T_TTAFStock_Log[Part Name],$A21,T_TTAFStock_Log[WeekIndex],62))</f>
        <v/>
      </c>
      <c r="BL21" s="13">
        <f>IF(COUNTIFS(T_TTAFStock_Log[Part Name],$A21,T_TTAFStock_Log[WeekIndex],63)=0,"",SUMIFS(T_TTAFStock_Log[TTAF_Qty],T_TTAFStock_Log[Part Name],$A21,T_TTAFStock_Log[WeekIndex],63))</f>
        <v/>
      </c>
      <c r="BM21" s="13">
        <f>IF(COUNTIFS(T_TTAFStock_Log[Part Name],$A21,T_TTAFStock_Log[WeekIndex],64)=0,"",SUMIFS(T_TTAFStock_Log[TTAF_Qty],T_TTAFStock_Log[Part Name],$A21,T_TTAFStock_Log[WeekIndex],64))</f>
        <v/>
      </c>
      <c r="BN21" s="13">
        <f>IF(COUNTIFS(T_TTAFStock_Log[Part Name],$A21,T_TTAFStock_Log[WeekIndex],65)=0,"",SUMIFS(T_TTAFStock_Log[TTAF_Qty],T_TTAFStock_Log[Part Name],$A21,T_TTAFStock_Log[WeekIndex],65))</f>
        <v/>
      </c>
      <c r="BO21" s="13">
        <f>IF(COUNTIFS(T_TTAFStock_Log[Part Name],$A21,T_TTAFStock_Log[WeekIndex],66)=0,"",SUMIFS(T_TTAFStock_Log[TTAF_Qty],T_TTAFStock_Log[Part Name],$A21,T_TTAFStock_Log[WeekIndex],66))</f>
        <v/>
      </c>
      <c r="BP21" s="13">
        <f>IF(COUNTIFS(T_TTAFStock_Log[Part Name],$A21,T_TTAFStock_Log[WeekIndex],67)=0,"",SUMIFS(T_TTAFStock_Log[TTAF_Qty],T_TTAFStock_Log[Part Name],$A21,T_TTAFStock_Log[WeekIndex],67))</f>
        <v/>
      </c>
      <c r="BQ21" s="13">
        <f>IF(COUNTIFS(T_TTAFStock_Log[Part Name],$A21,T_TTAFStock_Log[WeekIndex],68)=0,"",SUMIFS(T_TTAFStock_Log[TTAF_Qty],T_TTAFStock_Log[Part Name],$A21,T_TTAFStock_Log[WeekIndex],68))</f>
        <v/>
      </c>
      <c r="BR21" s="13">
        <f>IF(COUNTIFS(T_TTAFStock_Log[Part Name],$A21,T_TTAFStock_Log[WeekIndex],69)=0,"",SUMIFS(T_TTAFStock_Log[TTAF_Qty],T_TTAFStock_Log[Part Name],$A21,T_TTAFStock_Log[WeekIndex],69))</f>
        <v/>
      </c>
      <c r="BS21" s="13">
        <f>IF(COUNTIFS(T_TTAFStock_Log[Part Name],$A21,T_TTAFStock_Log[WeekIndex],70)=0,"",SUMIFS(T_TTAFStock_Log[TTAF_Qty],T_TTAFStock_Log[Part Name],$A21,T_TTAFStock_Log[WeekIndex],70))</f>
        <v/>
      </c>
      <c r="BT21" s="13">
        <f>IF(COUNTIFS(T_TTAFStock_Log[Part Name],$A21,T_TTAFStock_Log[WeekIndex],71)=0,"",SUMIFS(T_TTAFStock_Log[TTAF_Qty],T_TTAFStock_Log[Part Name],$A21,T_TTAFStock_Log[WeekIndex],71))</f>
        <v/>
      </c>
      <c r="BU21" s="13">
        <f>IF(COUNTIFS(T_TTAFStock_Log[Part Name],$A21,T_TTAFStock_Log[WeekIndex],72)=0,"",SUMIFS(T_TTAFStock_Log[TTAF_Qty],T_TTAFStock_Log[Part Name],$A21,T_TTAFStock_Log[WeekIndex],72))</f>
        <v/>
      </c>
      <c r="BV21" s="13">
        <f>IF(COUNTIFS(T_TTAFStock_Log[Part Name],$A21,T_TTAFStock_Log[WeekIndex],73)=0,"",SUMIFS(T_TTAFStock_Log[TTAF_Qty],T_TTAFStock_Log[Part Name],$A21,T_TTAFStock_Log[WeekIndex],73))</f>
        <v/>
      </c>
      <c r="BW21" s="13">
        <f>IF(COUNTIFS(T_TTAFStock_Log[Part Name],$A21,T_TTAFStock_Log[WeekIndex],74)=0,"",SUMIFS(T_TTAFStock_Log[TTAF_Qty],T_TTAFStock_Log[Part Name],$A21,T_TTAFStock_Log[WeekIndex],74))</f>
        <v/>
      </c>
      <c r="BX21" s="13">
        <f>IF(COUNTIFS(T_TTAFStock_Log[Part Name],$A21,T_TTAFStock_Log[WeekIndex],75)=0,"",SUMIFS(T_TTAFStock_Log[TTAF_Qty],T_TTAFStock_Log[Part Name],$A21,T_TTAFStock_Log[WeekIndex],75))</f>
        <v/>
      </c>
      <c r="BY21" s="13">
        <f>IF(COUNTIFS(T_TTAFStock_Log[Part Name],$A21,T_TTAFStock_Log[WeekIndex],76)=0,"",SUMIFS(T_TTAFStock_Log[TTAF_Qty],T_TTAFStock_Log[Part Name],$A21,T_TTAFStock_Log[WeekIndex],76))</f>
        <v/>
      </c>
      <c r="BZ21" s="13">
        <f>IF(COUNTIFS(T_TTAFStock_Log[Part Name],$A21,T_TTAFStock_Log[WeekIndex],77)=0,"",SUMIFS(T_TTAFStock_Log[TTAF_Qty],T_TTAFStock_Log[Part Name],$A21,T_TTAFStock_Log[WeekIndex],77))</f>
        <v/>
      </c>
      <c r="CA21" s="13">
        <f>IF(COUNTIFS(T_TTAFStock_Log[Part Name],$A21,T_TTAFStock_Log[WeekIndex],78)=0,"",SUMIFS(T_TTAFStock_Log[TTAF_Qty],T_TTAFStock_Log[Part Name],$A21,T_TTAFStock_Log[WeekIndex],78))</f>
        <v/>
      </c>
      <c r="CB21" s="13">
        <f>IF(COUNTIFS(T_TTAFStock_Log[Part Name],$A21,T_TTAFStock_Log[WeekIndex],79)=0,"",SUMIFS(T_TTAFStock_Log[TTAF_Qty],T_TTAFStock_Log[Part Name],$A21,T_TTAFStock_Log[WeekIndex],79))</f>
        <v/>
      </c>
      <c r="CC21" s="13">
        <f>IF(COUNTIFS(T_TTAFStock_Log[Part Name],$A21,T_TTAFStock_Log[WeekIndex],80)=0,"",SUMIFS(T_TTAFStock_Log[TTAF_Qty],T_TTAFStock_Log[Part Name],$A21,T_TTAFStock_Log[WeekIndex],80))</f>
        <v/>
      </c>
      <c r="CD21" s="13">
        <f>IF(COUNTIFS(T_TTAFStock_Log[Part Name],$A21,T_TTAFStock_Log[WeekIndex],81)=0,"",SUMIFS(T_TTAFStock_Log[TTAF_Qty],T_TTAFStock_Log[Part Name],$A21,T_TTAFStock_Log[WeekIndex],81))</f>
        <v/>
      </c>
      <c r="CE21" s="13">
        <f>IF(COUNTIFS(T_TTAFStock_Log[Part Name],$A21,T_TTAFStock_Log[WeekIndex],82)=0,"",SUMIFS(T_TTAFStock_Log[TTAF_Qty],T_TTAFStock_Log[Part Name],$A21,T_TTAFStock_Log[WeekIndex],82))</f>
        <v/>
      </c>
      <c r="CF21" s="13">
        <f>IF(COUNTIFS(T_TTAFStock_Log[Part Name],$A21,T_TTAFStock_Log[WeekIndex],83)=0,"",SUMIFS(T_TTAFStock_Log[TTAF_Qty],T_TTAFStock_Log[Part Name],$A21,T_TTAFStock_Log[WeekIndex],83))</f>
        <v/>
      </c>
      <c r="CG21" s="13">
        <f>IF(COUNTIFS(T_TTAFStock_Log[Part Name],$A21,T_TTAFStock_Log[WeekIndex],84)=0,"",SUMIFS(T_TTAFStock_Log[TTAF_Qty],T_TTAFStock_Log[Part Name],$A21,T_TTAFStock_Log[WeekIndex],84))</f>
        <v/>
      </c>
      <c r="CH21" s="13">
        <f>IF(COUNTIFS(T_TTAFStock_Log[Part Name],$A21,T_TTAFStock_Log[WeekIndex],85)=0,"",SUMIFS(T_TTAFStock_Log[TTAF_Qty],T_TTAFStock_Log[Part Name],$A21,T_TTAFStock_Log[WeekIndex],85))</f>
        <v/>
      </c>
      <c r="CI21" s="13">
        <f>IF(COUNTIFS(T_TTAFStock_Log[Part Name],$A21,T_TTAFStock_Log[WeekIndex],86)=0,"",SUMIFS(T_TTAFStock_Log[TTAF_Qty],T_TTAFStock_Log[Part Name],$A21,T_TTAFStock_Log[WeekIndex],86))</f>
        <v/>
      </c>
      <c r="CJ21" s="13">
        <f>IF(COUNTIFS(T_TTAFStock_Log[Part Name],$A21,T_TTAFStock_Log[WeekIndex],87)=0,"",SUMIFS(T_TTAFStock_Log[TTAF_Qty],T_TTAFStock_Log[Part Name],$A21,T_TTAFStock_Log[WeekIndex],87))</f>
        <v/>
      </c>
      <c r="CK21" s="13">
        <f>IF(COUNTIFS(T_TTAFStock_Log[Part Name],$A21,T_TTAFStock_Log[WeekIndex],88)=0,"",SUMIFS(T_TTAFStock_Log[TTAF_Qty],T_TTAFStock_Log[Part Name],$A21,T_TTAFStock_Log[WeekIndex],88))</f>
        <v/>
      </c>
      <c r="CL21" s="13">
        <f>IF(COUNTIFS(T_TTAFStock_Log[Part Name],$A21,T_TTAFStock_Log[WeekIndex],89)=0,"",SUMIFS(T_TTAFStock_Log[TTAF_Qty],T_TTAFStock_Log[Part Name],$A21,T_TTAFStock_Log[WeekIndex],89))</f>
        <v/>
      </c>
      <c r="CM21" s="13">
        <f>IF(COUNTIFS(T_TTAFStock_Log[Part Name],$A21,T_TTAFStock_Log[WeekIndex],90)=0,"",SUMIFS(T_TTAFStock_Log[TTAF_Qty],T_TTAFStock_Log[Part Name],$A21,T_TTAFStock_Log[WeekIndex],90))</f>
        <v/>
      </c>
      <c r="CN21" s="13">
        <f>IF(COUNTIFS(T_TTAFStock_Log[Part Name],$A21,T_TTAFStock_Log[WeekIndex],91)=0,"",SUMIFS(T_TTAFStock_Log[TTAF_Qty],T_TTAFStock_Log[Part Name],$A21,T_TTAFStock_Log[WeekIndex],91))</f>
        <v/>
      </c>
      <c r="CO21" s="13">
        <f>IF(COUNTIFS(T_TTAFStock_Log[Part Name],$A21,T_TTAFStock_Log[WeekIndex],92)=0,"",SUMIFS(T_TTAFStock_Log[TTAF_Qty],T_TTAFStock_Log[Part Name],$A21,T_TTAFStock_Log[WeekIndex],92))</f>
        <v/>
      </c>
      <c r="CP21" s="13">
        <f>IF(COUNTIFS(T_TTAFStock_Log[Part Name],$A21,T_TTAFStock_Log[WeekIndex],93)=0,"",SUMIFS(T_TTAFStock_Log[TTAF_Qty],T_TTAFStock_Log[Part Name],$A21,T_TTAFStock_Log[WeekIndex],93))</f>
        <v/>
      </c>
      <c r="CQ21" s="13">
        <f>IF(COUNTIFS(T_TTAFStock_Log[Part Name],$A21,T_TTAFStock_Log[WeekIndex],94)=0,"",SUMIFS(T_TTAFStock_Log[TTAF_Qty],T_TTAFStock_Log[Part Name],$A21,T_TTAFStock_Log[WeekIndex],94))</f>
        <v/>
      </c>
      <c r="CR21" s="13">
        <f>IF(COUNTIFS(T_TTAFStock_Log[Part Name],$A21,T_TTAFStock_Log[WeekIndex],95)=0,"",SUMIFS(T_TTAFStock_Log[TTAF_Qty],T_TTAFStock_Log[Part Name],$A21,T_TTAFStock_Log[WeekIndex],95))</f>
        <v/>
      </c>
      <c r="CS21" s="13">
        <f>IF(COUNTIFS(T_TTAFStock_Log[Part Name],$A21,T_TTAFStock_Log[WeekIndex],96)=0,"",SUMIFS(T_TTAFStock_Log[TTAF_Qty],T_TTAFStock_Log[Part Name],$A21,T_TTAFStock_Log[WeekIndex],96))</f>
        <v/>
      </c>
      <c r="CT21" s="13">
        <f>IF(COUNTIFS(T_TTAFStock_Log[Part Name],$A21,T_TTAFStock_Log[WeekIndex],97)=0,"",SUMIFS(T_TTAFStock_Log[TTAF_Qty],T_TTAFStock_Log[Part Name],$A21,T_TTAFStock_Log[WeekIndex],97))</f>
        <v/>
      </c>
      <c r="CU21" s="13">
        <f>IF(COUNTIFS(T_TTAFStock_Log[Part Name],$A21,T_TTAFStock_Log[WeekIndex],98)=0,"",SUMIFS(T_TTAFStock_Log[TTAF_Qty],T_TTAFStock_Log[Part Name],$A21,T_TTAFStock_Log[WeekIndex],98))</f>
        <v/>
      </c>
      <c r="CV21" s="13">
        <f>IF(COUNTIFS(T_TTAFStock_Log[Part Name],$A21,T_TTAFStock_Log[WeekIndex],99)=0,"",SUMIFS(T_TTAFStock_Log[TTAF_Qty],T_TTAFStock_Log[Part Name],$A21,T_TTAFStock_Log[WeekIndex],99))</f>
        <v/>
      </c>
      <c r="CW21" s="13">
        <f>IF(COUNTIFS(T_TTAFStock_Log[Part Name],$A21,T_TTAFStock_Log[WeekIndex],100)=0,"",SUMIFS(T_TTAFStock_Log[TTAF_Qty],T_TTAFStock_Log[Part Name],$A21,T_TTAFStock_Log[WeekIndex],100))</f>
        <v/>
      </c>
      <c r="CX21" s="13">
        <f>IF(COUNTIFS(T_TTAFStock_Log[Part Name],$A21,T_TTAFStock_Log[WeekIndex],101)=0,"",SUMIFS(T_TTAFStock_Log[TTAF_Qty],T_TTAFStock_Log[Part Name],$A21,T_TTAFStock_Log[WeekIndex],101))</f>
        <v/>
      </c>
      <c r="CY21" s="13">
        <f>IF(COUNTIFS(T_TTAFStock_Log[Part Name],$A21,T_TTAFStock_Log[WeekIndex],102)=0,"",SUMIFS(T_TTAFStock_Log[TTAF_Qty],T_TTAFStock_Log[Part Name],$A21,T_TTAFStock_Log[WeekIndex],102))</f>
        <v/>
      </c>
      <c r="CZ21" s="13">
        <f>IF(COUNTIFS(T_TTAFStock_Log[Part Name],$A21,T_TTAFStock_Log[WeekIndex],103)=0,"",SUMIFS(T_TTAFStock_Log[TTAF_Qty],T_TTAFStock_Log[Part Name],$A21,T_TTAFStock_Log[WeekIndex],103))</f>
        <v/>
      </c>
      <c r="DA21" s="13">
        <f>IF(COUNTIFS(T_TTAFStock_Log[Part Name],$A21,T_TTAFStock_Log[WeekIndex],104)=0,"",SUMIFS(T_TTAFStock_Log[TTAF_Qty],T_TTAFStock_Log[Part Name],$A21,T_TTAFStock_Log[WeekIndex],104))</f>
        <v/>
      </c>
    </row>
    <row r="22">
      <c r="A22" s="12" t="inlineStr">
        <is>
          <t>CHEM-1660</t>
        </is>
      </c>
      <c r="B22" s="12">
        <f>IF(COUNTIFS(T_TTAFStock_Log[Part Name],$A22,T_TTAFStock_Log[WeekIndex],1)=0,"",SUMIFS(T_TTAFStock_Log[TTAF_Qty],T_TTAFStock_Log[Part Name],$A22,T_TTAFStock_Log[WeekIndex],1))</f>
        <v/>
      </c>
      <c r="C22" s="12">
        <f>IF(COUNTIFS(T_TTAFStock_Log[Part Name],$A22,T_TTAFStock_Log[WeekIndex],2)=0,"",SUMIFS(T_TTAFStock_Log[TTAF_Qty],T_TTAFStock_Log[Part Name],$A22,T_TTAFStock_Log[WeekIndex],2))</f>
        <v/>
      </c>
      <c r="D22" s="12">
        <f>IF(COUNTIFS(T_TTAFStock_Log[Part Name],$A22,T_TTAFStock_Log[WeekIndex],3)=0,"",SUMIFS(T_TTAFStock_Log[TTAF_Qty],T_TTAFStock_Log[Part Name],$A22,T_TTAFStock_Log[WeekIndex],3))</f>
        <v/>
      </c>
      <c r="E22" s="12">
        <f>IF(COUNTIFS(T_TTAFStock_Log[Part Name],$A22,T_TTAFStock_Log[WeekIndex],4)=0,"",SUMIFS(T_TTAFStock_Log[TTAF_Qty],T_TTAFStock_Log[Part Name],$A22,T_TTAFStock_Log[WeekIndex],4))</f>
        <v/>
      </c>
      <c r="F22" s="12">
        <f>IF(COUNTIFS(T_TTAFStock_Log[Part Name],$A22,T_TTAFStock_Log[WeekIndex],5)=0,"",SUMIFS(T_TTAFStock_Log[TTAF_Qty],T_TTAFStock_Log[Part Name],$A22,T_TTAFStock_Log[WeekIndex],5))</f>
        <v/>
      </c>
      <c r="G22" s="12">
        <f>IF(COUNTIFS(T_TTAFStock_Log[Part Name],$A22,T_TTAFStock_Log[WeekIndex],6)=0,"",SUMIFS(T_TTAFStock_Log[TTAF_Qty],T_TTAFStock_Log[Part Name],$A22,T_TTAFStock_Log[WeekIndex],6))</f>
        <v/>
      </c>
      <c r="H22" s="12">
        <f>IF(COUNTIFS(T_TTAFStock_Log[Part Name],$A22,T_TTAFStock_Log[WeekIndex],7)=0,"",SUMIFS(T_TTAFStock_Log[TTAF_Qty],T_TTAFStock_Log[Part Name],$A22,T_TTAFStock_Log[WeekIndex],7))</f>
        <v/>
      </c>
      <c r="I22" s="12">
        <f>IF(COUNTIFS(T_TTAFStock_Log[Part Name],$A22,T_TTAFStock_Log[WeekIndex],8)=0,"",SUMIFS(T_TTAFStock_Log[TTAF_Qty],T_TTAFStock_Log[Part Name],$A22,T_TTAFStock_Log[WeekIndex],8))</f>
        <v/>
      </c>
      <c r="J22" s="12">
        <f>IF(COUNTIFS(T_TTAFStock_Log[Part Name],$A22,T_TTAFStock_Log[WeekIndex],9)=0,"",SUMIFS(T_TTAFStock_Log[TTAF_Qty],T_TTAFStock_Log[Part Name],$A22,T_TTAFStock_Log[WeekIndex],9))</f>
        <v/>
      </c>
      <c r="K22" s="12">
        <f>IF(COUNTIFS(T_TTAFStock_Log[Part Name],$A22,T_TTAFStock_Log[WeekIndex],10)=0,"",SUMIFS(T_TTAFStock_Log[TTAF_Qty],T_TTAFStock_Log[Part Name],$A22,T_TTAFStock_Log[WeekIndex],10))</f>
        <v/>
      </c>
      <c r="L22" s="12">
        <f>IF(COUNTIFS(T_TTAFStock_Log[Part Name],$A22,T_TTAFStock_Log[WeekIndex],11)=0,"",SUMIFS(T_TTAFStock_Log[TTAF_Qty],T_TTAFStock_Log[Part Name],$A22,T_TTAFStock_Log[WeekIndex],11))</f>
        <v/>
      </c>
      <c r="M22" s="12">
        <f>IF(COUNTIFS(T_TTAFStock_Log[Part Name],$A22,T_TTAFStock_Log[WeekIndex],12)=0,"",SUMIFS(T_TTAFStock_Log[TTAF_Qty],T_TTAFStock_Log[Part Name],$A22,T_TTAFStock_Log[WeekIndex],12))</f>
        <v/>
      </c>
      <c r="N22" s="12">
        <f>IF(COUNTIFS(T_TTAFStock_Log[Part Name],$A22,T_TTAFStock_Log[WeekIndex],13)=0,"",SUMIFS(T_TTAFStock_Log[TTAF_Qty],T_TTAFStock_Log[Part Name],$A22,T_TTAFStock_Log[WeekIndex],13))</f>
        <v/>
      </c>
      <c r="O22" s="12">
        <f>IF(COUNTIFS(T_TTAFStock_Log[Part Name],$A22,T_TTAFStock_Log[WeekIndex],14)=0,"",SUMIFS(T_TTAFStock_Log[TTAF_Qty],T_TTAFStock_Log[Part Name],$A22,T_TTAFStock_Log[WeekIndex],14))</f>
        <v/>
      </c>
      <c r="P22" s="12">
        <f>IF(COUNTIFS(T_TTAFStock_Log[Part Name],$A22,T_TTAFStock_Log[WeekIndex],15)=0,"",SUMIFS(T_TTAFStock_Log[TTAF_Qty],T_TTAFStock_Log[Part Name],$A22,T_TTAFStock_Log[WeekIndex],15))</f>
        <v/>
      </c>
      <c r="Q22" s="12">
        <f>IF(COUNTIFS(T_TTAFStock_Log[Part Name],$A22,T_TTAFStock_Log[WeekIndex],16)=0,"",SUMIFS(T_TTAFStock_Log[TTAF_Qty],T_TTAFStock_Log[Part Name],$A22,T_TTAFStock_Log[WeekIndex],16))</f>
        <v/>
      </c>
      <c r="R22" s="12">
        <f>IF(COUNTIFS(T_TTAFStock_Log[Part Name],$A22,T_TTAFStock_Log[WeekIndex],17)=0,"",SUMIFS(T_TTAFStock_Log[TTAF_Qty],T_TTAFStock_Log[Part Name],$A22,T_TTAFStock_Log[WeekIndex],17))</f>
        <v/>
      </c>
      <c r="S22" s="12">
        <f>IF(COUNTIFS(T_TTAFStock_Log[Part Name],$A22,T_TTAFStock_Log[WeekIndex],18)=0,"",SUMIFS(T_TTAFStock_Log[TTAF_Qty],T_TTAFStock_Log[Part Name],$A22,T_TTAFStock_Log[WeekIndex],18))</f>
        <v/>
      </c>
      <c r="T22" s="12">
        <f>IF(COUNTIFS(T_TTAFStock_Log[Part Name],$A22,T_TTAFStock_Log[WeekIndex],19)=0,"",SUMIFS(T_TTAFStock_Log[TTAF_Qty],T_TTAFStock_Log[Part Name],$A22,T_TTAFStock_Log[WeekIndex],19))</f>
        <v/>
      </c>
      <c r="U22" s="12">
        <f>IF(COUNTIFS(T_TTAFStock_Log[Part Name],$A22,T_TTAFStock_Log[WeekIndex],20)=0,"",SUMIFS(T_TTAFStock_Log[TTAF_Qty],T_TTAFStock_Log[Part Name],$A22,T_TTAFStock_Log[WeekIndex],20))</f>
        <v/>
      </c>
      <c r="V22" s="12">
        <f>IF(COUNTIFS(T_TTAFStock_Log[Part Name],$A22,T_TTAFStock_Log[WeekIndex],21)=0,"",SUMIFS(T_TTAFStock_Log[TTAF_Qty],T_TTAFStock_Log[Part Name],$A22,T_TTAFStock_Log[WeekIndex],21))</f>
        <v/>
      </c>
      <c r="W22" s="12">
        <f>IF(COUNTIFS(T_TTAFStock_Log[Part Name],$A22,T_TTAFStock_Log[WeekIndex],22)=0,"",SUMIFS(T_TTAFStock_Log[TTAF_Qty],T_TTAFStock_Log[Part Name],$A22,T_TTAFStock_Log[WeekIndex],22))</f>
        <v/>
      </c>
      <c r="X22" s="12">
        <f>IF(COUNTIFS(T_TTAFStock_Log[Part Name],$A22,T_TTAFStock_Log[WeekIndex],23)=0,"",SUMIFS(T_TTAFStock_Log[TTAF_Qty],T_TTAFStock_Log[Part Name],$A22,T_TTAFStock_Log[WeekIndex],23))</f>
        <v/>
      </c>
      <c r="Y22" s="12">
        <f>IF(COUNTIFS(T_TTAFStock_Log[Part Name],$A22,T_TTAFStock_Log[WeekIndex],24)=0,"",SUMIFS(T_TTAFStock_Log[TTAF_Qty],T_TTAFStock_Log[Part Name],$A22,T_TTAFStock_Log[WeekIndex],24))</f>
        <v/>
      </c>
      <c r="Z22" s="12">
        <f>IF(COUNTIFS(T_TTAFStock_Log[Part Name],$A22,T_TTAFStock_Log[WeekIndex],25)=0,"",SUMIFS(T_TTAFStock_Log[TTAF_Qty],T_TTAFStock_Log[Part Name],$A22,T_TTAFStock_Log[WeekIndex],25))</f>
        <v/>
      </c>
      <c r="AA22" s="12">
        <f>IF(COUNTIFS(T_TTAFStock_Log[Part Name],$A22,T_TTAFStock_Log[WeekIndex],26)=0,"",SUMIFS(T_TTAFStock_Log[TTAF_Qty],T_TTAFStock_Log[Part Name],$A22,T_TTAFStock_Log[WeekIndex],26))</f>
        <v/>
      </c>
      <c r="AB22" s="12">
        <f>IF(COUNTIFS(T_TTAFStock_Log[Part Name],$A22,T_TTAFStock_Log[WeekIndex],27)=0,"",SUMIFS(T_TTAFStock_Log[TTAF_Qty],T_TTAFStock_Log[Part Name],$A22,T_TTAFStock_Log[WeekIndex],27))</f>
        <v/>
      </c>
      <c r="AC22" s="12">
        <f>IF(COUNTIFS(T_TTAFStock_Log[Part Name],$A22,T_TTAFStock_Log[WeekIndex],28)=0,"",SUMIFS(T_TTAFStock_Log[TTAF_Qty],T_TTAFStock_Log[Part Name],$A22,T_TTAFStock_Log[WeekIndex],28))</f>
        <v/>
      </c>
      <c r="AD22" s="12">
        <f>IF(COUNTIFS(T_TTAFStock_Log[Part Name],$A22,T_TTAFStock_Log[WeekIndex],29)=0,"",SUMIFS(T_TTAFStock_Log[TTAF_Qty],T_TTAFStock_Log[Part Name],$A22,T_TTAFStock_Log[WeekIndex],29))</f>
        <v/>
      </c>
      <c r="AE22" s="12">
        <f>IF(COUNTIFS(T_TTAFStock_Log[Part Name],$A22,T_TTAFStock_Log[WeekIndex],30)=0,"",SUMIFS(T_TTAFStock_Log[TTAF_Qty],T_TTAFStock_Log[Part Name],$A22,T_TTAFStock_Log[WeekIndex],30))</f>
        <v/>
      </c>
      <c r="AF22" s="12">
        <f>IF(COUNTIFS(T_TTAFStock_Log[Part Name],$A22,T_TTAFStock_Log[WeekIndex],31)=0,"",SUMIFS(T_TTAFStock_Log[TTAF_Qty],T_TTAFStock_Log[Part Name],$A22,T_TTAFStock_Log[WeekIndex],31))</f>
        <v/>
      </c>
      <c r="AG22" s="12">
        <f>IF(COUNTIFS(T_TTAFStock_Log[Part Name],$A22,T_TTAFStock_Log[WeekIndex],32)=0,"",SUMIFS(T_TTAFStock_Log[TTAF_Qty],T_TTAFStock_Log[Part Name],$A22,T_TTAFStock_Log[WeekIndex],32))</f>
        <v/>
      </c>
      <c r="AH22" s="12">
        <f>IF(COUNTIFS(T_TTAFStock_Log[Part Name],$A22,T_TTAFStock_Log[WeekIndex],33)=0,"",SUMIFS(T_TTAFStock_Log[TTAF_Qty],T_TTAFStock_Log[Part Name],$A22,T_TTAFStock_Log[WeekIndex],33))</f>
        <v/>
      </c>
      <c r="AI22" s="12">
        <f>IF(COUNTIFS(T_TTAFStock_Log[Part Name],$A22,T_TTAFStock_Log[WeekIndex],34)=0,"",SUMIFS(T_TTAFStock_Log[TTAF_Qty],T_TTAFStock_Log[Part Name],$A22,T_TTAFStock_Log[WeekIndex],34))</f>
        <v/>
      </c>
      <c r="AJ22" s="12">
        <f>IF(COUNTIFS(T_TTAFStock_Log[Part Name],$A22,T_TTAFStock_Log[WeekIndex],35)=0,"",SUMIFS(T_TTAFStock_Log[TTAF_Qty],T_TTAFStock_Log[Part Name],$A22,T_TTAFStock_Log[WeekIndex],35))</f>
        <v/>
      </c>
      <c r="AK22" s="12">
        <f>IF(COUNTIFS(T_TTAFStock_Log[Part Name],$A22,T_TTAFStock_Log[WeekIndex],36)=0,"",SUMIFS(T_TTAFStock_Log[TTAF_Qty],T_TTAFStock_Log[Part Name],$A22,T_TTAFStock_Log[WeekIndex],36))</f>
        <v/>
      </c>
      <c r="AL22" s="12">
        <f>IF(COUNTIFS(T_TTAFStock_Log[Part Name],$A22,T_TTAFStock_Log[WeekIndex],37)=0,"",SUMIFS(T_TTAFStock_Log[TTAF_Qty],T_TTAFStock_Log[Part Name],$A22,T_TTAFStock_Log[WeekIndex],37))</f>
        <v/>
      </c>
      <c r="AM22" s="12">
        <f>IF(COUNTIFS(T_TTAFStock_Log[Part Name],$A22,T_TTAFStock_Log[WeekIndex],38)=0,"",SUMIFS(T_TTAFStock_Log[TTAF_Qty],T_TTAFStock_Log[Part Name],$A22,T_TTAFStock_Log[WeekIndex],38))</f>
        <v/>
      </c>
      <c r="AN22" s="12">
        <f>IF(COUNTIFS(T_TTAFStock_Log[Part Name],$A22,T_TTAFStock_Log[WeekIndex],39)=0,"",SUMIFS(T_TTAFStock_Log[TTAF_Qty],T_TTAFStock_Log[Part Name],$A22,T_TTAFStock_Log[WeekIndex],39))</f>
        <v/>
      </c>
      <c r="AO22" s="12">
        <f>IF(COUNTIFS(T_TTAFStock_Log[Part Name],$A22,T_TTAFStock_Log[WeekIndex],40)=0,"",SUMIFS(T_TTAFStock_Log[TTAF_Qty],T_TTAFStock_Log[Part Name],$A22,T_TTAFStock_Log[WeekIndex],40))</f>
        <v/>
      </c>
      <c r="AP22" s="12">
        <f>IF(COUNTIFS(T_TTAFStock_Log[Part Name],$A22,T_TTAFStock_Log[WeekIndex],41)=0,"",SUMIFS(T_TTAFStock_Log[TTAF_Qty],T_TTAFStock_Log[Part Name],$A22,T_TTAFStock_Log[WeekIndex],41))</f>
        <v/>
      </c>
      <c r="AQ22" s="12">
        <f>IF(COUNTIFS(T_TTAFStock_Log[Part Name],$A22,T_TTAFStock_Log[WeekIndex],42)=0,"",SUMIFS(T_TTAFStock_Log[TTAF_Qty],T_TTAFStock_Log[Part Name],$A22,T_TTAFStock_Log[WeekIndex],42))</f>
        <v/>
      </c>
      <c r="AR22" s="12">
        <f>IF(COUNTIFS(T_TTAFStock_Log[Part Name],$A22,T_TTAFStock_Log[WeekIndex],43)=0,"",SUMIFS(T_TTAFStock_Log[TTAF_Qty],T_TTAFStock_Log[Part Name],$A22,T_TTAFStock_Log[WeekIndex],43))</f>
        <v/>
      </c>
      <c r="AS22" s="12">
        <f>IF(COUNTIFS(T_TTAFStock_Log[Part Name],$A22,T_TTAFStock_Log[WeekIndex],44)=0,"",SUMIFS(T_TTAFStock_Log[TTAF_Qty],T_TTAFStock_Log[Part Name],$A22,T_TTAFStock_Log[WeekIndex],44))</f>
        <v/>
      </c>
      <c r="AT22" s="12">
        <f>IF(COUNTIFS(T_TTAFStock_Log[Part Name],$A22,T_TTAFStock_Log[WeekIndex],45)=0,"",SUMIFS(T_TTAFStock_Log[TTAF_Qty],T_TTAFStock_Log[Part Name],$A22,T_TTAFStock_Log[WeekIndex],45))</f>
        <v/>
      </c>
      <c r="AU22" s="12">
        <f>IF(COUNTIFS(T_TTAFStock_Log[Part Name],$A22,T_TTAFStock_Log[WeekIndex],46)=0,"",SUMIFS(T_TTAFStock_Log[TTAF_Qty],T_TTAFStock_Log[Part Name],$A22,T_TTAFStock_Log[WeekIndex],46))</f>
        <v/>
      </c>
      <c r="AV22" s="12">
        <f>IF(COUNTIFS(T_TTAFStock_Log[Part Name],$A22,T_TTAFStock_Log[WeekIndex],47)=0,"",SUMIFS(T_TTAFStock_Log[TTAF_Qty],T_TTAFStock_Log[Part Name],$A22,T_TTAFStock_Log[WeekIndex],47))</f>
        <v/>
      </c>
      <c r="AW22" s="12">
        <f>IF(COUNTIFS(T_TTAFStock_Log[Part Name],$A22,T_TTAFStock_Log[WeekIndex],48)=0,"",SUMIFS(T_TTAFStock_Log[TTAF_Qty],T_TTAFStock_Log[Part Name],$A22,T_TTAFStock_Log[WeekIndex],48))</f>
        <v/>
      </c>
      <c r="AX22" s="12">
        <f>IF(COUNTIFS(T_TTAFStock_Log[Part Name],$A22,T_TTAFStock_Log[WeekIndex],49)=0,"",SUMIFS(T_TTAFStock_Log[TTAF_Qty],T_TTAFStock_Log[Part Name],$A22,T_TTAFStock_Log[WeekIndex],49))</f>
        <v/>
      </c>
      <c r="AY22" s="12">
        <f>IF(COUNTIFS(T_TTAFStock_Log[Part Name],$A22,T_TTAFStock_Log[WeekIndex],50)=0,"",SUMIFS(T_TTAFStock_Log[TTAF_Qty],T_TTAFStock_Log[Part Name],$A22,T_TTAFStock_Log[WeekIndex],50))</f>
        <v/>
      </c>
      <c r="AZ22" s="12">
        <f>IF(COUNTIFS(T_TTAFStock_Log[Part Name],$A22,T_TTAFStock_Log[WeekIndex],51)=0,"",SUMIFS(T_TTAFStock_Log[TTAF_Qty],T_TTAFStock_Log[Part Name],$A22,T_TTAFStock_Log[WeekIndex],51))</f>
        <v/>
      </c>
      <c r="BA22" s="12">
        <f>IF(COUNTIFS(T_TTAFStock_Log[Part Name],$A22,T_TTAFStock_Log[WeekIndex],52)=0,"",SUMIFS(T_TTAFStock_Log[TTAF_Qty],T_TTAFStock_Log[Part Name],$A22,T_TTAFStock_Log[WeekIndex],52))</f>
        <v/>
      </c>
      <c r="BB22" s="12">
        <f>IF(COUNTIFS(T_TTAFStock_Log[Part Name],$A22,T_TTAFStock_Log[WeekIndex],53)=0,"",SUMIFS(T_TTAFStock_Log[TTAF_Qty],T_TTAFStock_Log[Part Name],$A22,T_TTAFStock_Log[WeekIndex],53))</f>
        <v/>
      </c>
      <c r="BC22" s="12">
        <f>IF(COUNTIFS(T_TTAFStock_Log[Part Name],$A22,T_TTAFStock_Log[WeekIndex],54)=0,"",SUMIFS(T_TTAFStock_Log[TTAF_Qty],T_TTAFStock_Log[Part Name],$A22,T_TTAFStock_Log[WeekIndex],54))</f>
        <v/>
      </c>
      <c r="BD22" s="12">
        <f>IF(COUNTIFS(T_TTAFStock_Log[Part Name],$A22,T_TTAFStock_Log[WeekIndex],55)=0,"",SUMIFS(T_TTAFStock_Log[TTAF_Qty],T_TTAFStock_Log[Part Name],$A22,T_TTAFStock_Log[WeekIndex],55))</f>
        <v/>
      </c>
      <c r="BE22" s="12">
        <f>IF(COUNTIFS(T_TTAFStock_Log[Part Name],$A22,T_TTAFStock_Log[WeekIndex],56)=0,"",SUMIFS(T_TTAFStock_Log[TTAF_Qty],T_TTAFStock_Log[Part Name],$A22,T_TTAFStock_Log[WeekIndex],56))</f>
        <v/>
      </c>
      <c r="BF22" s="12">
        <f>IF(COUNTIFS(T_TTAFStock_Log[Part Name],$A22,T_TTAFStock_Log[WeekIndex],57)=0,"",SUMIFS(T_TTAFStock_Log[TTAF_Qty],T_TTAFStock_Log[Part Name],$A22,T_TTAFStock_Log[WeekIndex],57))</f>
        <v/>
      </c>
      <c r="BG22" s="12">
        <f>IF(COUNTIFS(T_TTAFStock_Log[Part Name],$A22,T_TTAFStock_Log[WeekIndex],58)=0,"",SUMIFS(T_TTAFStock_Log[TTAF_Qty],T_TTAFStock_Log[Part Name],$A22,T_TTAFStock_Log[WeekIndex],58))</f>
        <v/>
      </c>
      <c r="BH22" s="12">
        <f>IF(COUNTIFS(T_TTAFStock_Log[Part Name],$A22,T_TTAFStock_Log[WeekIndex],59)=0,"",SUMIFS(T_TTAFStock_Log[TTAF_Qty],T_TTAFStock_Log[Part Name],$A22,T_TTAFStock_Log[WeekIndex],59))</f>
        <v/>
      </c>
      <c r="BI22" s="12">
        <f>IF(COUNTIFS(T_TTAFStock_Log[Part Name],$A22,T_TTAFStock_Log[WeekIndex],60)=0,"",SUMIFS(T_TTAFStock_Log[TTAF_Qty],T_TTAFStock_Log[Part Name],$A22,T_TTAFStock_Log[WeekIndex],60))</f>
        <v/>
      </c>
      <c r="BJ22" s="12">
        <f>IF(COUNTIFS(T_TTAFStock_Log[Part Name],$A22,T_TTAFStock_Log[WeekIndex],61)=0,"",SUMIFS(T_TTAFStock_Log[TTAF_Qty],T_TTAFStock_Log[Part Name],$A22,T_TTAFStock_Log[WeekIndex],61))</f>
        <v/>
      </c>
      <c r="BK22" s="12">
        <f>IF(COUNTIFS(T_TTAFStock_Log[Part Name],$A22,T_TTAFStock_Log[WeekIndex],62)=0,"",SUMIFS(T_TTAFStock_Log[TTAF_Qty],T_TTAFStock_Log[Part Name],$A22,T_TTAFStock_Log[WeekIndex],62))</f>
        <v/>
      </c>
      <c r="BL22" s="12">
        <f>IF(COUNTIFS(T_TTAFStock_Log[Part Name],$A22,T_TTAFStock_Log[WeekIndex],63)=0,"",SUMIFS(T_TTAFStock_Log[TTAF_Qty],T_TTAFStock_Log[Part Name],$A22,T_TTAFStock_Log[WeekIndex],63))</f>
        <v/>
      </c>
      <c r="BM22" s="12">
        <f>IF(COUNTIFS(T_TTAFStock_Log[Part Name],$A22,T_TTAFStock_Log[WeekIndex],64)=0,"",SUMIFS(T_TTAFStock_Log[TTAF_Qty],T_TTAFStock_Log[Part Name],$A22,T_TTAFStock_Log[WeekIndex],64))</f>
        <v/>
      </c>
      <c r="BN22" s="12">
        <f>IF(COUNTIFS(T_TTAFStock_Log[Part Name],$A22,T_TTAFStock_Log[WeekIndex],65)=0,"",SUMIFS(T_TTAFStock_Log[TTAF_Qty],T_TTAFStock_Log[Part Name],$A22,T_TTAFStock_Log[WeekIndex],65))</f>
        <v/>
      </c>
      <c r="BO22" s="12">
        <f>IF(COUNTIFS(T_TTAFStock_Log[Part Name],$A22,T_TTAFStock_Log[WeekIndex],66)=0,"",SUMIFS(T_TTAFStock_Log[TTAF_Qty],T_TTAFStock_Log[Part Name],$A22,T_TTAFStock_Log[WeekIndex],66))</f>
        <v/>
      </c>
      <c r="BP22" s="12">
        <f>IF(COUNTIFS(T_TTAFStock_Log[Part Name],$A22,T_TTAFStock_Log[WeekIndex],67)=0,"",SUMIFS(T_TTAFStock_Log[TTAF_Qty],T_TTAFStock_Log[Part Name],$A22,T_TTAFStock_Log[WeekIndex],67))</f>
        <v/>
      </c>
      <c r="BQ22" s="12">
        <f>IF(COUNTIFS(T_TTAFStock_Log[Part Name],$A22,T_TTAFStock_Log[WeekIndex],68)=0,"",SUMIFS(T_TTAFStock_Log[TTAF_Qty],T_TTAFStock_Log[Part Name],$A22,T_TTAFStock_Log[WeekIndex],68))</f>
        <v/>
      </c>
      <c r="BR22" s="12">
        <f>IF(COUNTIFS(T_TTAFStock_Log[Part Name],$A22,T_TTAFStock_Log[WeekIndex],69)=0,"",SUMIFS(T_TTAFStock_Log[TTAF_Qty],T_TTAFStock_Log[Part Name],$A22,T_TTAFStock_Log[WeekIndex],69))</f>
        <v/>
      </c>
      <c r="BS22" s="12">
        <f>IF(COUNTIFS(T_TTAFStock_Log[Part Name],$A22,T_TTAFStock_Log[WeekIndex],70)=0,"",SUMIFS(T_TTAFStock_Log[TTAF_Qty],T_TTAFStock_Log[Part Name],$A22,T_TTAFStock_Log[WeekIndex],70))</f>
        <v/>
      </c>
      <c r="BT22" s="12">
        <f>IF(COUNTIFS(T_TTAFStock_Log[Part Name],$A22,T_TTAFStock_Log[WeekIndex],71)=0,"",SUMIFS(T_TTAFStock_Log[TTAF_Qty],T_TTAFStock_Log[Part Name],$A22,T_TTAFStock_Log[WeekIndex],71))</f>
        <v/>
      </c>
      <c r="BU22" s="12">
        <f>IF(COUNTIFS(T_TTAFStock_Log[Part Name],$A22,T_TTAFStock_Log[WeekIndex],72)=0,"",SUMIFS(T_TTAFStock_Log[TTAF_Qty],T_TTAFStock_Log[Part Name],$A22,T_TTAFStock_Log[WeekIndex],72))</f>
        <v/>
      </c>
      <c r="BV22" s="12">
        <f>IF(COUNTIFS(T_TTAFStock_Log[Part Name],$A22,T_TTAFStock_Log[WeekIndex],73)=0,"",SUMIFS(T_TTAFStock_Log[TTAF_Qty],T_TTAFStock_Log[Part Name],$A22,T_TTAFStock_Log[WeekIndex],73))</f>
        <v/>
      </c>
      <c r="BW22" s="12">
        <f>IF(COUNTIFS(T_TTAFStock_Log[Part Name],$A22,T_TTAFStock_Log[WeekIndex],74)=0,"",SUMIFS(T_TTAFStock_Log[TTAF_Qty],T_TTAFStock_Log[Part Name],$A22,T_TTAFStock_Log[WeekIndex],74))</f>
        <v/>
      </c>
      <c r="BX22" s="12">
        <f>IF(COUNTIFS(T_TTAFStock_Log[Part Name],$A22,T_TTAFStock_Log[WeekIndex],75)=0,"",SUMIFS(T_TTAFStock_Log[TTAF_Qty],T_TTAFStock_Log[Part Name],$A22,T_TTAFStock_Log[WeekIndex],75))</f>
        <v/>
      </c>
      <c r="BY22" s="12">
        <f>IF(COUNTIFS(T_TTAFStock_Log[Part Name],$A22,T_TTAFStock_Log[WeekIndex],76)=0,"",SUMIFS(T_TTAFStock_Log[TTAF_Qty],T_TTAFStock_Log[Part Name],$A22,T_TTAFStock_Log[WeekIndex],76))</f>
        <v/>
      </c>
      <c r="BZ22" s="12">
        <f>IF(COUNTIFS(T_TTAFStock_Log[Part Name],$A22,T_TTAFStock_Log[WeekIndex],77)=0,"",SUMIFS(T_TTAFStock_Log[TTAF_Qty],T_TTAFStock_Log[Part Name],$A22,T_TTAFStock_Log[WeekIndex],77))</f>
        <v/>
      </c>
      <c r="CA22" s="12">
        <f>IF(COUNTIFS(T_TTAFStock_Log[Part Name],$A22,T_TTAFStock_Log[WeekIndex],78)=0,"",SUMIFS(T_TTAFStock_Log[TTAF_Qty],T_TTAFStock_Log[Part Name],$A22,T_TTAFStock_Log[WeekIndex],78))</f>
        <v/>
      </c>
      <c r="CB22" s="12">
        <f>IF(COUNTIFS(T_TTAFStock_Log[Part Name],$A22,T_TTAFStock_Log[WeekIndex],79)=0,"",SUMIFS(T_TTAFStock_Log[TTAF_Qty],T_TTAFStock_Log[Part Name],$A22,T_TTAFStock_Log[WeekIndex],79))</f>
        <v/>
      </c>
      <c r="CC22" s="12">
        <f>IF(COUNTIFS(T_TTAFStock_Log[Part Name],$A22,T_TTAFStock_Log[WeekIndex],80)=0,"",SUMIFS(T_TTAFStock_Log[TTAF_Qty],T_TTAFStock_Log[Part Name],$A22,T_TTAFStock_Log[WeekIndex],80))</f>
        <v/>
      </c>
      <c r="CD22" s="12">
        <f>IF(COUNTIFS(T_TTAFStock_Log[Part Name],$A22,T_TTAFStock_Log[WeekIndex],81)=0,"",SUMIFS(T_TTAFStock_Log[TTAF_Qty],T_TTAFStock_Log[Part Name],$A22,T_TTAFStock_Log[WeekIndex],81))</f>
        <v/>
      </c>
      <c r="CE22" s="12">
        <f>IF(COUNTIFS(T_TTAFStock_Log[Part Name],$A22,T_TTAFStock_Log[WeekIndex],82)=0,"",SUMIFS(T_TTAFStock_Log[TTAF_Qty],T_TTAFStock_Log[Part Name],$A22,T_TTAFStock_Log[WeekIndex],82))</f>
        <v/>
      </c>
      <c r="CF22" s="12">
        <f>IF(COUNTIFS(T_TTAFStock_Log[Part Name],$A22,T_TTAFStock_Log[WeekIndex],83)=0,"",SUMIFS(T_TTAFStock_Log[TTAF_Qty],T_TTAFStock_Log[Part Name],$A22,T_TTAFStock_Log[WeekIndex],83))</f>
        <v/>
      </c>
      <c r="CG22" s="12">
        <f>IF(COUNTIFS(T_TTAFStock_Log[Part Name],$A22,T_TTAFStock_Log[WeekIndex],84)=0,"",SUMIFS(T_TTAFStock_Log[TTAF_Qty],T_TTAFStock_Log[Part Name],$A22,T_TTAFStock_Log[WeekIndex],84))</f>
        <v/>
      </c>
      <c r="CH22" s="12">
        <f>IF(COUNTIFS(T_TTAFStock_Log[Part Name],$A22,T_TTAFStock_Log[WeekIndex],85)=0,"",SUMIFS(T_TTAFStock_Log[TTAF_Qty],T_TTAFStock_Log[Part Name],$A22,T_TTAFStock_Log[WeekIndex],85))</f>
        <v/>
      </c>
      <c r="CI22" s="12">
        <f>IF(COUNTIFS(T_TTAFStock_Log[Part Name],$A22,T_TTAFStock_Log[WeekIndex],86)=0,"",SUMIFS(T_TTAFStock_Log[TTAF_Qty],T_TTAFStock_Log[Part Name],$A22,T_TTAFStock_Log[WeekIndex],86))</f>
        <v/>
      </c>
      <c r="CJ22" s="12">
        <f>IF(COUNTIFS(T_TTAFStock_Log[Part Name],$A22,T_TTAFStock_Log[WeekIndex],87)=0,"",SUMIFS(T_TTAFStock_Log[TTAF_Qty],T_TTAFStock_Log[Part Name],$A22,T_TTAFStock_Log[WeekIndex],87))</f>
        <v/>
      </c>
      <c r="CK22" s="12">
        <f>IF(COUNTIFS(T_TTAFStock_Log[Part Name],$A22,T_TTAFStock_Log[WeekIndex],88)=0,"",SUMIFS(T_TTAFStock_Log[TTAF_Qty],T_TTAFStock_Log[Part Name],$A22,T_TTAFStock_Log[WeekIndex],88))</f>
        <v/>
      </c>
      <c r="CL22" s="12">
        <f>IF(COUNTIFS(T_TTAFStock_Log[Part Name],$A22,T_TTAFStock_Log[WeekIndex],89)=0,"",SUMIFS(T_TTAFStock_Log[TTAF_Qty],T_TTAFStock_Log[Part Name],$A22,T_TTAFStock_Log[WeekIndex],89))</f>
        <v/>
      </c>
      <c r="CM22" s="12">
        <f>IF(COUNTIFS(T_TTAFStock_Log[Part Name],$A22,T_TTAFStock_Log[WeekIndex],90)=0,"",SUMIFS(T_TTAFStock_Log[TTAF_Qty],T_TTAFStock_Log[Part Name],$A22,T_TTAFStock_Log[WeekIndex],90))</f>
        <v/>
      </c>
      <c r="CN22" s="12">
        <f>IF(COUNTIFS(T_TTAFStock_Log[Part Name],$A22,T_TTAFStock_Log[WeekIndex],91)=0,"",SUMIFS(T_TTAFStock_Log[TTAF_Qty],T_TTAFStock_Log[Part Name],$A22,T_TTAFStock_Log[WeekIndex],91))</f>
        <v/>
      </c>
      <c r="CO22" s="12">
        <f>IF(COUNTIFS(T_TTAFStock_Log[Part Name],$A22,T_TTAFStock_Log[WeekIndex],92)=0,"",SUMIFS(T_TTAFStock_Log[TTAF_Qty],T_TTAFStock_Log[Part Name],$A22,T_TTAFStock_Log[WeekIndex],92))</f>
        <v/>
      </c>
      <c r="CP22" s="12">
        <f>IF(COUNTIFS(T_TTAFStock_Log[Part Name],$A22,T_TTAFStock_Log[WeekIndex],93)=0,"",SUMIFS(T_TTAFStock_Log[TTAF_Qty],T_TTAFStock_Log[Part Name],$A22,T_TTAFStock_Log[WeekIndex],93))</f>
        <v/>
      </c>
      <c r="CQ22" s="12">
        <f>IF(COUNTIFS(T_TTAFStock_Log[Part Name],$A22,T_TTAFStock_Log[WeekIndex],94)=0,"",SUMIFS(T_TTAFStock_Log[TTAF_Qty],T_TTAFStock_Log[Part Name],$A22,T_TTAFStock_Log[WeekIndex],94))</f>
        <v/>
      </c>
      <c r="CR22" s="12">
        <f>IF(COUNTIFS(T_TTAFStock_Log[Part Name],$A22,T_TTAFStock_Log[WeekIndex],95)=0,"",SUMIFS(T_TTAFStock_Log[TTAF_Qty],T_TTAFStock_Log[Part Name],$A22,T_TTAFStock_Log[WeekIndex],95))</f>
        <v/>
      </c>
      <c r="CS22" s="12">
        <f>IF(COUNTIFS(T_TTAFStock_Log[Part Name],$A22,T_TTAFStock_Log[WeekIndex],96)=0,"",SUMIFS(T_TTAFStock_Log[TTAF_Qty],T_TTAFStock_Log[Part Name],$A22,T_TTAFStock_Log[WeekIndex],96))</f>
        <v/>
      </c>
      <c r="CT22" s="12">
        <f>IF(COUNTIFS(T_TTAFStock_Log[Part Name],$A22,T_TTAFStock_Log[WeekIndex],97)=0,"",SUMIFS(T_TTAFStock_Log[TTAF_Qty],T_TTAFStock_Log[Part Name],$A22,T_TTAFStock_Log[WeekIndex],97))</f>
        <v/>
      </c>
      <c r="CU22" s="12">
        <f>IF(COUNTIFS(T_TTAFStock_Log[Part Name],$A22,T_TTAFStock_Log[WeekIndex],98)=0,"",SUMIFS(T_TTAFStock_Log[TTAF_Qty],T_TTAFStock_Log[Part Name],$A22,T_TTAFStock_Log[WeekIndex],98))</f>
        <v/>
      </c>
      <c r="CV22" s="12">
        <f>IF(COUNTIFS(T_TTAFStock_Log[Part Name],$A22,T_TTAFStock_Log[WeekIndex],99)=0,"",SUMIFS(T_TTAFStock_Log[TTAF_Qty],T_TTAFStock_Log[Part Name],$A22,T_TTAFStock_Log[WeekIndex],99))</f>
        <v/>
      </c>
      <c r="CW22" s="12">
        <f>IF(COUNTIFS(T_TTAFStock_Log[Part Name],$A22,T_TTAFStock_Log[WeekIndex],100)=0,"",SUMIFS(T_TTAFStock_Log[TTAF_Qty],T_TTAFStock_Log[Part Name],$A22,T_TTAFStock_Log[WeekIndex],100))</f>
        <v/>
      </c>
      <c r="CX22" s="12">
        <f>IF(COUNTIFS(T_TTAFStock_Log[Part Name],$A22,T_TTAFStock_Log[WeekIndex],101)=0,"",SUMIFS(T_TTAFStock_Log[TTAF_Qty],T_TTAFStock_Log[Part Name],$A22,T_TTAFStock_Log[WeekIndex],101))</f>
        <v/>
      </c>
      <c r="CY22" s="12">
        <f>IF(COUNTIFS(T_TTAFStock_Log[Part Name],$A22,T_TTAFStock_Log[WeekIndex],102)=0,"",SUMIFS(T_TTAFStock_Log[TTAF_Qty],T_TTAFStock_Log[Part Name],$A22,T_TTAFStock_Log[WeekIndex],102))</f>
        <v/>
      </c>
      <c r="CZ22" s="12">
        <f>IF(COUNTIFS(T_TTAFStock_Log[Part Name],$A22,T_TTAFStock_Log[WeekIndex],103)=0,"",SUMIFS(T_TTAFStock_Log[TTAF_Qty],T_TTAFStock_Log[Part Name],$A22,T_TTAFStock_Log[WeekIndex],103))</f>
        <v/>
      </c>
      <c r="DA22" s="12">
        <f>IF(COUNTIFS(T_TTAFStock_Log[Part Name],$A22,T_TTAFStock_Log[WeekIndex],104)=0,"",SUMIFS(T_TTAFStock_Log[TTAF_Qty],T_TTAFStock_Log[Part Name],$A22,T_TTAFStock_Log[WeekIndex],104))</f>
        <v/>
      </c>
    </row>
    <row r="23">
      <c r="A23" s="13" t="inlineStr">
        <is>
          <t>CHEM-1600</t>
        </is>
      </c>
      <c r="B23" s="13">
        <f>IF(COUNTIFS(T_TTAFStock_Log[Part Name],$A23,T_TTAFStock_Log[WeekIndex],1)=0,"",SUMIFS(T_TTAFStock_Log[TTAF_Qty],T_TTAFStock_Log[Part Name],$A23,T_TTAFStock_Log[WeekIndex],1))</f>
        <v/>
      </c>
      <c r="C23" s="13">
        <f>IF(COUNTIFS(T_TTAFStock_Log[Part Name],$A23,T_TTAFStock_Log[WeekIndex],2)=0,"",SUMIFS(T_TTAFStock_Log[TTAF_Qty],T_TTAFStock_Log[Part Name],$A23,T_TTAFStock_Log[WeekIndex],2))</f>
        <v/>
      </c>
      <c r="D23" s="13">
        <f>IF(COUNTIFS(T_TTAFStock_Log[Part Name],$A23,T_TTAFStock_Log[WeekIndex],3)=0,"",SUMIFS(T_TTAFStock_Log[TTAF_Qty],T_TTAFStock_Log[Part Name],$A23,T_TTAFStock_Log[WeekIndex],3))</f>
        <v/>
      </c>
      <c r="E23" s="13">
        <f>IF(COUNTIFS(T_TTAFStock_Log[Part Name],$A23,T_TTAFStock_Log[WeekIndex],4)=0,"",SUMIFS(T_TTAFStock_Log[TTAF_Qty],T_TTAFStock_Log[Part Name],$A23,T_TTAFStock_Log[WeekIndex],4))</f>
        <v/>
      </c>
      <c r="F23" s="13">
        <f>IF(COUNTIFS(T_TTAFStock_Log[Part Name],$A23,T_TTAFStock_Log[WeekIndex],5)=0,"",SUMIFS(T_TTAFStock_Log[TTAF_Qty],T_TTAFStock_Log[Part Name],$A23,T_TTAFStock_Log[WeekIndex],5))</f>
        <v/>
      </c>
      <c r="G23" s="13">
        <f>IF(COUNTIFS(T_TTAFStock_Log[Part Name],$A23,T_TTAFStock_Log[WeekIndex],6)=0,"",SUMIFS(T_TTAFStock_Log[TTAF_Qty],T_TTAFStock_Log[Part Name],$A23,T_TTAFStock_Log[WeekIndex],6))</f>
        <v/>
      </c>
      <c r="H23" s="13">
        <f>IF(COUNTIFS(T_TTAFStock_Log[Part Name],$A23,T_TTAFStock_Log[WeekIndex],7)=0,"",SUMIFS(T_TTAFStock_Log[TTAF_Qty],T_TTAFStock_Log[Part Name],$A23,T_TTAFStock_Log[WeekIndex],7))</f>
        <v/>
      </c>
      <c r="I23" s="13">
        <f>IF(COUNTIFS(T_TTAFStock_Log[Part Name],$A23,T_TTAFStock_Log[WeekIndex],8)=0,"",SUMIFS(T_TTAFStock_Log[TTAF_Qty],T_TTAFStock_Log[Part Name],$A23,T_TTAFStock_Log[WeekIndex],8))</f>
        <v/>
      </c>
      <c r="J23" s="13">
        <f>IF(COUNTIFS(T_TTAFStock_Log[Part Name],$A23,T_TTAFStock_Log[WeekIndex],9)=0,"",SUMIFS(T_TTAFStock_Log[TTAF_Qty],T_TTAFStock_Log[Part Name],$A23,T_TTAFStock_Log[WeekIndex],9))</f>
        <v/>
      </c>
      <c r="K23" s="13">
        <f>IF(COUNTIFS(T_TTAFStock_Log[Part Name],$A23,T_TTAFStock_Log[WeekIndex],10)=0,"",SUMIFS(T_TTAFStock_Log[TTAF_Qty],T_TTAFStock_Log[Part Name],$A23,T_TTAFStock_Log[WeekIndex],10))</f>
        <v/>
      </c>
      <c r="L23" s="13">
        <f>IF(COUNTIFS(T_TTAFStock_Log[Part Name],$A23,T_TTAFStock_Log[WeekIndex],11)=0,"",SUMIFS(T_TTAFStock_Log[TTAF_Qty],T_TTAFStock_Log[Part Name],$A23,T_TTAFStock_Log[WeekIndex],11))</f>
        <v/>
      </c>
      <c r="M23" s="13">
        <f>IF(COUNTIFS(T_TTAFStock_Log[Part Name],$A23,T_TTAFStock_Log[WeekIndex],12)=0,"",SUMIFS(T_TTAFStock_Log[TTAF_Qty],T_TTAFStock_Log[Part Name],$A23,T_TTAFStock_Log[WeekIndex],12))</f>
        <v/>
      </c>
      <c r="N23" s="13">
        <f>IF(COUNTIFS(T_TTAFStock_Log[Part Name],$A23,T_TTAFStock_Log[WeekIndex],13)=0,"",SUMIFS(T_TTAFStock_Log[TTAF_Qty],T_TTAFStock_Log[Part Name],$A23,T_TTAFStock_Log[WeekIndex],13))</f>
        <v/>
      </c>
      <c r="O23" s="13">
        <f>IF(COUNTIFS(T_TTAFStock_Log[Part Name],$A23,T_TTAFStock_Log[WeekIndex],14)=0,"",SUMIFS(T_TTAFStock_Log[TTAF_Qty],T_TTAFStock_Log[Part Name],$A23,T_TTAFStock_Log[WeekIndex],14))</f>
        <v/>
      </c>
      <c r="P23" s="13">
        <f>IF(COUNTIFS(T_TTAFStock_Log[Part Name],$A23,T_TTAFStock_Log[WeekIndex],15)=0,"",SUMIFS(T_TTAFStock_Log[TTAF_Qty],T_TTAFStock_Log[Part Name],$A23,T_TTAFStock_Log[WeekIndex],15))</f>
        <v/>
      </c>
      <c r="Q23" s="13">
        <f>IF(COUNTIFS(T_TTAFStock_Log[Part Name],$A23,T_TTAFStock_Log[WeekIndex],16)=0,"",SUMIFS(T_TTAFStock_Log[TTAF_Qty],T_TTAFStock_Log[Part Name],$A23,T_TTAFStock_Log[WeekIndex],16))</f>
        <v/>
      </c>
      <c r="R23" s="13">
        <f>IF(COUNTIFS(T_TTAFStock_Log[Part Name],$A23,T_TTAFStock_Log[WeekIndex],17)=0,"",SUMIFS(T_TTAFStock_Log[TTAF_Qty],T_TTAFStock_Log[Part Name],$A23,T_TTAFStock_Log[WeekIndex],17))</f>
        <v/>
      </c>
      <c r="S23" s="13">
        <f>IF(COUNTIFS(T_TTAFStock_Log[Part Name],$A23,T_TTAFStock_Log[WeekIndex],18)=0,"",SUMIFS(T_TTAFStock_Log[TTAF_Qty],T_TTAFStock_Log[Part Name],$A23,T_TTAFStock_Log[WeekIndex],18))</f>
        <v/>
      </c>
      <c r="T23" s="13">
        <f>IF(COUNTIFS(T_TTAFStock_Log[Part Name],$A23,T_TTAFStock_Log[WeekIndex],19)=0,"",SUMIFS(T_TTAFStock_Log[TTAF_Qty],T_TTAFStock_Log[Part Name],$A23,T_TTAFStock_Log[WeekIndex],19))</f>
        <v/>
      </c>
      <c r="U23" s="13">
        <f>IF(COUNTIFS(T_TTAFStock_Log[Part Name],$A23,T_TTAFStock_Log[WeekIndex],20)=0,"",SUMIFS(T_TTAFStock_Log[TTAF_Qty],T_TTAFStock_Log[Part Name],$A23,T_TTAFStock_Log[WeekIndex],20))</f>
        <v/>
      </c>
      <c r="V23" s="13">
        <f>IF(COUNTIFS(T_TTAFStock_Log[Part Name],$A23,T_TTAFStock_Log[WeekIndex],21)=0,"",SUMIFS(T_TTAFStock_Log[TTAF_Qty],T_TTAFStock_Log[Part Name],$A23,T_TTAFStock_Log[WeekIndex],21))</f>
        <v/>
      </c>
      <c r="W23" s="13">
        <f>IF(COUNTIFS(T_TTAFStock_Log[Part Name],$A23,T_TTAFStock_Log[WeekIndex],22)=0,"",SUMIFS(T_TTAFStock_Log[TTAF_Qty],T_TTAFStock_Log[Part Name],$A23,T_TTAFStock_Log[WeekIndex],22))</f>
        <v/>
      </c>
      <c r="X23" s="13">
        <f>IF(COUNTIFS(T_TTAFStock_Log[Part Name],$A23,T_TTAFStock_Log[WeekIndex],23)=0,"",SUMIFS(T_TTAFStock_Log[TTAF_Qty],T_TTAFStock_Log[Part Name],$A23,T_TTAFStock_Log[WeekIndex],23))</f>
        <v/>
      </c>
      <c r="Y23" s="13">
        <f>IF(COUNTIFS(T_TTAFStock_Log[Part Name],$A23,T_TTAFStock_Log[WeekIndex],24)=0,"",SUMIFS(T_TTAFStock_Log[TTAF_Qty],T_TTAFStock_Log[Part Name],$A23,T_TTAFStock_Log[WeekIndex],24))</f>
        <v/>
      </c>
      <c r="Z23" s="13">
        <f>IF(COUNTIFS(T_TTAFStock_Log[Part Name],$A23,T_TTAFStock_Log[WeekIndex],25)=0,"",SUMIFS(T_TTAFStock_Log[TTAF_Qty],T_TTAFStock_Log[Part Name],$A23,T_TTAFStock_Log[WeekIndex],25))</f>
        <v/>
      </c>
      <c r="AA23" s="13">
        <f>IF(COUNTIFS(T_TTAFStock_Log[Part Name],$A23,T_TTAFStock_Log[WeekIndex],26)=0,"",SUMIFS(T_TTAFStock_Log[TTAF_Qty],T_TTAFStock_Log[Part Name],$A23,T_TTAFStock_Log[WeekIndex],26))</f>
        <v/>
      </c>
      <c r="AB23" s="13">
        <f>IF(COUNTIFS(T_TTAFStock_Log[Part Name],$A23,T_TTAFStock_Log[WeekIndex],27)=0,"",SUMIFS(T_TTAFStock_Log[TTAF_Qty],T_TTAFStock_Log[Part Name],$A23,T_TTAFStock_Log[WeekIndex],27))</f>
        <v/>
      </c>
      <c r="AC23" s="13">
        <f>IF(COUNTIFS(T_TTAFStock_Log[Part Name],$A23,T_TTAFStock_Log[WeekIndex],28)=0,"",SUMIFS(T_TTAFStock_Log[TTAF_Qty],T_TTAFStock_Log[Part Name],$A23,T_TTAFStock_Log[WeekIndex],28))</f>
        <v/>
      </c>
      <c r="AD23" s="13">
        <f>IF(COUNTIFS(T_TTAFStock_Log[Part Name],$A23,T_TTAFStock_Log[WeekIndex],29)=0,"",SUMIFS(T_TTAFStock_Log[TTAF_Qty],T_TTAFStock_Log[Part Name],$A23,T_TTAFStock_Log[WeekIndex],29))</f>
        <v/>
      </c>
      <c r="AE23" s="13">
        <f>IF(COUNTIFS(T_TTAFStock_Log[Part Name],$A23,T_TTAFStock_Log[WeekIndex],30)=0,"",SUMIFS(T_TTAFStock_Log[TTAF_Qty],T_TTAFStock_Log[Part Name],$A23,T_TTAFStock_Log[WeekIndex],30))</f>
        <v/>
      </c>
      <c r="AF23" s="13">
        <f>IF(COUNTIFS(T_TTAFStock_Log[Part Name],$A23,T_TTAFStock_Log[WeekIndex],31)=0,"",SUMIFS(T_TTAFStock_Log[TTAF_Qty],T_TTAFStock_Log[Part Name],$A23,T_TTAFStock_Log[WeekIndex],31))</f>
        <v/>
      </c>
      <c r="AG23" s="13">
        <f>IF(COUNTIFS(T_TTAFStock_Log[Part Name],$A23,T_TTAFStock_Log[WeekIndex],32)=0,"",SUMIFS(T_TTAFStock_Log[TTAF_Qty],T_TTAFStock_Log[Part Name],$A23,T_TTAFStock_Log[WeekIndex],32))</f>
        <v/>
      </c>
      <c r="AH23" s="13">
        <f>IF(COUNTIFS(T_TTAFStock_Log[Part Name],$A23,T_TTAFStock_Log[WeekIndex],33)=0,"",SUMIFS(T_TTAFStock_Log[TTAF_Qty],T_TTAFStock_Log[Part Name],$A23,T_TTAFStock_Log[WeekIndex],33))</f>
        <v/>
      </c>
      <c r="AI23" s="13">
        <f>IF(COUNTIFS(T_TTAFStock_Log[Part Name],$A23,T_TTAFStock_Log[WeekIndex],34)=0,"",SUMIFS(T_TTAFStock_Log[TTAF_Qty],T_TTAFStock_Log[Part Name],$A23,T_TTAFStock_Log[WeekIndex],34))</f>
        <v/>
      </c>
      <c r="AJ23" s="13">
        <f>IF(COUNTIFS(T_TTAFStock_Log[Part Name],$A23,T_TTAFStock_Log[WeekIndex],35)=0,"",SUMIFS(T_TTAFStock_Log[TTAF_Qty],T_TTAFStock_Log[Part Name],$A23,T_TTAFStock_Log[WeekIndex],35))</f>
        <v/>
      </c>
      <c r="AK23" s="13">
        <f>IF(COUNTIFS(T_TTAFStock_Log[Part Name],$A23,T_TTAFStock_Log[WeekIndex],36)=0,"",SUMIFS(T_TTAFStock_Log[TTAF_Qty],T_TTAFStock_Log[Part Name],$A23,T_TTAFStock_Log[WeekIndex],36))</f>
        <v/>
      </c>
      <c r="AL23" s="13">
        <f>IF(COUNTIFS(T_TTAFStock_Log[Part Name],$A23,T_TTAFStock_Log[WeekIndex],37)=0,"",SUMIFS(T_TTAFStock_Log[TTAF_Qty],T_TTAFStock_Log[Part Name],$A23,T_TTAFStock_Log[WeekIndex],37))</f>
        <v/>
      </c>
      <c r="AM23" s="13">
        <f>IF(COUNTIFS(T_TTAFStock_Log[Part Name],$A23,T_TTAFStock_Log[WeekIndex],38)=0,"",SUMIFS(T_TTAFStock_Log[TTAF_Qty],T_TTAFStock_Log[Part Name],$A23,T_TTAFStock_Log[WeekIndex],38))</f>
        <v/>
      </c>
      <c r="AN23" s="13">
        <f>IF(COUNTIFS(T_TTAFStock_Log[Part Name],$A23,T_TTAFStock_Log[WeekIndex],39)=0,"",SUMIFS(T_TTAFStock_Log[TTAF_Qty],T_TTAFStock_Log[Part Name],$A23,T_TTAFStock_Log[WeekIndex],39))</f>
        <v/>
      </c>
      <c r="AO23" s="13">
        <f>IF(COUNTIFS(T_TTAFStock_Log[Part Name],$A23,T_TTAFStock_Log[WeekIndex],40)=0,"",SUMIFS(T_TTAFStock_Log[TTAF_Qty],T_TTAFStock_Log[Part Name],$A23,T_TTAFStock_Log[WeekIndex],40))</f>
        <v/>
      </c>
      <c r="AP23" s="13">
        <f>IF(COUNTIFS(T_TTAFStock_Log[Part Name],$A23,T_TTAFStock_Log[WeekIndex],41)=0,"",SUMIFS(T_TTAFStock_Log[TTAF_Qty],T_TTAFStock_Log[Part Name],$A23,T_TTAFStock_Log[WeekIndex],41))</f>
        <v/>
      </c>
      <c r="AQ23" s="13">
        <f>IF(COUNTIFS(T_TTAFStock_Log[Part Name],$A23,T_TTAFStock_Log[WeekIndex],42)=0,"",SUMIFS(T_TTAFStock_Log[TTAF_Qty],T_TTAFStock_Log[Part Name],$A23,T_TTAFStock_Log[WeekIndex],42))</f>
        <v/>
      </c>
      <c r="AR23" s="13">
        <f>IF(COUNTIFS(T_TTAFStock_Log[Part Name],$A23,T_TTAFStock_Log[WeekIndex],43)=0,"",SUMIFS(T_TTAFStock_Log[TTAF_Qty],T_TTAFStock_Log[Part Name],$A23,T_TTAFStock_Log[WeekIndex],43))</f>
        <v/>
      </c>
      <c r="AS23" s="13">
        <f>IF(COUNTIFS(T_TTAFStock_Log[Part Name],$A23,T_TTAFStock_Log[WeekIndex],44)=0,"",SUMIFS(T_TTAFStock_Log[TTAF_Qty],T_TTAFStock_Log[Part Name],$A23,T_TTAFStock_Log[WeekIndex],44))</f>
        <v/>
      </c>
      <c r="AT23" s="13">
        <f>IF(COUNTIFS(T_TTAFStock_Log[Part Name],$A23,T_TTAFStock_Log[WeekIndex],45)=0,"",SUMIFS(T_TTAFStock_Log[TTAF_Qty],T_TTAFStock_Log[Part Name],$A23,T_TTAFStock_Log[WeekIndex],45))</f>
        <v/>
      </c>
      <c r="AU23" s="13">
        <f>IF(COUNTIFS(T_TTAFStock_Log[Part Name],$A23,T_TTAFStock_Log[WeekIndex],46)=0,"",SUMIFS(T_TTAFStock_Log[TTAF_Qty],T_TTAFStock_Log[Part Name],$A23,T_TTAFStock_Log[WeekIndex],46))</f>
        <v/>
      </c>
      <c r="AV23" s="13">
        <f>IF(COUNTIFS(T_TTAFStock_Log[Part Name],$A23,T_TTAFStock_Log[WeekIndex],47)=0,"",SUMIFS(T_TTAFStock_Log[TTAF_Qty],T_TTAFStock_Log[Part Name],$A23,T_TTAFStock_Log[WeekIndex],47))</f>
        <v/>
      </c>
      <c r="AW23" s="13">
        <f>IF(COUNTIFS(T_TTAFStock_Log[Part Name],$A23,T_TTAFStock_Log[WeekIndex],48)=0,"",SUMIFS(T_TTAFStock_Log[TTAF_Qty],T_TTAFStock_Log[Part Name],$A23,T_TTAFStock_Log[WeekIndex],48))</f>
        <v/>
      </c>
      <c r="AX23" s="13">
        <f>IF(COUNTIFS(T_TTAFStock_Log[Part Name],$A23,T_TTAFStock_Log[WeekIndex],49)=0,"",SUMIFS(T_TTAFStock_Log[TTAF_Qty],T_TTAFStock_Log[Part Name],$A23,T_TTAFStock_Log[WeekIndex],49))</f>
        <v/>
      </c>
      <c r="AY23" s="13">
        <f>IF(COUNTIFS(T_TTAFStock_Log[Part Name],$A23,T_TTAFStock_Log[WeekIndex],50)=0,"",SUMIFS(T_TTAFStock_Log[TTAF_Qty],T_TTAFStock_Log[Part Name],$A23,T_TTAFStock_Log[WeekIndex],50))</f>
        <v/>
      </c>
      <c r="AZ23" s="13">
        <f>IF(COUNTIFS(T_TTAFStock_Log[Part Name],$A23,T_TTAFStock_Log[WeekIndex],51)=0,"",SUMIFS(T_TTAFStock_Log[TTAF_Qty],T_TTAFStock_Log[Part Name],$A23,T_TTAFStock_Log[WeekIndex],51))</f>
        <v/>
      </c>
      <c r="BA23" s="13">
        <f>IF(COUNTIFS(T_TTAFStock_Log[Part Name],$A23,T_TTAFStock_Log[WeekIndex],52)=0,"",SUMIFS(T_TTAFStock_Log[TTAF_Qty],T_TTAFStock_Log[Part Name],$A23,T_TTAFStock_Log[WeekIndex],52))</f>
        <v/>
      </c>
      <c r="BB23" s="13">
        <f>IF(COUNTIFS(T_TTAFStock_Log[Part Name],$A23,T_TTAFStock_Log[WeekIndex],53)=0,"",SUMIFS(T_TTAFStock_Log[TTAF_Qty],T_TTAFStock_Log[Part Name],$A23,T_TTAFStock_Log[WeekIndex],53))</f>
        <v/>
      </c>
      <c r="BC23" s="13">
        <f>IF(COUNTIFS(T_TTAFStock_Log[Part Name],$A23,T_TTAFStock_Log[WeekIndex],54)=0,"",SUMIFS(T_TTAFStock_Log[TTAF_Qty],T_TTAFStock_Log[Part Name],$A23,T_TTAFStock_Log[WeekIndex],54))</f>
        <v/>
      </c>
      <c r="BD23" s="13">
        <f>IF(COUNTIFS(T_TTAFStock_Log[Part Name],$A23,T_TTAFStock_Log[WeekIndex],55)=0,"",SUMIFS(T_TTAFStock_Log[TTAF_Qty],T_TTAFStock_Log[Part Name],$A23,T_TTAFStock_Log[WeekIndex],55))</f>
        <v/>
      </c>
      <c r="BE23" s="13">
        <f>IF(COUNTIFS(T_TTAFStock_Log[Part Name],$A23,T_TTAFStock_Log[WeekIndex],56)=0,"",SUMIFS(T_TTAFStock_Log[TTAF_Qty],T_TTAFStock_Log[Part Name],$A23,T_TTAFStock_Log[WeekIndex],56))</f>
        <v/>
      </c>
      <c r="BF23" s="13">
        <f>IF(COUNTIFS(T_TTAFStock_Log[Part Name],$A23,T_TTAFStock_Log[WeekIndex],57)=0,"",SUMIFS(T_TTAFStock_Log[TTAF_Qty],T_TTAFStock_Log[Part Name],$A23,T_TTAFStock_Log[WeekIndex],57))</f>
        <v/>
      </c>
      <c r="BG23" s="13">
        <f>IF(COUNTIFS(T_TTAFStock_Log[Part Name],$A23,T_TTAFStock_Log[WeekIndex],58)=0,"",SUMIFS(T_TTAFStock_Log[TTAF_Qty],T_TTAFStock_Log[Part Name],$A23,T_TTAFStock_Log[WeekIndex],58))</f>
        <v/>
      </c>
      <c r="BH23" s="13">
        <f>IF(COUNTIFS(T_TTAFStock_Log[Part Name],$A23,T_TTAFStock_Log[WeekIndex],59)=0,"",SUMIFS(T_TTAFStock_Log[TTAF_Qty],T_TTAFStock_Log[Part Name],$A23,T_TTAFStock_Log[WeekIndex],59))</f>
        <v/>
      </c>
      <c r="BI23" s="13">
        <f>IF(COUNTIFS(T_TTAFStock_Log[Part Name],$A23,T_TTAFStock_Log[WeekIndex],60)=0,"",SUMIFS(T_TTAFStock_Log[TTAF_Qty],T_TTAFStock_Log[Part Name],$A23,T_TTAFStock_Log[WeekIndex],60))</f>
        <v/>
      </c>
      <c r="BJ23" s="13">
        <f>IF(COUNTIFS(T_TTAFStock_Log[Part Name],$A23,T_TTAFStock_Log[WeekIndex],61)=0,"",SUMIFS(T_TTAFStock_Log[TTAF_Qty],T_TTAFStock_Log[Part Name],$A23,T_TTAFStock_Log[WeekIndex],61))</f>
        <v/>
      </c>
      <c r="BK23" s="13">
        <f>IF(COUNTIFS(T_TTAFStock_Log[Part Name],$A23,T_TTAFStock_Log[WeekIndex],62)=0,"",SUMIFS(T_TTAFStock_Log[TTAF_Qty],T_TTAFStock_Log[Part Name],$A23,T_TTAFStock_Log[WeekIndex],62))</f>
        <v/>
      </c>
      <c r="BL23" s="13">
        <f>IF(COUNTIFS(T_TTAFStock_Log[Part Name],$A23,T_TTAFStock_Log[WeekIndex],63)=0,"",SUMIFS(T_TTAFStock_Log[TTAF_Qty],T_TTAFStock_Log[Part Name],$A23,T_TTAFStock_Log[WeekIndex],63))</f>
        <v/>
      </c>
      <c r="BM23" s="13">
        <f>IF(COUNTIFS(T_TTAFStock_Log[Part Name],$A23,T_TTAFStock_Log[WeekIndex],64)=0,"",SUMIFS(T_TTAFStock_Log[TTAF_Qty],T_TTAFStock_Log[Part Name],$A23,T_TTAFStock_Log[WeekIndex],64))</f>
        <v/>
      </c>
      <c r="BN23" s="13">
        <f>IF(COUNTIFS(T_TTAFStock_Log[Part Name],$A23,T_TTAFStock_Log[WeekIndex],65)=0,"",SUMIFS(T_TTAFStock_Log[TTAF_Qty],T_TTAFStock_Log[Part Name],$A23,T_TTAFStock_Log[WeekIndex],65))</f>
        <v/>
      </c>
      <c r="BO23" s="13">
        <f>IF(COUNTIFS(T_TTAFStock_Log[Part Name],$A23,T_TTAFStock_Log[WeekIndex],66)=0,"",SUMIFS(T_TTAFStock_Log[TTAF_Qty],T_TTAFStock_Log[Part Name],$A23,T_TTAFStock_Log[WeekIndex],66))</f>
        <v/>
      </c>
      <c r="BP23" s="13">
        <f>IF(COUNTIFS(T_TTAFStock_Log[Part Name],$A23,T_TTAFStock_Log[WeekIndex],67)=0,"",SUMIFS(T_TTAFStock_Log[TTAF_Qty],T_TTAFStock_Log[Part Name],$A23,T_TTAFStock_Log[WeekIndex],67))</f>
        <v/>
      </c>
      <c r="BQ23" s="13">
        <f>IF(COUNTIFS(T_TTAFStock_Log[Part Name],$A23,T_TTAFStock_Log[WeekIndex],68)=0,"",SUMIFS(T_TTAFStock_Log[TTAF_Qty],T_TTAFStock_Log[Part Name],$A23,T_TTAFStock_Log[WeekIndex],68))</f>
        <v/>
      </c>
      <c r="BR23" s="13">
        <f>IF(COUNTIFS(T_TTAFStock_Log[Part Name],$A23,T_TTAFStock_Log[WeekIndex],69)=0,"",SUMIFS(T_TTAFStock_Log[TTAF_Qty],T_TTAFStock_Log[Part Name],$A23,T_TTAFStock_Log[WeekIndex],69))</f>
        <v/>
      </c>
      <c r="BS23" s="13">
        <f>IF(COUNTIFS(T_TTAFStock_Log[Part Name],$A23,T_TTAFStock_Log[WeekIndex],70)=0,"",SUMIFS(T_TTAFStock_Log[TTAF_Qty],T_TTAFStock_Log[Part Name],$A23,T_TTAFStock_Log[WeekIndex],70))</f>
        <v/>
      </c>
      <c r="BT23" s="13">
        <f>IF(COUNTIFS(T_TTAFStock_Log[Part Name],$A23,T_TTAFStock_Log[WeekIndex],71)=0,"",SUMIFS(T_TTAFStock_Log[TTAF_Qty],T_TTAFStock_Log[Part Name],$A23,T_TTAFStock_Log[WeekIndex],71))</f>
        <v/>
      </c>
      <c r="BU23" s="13">
        <f>IF(COUNTIFS(T_TTAFStock_Log[Part Name],$A23,T_TTAFStock_Log[WeekIndex],72)=0,"",SUMIFS(T_TTAFStock_Log[TTAF_Qty],T_TTAFStock_Log[Part Name],$A23,T_TTAFStock_Log[WeekIndex],72))</f>
        <v/>
      </c>
      <c r="BV23" s="13">
        <f>IF(COUNTIFS(T_TTAFStock_Log[Part Name],$A23,T_TTAFStock_Log[WeekIndex],73)=0,"",SUMIFS(T_TTAFStock_Log[TTAF_Qty],T_TTAFStock_Log[Part Name],$A23,T_TTAFStock_Log[WeekIndex],73))</f>
        <v/>
      </c>
      <c r="BW23" s="13">
        <f>IF(COUNTIFS(T_TTAFStock_Log[Part Name],$A23,T_TTAFStock_Log[WeekIndex],74)=0,"",SUMIFS(T_TTAFStock_Log[TTAF_Qty],T_TTAFStock_Log[Part Name],$A23,T_TTAFStock_Log[WeekIndex],74))</f>
        <v/>
      </c>
      <c r="BX23" s="13">
        <f>IF(COUNTIFS(T_TTAFStock_Log[Part Name],$A23,T_TTAFStock_Log[WeekIndex],75)=0,"",SUMIFS(T_TTAFStock_Log[TTAF_Qty],T_TTAFStock_Log[Part Name],$A23,T_TTAFStock_Log[WeekIndex],75))</f>
        <v/>
      </c>
      <c r="BY23" s="13">
        <f>IF(COUNTIFS(T_TTAFStock_Log[Part Name],$A23,T_TTAFStock_Log[WeekIndex],76)=0,"",SUMIFS(T_TTAFStock_Log[TTAF_Qty],T_TTAFStock_Log[Part Name],$A23,T_TTAFStock_Log[WeekIndex],76))</f>
        <v/>
      </c>
      <c r="BZ23" s="13">
        <f>IF(COUNTIFS(T_TTAFStock_Log[Part Name],$A23,T_TTAFStock_Log[WeekIndex],77)=0,"",SUMIFS(T_TTAFStock_Log[TTAF_Qty],T_TTAFStock_Log[Part Name],$A23,T_TTAFStock_Log[WeekIndex],77))</f>
        <v/>
      </c>
      <c r="CA23" s="13">
        <f>IF(COUNTIFS(T_TTAFStock_Log[Part Name],$A23,T_TTAFStock_Log[WeekIndex],78)=0,"",SUMIFS(T_TTAFStock_Log[TTAF_Qty],T_TTAFStock_Log[Part Name],$A23,T_TTAFStock_Log[WeekIndex],78))</f>
        <v/>
      </c>
      <c r="CB23" s="13">
        <f>IF(COUNTIFS(T_TTAFStock_Log[Part Name],$A23,T_TTAFStock_Log[WeekIndex],79)=0,"",SUMIFS(T_TTAFStock_Log[TTAF_Qty],T_TTAFStock_Log[Part Name],$A23,T_TTAFStock_Log[WeekIndex],79))</f>
        <v/>
      </c>
      <c r="CC23" s="13">
        <f>IF(COUNTIFS(T_TTAFStock_Log[Part Name],$A23,T_TTAFStock_Log[WeekIndex],80)=0,"",SUMIFS(T_TTAFStock_Log[TTAF_Qty],T_TTAFStock_Log[Part Name],$A23,T_TTAFStock_Log[WeekIndex],80))</f>
        <v/>
      </c>
      <c r="CD23" s="13">
        <f>IF(COUNTIFS(T_TTAFStock_Log[Part Name],$A23,T_TTAFStock_Log[WeekIndex],81)=0,"",SUMIFS(T_TTAFStock_Log[TTAF_Qty],T_TTAFStock_Log[Part Name],$A23,T_TTAFStock_Log[WeekIndex],81))</f>
        <v/>
      </c>
      <c r="CE23" s="13">
        <f>IF(COUNTIFS(T_TTAFStock_Log[Part Name],$A23,T_TTAFStock_Log[WeekIndex],82)=0,"",SUMIFS(T_TTAFStock_Log[TTAF_Qty],T_TTAFStock_Log[Part Name],$A23,T_TTAFStock_Log[WeekIndex],82))</f>
        <v/>
      </c>
      <c r="CF23" s="13">
        <f>IF(COUNTIFS(T_TTAFStock_Log[Part Name],$A23,T_TTAFStock_Log[WeekIndex],83)=0,"",SUMIFS(T_TTAFStock_Log[TTAF_Qty],T_TTAFStock_Log[Part Name],$A23,T_TTAFStock_Log[WeekIndex],83))</f>
        <v/>
      </c>
      <c r="CG23" s="13">
        <f>IF(COUNTIFS(T_TTAFStock_Log[Part Name],$A23,T_TTAFStock_Log[WeekIndex],84)=0,"",SUMIFS(T_TTAFStock_Log[TTAF_Qty],T_TTAFStock_Log[Part Name],$A23,T_TTAFStock_Log[WeekIndex],84))</f>
        <v/>
      </c>
      <c r="CH23" s="13">
        <f>IF(COUNTIFS(T_TTAFStock_Log[Part Name],$A23,T_TTAFStock_Log[WeekIndex],85)=0,"",SUMIFS(T_TTAFStock_Log[TTAF_Qty],T_TTAFStock_Log[Part Name],$A23,T_TTAFStock_Log[WeekIndex],85))</f>
        <v/>
      </c>
      <c r="CI23" s="13">
        <f>IF(COUNTIFS(T_TTAFStock_Log[Part Name],$A23,T_TTAFStock_Log[WeekIndex],86)=0,"",SUMIFS(T_TTAFStock_Log[TTAF_Qty],T_TTAFStock_Log[Part Name],$A23,T_TTAFStock_Log[WeekIndex],86))</f>
        <v/>
      </c>
      <c r="CJ23" s="13">
        <f>IF(COUNTIFS(T_TTAFStock_Log[Part Name],$A23,T_TTAFStock_Log[WeekIndex],87)=0,"",SUMIFS(T_TTAFStock_Log[TTAF_Qty],T_TTAFStock_Log[Part Name],$A23,T_TTAFStock_Log[WeekIndex],87))</f>
        <v/>
      </c>
      <c r="CK23" s="13">
        <f>IF(COUNTIFS(T_TTAFStock_Log[Part Name],$A23,T_TTAFStock_Log[WeekIndex],88)=0,"",SUMIFS(T_TTAFStock_Log[TTAF_Qty],T_TTAFStock_Log[Part Name],$A23,T_TTAFStock_Log[WeekIndex],88))</f>
        <v/>
      </c>
      <c r="CL23" s="13">
        <f>IF(COUNTIFS(T_TTAFStock_Log[Part Name],$A23,T_TTAFStock_Log[WeekIndex],89)=0,"",SUMIFS(T_TTAFStock_Log[TTAF_Qty],T_TTAFStock_Log[Part Name],$A23,T_TTAFStock_Log[WeekIndex],89))</f>
        <v/>
      </c>
      <c r="CM23" s="13">
        <f>IF(COUNTIFS(T_TTAFStock_Log[Part Name],$A23,T_TTAFStock_Log[WeekIndex],90)=0,"",SUMIFS(T_TTAFStock_Log[TTAF_Qty],T_TTAFStock_Log[Part Name],$A23,T_TTAFStock_Log[WeekIndex],90))</f>
        <v/>
      </c>
      <c r="CN23" s="13">
        <f>IF(COUNTIFS(T_TTAFStock_Log[Part Name],$A23,T_TTAFStock_Log[WeekIndex],91)=0,"",SUMIFS(T_TTAFStock_Log[TTAF_Qty],T_TTAFStock_Log[Part Name],$A23,T_TTAFStock_Log[WeekIndex],91))</f>
        <v/>
      </c>
      <c r="CO23" s="13">
        <f>IF(COUNTIFS(T_TTAFStock_Log[Part Name],$A23,T_TTAFStock_Log[WeekIndex],92)=0,"",SUMIFS(T_TTAFStock_Log[TTAF_Qty],T_TTAFStock_Log[Part Name],$A23,T_TTAFStock_Log[WeekIndex],92))</f>
        <v/>
      </c>
      <c r="CP23" s="13">
        <f>IF(COUNTIFS(T_TTAFStock_Log[Part Name],$A23,T_TTAFStock_Log[WeekIndex],93)=0,"",SUMIFS(T_TTAFStock_Log[TTAF_Qty],T_TTAFStock_Log[Part Name],$A23,T_TTAFStock_Log[WeekIndex],93))</f>
        <v/>
      </c>
      <c r="CQ23" s="13">
        <f>IF(COUNTIFS(T_TTAFStock_Log[Part Name],$A23,T_TTAFStock_Log[WeekIndex],94)=0,"",SUMIFS(T_TTAFStock_Log[TTAF_Qty],T_TTAFStock_Log[Part Name],$A23,T_TTAFStock_Log[WeekIndex],94))</f>
        <v/>
      </c>
      <c r="CR23" s="13">
        <f>IF(COUNTIFS(T_TTAFStock_Log[Part Name],$A23,T_TTAFStock_Log[WeekIndex],95)=0,"",SUMIFS(T_TTAFStock_Log[TTAF_Qty],T_TTAFStock_Log[Part Name],$A23,T_TTAFStock_Log[WeekIndex],95))</f>
        <v/>
      </c>
      <c r="CS23" s="13">
        <f>IF(COUNTIFS(T_TTAFStock_Log[Part Name],$A23,T_TTAFStock_Log[WeekIndex],96)=0,"",SUMIFS(T_TTAFStock_Log[TTAF_Qty],T_TTAFStock_Log[Part Name],$A23,T_TTAFStock_Log[WeekIndex],96))</f>
        <v/>
      </c>
      <c r="CT23" s="13">
        <f>IF(COUNTIFS(T_TTAFStock_Log[Part Name],$A23,T_TTAFStock_Log[WeekIndex],97)=0,"",SUMIFS(T_TTAFStock_Log[TTAF_Qty],T_TTAFStock_Log[Part Name],$A23,T_TTAFStock_Log[WeekIndex],97))</f>
        <v/>
      </c>
      <c r="CU23" s="13">
        <f>IF(COUNTIFS(T_TTAFStock_Log[Part Name],$A23,T_TTAFStock_Log[WeekIndex],98)=0,"",SUMIFS(T_TTAFStock_Log[TTAF_Qty],T_TTAFStock_Log[Part Name],$A23,T_TTAFStock_Log[WeekIndex],98))</f>
        <v/>
      </c>
      <c r="CV23" s="13">
        <f>IF(COUNTIFS(T_TTAFStock_Log[Part Name],$A23,T_TTAFStock_Log[WeekIndex],99)=0,"",SUMIFS(T_TTAFStock_Log[TTAF_Qty],T_TTAFStock_Log[Part Name],$A23,T_TTAFStock_Log[WeekIndex],99))</f>
        <v/>
      </c>
      <c r="CW23" s="13">
        <f>IF(COUNTIFS(T_TTAFStock_Log[Part Name],$A23,T_TTAFStock_Log[WeekIndex],100)=0,"",SUMIFS(T_TTAFStock_Log[TTAF_Qty],T_TTAFStock_Log[Part Name],$A23,T_TTAFStock_Log[WeekIndex],100))</f>
        <v/>
      </c>
      <c r="CX23" s="13">
        <f>IF(COUNTIFS(T_TTAFStock_Log[Part Name],$A23,T_TTAFStock_Log[WeekIndex],101)=0,"",SUMIFS(T_TTAFStock_Log[TTAF_Qty],T_TTAFStock_Log[Part Name],$A23,T_TTAFStock_Log[WeekIndex],101))</f>
        <v/>
      </c>
      <c r="CY23" s="13">
        <f>IF(COUNTIFS(T_TTAFStock_Log[Part Name],$A23,T_TTAFStock_Log[WeekIndex],102)=0,"",SUMIFS(T_TTAFStock_Log[TTAF_Qty],T_TTAFStock_Log[Part Name],$A23,T_TTAFStock_Log[WeekIndex],102))</f>
        <v/>
      </c>
      <c r="CZ23" s="13">
        <f>IF(COUNTIFS(T_TTAFStock_Log[Part Name],$A23,T_TTAFStock_Log[WeekIndex],103)=0,"",SUMIFS(T_TTAFStock_Log[TTAF_Qty],T_TTAFStock_Log[Part Name],$A23,T_TTAFStock_Log[WeekIndex],103))</f>
        <v/>
      </c>
      <c r="DA23" s="13">
        <f>IF(COUNTIFS(T_TTAFStock_Log[Part Name],$A23,T_TTAFStock_Log[WeekIndex],104)=0,"",SUMIFS(T_TTAFStock_Log[TTAF_Qty],T_TTAFStock_Log[Part Name],$A23,T_TTAFStock_Log[WeekIndex],104))</f>
        <v/>
      </c>
    </row>
    <row r="24">
      <c r="A24" s="12" t="inlineStr">
        <is>
          <t>CHEM-1280</t>
        </is>
      </c>
      <c r="B24" s="12">
        <f>IF(COUNTIFS(T_TTAFStock_Log[Part Name],$A24,T_TTAFStock_Log[WeekIndex],1)=0,"",SUMIFS(T_TTAFStock_Log[TTAF_Qty],T_TTAFStock_Log[Part Name],$A24,T_TTAFStock_Log[WeekIndex],1))</f>
        <v/>
      </c>
      <c r="C24" s="12">
        <f>IF(COUNTIFS(T_TTAFStock_Log[Part Name],$A24,T_TTAFStock_Log[WeekIndex],2)=0,"",SUMIFS(T_TTAFStock_Log[TTAF_Qty],T_TTAFStock_Log[Part Name],$A24,T_TTAFStock_Log[WeekIndex],2))</f>
        <v/>
      </c>
      <c r="D24" s="12">
        <f>IF(COUNTIFS(T_TTAFStock_Log[Part Name],$A24,T_TTAFStock_Log[WeekIndex],3)=0,"",SUMIFS(T_TTAFStock_Log[TTAF_Qty],T_TTAFStock_Log[Part Name],$A24,T_TTAFStock_Log[WeekIndex],3))</f>
        <v/>
      </c>
      <c r="E24" s="12">
        <f>IF(COUNTIFS(T_TTAFStock_Log[Part Name],$A24,T_TTAFStock_Log[WeekIndex],4)=0,"",SUMIFS(T_TTAFStock_Log[TTAF_Qty],T_TTAFStock_Log[Part Name],$A24,T_TTAFStock_Log[WeekIndex],4))</f>
        <v/>
      </c>
      <c r="F24" s="12">
        <f>IF(COUNTIFS(T_TTAFStock_Log[Part Name],$A24,T_TTAFStock_Log[WeekIndex],5)=0,"",SUMIFS(T_TTAFStock_Log[TTAF_Qty],T_TTAFStock_Log[Part Name],$A24,T_TTAFStock_Log[WeekIndex],5))</f>
        <v/>
      </c>
      <c r="G24" s="12">
        <f>IF(COUNTIFS(T_TTAFStock_Log[Part Name],$A24,T_TTAFStock_Log[WeekIndex],6)=0,"",SUMIFS(T_TTAFStock_Log[TTAF_Qty],T_TTAFStock_Log[Part Name],$A24,T_TTAFStock_Log[WeekIndex],6))</f>
        <v/>
      </c>
      <c r="H24" s="12">
        <f>IF(COUNTIFS(T_TTAFStock_Log[Part Name],$A24,T_TTAFStock_Log[WeekIndex],7)=0,"",SUMIFS(T_TTAFStock_Log[TTAF_Qty],T_TTAFStock_Log[Part Name],$A24,T_TTAFStock_Log[WeekIndex],7))</f>
        <v/>
      </c>
      <c r="I24" s="12">
        <f>IF(COUNTIFS(T_TTAFStock_Log[Part Name],$A24,T_TTAFStock_Log[WeekIndex],8)=0,"",SUMIFS(T_TTAFStock_Log[TTAF_Qty],T_TTAFStock_Log[Part Name],$A24,T_TTAFStock_Log[WeekIndex],8))</f>
        <v/>
      </c>
      <c r="J24" s="12">
        <f>IF(COUNTIFS(T_TTAFStock_Log[Part Name],$A24,T_TTAFStock_Log[WeekIndex],9)=0,"",SUMIFS(T_TTAFStock_Log[TTAF_Qty],T_TTAFStock_Log[Part Name],$A24,T_TTAFStock_Log[WeekIndex],9))</f>
        <v/>
      </c>
      <c r="K24" s="12">
        <f>IF(COUNTIFS(T_TTAFStock_Log[Part Name],$A24,T_TTAFStock_Log[WeekIndex],10)=0,"",SUMIFS(T_TTAFStock_Log[TTAF_Qty],T_TTAFStock_Log[Part Name],$A24,T_TTAFStock_Log[WeekIndex],10))</f>
        <v/>
      </c>
      <c r="L24" s="12">
        <f>IF(COUNTIFS(T_TTAFStock_Log[Part Name],$A24,T_TTAFStock_Log[WeekIndex],11)=0,"",SUMIFS(T_TTAFStock_Log[TTAF_Qty],T_TTAFStock_Log[Part Name],$A24,T_TTAFStock_Log[WeekIndex],11))</f>
        <v/>
      </c>
      <c r="M24" s="12">
        <f>IF(COUNTIFS(T_TTAFStock_Log[Part Name],$A24,T_TTAFStock_Log[WeekIndex],12)=0,"",SUMIFS(T_TTAFStock_Log[TTAF_Qty],T_TTAFStock_Log[Part Name],$A24,T_TTAFStock_Log[WeekIndex],12))</f>
        <v/>
      </c>
      <c r="N24" s="12">
        <f>IF(COUNTIFS(T_TTAFStock_Log[Part Name],$A24,T_TTAFStock_Log[WeekIndex],13)=0,"",SUMIFS(T_TTAFStock_Log[TTAF_Qty],T_TTAFStock_Log[Part Name],$A24,T_TTAFStock_Log[WeekIndex],13))</f>
        <v/>
      </c>
      <c r="O24" s="12">
        <f>IF(COUNTIFS(T_TTAFStock_Log[Part Name],$A24,T_TTAFStock_Log[WeekIndex],14)=0,"",SUMIFS(T_TTAFStock_Log[TTAF_Qty],T_TTAFStock_Log[Part Name],$A24,T_TTAFStock_Log[WeekIndex],14))</f>
        <v/>
      </c>
      <c r="P24" s="12">
        <f>IF(COUNTIFS(T_TTAFStock_Log[Part Name],$A24,T_TTAFStock_Log[WeekIndex],15)=0,"",SUMIFS(T_TTAFStock_Log[TTAF_Qty],T_TTAFStock_Log[Part Name],$A24,T_TTAFStock_Log[WeekIndex],15))</f>
        <v/>
      </c>
      <c r="Q24" s="12">
        <f>IF(COUNTIFS(T_TTAFStock_Log[Part Name],$A24,T_TTAFStock_Log[WeekIndex],16)=0,"",SUMIFS(T_TTAFStock_Log[TTAF_Qty],T_TTAFStock_Log[Part Name],$A24,T_TTAFStock_Log[WeekIndex],16))</f>
        <v/>
      </c>
      <c r="R24" s="12">
        <f>IF(COUNTIFS(T_TTAFStock_Log[Part Name],$A24,T_TTAFStock_Log[WeekIndex],17)=0,"",SUMIFS(T_TTAFStock_Log[TTAF_Qty],T_TTAFStock_Log[Part Name],$A24,T_TTAFStock_Log[WeekIndex],17))</f>
        <v/>
      </c>
      <c r="S24" s="12">
        <f>IF(COUNTIFS(T_TTAFStock_Log[Part Name],$A24,T_TTAFStock_Log[WeekIndex],18)=0,"",SUMIFS(T_TTAFStock_Log[TTAF_Qty],T_TTAFStock_Log[Part Name],$A24,T_TTAFStock_Log[WeekIndex],18))</f>
        <v/>
      </c>
      <c r="T24" s="12">
        <f>IF(COUNTIFS(T_TTAFStock_Log[Part Name],$A24,T_TTAFStock_Log[WeekIndex],19)=0,"",SUMIFS(T_TTAFStock_Log[TTAF_Qty],T_TTAFStock_Log[Part Name],$A24,T_TTAFStock_Log[WeekIndex],19))</f>
        <v/>
      </c>
      <c r="U24" s="12">
        <f>IF(COUNTIFS(T_TTAFStock_Log[Part Name],$A24,T_TTAFStock_Log[WeekIndex],20)=0,"",SUMIFS(T_TTAFStock_Log[TTAF_Qty],T_TTAFStock_Log[Part Name],$A24,T_TTAFStock_Log[WeekIndex],20))</f>
        <v/>
      </c>
      <c r="V24" s="12">
        <f>IF(COUNTIFS(T_TTAFStock_Log[Part Name],$A24,T_TTAFStock_Log[WeekIndex],21)=0,"",SUMIFS(T_TTAFStock_Log[TTAF_Qty],T_TTAFStock_Log[Part Name],$A24,T_TTAFStock_Log[WeekIndex],21))</f>
        <v/>
      </c>
      <c r="W24" s="12">
        <f>IF(COUNTIFS(T_TTAFStock_Log[Part Name],$A24,T_TTAFStock_Log[WeekIndex],22)=0,"",SUMIFS(T_TTAFStock_Log[TTAF_Qty],T_TTAFStock_Log[Part Name],$A24,T_TTAFStock_Log[WeekIndex],22))</f>
        <v/>
      </c>
      <c r="X24" s="12">
        <f>IF(COUNTIFS(T_TTAFStock_Log[Part Name],$A24,T_TTAFStock_Log[WeekIndex],23)=0,"",SUMIFS(T_TTAFStock_Log[TTAF_Qty],T_TTAFStock_Log[Part Name],$A24,T_TTAFStock_Log[WeekIndex],23))</f>
        <v/>
      </c>
      <c r="Y24" s="12">
        <f>IF(COUNTIFS(T_TTAFStock_Log[Part Name],$A24,T_TTAFStock_Log[WeekIndex],24)=0,"",SUMIFS(T_TTAFStock_Log[TTAF_Qty],T_TTAFStock_Log[Part Name],$A24,T_TTAFStock_Log[WeekIndex],24))</f>
        <v/>
      </c>
      <c r="Z24" s="12">
        <f>IF(COUNTIFS(T_TTAFStock_Log[Part Name],$A24,T_TTAFStock_Log[WeekIndex],25)=0,"",SUMIFS(T_TTAFStock_Log[TTAF_Qty],T_TTAFStock_Log[Part Name],$A24,T_TTAFStock_Log[WeekIndex],25))</f>
        <v/>
      </c>
      <c r="AA24" s="12">
        <f>IF(COUNTIFS(T_TTAFStock_Log[Part Name],$A24,T_TTAFStock_Log[WeekIndex],26)=0,"",SUMIFS(T_TTAFStock_Log[TTAF_Qty],T_TTAFStock_Log[Part Name],$A24,T_TTAFStock_Log[WeekIndex],26))</f>
        <v/>
      </c>
      <c r="AB24" s="12">
        <f>IF(COUNTIFS(T_TTAFStock_Log[Part Name],$A24,T_TTAFStock_Log[WeekIndex],27)=0,"",SUMIFS(T_TTAFStock_Log[TTAF_Qty],T_TTAFStock_Log[Part Name],$A24,T_TTAFStock_Log[WeekIndex],27))</f>
        <v/>
      </c>
      <c r="AC24" s="12">
        <f>IF(COUNTIFS(T_TTAFStock_Log[Part Name],$A24,T_TTAFStock_Log[WeekIndex],28)=0,"",SUMIFS(T_TTAFStock_Log[TTAF_Qty],T_TTAFStock_Log[Part Name],$A24,T_TTAFStock_Log[WeekIndex],28))</f>
        <v/>
      </c>
      <c r="AD24" s="12">
        <f>IF(COUNTIFS(T_TTAFStock_Log[Part Name],$A24,T_TTAFStock_Log[WeekIndex],29)=0,"",SUMIFS(T_TTAFStock_Log[TTAF_Qty],T_TTAFStock_Log[Part Name],$A24,T_TTAFStock_Log[WeekIndex],29))</f>
        <v/>
      </c>
      <c r="AE24" s="12">
        <f>IF(COUNTIFS(T_TTAFStock_Log[Part Name],$A24,T_TTAFStock_Log[WeekIndex],30)=0,"",SUMIFS(T_TTAFStock_Log[TTAF_Qty],T_TTAFStock_Log[Part Name],$A24,T_TTAFStock_Log[WeekIndex],30))</f>
        <v/>
      </c>
      <c r="AF24" s="12">
        <f>IF(COUNTIFS(T_TTAFStock_Log[Part Name],$A24,T_TTAFStock_Log[WeekIndex],31)=0,"",SUMIFS(T_TTAFStock_Log[TTAF_Qty],T_TTAFStock_Log[Part Name],$A24,T_TTAFStock_Log[WeekIndex],31))</f>
        <v/>
      </c>
      <c r="AG24" s="12">
        <f>IF(COUNTIFS(T_TTAFStock_Log[Part Name],$A24,T_TTAFStock_Log[WeekIndex],32)=0,"",SUMIFS(T_TTAFStock_Log[TTAF_Qty],T_TTAFStock_Log[Part Name],$A24,T_TTAFStock_Log[WeekIndex],32))</f>
        <v/>
      </c>
      <c r="AH24" s="12">
        <f>IF(COUNTIFS(T_TTAFStock_Log[Part Name],$A24,T_TTAFStock_Log[WeekIndex],33)=0,"",SUMIFS(T_TTAFStock_Log[TTAF_Qty],T_TTAFStock_Log[Part Name],$A24,T_TTAFStock_Log[WeekIndex],33))</f>
        <v/>
      </c>
      <c r="AI24" s="12">
        <f>IF(COUNTIFS(T_TTAFStock_Log[Part Name],$A24,T_TTAFStock_Log[WeekIndex],34)=0,"",SUMIFS(T_TTAFStock_Log[TTAF_Qty],T_TTAFStock_Log[Part Name],$A24,T_TTAFStock_Log[WeekIndex],34))</f>
        <v/>
      </c>
      <c r="AJ24" s="12">
        <f>IF(COUNTIFS(T_TTAFStock_Log[Part Name],$A24,T_TTAFStock_Log[WeekIndex],35)=0,"",SUMIFS(T_TTAFStock_Log[TTAF_Qty],T_TTAFStock_Log[Part Name],$A24,T_TTAFStock_Log[WeekIndex],35))</f>
        <v/>
      </c>
      <c r="AK24" s="12">
        <f>IF(COUNTIFS(T_TTAFStock_Log[Part Name],$A24,T_TTAFStock_Log[WeekIndex],36)=0,"",SUMIFS(T_TTAFStock_Log[TTAF_Qty],T_TTAFStock_Log[Part Name],$A24,T_TTAFStock_Log[WeekIndex],36))</f>
        <v/>
      </c>
      <c r="AL24" s="12">
        <f>IF(COUNTIFS(T_TTAFStock_Log[Part Name],$A24,T_TTAFStock_Log[WeekIndex],37)=0,"",SUMIFS(T_TTAFStock_Log[TTAF_Qty],T_TTAFStock_Log[Part Name],$A24,T_TTAFStock_Log[WeekIndex],37))</f>
        <v/>
      </c>
      <c r="AM24" s="12">
        <f>IF(COUNTIFS(T_TTAFStock_Log[Part Name],$A24,T_TTAFStock_Log[WeekIndex],38)=0,"",SUMIFS(T_TTAFStock_Log[TTAF_Qty],T_TTAFStock_Log[Part Name],$A24,T_TTAFStock_Log[WeekIndex],38))</f>
        <v/>
      </c>
      <c r="AN24" s="12">
        <f>IF(COUNTIFS(T_TTAFStock_Log[Part Name],$A24,T_TTAFStock_Log[WeekIndex],39)=0,"",SUMIFS(T_TTAFStock_Log[TTAF_Qty],T_TTAFStock_Log[Part Name],$A24,T_TTAFStock_Log[WeekIndex],39))</f>
        <v/>
      </c>
      <c r="AO24" s="12">
        <f>IF(COUNTIFS(T_TTAFStock_Log[Part Name],$A24,T_TTAFStock_Log[WeekIndex],40)=0,"",SUMIFS(T_TTAFStock_Log[TTAF_Qty],T_TTAFStock_Log[Part Name],$A24,T_TTAFStock_Log[WeekIndex],40))</f>
        <v/>
      </c>
      <c r="AP24" s="12">
        <f>IF(COUNTIFS(T_TTAFStock_Log[Part Name],$A24,T_TTAFStock_Log[WeekIndex],41)=0,"",SUMIFS(T_TTAFStock_Log[TTAF_Qty],T_TTAFStock_Log[Part Name],$A24,T_TTAFStock_Log[WeekIndex],41))</f>
        <v/>
      </c>
      <c r="AQ24" s="12">
        <f>IF(COUNTIFS(T_TTAFStock_Log[Part Name],$A24,T_TTAFStock_Log[WeekIndex],42)=0,"",SUMIFS(T_TTAFStock_Log[TTAF_Qty],T_TTAFStock_Log[Part Name],$A24,T_TTAFStock_Log[WeekIndex],42))</f>
        <v/>
      </c>
      <c r="AR24" s="12">
        <f>IF(COUNTIFS(T_TTAFStock_Log[Part Name],$A24,T_TTAFStock_Log[WeekIndex],43)=0,"",SUMIFS(T_TTAFStock_Log[TTAF_Qty],T_TTAFStock_Log[Part Name],$A24,T_TTAFStock_Log[WeekIndex],43))</f>
        <v/>
      </c>
      <c r="AS24" s="12">
        <f>IF(COUNTIFS(T_TTAFStock_Log[Part Name],$A24,T_TTAFStock_Log[WeekIndex],44)=0,"",SUMIFS(T_TTAFStock_Log[TTAF_Qty],T_TTAFStock_Log[Part Name],$A24,T_TTAFStock_Log[WeekIndex],44))</f>
        <v/>
      </c>
      <c r="AT24" s="12">
        <f>IF(COUNTIFS(T_TTAFStock_Log[Part Name],$A24,T_TTAFStock_Log[WeekIndex],45)=0,"",SUMIFS(T_TTAFStock_Log[TTAF_Qty],T_TTAFStock_Log[Part Name],$A24,T_TTAFStock_Log[WeekIndex],45))</f>
        <v/>
      </c>
      <c r="AU24" s="12">
        <f>IF(COUNTIFS(T_TTAFStock_Log[Part Name],$A24,T_TTAFStock_Log[WeekIndex],46)=0,"",SUMIFS(T_TTAFStock_Log[TTAF_Qty],T_TTAFStock_Log[Part Name],$A24,T_TTAFStock_Log[WeekIndex],46))</f>
        <v/>
      </c>
      <c r="AV24" s="12">
        <f>IF(COUNTIFS(T_TTAFStock_Log[Part Name],$A24,T_TTAFStock_Log[WeekIndex],47)=0,"",SUMIFS(T_TTAFStock_Log[TTAF_Qty],T_TTAFStock_Log[Part Name],$A24,T_TTAFStock_Log[WeekIndex],47))</f>
        <v/>
      </c>
      <c r="AW24" s="12">
        <f>IF(COUNTIFS(T_TTAFStock_Log[Part Name],$A24,T_TTAFStock_Log[WeekIndex],48)=0,"",SUMIFS(T_TTAFStock_Log[TTAF_Qty],T_TTAFStock_Log[Part Name],$A24,T_TTAFStock_Log[WeekIndex],48))</f>
        <v/>
      </c>
      <c r="AX24" s="12">
        <f>IF(COUNTIFS(T_TTAFStock_Log[Part Name],$A24,T_TTAFStock_Log[WeekIndex],49)=0,"",SUMIFS(T_TTAFStock_Log[TTAF_Qty],T_TTAFStock_Log[Part Name],$A24,T_TTAFStock_Log[WeekIndex],49))</f>
        <v/>
      </c>
      <c r="AY24" s="12">
        <f>IF(COUNTIFS(T_TTAFStock_Log[Part Name],$A24,T_TTAFStock_Log[WeekIndex],50)=0,"",SUMIFS(T_TTAFStock_Log[TTAF_Qty],T_TTAFStock_Log[Part Name],$A24,T_TTAFStock_Log[WeekIndex],50))</f>
        <v/>
      </c>
      <c r="AZ24" s="12">
        <f>IF(COUNTIFS(T_TTAFStock_Log[Part Name],$A24,T_TTAFStock_Log[WeekIndex],51)=0,"",SUMIFS(T_TTAFStock_Log[TTAF_Qty],T_TTAFStock_Log[Part Name],$A24,T_TTAFStock_Log[WeekIndex],51))</f>
        <v/>
      </c>
      <c r="BA24" s="12">
        <f>IF(COUNTIFS(T_TTAFStock_Log[Part Name],$A24,T_TTAFStock_Log[WeekIndex],52)=0,"",SUMIFS(T_TTAFStock_Log[TTAF_Qty],T_TTAFStock_Log[Part Name],$A24,T_TTAFStock_Log[WeekIndex],52))</f>
        <v/>
      </c>
      <c r="BB24" s="12">
        <f>IF(COUNTIFS(T_TTAFStock_Log[Part Name],$A24,T_TTAFStock_Log[WeekIndex],53)=0,"",SUMIFS(T_TTAFStock_Log[TTAF_Qty],T_TTAFStock_Log[Part Name],$A24,T_TTAFStock_Log[WeekIndex],53))</f>
        <v/>
      </c>
      <c r="BC24" s="12">
        <f>IF(COUNTIFS(T_TTAFStock_Log[Part Name],$A24,T_TTAFStock_Log[WeekIndex],54)=0,"",SUMIFS(T_TTAFStock_Log[TTAF_Qty],T_TTAFStock_Log[Part Name],$A24,T_TTAFStock_Log[WeekIndex],54))</f>
        <v/>
      </c>
      <c r="BD24" s="12">
        <f>IF(COUNTIFS(T_TTAFStock_Log[Part Name],$A24,T_TTAFStock_Log[WeekIndex],55)=0,"",SUMIFS(T_TTAFStock_Log[TTAF_Qty],T_TTAFStock_Log[Part Name],$A24,T_TTAFStock_Log[WeekIndex],55))</f>
        <v/>
      </c>
      <c r="BE24" s="12">
        <f>IF(COUNTIFS(T_TTAFStock_Log[Part Name],$A24,T_TTAFStock_Log[WeekIndex],56)=0,"",SUMIFS(T_TTAFStock_Log[TTAF_Qty],T_TTAFStock_Log[Part Name],$A24,T_TTAFStock_Log[WeekIndex],56))</f>
        <v/>
      </c>
      <c r="BF24" s="12">
        <f>IF(COUNTIFS(T_TTAFStock_Log[Part Name],$A24,T_TTAFStock_Log[WeekIndex],57)=0,"",SUMIFS(T_TTAFStock_Log[TTAF_Qty],T_TTAFStock_Log[Part Name],$A24,T_TTAFStock_Log[WeekIndex],57))</f>
        <v/>
      </c>
      <c r="BG24" s="12">
        <f>IF(COUNTIFS(T_TTAFStock_Log[Part Name],$A24,T_TTAFStock_Log[WeekIndex],58)=0,"",SUMIFS(T_TTAFStock_Log[TTAF_Qty],T_TTAFStock_Log[Part Name],$A24,T_TTAFStock_Log[WeekIndex],58))</f>
        <v/>
      </c>
      <c r="BH24" s="12">
        <f>IF(COUNTIFS(T_TTAFStock_Log[Part Name],$A24,T_TTAFStock_Log[WeekIndex],59)=0,"",SUMIFS(T_TTAFStock_Log[TTAF_Qty],T_TTAFStock_Log[Part Name],$A24,T_TTAFStock_Log[WeekIndex],59))</f>
        <v/>
      </c>
      <c r="BI24" s="12">
        <f>IF(COUNTIFS(T_TTAFStock_Log[Part Name],$A24,T_TTAFStock_Log[WeekIndex],60)=0,"",SUMIFS(T_TTAFStock_Log[TTAF_Qty],T_TTAFStock_Log[Part Name],$A24,T_TTAFStock_Log[WeekIndex],60))</f>
        <v/>
      </c>
      <c r="BJ24" s="12">
        <f>IF(COUNTIFS(T_TTAFStock_Log[Part Name],$A24,T_TTAFStock_Log[WeekIndex],61)=0,"",SUMIFS(T_TTAFStock_Log[TTAF_Qty],T_TTAFStock_Log[Part Name],$A24,T_TTAFStock_Log[WeekIndex],61))</f>
        <v/>
      </c>
      <c r="BK24" s="12">
        <f>IF(COUNTIFS(T_TTAFStock_Log[Part Name],$A24,T_TTAFStock_Log[WeekIndex],62)=0,"",SUMIFS(T_TTAFStock_Log[TTAF_Qty],T_TTAFStock_Log[Part Name],$A24,T_TTAFStock_Log[WeekIndex],62))</f>
        <v/>
      </c>
      <c r="BL24" s="12">
        <f>IF(COUNTIFS(T_TTAFStock_Log[Part Name],$A24,T_TTAFStock_Log[WeekIndex],63)=0,"",SUMIFS(T_TTAFStock_Log[TTAF_Qty],T_TTAFStock_Log[Part Name],$A24,T_TTAFStock_Log[WeekIndex],63))</f>
        <v/>
      </c>
      <c r="BM24" s="12">
        <f>IF(COUNTIFS(T_TTAFStock_Log[Part Name],$A24,T_TTAFStock_Log[WeekIndex],64)=0,"",SUMIFS(T_TTAFStock_Log[TTAF_Qty],T_TTAFStock_Log[Part Name],$A24,T_TTAFStock_Log[WeekIndex],64))</f>
        <v/>
      </c>
      <c r="BN24" s="12">
        <f>IF(COUNTIFS(T_TTAFStock_Log[Part Name],$A24,T_TTAFStock_Log[WeekIndex],65)=0,"",SUMIFS(T_TTAFStock_Log[TTAF_Qty],T_TTAFStock_Log[Part Name],$A24,T_TTAFStock_Log[WeekIndex],65))</f>
        <v/>
      </c>
      <c r="BO24" s="12">
        <f>IF(COUNTIFS(T_TTAFStock_Log[Part Name],$A24,T_TTAFStock_Log[WeekIndex],66)=0,"",SUMIFS(T_TTAFStock_Log[TTAF_Qty],T_TTAFStock_Log[Part Name],$A24,T_TTAFStock_Log[WeekIndex],66))</f>
        <v/>
      </c>
      <c r="BP24" s="12">
        <f>IF(COUNTIFS(T_TTAFStock_Log[Part Name],$A24,T_TTAFStock_Log[WeekIndex],67)=0,"",SUMIFS(T_TTAFStock_Log[TTAF_Qty],T_TTAFStock_Log[Part Name],$A24,T_TTAFStock_Log[WeekIndex],67))</f>
        <v/>
      </c>
      <c r="BQ24" s="12">
        <f>IF(COUNTIFS(T_TTAFStock_Log[Part Name],$A24,T_TTAFStock_Log[WeekIndex],68)=0,"",SUMIFS(T_TTAFStock_Log[TTAF_Qty],T_TTAFStock_Log[Part Name],$A24,T_TTAFStock_Log[WeekIndex],68))</f>
        <v/>
      </c>
      <c r="BR24" s="12">
        <f>IF(COUNTIFS(T_TTAFStock_Log[Part Name],$A24,T_TTAFStock_Log[WeekIndex],69)=0,"",SUMIFS(T_TTAFStock_Log[TTAF_Qty],T_TTAFStock_Log[Part Name],$A24,T_TTAFStock_Log[WeekIndex],69))</f>
        <v/>
      </c>
      <c r="BS24" s="12">
        <f>IF(COUNTIFS(T_TTAFStock_Log[Part Name],$A24,T_TTAFStock_Log[WeekIndex],70)=0,"",SUMIFS(T_TTAFStock_Log[TTAF_Qty],T_TTAFStock_Log[Part Name],$A24,T_TTAFStock_Log[WeekIndex],70))</f>
        <v/>
      </c>
      <c r="BT24" s="12">
        <f>IF(COUNTIFS(T_TTAFStock_Log[Part Name],$A24,T_TTAFStock_Log[WeekIndex],71)=0,"",SUMIFS(T_TTAFStock_Log[TTAF_Qty],T_TTAFStock_Log[Part Name],$A24,T_TTAFStock_Log[WeekIndex],71))</f>
        <v/>
      </c>
      <c r="BU24" s="12">
        <f>IF(COUNTIFS(T_TTAFStock_Log[Part Name],$A24,T_TTAFStock_Log[WeekIndex],72)=0,"",SUMIFS(T_TTAFStock_Log[TTAF_Qty],T_TTAFStock_Log[Part Name],$A24,T_TTAFStock_Log[WeekIndex],72))</f>
        <v/>
      </c>
      <c r="BV24" s="12">
        <f>IF(COUNTIFS(T_TTAFStock_Log[Part Name],$A24,T_TTAFStock_Log[WeekIndex],73)=0,"",SUMIFS(T_TTAFStock_Log[TTAF_Qty],T_TTAFStock_Log[Part Name],$A24,T_TTAFStock_Log[WeekIndex],73))</f>
        <v/>
      </c>
      <c r="BW24" s="12">
        <f>IF(COUNTIFS(T_TTAFStock_Log[Part Name],$A24,T_TTAFStock_Log[WeekIndex],74)=0,"",SUMIFS(T_TTAFStock_Log[TTAF_Qty],T_TTAFStock_Log[Part Name],$A24,T_TTAFStock_Log[WeekIndex],74))</f>
        <v/>
      </c>
      <c r="BX24" s="12">
        <f>IF(COUNTIFS(T_TTAFStock_Log[Part Name],$A24,T_TTAFStock_Log[WeekIndex],75)=0,"",SUMIFS(T_TTAFStock_Log[TTAF_Qty],T_TTAFStock_Log[Part Name],$A24,T_TTAFStock_Log[WeekIndex],75))</f>
        <v/>
      </c>
      <c r="BY24" s="12">
        <f>IF(COUNTIFS(T_TTAFStock_Log[Part Name],$A24,T_TTAFStock_Log[WeekIndex],76)=0,"",SUMIFS(T_TTAFStock_Log[TTAF_Qty],T_TTAFStock_Log[Part Name],$A24,T_TTAFStock_Log[WeekIndex],76))</f>
        <v/>
      </c>
      <c r="BZ24" s="12">
        <f>IF(COUNTIFS(T_TTAFStock_Log[Part Name],$A24,T_TTAFStock_Log[WeekIndex],77)=0,"",SUMIFS(T_TTAFStock_Log[TTAF_Qty],T_TTAFStock_Log[Part Name],$A24,T_TTAFStock_Log[WeekIndex],77))</f>
        <v/>
      </c>
      <c r="CA24" s="12">
        <f>IF(COUNTIFS(T_TTAFStock_Log[Part Name],$A24,T_TTAFStock_Log[WeekIndex],78)=0,"",SUMIFS(T_TTAFStock_Log[TTAF_Qty],T_TTAFStock_Log[Part Name],$A24,T_TTAFStock_Log[WeekIndex],78))</f>
        <v/>
      </c>
      <c r="CB24" s="12">
        <f>IF(COUNTIFS(T_TTAFStock_Log[Part Name],$A24,T_TTAFStock_Log[WeekIndex],79)=0,"",SUMIFS(T_TTAFStock_Log[TTAF_Qty],T_TTAFStock_Log[Part Name],$A24,T_TTAFStock_Log[WeekIndex],79))</f>
        <v/>
      </c>
      <c r="CC24" s="12">
        <f>IF(COUNTIFS(T_TTAFStock_Log[Part Name],$A24,T_TTAFStock_Log[WeekIndex],80)=0,"",SUMIFS(T_TTAFStock_Log[TTAF_Qty],T_TTAFStock_Log[Part Name],$A24,T_TTAFStock_Log[WeekIndex],80))</f>
        <v/>
      </c>
      <c r="CD24" s="12">
        <f>IF(COUNTIFS(T_TTAFStock_Log[Part Name],$A24,T_TTAFStock_Log[WeekIndex],81)=0,"",SUMIFS(T_TTAFStock_Log[TTAF_Qty],T_TTAFStock_Log[Part Name],$A24,T_TTAFStock_Log[WeekIndex],81))</f>
        <v/>
      </c>
      <c r="CE24" s="12">
        <f>IF(COUNTIFS(T_TTAFStock_Log[Part Name],$A24,T_TTAFStock_Log[WeekIndex],82)=0,"",SUMIFS(T_TTAFStock_Log[TTAF_Qty],T_TTAFStock_Log[Part Name],$A24,T_TTAFStock_Log[WeekIndex],82))</f>
        <v/>
      </c>
      <c r="CF24" s="12">
        <f>IF(COUNTIFS(T_TTAFStock_Log[Part Name],$A24,T_TTAFStock_Log[WeekIndex],83)=0,"",SUMIFS(T_TTAFStock_Log[TTAF_Qty],T_TTAFStock_Log[Part Name],$A24,T_TTAFStock_Log[WeekIndex],83))</f>
        <v/>
      </c>
      <c r="CG24" s="12">
        <f>IF(COUNTIFS(T_TTAFStock_Log[Part Name],$A24,T_TTAFStock_Log[WeekIndex],84)=0,"",SUMIFS(T_TTAFStock_Log[TTAF_Qty],T_TTAFStock_Log[Part Name],$A24,T_TTAFStock_Log[WeekIndex],84))</f>
        <v/>
      </c>
      <c r="CH24" s="12">
        <f>IF(COUNTIFS(T_TTAFStock_Log[Part Name],$A24,T_TTAFStock_Log[WeekIndex],85)=0,"",SUMIFS(T_TTAFStock_Log[TTAF_Qty],T_TTAFStock_Log[Part Name],$A24,T_TTAFStock_Log[WeekIndex],85))</f>
        <v/>
      </c>
      <c r="CI24" s="12">
        <f>IF(COUNTIFS(T_TTAFStock_Log[Part Name],$A24,T_TTAFStock_Log[WeekIndex],86)=0,"",SUMIFS(T_TTAFStock_Log[TTAF_Qty],T_TTAFStock_Log[Part Name],$A24,T_TTAFStock_Log[WeekIndex],86))</f>
        <v/>
      </c>
      <c r="CJ24" s="12">
        <f>IF(COUNTIFS(T_TTAFStock_Log[Part Name],$A24,T_TTAFStock_Log[WeekIndex],87)=0,"",SUMIFS(T_TTAFStock_Log[TTAF_Qty],T_TTAFStock_Log[Part Name],$A24,T_TTAFStock_Log[WeekIndex],87))</f>
        <v/>
      </c>
      <c r="CK24" s="12">
        <f>IF(COUNTIFS(T_TTAFStock_Log[Part Name],$A24,T_TTAFStock_Log[WeekIndex],88)=0,"",SUMIFS(T_TTAFStock_Log[TTAF_Qty],T_TTAFStock_Log[Part Name],$A24,T_TTAFStock_Log[WeekIndex],88))</f>
        <v/>
      </c>
      <c r="CL24" s="12">
        <f>IF(COUNTIFS(T_TTAFStock_Log[Part Name],$A24,T_TTAFStock_Log[WeekIndex],89)=0,"",SUMIFS(T_TTAFStock_Log[TTAF_Qty],T_TTAFStock_Log[Part Name],$A24,T_TTAFStock_Log[WeekIndex],89))</f>
        <v/>
      </c>
      <c r="CM24" s="12">
        <f>IF(COUNTIFS(T_TTAFStock_Log[Part Name],$A24,T_TTAFStock_Log[WeekIndex],90)=0,"",SUMIFS(T_TTAFStock_Log[TTAF_Qty],T_TTAFStock_Log[Part Name],$A24,T_TTAFStock_Log[WeekIndex],90))</f>
        <v/>
      </c>
      <c r="CN24" s="12">
        <f>IF(COUNTIFS(T_TTAFStock_Log[Part Name],$A24,T_TTAFStock_Log[WeekIndex],91)=0,"",SUMIFS(T_TTAFStock_Log[TTAF_Qty],T_TTAFStock_Log[Part Name],$A24,T_TTAFStock_Log[WeekIndex],91))</f>
        <v/>
      </c>
      <c r="CO24" s="12">
        <f>IF(COUNTIFS(T_TTAFStock_Log[Part Name],$A24,T_TTAFStock_Log[WeekIndex],92)=0,"",SUMIFS(T_TTAFStock_Log[TTAF_Qty],T_TTAFStock_Log[Part Name],$A24,T_TTAFStock_Log[WeekIndex],92))</f>
        <v/>
      </c>
      <c r="CP24" s="12">
        <f>IF(COUNTIFS(T_TTAFStock_Log[Part Name],$A24,T_TTAFStock_Log[WeekIndex],93)=0,"",SUMIFS(T_TTAFStock_Log[TTAF_Qty],T_TTAFStock_Log[Part Name],$A24,T_TTAFStock_Log[WeekIndex],93))</f>
        <v/>
      </c>
      <c r="CQ24" s="12">
        <f>IF(COUNTIFS(T_TTAFStock_Log[Part Name],$A24,T_TTAFStock_Log[WeekIndex],94)=0,"",SUMIFS(T_TTAFStock_Log[TTAF_Qty],T_TTAFStock_Log[Part Name],$A24,T_TTAFStock_Log[WeekIndex],94))</f>
        <v/>
      </c>
      <c r="CR24" s="12">
        <f>IF(COUNTIFS(T_TTAFStock_Log[Part Name],$A24,T_TTAFStock_Log[WeekIndex],95)=0,"",SUMIFS(T_TTAFStock_Log[TTAF_Qty],T_TTAFStock_Log[Part Name],$A24,T_TTAFStock_Log[WeekIndex],95))</f>
        <v/>
      </c>
      <c r="CS24" s="12">
        <f>IF(COUNTIFS(T_TTAFStock_Log[Part Name],$A24,T_TTAFStock_Log[WeekIndex],96)=0,"",SUMIFS(T_TTAFStock_Log[TTAF_Qty],T_TTAFStock_Log[Part Name],$A24,T_TTAFStock_Log[WeekIndex],96))</f>
        <v/>
      </c>
      <c r="CT24" s="12">
        <f>IF(COUNTIFS(T_TTAFStock_Log[Part Name],$A24,T_TTAFStock_Log[WeekIndex],97)=0,"",SUMIFS(T_TTAFStock_Log[TTAF_Qty],T_TTAFStock_Log[Part Name],$A24,T_TTAFStock_Log[WeekIndex],97))</f>
        <v/>
      </c>
      <c r="CU24" s="12">
        <f>IF(COUNTIFS(T_TTAFStock_Log[Part Name],$A24,T_TTAFStock_Log[WeekIndex],98)=0,"",SUMIFS(T_TTAFStock_Log[TTAF_Qty],T_TTAFStock_Log[Part Name],$A24,T_TTAFStock_Log[WeekIndex],98))</f>
        <v/>
      </c>
      <c r="CV24" s="12">
        <f>IF(COUNTIFS(T_TTAFStock_Log[Part Name],$A24,T_TTAFStock_Log[WeekIndex],99)=0,"",SUMIFS(T_TTAFStock_Log[TTAF_Qty],T_TTAFStock_Log[Part Name],$A24,T_TTAFStock_Log[WeekIndex],99))</f>
        <v/>
      </c>
      <c r="CW24" s="12">
        <f>IF(COUNTIFS(T_TTAFStock_Log[Part Name],$A24,T_TTAFStock_Log[WeekIndex],100)=0,"",SUMIFS(T_TTAFStock_Log[TTAF_Qty],T_TTAFStock_Log[Part Name],$A24,T_TTAFStock_Log[WeekIndex],100))</f>
        <v/>
      </c>
      <c r="CX24" s="12">
        <f>IF(COUNTIFS(T_TTAFStock_Log[Part Name],$A24,T_TTAFStock_Log[WeekIndex],101)=0,"",SUMIFS(T_TTAFStock_Log[TTAF_Qty],T_TTAFStock_Log[Part Name],$A24,T_TTAFStock_Log[WeekIndex],101))</f>
        <v/>
      </c>
      <c r="CY24" s="12">
        <f>IF(COUNTIFS(T_TTAFStock_Log[Part Name],$A24,T_TTAFStock_Log[WeekIndex],102)=0,"",SUMIFS(T_TTAFStock_Log[TTAF_Qty],T_TTAFStock_Log[Part Name],$A24,T_TTAFStock_Log[WeekIndex],102))</f>
        <v/>
      </c>
      <c r="CZ24" s="12">
        <f>IF(COUNTIFS(T_TTAFStock_Log[Part Name],$A24,T_TTAFStock_Log[WeekIndex],103)=0,"",SUMIFS(T_TTAFStock_Log[TTAF_Qty],T_TTAFStock_Log[Part Name],$A24,T_TTAFStock_Log[WeekIndex],103))</f>
        <v/>
      </c>
      <c r="DA24" s="12">
        <f>IF(COUNTIFS(T_TTAFStock_Log[Part Name],$A24,T_TTAFStock_Log[WeekIndex],104)=0,"",SUMIFS(T_TTAFStock_Log[TTAF_Qty],T_TTAFStock_Log[Part Name],$A24,T_TTAFStock_Log[WeekIndex],104))</f>
        <v/>
      </c>
    </row>
    <row r="25">
      <c r="A25" s="13" t="inlineStr">
        <is>
          <t>CHEM-1240</t>
        </is>
      </c>
      <c r="B25" s="13">
        <f>IF(COUNTIFS(T_TTAFStock_Log[Part Name],$A25,T_TTAFStock_Log[WeekIndex],1)=0,"",SUMIFS(T_TTAFStock_Log[TTAF_Qty],T_TTAFStock_Log[Part Name],$A25,T_TTAFStock_Log[WeekIndex],1))</f>
        <v/>
      </c>
      <c r="C25" s="13">
        <f>IF(COUNTIFS(T_TTAFStock_Log[Part Name],$A25,T_TTAFStock_Log[WeekIndex],2)=0,"",SUMIFS(T_TTAFStock_Log[TTAF_Qty],T_TTAFStock_Log[Part Name],$A25,T_TTAFStock_Log[WeekIndex],2))</f>
        <v/>
      </c>
      <c r="D25" s="13">
        <f>IF(COUNTIFS(T_TTAFStock_Log[Part Name],$A25,T_TTAFStock_Log[WeekIndex],3)=0,"",SUMIFS(T_TTAFStock_Log[TTAF_Qty],T_TTAFStock_Log[Part Name],$A25,T_TTAFStock_Log[WeekIndex],3))</f>
        <v/>
      </c>
      <c r="E25" s="13">
        <f>IF(COUNTIFS(T_TTAFStock_Log[Part Name],$A25,T_TTAFStock_Log[WeekIndex],4)=0,"",SUMIFS(T_TTAFStock_Log[TTAF_Qty],T_TTAFStock_Log[Part Name],$A25,T_TTAFStock_Log[WeekIndex],4))</f>
        <v/>
      </c>
      <c r="F25" s="13">
        <f>IF(COUNTIFS(T_TTAFStock_Log[Part Name],$A25,T_TTAFStock_Log[WeekIndex],5)=0,"",SUMIFS(T_TTAFStock_Log[TTAF_Qty],T_TTAFStock_Log[Part Name],$A25,T_TTAFStock_Log[WeekIndex],5))</f>
        <v/>
      </c>
      <c r="G25" s="13">
        <f>IF(COUNTIFS(T_TTAFStock_Log[Part Name],$A25,T_TTAFStock_Log[WeekIndex],6)=0,"",SUMIFS(T_TTAFStock_Log[TTAF_Qty],T_TTAFStock_Log[Part Name],$A25,T_TTAFStock_Log[WeekIndex],6))</f>
        <v/>
      </c>
      <c r="H25" s="13">
        <f>IF(COUNTIFS(T_TTAFStock_Log[Part Name],$A25,T_TTAFStock_Log[WeekIndex],7)=0,"",SUMIFS(T_TTAFStock_Log[TTAF_Qty],T_TTAFStock_Log[Part Name],$A25,T_TTAFStock_Log[WeekIndex],7))</f>
        <v/>
      </c>
      <c r="I25" s="13">
        <f>IF(COUNTIFS(T_TTAFStock_Log[Part Name],$A25,T_TTAFStock_Log[WeekIndex],8)=0,"",SUMIFS(T_TTAFStock_Log[TTAF_Qty],T_TTAFStock_Log[Part Name],$A25,T_TTAFStock_Log[WeekIndex],8))</f>
        <v/>
      </c>
      <c r="J25" s="13">
        <f>IF(COUNTIFS(T_TTAFStock_Log[Part Name],$A25,T_TTAFStock_Log[WeekIndex],9)=0,"",SUMIFS(T_TTAFStock_Log[TTAF_Qty],T_TTAFStock_Log[Part Name],$A25,T_TTAFStock_Log[WeekIndex],9))</f>
        <v/>
      </c>
      <c r="K25" s="13">
        <f>IF(COUNTIFS(T_TTAFStock_Log[Part Name],$A25,T_TTAFStock_Log[WeekIndex],10)=0,"",SUMIFS(T_TTAFStock_Log[TTAF_Qty],T_TTAFStock_Log[Part Name],$A25,T_TTAFStock_Log[WeekIndex],10))</f>
        <v/>
      </c>
      <c r="L25" s="13">
        <f>IF(COUNTIFS(T_TTAFStock_Log[Part Name],$A25,T_TTAFStock_Log[WeekIndex],11)=0,"",SUMIFS(T_TTAFStock_Log[TTAF_Qty],T_TTAFStock_Log[Part Name],$A25,T_TTAFStock_Log[WeekIndex],11))</f>
        <v/>
      </c>
      <c r="M25" s="13">
        <f>IF(COUNTIFS(T_TTAFStock_Log[Part Name],$A25,T_TTAFStock_Log[WeekIndex],12)=0,"",SUMIFS(T_TTAFStock_Log[TTAF_Qty],T_TTAFStock_Log[Part Name],$A25,T_TTAFStock_Log[WeekIndex],12))</f>
        <v/>
      </c>
      <c r="N25" s="13">
        <f>IF(COUNTIFS(T_TTAFStock_Log[Part Name],$A25,T_TTAFStock_Log[WeekIndex],13)=0,"",SUMIFS(T_TTAFStock_Log[TTAF_Qty],T_TTAFStock_Log[Part Name],$A25,T_TTAFStock_Log[WeekIndex],13))</f>
        <v/>
      </c>
      <c r="O25" s="13">
        <f>IF(COUNTIFS(T_TTAFStock_Log[Part Name],$A25,T_TTAFStock_Log[WeekIndex],14)=0,"",SUMIFS(T_TTAFStock_Log[TTAF_Qty],T_TTAFStock_Log[Part Name],$A25,T_TTAFStock_Log[WeekIndex],14))</f>
        <v/>
      </c>
      <c r="P25" s="13">
        <f>IF(COUNTIFS(T_TTAFStock_Log[Part Name],$A25,T_TTAFStock_Log[WeekIndex],15)=0,"",SUMIFS(T_TTAFStock_Log[TTAF_Qty],T_TTAFStock_Log[Part Name],$A25,T_TTAFStock_Log[WeekIndex],15))</f>
        <v/>
      </c>
      <c r="Q25" s="13">
        <f>IF(COUNTIFS(T_TTAFStock_Log[Part Name],$A25,T_TTAFStock_Log[WeekIndex],16)=0,"",SUMIFS(T_TTAFStock_Log[TTAF_Qty],T_TTAFStock_Log[Part Name],$A25,T_TTAFStock_Log[WeekIndex],16))</f>
        <v/>
      </c>
      <c r="R25" s="13">
        <f>IF(COUNTIFS(T_TTAFStock_Log[Part Name],$A25,T_TTAFStock_Log[WeekIndex],17)=0,"",SUMIFS(T_TTAFStock_Log[TTAF_Qty],T_TTAFStock_Log[Part Name],$A25,T_TTAFStock_Log[WeekIndex],17))</f>
        <v/>
      </c>
      <c r="S25" s="13">
        <f>IF(COUNTIFS(T_TTAFStock_Log[Part Name],$A25,T_TTAFStock_Log[WeekIndex],18)=0,"",SUMIFS(T_TTAFStock_Log[TTAF_Qty],T_TTAFStock_Log[Part Name],$A25,T_TTAFStock_Log[WeekIndex],18))</f>
        <v/>
      </c>
      <c r="T25" s="13">
        <f>IF(COUNTIFS(T_TTAFStock_Log[Part Name],$A25,T_TTAFStock_Log[WeekIndex],19)=0,"",SUMIFS(T_TTAFStock_Log[TTAF_Qty],T_TTAFStock_Log[Part Name],$A25,T_TTAFStock_Log[WeekIndex],19))</f>
        <v/>
      </c>
      <c r="U25" s="13">
        <f>IF(COUNTIFS(T_TTAFStock_Log[Part Name],$A25,T_TTAFStock_Log[WeekIndex],20)=0,"",SUMIFS(T_TTAFStock_Log[TTAF_Qty],T_TTAFStock_Log[Part Name],$A25,T_TTAFStock_Log[WeekIndex],20))</f>
        <v/>
      </c>
      <c r="V25" s="13">
        <f>IF(COUNTIFS(T_TTAFStock_Log[Part Name],$A25,T_TTAFStock_Log[WeekIndex],21)=0,"",SUMIFS(T_TTAFStock_Log[TTAF_Qty],T_TTAFStock_Log[Part Name],$A25,T_TTAFStock_Log[WeekIndex],21))</f>
        <v/>
      </c>
      <c r="W25" s="13">
        <f>IF(COUNTIFS(T_TTAFStock_Log[Part Name],$A25,T_TTAFStock_Log[WeekIndex],22)=0,"",SUMIFS(T_TTAFStock_Log[TTAF_Qty],T_TTAFStock_Log[Part Name],$A25,T_TTAFStock_Log[WeekIndex],22))</f>
        <v/>
      </c>
      <c r="X25" s="13">
        <f>IF(COUNTIFS(T_TTAFStock_Log[Part Name],$A25,T_TTAFStock_Log[WeekIndex],23)=0,"",SUMIFS(T_TTAFStock_Log[TTAF_Qty],T_TTAFStock_Log[Part Name],$A25,T_TTAFStock_Log[WeekIndex],23))</f>
        <v/>
      </c>
      <c r="Y25" s="13">
        <f>IF(COUNTIFS(T_TTAFStock_Log[Part Name],$A25,T_TTAFStock_Log[WeekIndex],24)=0,"",SUMIFS(T_TTAFStock_Log[TTAF_Qty],T_TTAFStock_Log[Part Name],$A25,T_TTAFStock_Log[WeekIndex],24))</f>
        <v/>
      </c>
      <c r="Z25" s="13">
        <f>IF(COUNTIFS(T_TTAFStock_Log[Part Name],$A25,T_TTAFStock_Log[WeekIndex],25)=0,"",SUMIFS(T_TTAFStock_Log[TTAF_Qty],T_TTAFStock_Log[Part Name],$A25,T_TTAFStock_Log[WeekIndex],25))</f>
        <v/>
      </c>
      <c r="AA25" s="13">
        <f>IF(COUNTIFS(T_TTAFStock_Log[Part Name],$A25,T_TTAFStock_Log[WeekIndex],26)=0,"",SUMIFS(T_TTAFStock_Log[TTAF_Qty],T_TTAFStock_Log[Part Name],$A25,T_TTAFStock_Log[WeekIndex],26))</f>
        <v/>
      </c>
      <c r="AB25" s="13">
        <f>IF(COUNTIFS(T_TTAFStock_Log[Part Name],$A25,T_TTAFStock_Log[WeekIndex],27)=0,"",SUMIFS(T_TTAFStock_Log[TTAF_Qty],T_TTAFStock_Log[Part Name],$A25,T_TTAFStock_Log[WeekIndex],27))</f>
        <v/>
      </c>
      <c r="AC25" s="13">
        <f>IF(COUNTIFS(T_TTAFStock_Log[Part Name],$A25,T_TTAFStock_Log[WeekIndex],28)=0,"",SUMIFS(T_TTAFStock_Log[TTAF_Qty],T_TTAFStock_Log[Part Name],$A25,T_TTAFStock_Log[WeekIndex],28))</f>
        <v/>
      </c>
      <c r="AD25" s="13">
        <f>IF(COUNTIFS(T_TTAFStock_Log[Part Name],$A25,T_TTAFStock_Log[WeekIndex],29)=0,"",SUMIFS(T_TTAFStock_Log[TTAF_Qty],T_TTAFStock_Log[Part Name],$A25,T_TTAFStock_Log[WeekIndex],29))</f>
        <v/>
      </c>
      <c r="AE25" s="13">
        <f>IF(COUNTIFS(T_TTAFStock_Log[Part Name],$A25,T_TTAFStock_Log[WeekIndex],30)=0,"",SUMIFS(T_TTAFStock_Log[TTAF_Qty],T_TTAFStock_Log[Part Name],$A25,T_TTAFStock_Log[WeekIndex],30))</f>
        <v/>
      </c>
      <c r="AF25" s="13">
        <f>IF(COUNTIFS(T_TTAFStock_Log[Part Name],$A25,T_TTAFStock_Log[WeekIndex],31)=0,"",SUMIFS(T_TTAFStock_Log[TTAF_Qty],T_TTAFStock_Log[Part Name],$A25,T_TTAFStock_Log[WeekIndex],31))</f>
        <v/>
      </c>
      <c r="AG25" s="13">
        <f>IF(COUNTIFS(T_TTAFStock_Log[Part Name],$A25,T_TTAFStock_Log[WeekIndex],32)=0,"",SUMIFS(T_TTAFStock_Log[TTAF_Qty],T_TTAFStock_Log[Part Name],$A25,T_TTAFStock_Log[WeekIndex],32))</f>
        <v/>
      </c>
      <c r="AH25" s="13">
        <f>IF(COUNTIFS(T_TTAFStock_Log[Part Name],$A25,T_TTAFStock_Log[WeekIndex],33)=0,"",SUMIFS(T_TTAFStock_Log[TTAF_Qty],T_TTAFStock_Log[Part Name],$A25,T_TTAFStock_Log[WeekIndex],33))</f>
        <v/>
      </c>
      <c r="AI25" s="13">
        <f>IF(COUNTIFS(T_TTAFStock_Log[Part Name],$A25,T_TTAFStock_Log[WeekIndex],34)=0,"",SUMIFS(T_TTAFStock_Log[TTAF_Qty],T_TTAFStock_Log[Part Name],$A25,T_TTAFStock_Log[WeekIndex],34))</f>
        <v/>
      </c>
      <c r="AJ25" s="13">
        <f>IF(COUNTIFS(T_TTAFStock_Log[Part Name],$A25,T_TTAFStock_Log[WeekIndex],35)=0,"",SUMIFS(T_TTAFStock_Log[TTAF_Qty],T_TTAFStock_Log[Part Name],$A25,T_TTAFStock_Log[WeekIndex],35))</f>
        <v/>
      </c>
      <c r="AK25" s="13">
        <f>IF(COUNTIFS(T_TTAFStock_Log[Part Name],$A25,T_TTAFStock_Log[WeekIndex],36)=0,"",SUMIFS(T_TTAFStock_Log[TTAF_Qty],T_TTAFStock_Log[Part Name],$A25,T_TTAFStock_Log[WeekIndex],36))</f>
        <v/>
      </c>
      <c r="AL25" s="13">
        <f>IF(COUNTIFS(T_TTAFStock_Log[Part Name],$A25,T_TTAFStock_Log[WeekIndex],37)=0,"",SUMIFS(T_TTAFStock_Log[TTAF_Qty],T_TTAFStock_Log[Part Name],$A25,T_TTAFStock_Log[WeekIndex],37))</f>
        <v/>
      </c>
      <c r="AM25" s="13">
        <f>IF(COUNTIFS(T_TTAFStock_Log[Part Name],$A25,T_TTAFStock_Log[WeekIndex],38)=0,"",SUMIFS(T_TTAFStock_Log[TTAF_Qty],T_TTAFStock_Log[Part Name],$A25,T_TTAFStock_Log[WeekIndex],38))</f>
        <v/>
      </c>
      <c r="AN25" s="13">
        <f>IF(COUNTIFS(T_TTAFStock_Log[Part Name],$A25,T_TTAFStock_Log[WeekIndex],39)=0,"",SUMIFS(T_TTAFStock_Log[TTAF_Qty],T_TTAFStock_Log[Part Name],$A25,T_TTAFStock_Log[WeekIndex],39))</f>
        <v/>
      </c>
      <c r="AO25" s="13">
        <f>IF(COUNTIFS(T_TTAFStock_Log[Part Name],$A25,T_TTAFStock_Log[WeekIndex],40)=0,"",SUMIFS(T_TTAFStock_Log[TTAF_Qty],T_TTAFStock_Log[Part Name],$A25,T_TTAFStock_Log[WeekIndex],40))</f>
        <v/>
      </c>
      <c r="AP25" s="13">
        <f>IF(COUNTIFS(T_TTAFStock_Log[Part Name],$A25,T_TTAFStock_Log[WeekIndex],41)=0,"",SUMIFS(T_TTAFStock_Log[TTAF_Qty],T_TTAFStock_Log[Part Name],$A25,T_TTAFStock_Log[WeekIndex],41))</f>
        <v/>
      </c>
      <c r="AQ25" s="13">
        <f>IF(COUNTIFS(T_TTAFStock_Log[Part Name],$A25,T_TTAFStock_Log[WeekIndex],42)=0,"",SUMIFS(T_TTAFStock_Log[TTAF_Qty],T_TTAFStock_Log[Part Name],$A25,T_TTAFStock_Log[WeekIndex],42))</f>
        <v/>
      </c>
      <c r="AR25" s="13">
        <f>IF(COUNTIFS(T_TTAFStock_Log[Part Name],$A25,T_TTAFStock_Log[WeekIndex],43)=0,"",SUMIFS(T_TTAFStock_Log[TTAF_Qty],T_TTAFStock_Log[Part Name],$A25,T_TTAFStock_Log[WeekIndex],43))</f>
        <v/>
      </c>
      <c r="AS25" s="13">
        <f>IF(COUNTIFS(T_TTAFStock_Log[Part Name],$A25,T_TTAFStock_Log[WeekIndex],44)=0,"",SUMIFS(T_TTAFStock_Log[TTAF_Qty],T_TTAFStock_Log[Part Name],$A25,T_TTAFStock_Log[WeekIndex],44))</f>
        <v/>
      </c>
      <c r="AT25" s="13">
        <f>IF(COUNTIFS(T_TTAFStock_Log[Part Name],$A25,T_TTAFStock_Log[WeekIndex],45)=0,"",SUMIFS(T_TTAFStock_Log[TTAF_Qty],T_TTAFStock_Log[Part Name],$A25,T_TTAFStock_Log[WeekIndex],45))</f>
        <v/>
      </c>
      <c r="AU25" s="13">
        <f>IF(COUNTIFS(T_TTAFStock_Log[Part Name],$A25,T_TTAFStock_Log[WeekIndex],46)=0,"",SUMIFS(T_TTAFStock_Log[TTAF_Qty],T_TTAFStock_Log[Part Name],$A25,T_TTAFStock_Log[WeekIndex],46))</f>
        <v/>
      </c>
      <c r="AV25" s="13">
        <f>IF(COUNTIFS(T_TTAFStock_Log[Part Name],$A25,T_TTAFStock_Log[WeekIndex],47)=0,"",SUMIFS(T_TTAFStock_Log[TTAF_Qty],T_TTAFStock_Log[Part Name],$A25,T_TTAFStock_Log[WeekIndex],47))</f>
        <v/>
      </c>
      <c r="AW25" s="13">
        <f>IF(COUNTIFS(T_TTAFStock_Log[Part Name],$A25,T_TTAFStock_Log[WeekIndex],48)=0,"",SUMIFS(T_TTAFStock_Log[TTAF_Qty],T_TTAFStock_Log[Part Name],$A25,T_TTAFStock_Log[WeekIndex],48))</f>
        <v/>
      </c>
      <c r="AX25" s="13">
        <f>IF(COUNTIFS(T_TTAFStock_Log[Part Name],$A25,T_TTAFStock_Log[WeekIndex],49)=0,"",SUMIFS(T_TTAFStock_Log[TTAF_Qty],T_TTAFStock_Log[Part Name],$A25,T_TTAFStock_Log[WeekIndex],49))</f>
        <v/>
      </c>
      <c r="AY25" s="13">
        <f>IF(COUNTIFS(T_TTAFStock_Log[Part Name],$A25,T_TTAFStock_Log[WeekIndex],50)=0,"",SUMIFS(T_TTAFStock_Log[TTAF_Qty],T_TTAFStock_Log[Part Name],$A25,T_TTAFStock_Log[WeekIndex],50))</f>
        <v/>
      </c>
      <c r="AZ25" s="13">
        <f>IF(COUNTIFS(T_TTAFStock_Log[Part Name],$A25,T_TTAFStock_Log[WeekIndex],51)=0,"",SUMIFS(T_TTAFStock_Log[TTAF_Qty],T_TTAFStock_Log[Part Name],$A25,T_TTAFStock_Log[WeekIndex],51))</f>
        <v/>
      </c>
      <c r="BA25" s="13">
        <f>IF(COUNTIFS(T_TTAFStock_Log[Part Name],$A25,T_TTAFStock_Log[WeekIndex],52)=0,"",SUMIFS(T_TTAFStock_Log[TTAF_Qty],T_TTAFStock_Log[Part Name],$A25,T_TTAFStock_Log[WeekIndex],52))</f>
        <v/>
      </c>
      <c r="BB25" s="13">
        <f>IF(COUNTIFS(T_TTAFStock_Log[Part Name],$A25,T_TTAFStock_Log[WeekIndex],53)=0,"",SUMIFS(T_TTAFStock_Log[TTAF_Qty],T_TTAFStock_Log[Part Name],$A25,T_TTAFStock_Log[WeekIndex],53))</f>
        <v/>
      </c>
      <c r="BC25" s="13">
        <f>IF(COUNTIFS(T_TTAFStock_Log[Part Name],$A25,T_TTAFStock_Log[WeekIndex],54)=0,"",SUMIFS(T_TTAFStock_Log[TTAF_Qty],T_TTAFStock_Log[Part Name],$A25,T_TTAFStock_Log[WeekIndex],54))</f>
        <v/>
      </c>
      <c r="BD25" s="13">
        <f>IF(COUNTIFS(T_TTAFStock_Log[Part Name],$A25,T_TTAFStock_Log[WeekIndex],55)=0,"",SUMIFS(T_TTAFStock_Log[TTAF_Qty],T_TTAFStock_Log[Part Name],$A25,T_TTAFStock_Log[WeekIndex],55))</f>
        <v/>
      </c>
      <c r="BE25" s="13">
        <f>IF(COUNTIFS(T_TTAFStock_Log[Part Name],$A25,T_TTAFStock_Log[WeekIndex],56)=0,"",SUMIFS(T_TTAFStock_Log[TTAF_Qty],T_TTAFStock_Log[Part Name],$A25,T_TTAFStock_Log[WeekIndex],56))</f>
        <v/>
      </c>
      <c r="BF25" s="13">
        <f>IF(COUNTIFS(T_TTAFStock_Log[Part Name],$A25,T_TTAFStock_Log[WeekIndex],57)=0,"",SUMIFS(T_TTAFStock_Log[TTAF_Qty],T_TTAFStock_Log[Part Name],$A25,T_TTAFStock_Log[WeekIndex],57))</f>
        <v/>
      </c>
      <c r="BG25" s="13">
        <f>IF(COUNTIFS(T_TTAFStock_Log[Part Name],$A25,T_TTAFStock_Log[WeekIndex],58)=0,"",SUMIFS(T_TTAFStock_Log[TTAF_Qty],T_TTAFStock_Log[Part Name],$A25,T_TTAFStock_Log[WeekIndex],58))</f>
        <v/>
      </c>
      <c r="BH25" s="13">
        <f>IF(COUNTIFS(T_TTAFStock_Log[Part Name],$A25,T_TTAFStock_Log[WeekIndex],59)=0,"",SUMIFS(T_TTAFStock_Log[TTAF_Qty],T_TTAFStock_Log[Part Name],$A25,T_TTAFStock_Log[WeekIndex],59))</f>
        <v/>
      </c>
      <c r="BI25" s="13">
        <f>IF(COUNTIFS(T_TTAFStock_Log[Part Name],$A25,T_TTAFStock_Log[WeekIndex],60)=0,"",SUMIFS(T_TTAFStock_Log[TTAF_Qty],T_TTAFStock_Log[Part Name],$A25,T_TTAFStock_Log[WeekIndex],60))</f>
        <v/>
      </c>
      <c r="BJ25" s="13">
        <f>IF(COUNTIFS(T_TTAFStock_Log[Part Name],$A25,T_TTAFStock_Log[WeekIndex],61)=0,"",SUMIFS(T_TTAFStock_Log[TTAF_Qty],T_TTAFStock_Log[Part Name],$A25,T_TTAFStock_Log[WeekIndex],61))</f>
        <v/>
      </c>
      <c r="BK25" s="13">
        <f>IF(COUNTIFS(T_TTAFStock_Log[Part Name],$A25,T_TTAFStock_Log[WeekIndex],62)=0,"",SUMIFS(T_TTAFStock_Log[TTAF_Qty],T_TTAFStock_Log[Part Name],$A25,T_TTAFStock_Log[WeekIndex],62))</f>
        <v/>
      </c>
      <c r="BL25" s="13">
        <f>IF(COUNTIFS(T_TTAFStock_Log[Part Name],$A25,T_TTAFStock_Log[WeekIndex],63)=0,"",SUMIFS(T_TTAFStock_Log[TTAF_Qty],T_TTAFStock_Log[Part Name],$A25,T_TTAFStock_Log[WeekIndex],63))</f>
        <v/>
      </c>
      <c r="BM25" s="13">
        <f>IF(COUNTIFS(T_TTAFStock_Log[Part Name],$A25,T_TTAFStock_Log[WeekIndex],64)=0,"",SUMIFS(T_TTAFStock_Log[TTAF_Qty],T_TTAFStock_Log[Part Name],$A25,T_TTAFStock_Log[WeekIndex],64))</f>
        <v/>
      </c>
      <c r="BN25" s="13">
        <f>IF(COUNTIFS(T_TTAFStock_Log[Part Name],$A25,T_TTAFStock_Log[WeekIndex],65)=0,"",SUMIFS(T_TTAFStock_Log[TTAF_Qty],T_TTAFStock_Log[Part Name],$A25,T_TTAFStock_Log[WeekIndex],65))</f>
        <v/>
      </c>
      <c r="BO25" s="13">
        <f>IF(COUNTIFS(T_TTAFStock_Log[Part Name],$A25,T_TTAFStock_Log[WeekIndex],66)=0,"",SUMIFS(T_TTAFStock_Log[TTAF_Qty],T_TTAFStock_Log[Part Name],$A25,T_TTAFStock_Log[WeekIndex],66))</f>
        <v/>
      </c>
      <c r="BP25" s="13">
        <f>IF(COUNTIFS(T_TTAFStock_Log[Part Name],$A25,T_TTAFStock_Log[WeekIndex],67)=0,"",SUMIFS(T_TTAFStock_Log[TTAF_Qty],T_TTAFStock_Log[Part Name],$A25,T_TTAFStock_Log[WeekIndex],67))</f>
        <v/>
      </c>
      <c r="BQ25" s="13">
        <f>IF(COUNTIFS(T_TTAFStock_Log[Part Name],$A25,T_TTAFStock_Log[WeekIndex],68)=0,"",SUMIFS(T_TTAFStock_Log[TTAF_Qty],T_TTAFStock_Log[Part Name],$A25,T_TTAFStock_Log[WeekIndex],68))</f>
        <v/>
      </c>
      <c r="BR25" s="13">
        <f>IF(COUNTIFS(T_TTAFStock_Log[Part Name],$A25,T_TTAFStock_Log[WeekIndex],69)=0,"",SUMIFS(T_TTAFStock_Log[TTAF_Qty],T_TTAFStock_Log[Part Name],$A25,T_TTAFStock_Log[WeekIndex],69))</f>
        <v/>
      </c>
      <c r="BS25" s="13">
        <f>IF(COUNTIFS(T_TTAFStock_Log[Part Name],$A25,T_TTAFStock_Log[WeekIndex],70)=0,"",SUMIFS(T_TTAFStock_Log[TTAF_Qty],T_TTAFStock_Log[Part Name],$A25,T_TTAFStock_Log[WeekIndex],70))</f>
        <v/>
      </c>
      <c r="BT25" s="13">
        <f>IF(COUNTIFS(T_TTAFStock_Log[Part Name],$A25,T_TTAFStock_Log[WeekIndex],71)=0,"",SUMIFS(T_TTAFStock_Log[TTAF_Qty],T_TTAFStock_Log[Part Name],$A25,T_TTAFStock_Log[WeekIndex],71))</f>
        <v/>
      </c>
      <c r="BU25" s="13">
        <f>IF(COUNTIFS(T_TTAFStock_Log[Part Name],$A25,T_TTAFStock_Log[WeekIndex],72)=0,"",SUMIFS(T_TTAFStock_Log[TTAF_Qty],T_TTAFStock_Log[Part Name],$A25,T_TTAFStock_Log[WeekIndex],72))</f>
        <v/>
      </c>
      <c r="BV25" s="13">
        <f>IF(COUNTIFS(T_TTAFStock_Log[Part Name],$A25,T_TTAFStock_Log[WeekIndex],73)=0,"",SUMIFS(T_TTAFStock_Log[TTAF_Qty],T_TTAFStock_Log[Part Name],$A25,T_TTAFStock_Log[WeekIndex],73))</f>
        <v/>
      </c>
      <c r="BW25" s="13">
        <f>IF(COUNTIFS(T_TTAFStock_Log[Part Name],$A25,T_TTAFStock_Log[WeekIndex],74)=0,"",SUMIFS(T_TTAFStock_Log[TTAF_Qty],T_TTAFStock_Log[Part Name],$A25,T_TTAFStock_Log[WeekIndex],74))</f>
        <v/>
      </c>
      <c r="BX25" s="13">
        <f>IF(COUNTIFS(T_TTAFStock_Log[Part Name],$A25,T_TTAFStock_Log[WeekIndex],75)=0,"",SUMIFS(T_TTAFStock_Log[TTAF_Qty],T_TTAFStock_Log[Part Name],$A25,T_TTAFStock_Log[WeekIndex],75))</f>
        <v/>
      </c>
      <c r="BY25" s="13">
        <f>IF(COUNTIFS(T_TTAFStock_Log[Part Name],$A25,T_TTAFStock_Log[WeekIndex],76)=0,"",SUMIFS(T_TTAFStock_Log[TTAF_Qty],T_TTAFStock_Log[Part Name],$A25,T_TTAFStock_Log[WeekIndex],76))</f>
        <v/>
      </c>
      <c r="BZ25" s="13">
        <f>IF(COUNTIFS(T_TTAFStock_Log[Part Name],$A25,T_TTAFStock_Log[WeekIndex],77)=0,"",SUMIFS(T_TTAFStock_Log[TTAF_Qty],T_TTAFStock_Log[Part Name],$A25,T_TTAFStock_Log[WeekIndex],77))</f>
        <v/>
      </c>
      <c r="CA25" s="13">
        <f>IF(COUNTIFS(T_TTAFStock_Log[Part Name],$A25,T_TTAFStock_Log[WeekIndex],78)=0,"",SUMIFS(T_TTAFStock_Log[TTAF_Qty],T_TTAFStock_Log[Part Name],$A25,T_TTAFStock_Log[WeekIndex],78))</f>
        <v/>
      </c>
      <c r="CB25" s="13">
        <f>IF(COUNTIFS(T_TTAFStock_Log[Part Name],$A25,T_TTAFStock_Log[WeekIndex],79)=0,"",SUMIFS(T_TTAFStock_Log[TTAF_Qty],T_TTAFStock_Log[Part Name],$A25,T_TTAFStock_Log[WeekIndex],79))</f>
        <v/>
      </c>
      <c r="CC25" s="13">
        <f>IF(COUNTIFS(T_TTAFStock_Log[Part Name],$A25,T_TTAFStock_Log[WeekIndex],80)=0,"",SUMIFS(T_TTAFStock_Log[TTAF_Qty],T_TTAFStock_Log[Part Name],$A25,T_TTAFStock_Log[WeekIndex],80))</f>
        <v/>
      </c>
      <c r="CD25" s="13">
        <f>IF(COUNTIFS(T_TTAFStock_Log[Part Name],$A25,T_TTAFStock_Log[WeekIndex],81)=0,"",SUMIFS(T_TTAFStock_Log[TTAF_Qty],T_TTAFStock_Log[Part Name],$A25,T_TTAFStock_Log[WeekIndex],81))</f>
        <v/>
      </c>
      <c r="CE25" s="13">
        <f>IF(COUNTIFS(T_TTAFStock_Log[Part Name],$A25,T_TTAFStock_Log[WeekIndex],82)=0,"",SUMIFS(T_TTAFStock_Log[TTAF_Qty],T_TTAFStock_Log[Part Name],$A25,T_TTAFStock_Log[WeekIndex],82))</f>
        <v/>
      </c>
      <c r="CF25" s="13">
        <f>IF(COUNTIFS(T_TTAFStock_Log[Part Name],$A25,T_TTAFStock_Log[WeekIndex],83)=0,"",SUMIFS(T_TTAFStock_Log[TTAF_Qty],T_TTAFStock_Log[Part Name],$A25,T_TTAFStock_Log[WeekIndex],83))</f>
        <v/>
      </c>
      <c r="CG25" s="13">
        <f>IF(COUNTIFS(T_TTAFStock_Log[Part Name],$A25,T_TTAFStock_Log[WeekIndex],84)=0,"",SUMIFS(T_TTAFStock_Log[TTAF_Qty],T_TTAFStock_Log[Part Name],$A25,T_TTAFStock_Log[WeekIndex],84))</f>
        <v/>
      </c>
      <c r="CH25" s="13">
        <f>IF(COUNTIFS(T_TTAFStock_Log[Part Name],$A25,T_TTAFStock_Log[WeekIndex],85)=0,"",SUMIFS(T_TTAFStock_Log[TTAF_Qty],T_TTAFStock_Log[Part Name],$A25,T_TTAFStock_Log[WeekIndex],85))</f>
        <v/>
      </c>
      <c r="CI25" s="13">
        <f>IF(COUNTIFS(T_TTAFStock_Log[Part Name],$A25,T_TTAFStock_Log[WeekIndex],86)=0,"",SUMIFS(T_TTAFStock_Log[TTAF_Qty],T_TTAFStock_Log[Part Name],$A25,T_TTAFStock_Log[WeekIndex],86))</f>
        <v/>
      </c>
      <c r="CJ25" s="13">
        <f>IF(COUNTIFS(T_TTAFStock_Log[Part Name],$A25,T_TTAFStock_Log[WeekIndex],87)=0,"",SUMIFS(T_TTAFStock_Log[TTAF_Qty],T_TTAFStock_Log[Part Name],$A25,T_TTAFStock_Log[WeekIndex],87))</f>
        <v/>
      </c>
      <c r="CK25" s="13">
        <f>IF(COUNTIFS(T_TTAFStock_Log[Part Name],$A25,T_TTAFStock_Log[WeekIndex],88)=0,"",SUMIFS(T_TTAFStock_Log[TTAF_Qty],T_TTAFStock_Log[Part Name],$A25,T_TTAFStock_Log[WeekIndex],88))</f>
        <v/>
      </c>
      <c r="CL25" s="13">
        <f>IF(COUNTIFS(T_TTAFStock_Log[Part Name],$A25,T_TTAFStock_Log[WeekIndex],89)=0,"",SUMIFS(T_TTAFStock_Log[TTAF_Qty],T_TTAFStock_Log[Part Name],$A25,T_TTAFStock_Log[WeekIndex],89))</f>
        <v/>
      </c>
      <c r="CM25" s="13">
        <f>IF(COUNTIFS(T_TTAFStock_Log[Part Name],$A25,T_TTAFStock_Log[WeekIndex],90)=0,"",SUMIFS(T_TTAFStock_Log[TTAF_Qty],T_TTAFStock_Log[Part Name],$A25,T_TTAFStock_Log[WeekIndex],90))</f>
        <v/>
      </c>
      <c r="CN25" s="13">
        <f>IF(COUNTIFS(T_TTAFStock_Log[Part Name],$A25,T_TTAFStock_Log[WeekIndex],91)=0,"",SUMIFS(T_TTAFStock_Log[TTAF_Qty],T_TTAFStock_Log[Part Name],$A25,T_TTAFStock_Log[WeekIndex],91))</f>
        <v/>
      </c>
      <c r="CO25" s="13">
        <f>IF(COUNTIFS(T_TTAFStock_Log[Part Name],$A25,T_TTAFStock_Log[WeekIndex],92)=0,"",SUMIFS(T_TTAFStock_Log[TTAF_Qty],T_TTAFStock_Log[Part Name],$A25,T_TTAFStock_Log[WeekIndex],92))</f>
        <v/>
      </c>
      <c r="CP25" s="13">
        <f>IF(COUNTIFS(T_TTAFStock_Log[Part Name],$A25,T_TTAFStock_Log[WeekIndex],93)=0,"",SUMIFS(T_TTAFStock_Log[TTAF_Qty],T_TTAFStock_Log[Part Name],$A25,T_TTAFStock_Log[WeekIndex],93))</f>
        <v/>
      </c>
      <c r="CQ25" s="13">
        <f>IF(COUNTIFS(T_TTAFStock_Log[Part Name],$A25,T_TTAFStock_Log[WeekIndex],94)=0,"",SUMIFS(T_TTAFStock_Log[TTAF_Qty],T_TTAFStock_Log[Part Name],$A25,T_TTAFStock_Log[WeekIndex],94))</f>
        <v/>
      </c>
      <c r="CR25" s="13">
        <f>IF(COUNTIFS(T_TTAFStock_Log[Part Name],$A25,T_TTAFStock_Log[WeekIndex],95)=0,"",SUMIFS(T_TTAFStock_Log[TTAF_Qty],T_TTAFStock_Log[Part Name],$A25,T_TTAFStock_Log[WeekIndex],95))</f>
        <v/>
      </c>
      <c r="CS25" s="13">
        <f>IF(COUNTIFS(T_TTAFStock_Log[Part Name],$A25,T_TTAFStock_Log[WeekIndex],96)=0,"",SUMIFS(T_TTAFStock_Log[TTAF_Qty],T_TTAFStock_Log[Part Name],$A25,T_TTAFStock_Log[WeekIndex],96))</f>
        <v/>
      </c>
      <c r="CT25" s="13">
        <f>IF(COUNTIFS(T_TTAFStock_Log[Part Name],$A25,T_TTAFStock_Log[WeekIndex],97)=0,"",SUMIFS(T_TTAFStock_Log[TTAF_Qty],T_TTAFStock_Log[Part Name],$A25,T_TTAFStock_Log[WeekIndex],97))</f>
        <v/>
      </c>
      <c r="CU25" s="13">
        <f>IF(COUNTIFS(T_TTAFStock_Log[Part Name],$A25,T_TTAFStock_Log[WeekIndex],98)=0,"",SUMIFS(T_TTAFStock_Log[TTAF_Qty],T_TTAFStock_Log[Part Name],$A25,T_TTAFStock_Log[WeekIndex],98))</f>
        <v/>
      </c>
      <c r="CV25" s="13">
        <f>IF(COUNTIFS(T_TTAFStock_Log[Part Name],$A25,T_TTAFStock_Log[WeekIndex],99)=0,"",SUMIFS(T_TTAFStock_Log[TTAF_Qty],T_TTAFStock_Log[Part Name],$A25,T_TTAFStock_Log[WeekIndex],99))</f>
        <v/>
      </c>
      <c r="CW25" s="13">
        <f>IF(COUNTIFS(T_TTAFStock_Log[Part Name],$A25,T_TTAFStock_Log[WeekIndex],100)=0,"",SUMIFS(T_TTAFStock_Log[TTAF_Qty],T_TTAFStock_Log[Part Name],$A25,T_TTAFStock_Log[WeekIndex],100))</f>
        <v/>
      </c>
      <c r="CX25" s="13">
        <f>IF(COUNTIFS(T_TTAFStock_Log[Part Name],$A25,T_TTAFStock_Log[WeekIndex],101)=0,"",SUMIFS(T_TTAFStock_Log[TTAF_Qty],T_TTAFStock_Log[Part Name],$A25,T_TTAFStock_Log[WeekIndex],101))</f>
        <v/>
      </c>
      <c r="CY25" s="13">
        <f>IF(COUNTIFS(T_TTAFStock_Log[Part Name],$A25,T_TTAFStock_Log[WeekIndex],102)=0,"",SUMIFS(T_TTAFStock_Log[TTAF_Qty],T_TTAFStock_Log[Part Name],$A25,T_TTAFStock_Log[WeekIndex],102))</f>
        <v/>
      </c>
      <c r="CZ25" s="13">
        <f>IF(COUNTIFS(T_TTAFStock_Log[Part Name],$A25,T_TTAFStock_Log[WeekIndex],103)=0,"",SUMIFS(T_TTAFStock_Log[TTAF_Qty],T_TTAFStock_Log[Part Name],$A25,T_TTAFStock_Log[WeekIndex],103))</f>
        <v/>
      </c>
      <c r="DA25" s="13">
        <f>IF(COUNTIFS(T_TTAFStock_Log[Part Name],$A25,T_TTAFStock_Log[WeekIndex],104)=0,"",SUMIFS(T_TTAFStock_Log[TTAF_Qty],T_TTAFStock_Log[Part Name],$A25,T_TTAFStock_Log[WeekIndex],104))</f>
        <v/>
      </c>
    </row>
    <row r="26">
      <c r="A26" s="12" t="inlineStr">
        <is>
          <t>0JN</t>
        </is>
      </c>
      <c r="B26" s="12">
        <f>IF(COUNTIFS(T_TTAFStock_Log[Part Name],$A26,T_TTAFStock_Log[WeekIndex],1)=0,"",SUMIFS(T_TTAFStock_Log[TTAF_Qty],T_TTAFStock_Log[Part Name],$A26,T_TTAFStock_Log[WeekIndex],1))</f>
        <v/>
      </c>
      <c r="C26" s="12">
        <f>IF(COUNTIFS(T_TTAFStock_Log[Part Name],$A26,T_TTAFStock_Log[WeekIndex],2)=0,"",SUMIFS(T_TTAFStock_Log[TTAF_Qty],T_TTAFStock_Log[Part Name],$A26,T_TTAFStock_Log[WeekIndex],2))</f>
        <v/>
      </c>
      <c r="D26" s="12">
        <f>IF(COUNTIFS(T_TTAFStock_Log[Part Name],$A26,T_TTAFStock_Log[WeekIndex],3)=0,"",SUMIFS(T_TTAFStock_Log[TTAF_Qty],T_TTAFStock_Log[Part Name],$A26,T_TTAFStock_Log[WeekIndex],3))</f>
        <v/>
      </c>
      <c r="E26" s="12">
        <f>IF(COUNTIFS(T_TTAFStock_Log[Part Name],$A26,T_TTAFStock_Log[WeekIndex],4)=0,"",SUMIFS(T_TTAFStock_Log[TTAF_Qty],T_TTAFStock_Log[Part Name],$A26,T_TTAFStock_Log[WeekIndex],4))</f>
        <v/>
      </c>
      <c r="F26" s="12">
        <f>IF(COUNTIFS(T_TTAFStock_Log[Part Name],$A26,T_TTAFStock_Log[WeekIndex],5)=0,"",SUMIFS(T_TTAFStock_Log[TTAF_Qty],T_TTAFStock_Log[Part Name],$A26,T_TTAFStock_Log[WeekIndex],5))</f>
        <v/>
      </c>
      <c r="G26" s="12">
        <f>IF(COUNTIFS(T_TTAFStock_Log[Part Name],$A26,T_TTAFStock_Log[WeekIndex],6)=0,"",SUMIFS(T_TTAFStock_Log[TTAF_Qty],T_TTAFStock_Log[Part Name],$A26,T_TTAFStock_Log[WeekIndex],6))</f>
        <v/>
      </c>
      <c r="H26" s="12">
        <f>IF(COUNTIFS(T_TTAFStock_Log[Part Name],$A26,T_TTAFStock_Log[WeekIndex],7)=0,"",SUMIFS(T_TTAFStock_Log[TTAF_Qty],T_TTAFStock_Log[Part Name],$A26,T_TTAFStock_Log[WeekIndex],7))</f>
        <v/>
      </c>
      <c r="I26" s="12">
        <f>IF(COUNTIFS(T_TTAFStock_Log[Part Name],$A26,T_TTAFStock_Log[WeekIndex],8)=0,"",SUMIFS(T_TTAFStock_Log[TTAF_Qty],T_TTAFStock_Log[Part Name],$A26,T_TTAFStock_Log[WeekIndex],8))</f>
        <v/>
      </c>
      <c r="J26" s="12">
        <f>IF(COUNTIFS(T_TTAFStock_Log[Part Name],$A26,T_TTAFStock_Log[WeekIndex],9)=0,"",SUMIFS(T_TTAFStock_Log[TTAF_Qty],T_TTAFStock_Log[Part Name],$A26,T_TTAFStock_Log[WeekIndex],9))</f>
        <v/>
      </c>
      <c r="K26" s="12">
        <f>IF(COUNTIFS(T_TTAFStock_Log[Part Name],$A26,T_TTAFStock_Log[WeekIndex],10)=0,"",SUMIFS(T_TTAFStock_Log[TTAF_Qty],T_TTAFStock_Log[Part Name],$A26,T_TTAFStock_Log[WeekIndex],10))</f>
        <v/>
      </c>
      <c r="L26" s="12">
        <f>IF(COUNTIFS(T_TTAFStock_Log[Part Name],$A26,T_TTAFStock_Log[WeekIndex],11)=0,"",SUMIFS(T_TTAFStock_Log[TTAF_Qty],T_TTAFStock_Log[Part Name],$A26,T_TTAFStock_Log[WeekIndex],11))</f>
        <v/>
      </c>
      <c r="M26" s="12">
        <f>IF(COUNTIFS(T_TTAFStock_Log[Part Name],$A26,T_TTAFStock_Log[WeekIndex],12)=0,"",SUMIFS(T_TTAFStock_Log[TTAF_Qty],T_TTAFStock_Log[Part Name],$A26,T_TTAFStock_Log[WeekIndex],12))</f>
        <v/>
      </c>
      <c r="N26" s="12">
        <f>IF(COUNTIFS(T_TTAFStock_Log[Part Name],$A26,T_TTAFStock_Log[WeekIndex],13)=0,"",SUMIFS(T_TTAFStock_Log[TTAF_Qty],T_TTAFStock_Log[Part Name],$A26,T_TTAFStock_Log[WeekIndex],13))</f>
        <v/>
      </c>
      <c r="O26" s="12">
        <f>IF(COUNTIFS(T_TTAFStock_Log[Part Name],$A26,T_TTAFStock_Log[WeekIndex],14)=0,"",SUMIFS(T_TTAFStock_Log[TTAF_Qty],T_TTAFStock_Log[Part Name],$A26,T_TTAFStock_Log[WeekIndex],14))</f>
        <v/>
      </c>
      <c r="P26" s="12">
        <f>IF(COUNTIFS(T_TTAFStock_Log[Part Name],$A26,T_TTAFStock_Log[WeekIndex],15)=0,"",SUMIFS(T_TTAFStock_Log[TTAF_Qty],T_TTAFStock_Log[Part Name],$A26,T_TTAFStock_Log[WeekIndex],15))</f>
        <v/>
      </c>
      <c r="Q26" s="12">
        <f>IF(COUNTIFS(T_TTAFStock_Log[Part Name],$A26,T_TTAFStock_Log[WeekIndex],16)=0,"",SUMIFS(T_TTAFStock_Log[TTAF_Qty],T_TTAFStock_Log[Part Name],$A26,T_TTAFStock_Log[WeekIndex],16))</f>
        <v/>
      </c>
      <c r="R26" s="12">
        <f>IF(COUNTIFS(T_TTAFStock_Log[Part Name],$A26,T_TTAFStock_Log[WeekIndex],17)=0,"",SUMIFS(T_TTAFStock_Log[TTAF_Qty],T_TTAFStock_Log[Part Name],$A26,T_TTAFStock_Log[WeekIndex],17))</f>
        <v/>
      </c>
      <c r="S26" s="12">
        <f>IF(COUNTIFS(T_TTAFStock_Log[Part Name],$A26,T_TTAFStock_Log[WeekIndex],18)=0,"",SUMIFS(T_TTAFStock_Log[TTAF_Qty],T_TTAFStock_Log[Part Name],$A26,T_TTAFStock_Log[WeekIndex],18))</f>
        <v/>
      </c>
      <c r="T26" s="12">
        <f>IF(COUNTIFS(T_TTAFStock_Log[Part Name],$A26,T_TTAFStock_Log[WeekIndex],19)=0,"",SUMIFS(T_TTAFStock_Log[TTAF_Qty],T_TTAFStock_Log[Part Name],$A26,T_TTAFStock_Log[WeekIndex],19))</f>
        <v/>
      </c>
      <c r="U26" s="12">
        <f>IF(COUNTIFS(T_TTAFStock_Log[Part Name],$A26,T_TTAFStock_Log[WeekIndex],20)=0,"",SUMIFS(T_TTAFStock_Log[TTAF_Qty],T_TTAFStock_Log[Part Name],$A26,T_TTAFStock_Log[WeekIndex],20))</f>
        <v/>
      </c>
      <c r="V26" s="12">
        <f>IF(COUNTIFS(T_TTAFStock_Log[Part Name],$A26,T_TTAFStock_Log[WeekIndex],21)=0,"",SUMIFS(T_TTAFStock_Log[TTAF_Qty],T_TTAFStock_Log[Part Name],$A26,T_TTAFStock_Log[WeekIndex],21))</f>
        <v/>
      </c>
      <c r="W26" s="12">
        <f>IF(COUNTIFS(T_TTAFStock_Log[Part Name],$A26,T_TTAFStock_Log[WeekIndex],22)=0,"",SUMIFS(T_TTAFStock_Log[TTAF_Qty],T_TTAFStock_Log[Part Name],$A26,T_TTAFStock_Log[WeekIndex],22))</f>
        <v/>
      </c>
      <c r="X26" s="12">
        <f>IF(COUNTIFS(T_TTAFStock_Log[Part Name],$A26,T_TTAFStock_Log[WeekIndex],23)=0,"",SUMIFS(T_TTAFStock_Log[TTAF_Qty],T_TTAFStock_Log[Part Name],$A26,T_TTAFStock_Log[WeekIndex],23))</f>
        <v/>
      </c>
      <c r="Y26" s="12">
        <f>IF(COUNTIFS(T_TTAFStock_Log[Part Name],$A26,T_TTAFStock_Log[WeekIndex],24)=0,"",SUMIFS(T_TTAFStock_Log[TTAF_Qty],T_TTAFStock_Log[Part Name],$A26,T_TTAFStock_Log[WeekIndex],24))</f>
        <v/>
      </c>
      <c r="Z26" s="12">
        <f>IF(COUNTIFS(T_TTAFStock_Log[Part Name],$A26,T_TTAFStock_Log[WeekIndex],25)=0,"",SUMIFS(T_TTAFStock_Log[TTAF_Qty],T_TTAFStock_Log[Part Name],$A26,T_TTAFStock_Log[WeekIndex],25))</f>
        <v/>
      </c>
      <c r="AA26" s="12">
        <f>IF(COUNTIFS(T_TTAFStock_Log[Part Name],$A26,T_TTAFStock_Log[WeekIndex],26)=0,"",SUMIFS(T_TTAFStock_Log[TTAF_Qty],T_TTAFStock_Log[Part Name],$A26,T_TTAFStock_Log[WeekIndex],26))</f>
        <v/>
      </c>
      <c r="AB26" s="12">
        <f>IF(COUNTIFS(T_TTAFStock_Log[Part Name],$A26,T_TTAFStock_Log[WeekIndex],27)=0,"",SUMIFS(T_TTAFStock_Log[TTAF_Qty],T_TTAFStock_Log[Part Name],$A26,T_TTAFStock_Log[WeekIndex],27))</f>
        <v/>
      </c>
      <c r="AC26" s="12">
        <f>IF(COUNTIFS(T_TTAFStock_Log[Part Name],$A26,T_TTAFStock_Log[WeekIndex],28)=0,"",SUMIFS(T_TTAFStock_Log[TTAF_Qty],T_TTAFStock_Log[Part Name],$A26,T_TTAFStock_Log[WeekIndex],28))</f>
        <v/>
      </c>
      <c r="AD26" s="12">
        <f>IF(COUNTIFS(T_TTAFStock_Log[Part Name],$A26,T_TTAFStock_Log[WeekIndex],29)=0,"",SUMIFS(T_TTAFStock_Log[TTAF_Qty],T_TTAFStock_Log[Part Name],$A26,T_TTAFStock_Log[WeekIndex],29))</f>
        <v/>
      </c>
      <c r="AE26" s="12">
        <f>IF(COUNTIFS(T_TTAFStock_Log[Part Name],$A26,T_TTAFStock_Log[WeekIndex],30)=0,"",SUMIFS(T_TTAFStock_Log[TTAF_Qty],T_TTAFStock_Log[Part Name],$A26,T_TTAFStock_Log[WeekIndex],30))</f>
        <v/>
      </c>
      <c r="AF26" s="12">
        <f>IF(COUNTIFS(T_TTAFStock_Log[Part Name],$A26,T_TTAFStock_Log[WeekIndex],31)=0,"",SUMIFS(T_TTAFStock_Log[TTAF_Qty],T_TTAFStock_Log[Part Name],$A26,T_TTAFStock_Log[WeekIndex],31))</f>
        <v/>
      </c>
      <c r="AG26" s="12">
        <f>IF(COUNTIFS(T_TTAFStock_Log[Part Name],$A26,T_TTAFStock_Log[WeekIndex],32)=0,"",SUMIFS(T_TTAFStock_Log[TTAF_Qty],T_TTAFStock_Log[Part Name],$A26,T_TTAFStock_Log[WeekIndex],32))</f>
        <v/>
      </c>
      <c r="AH26" s="12">
        <f>IF(COUNTIFS(T_TTAFStock_Log[Part Name],$A26,T_TTAFStock_Log[WeekIndex],33)=0,"",SUMIFS(T_TTAFStock_Log[TTAF_Qty],T_TTAFStock_Log[Part Name],$A26,T_TTAFStock_Log[WeekIndex],33))</f>
        <v/>
      </c>
      <c r="AI26" s="12">
        <f>IF(COUNTIFS(T_TTAFStock_Log[Part Name],$A26,T_TTAFStock_Log[WeekIndex],34)=0,"",SUMIFS(T_TTAFStock_Log[TTAF_Qty],T_TTAFStock_Log[Part Name],$A26,T_TTAFStock_Log[WeekIndex],34))</f>
        <v/>
      </c>
      <c r="AJ26" s="12">
        <f>IF(COUNTIFS(T_TTAFStock_Log[Part Name],$A26,T_TTAFStock_Log[WeekIndex],35)=0,"",SUMIFS(T_TTAFStock_Log[TTAF_Qty],T_TTAFStock_Log[Part Name],$A26,T_TTAFStock_Log[WeekIndex],35))</f>
        <v/>
      </c>
      <c r="AK26" s="12">
        <f>IF(COUNTIFS(T_TTAFStock_Log[Part Name],$A26,T_TTAFStock_Log[WeekIndex],36)=0,"",SUMIFS(T_TTAFStock_Log[TTAF_Qty],T_TTAFStock_Log[Part Name],$A26,T_TTAFStock_Log[WeekIndex],36))</f>
        <v/>
      </c>
      <c r="AL26" s="12">
        <f>IF(COUNTIFS(T_TTAFStock_Log[Part Name],$A26,T_TTAFStock_Log[WeekIndex],37)=0,"",SUMIFS(T_TTAFStock_Log[TTAF_Qty],T_TTAFStock_Log[Part Name],$A26,T_TTAFStock_Log[WeekIndex],37))</f>
        <v/>
      </c>
      <c r="AM26" s="12">
        <f>IF(COUNTIFS(T_TTAFStock_Log[Part Name],$A26,T_TTAFStock_Log[WeekIndex],38)=0,"",SUMIFS(T_TTAFStock_Log[TTAF_Qty],T_TTAFStock_Log[Part Name],$A26,T_TTAFStock_Log[WeekIndex],38))</f>
        <v/>
      </c>
      <c r="AN26" s="12">
        <f>IF(COUNTIFS(T_TTAFStock_Log[Part Name],$A26,T_TTAFStock_Log[WeekIndex],39)=0,"",SUMIFS(T_TTAFStock_Log[TTAF_Qty],T_TTAFStock_Log[Part Name],$A26,T_TTAFStock_Log[WeekIndex],39))</f>
        <v/>
      </c>
      <c r="AO26" s="12">
        <f>IF(COUNTIFS(T_TTAFStock_Log[Part Name],$A26,T_TTAFStock_Log[WeekIndex],40)=0,"",SUMIFS(T_TTAFStock_Log[TTAF_Qty],T_TTAFStock_Log[Part Name],$A26,T_TTAFStock_Log[WeekIndex],40))</f>
        <v/>
      </c>
      <c r="AP26" s="12">
        <f>IF(COUNTIFS(T_TTAFStock_Log[Part Name],$A26,T_TTAFStock_Log[WeekIndex],41)=0,"",SUMIFS(T_TTAFStock_Log[TTAF_Qty],T_TTAFStock_Log[Part Name],$A26,T_TTAFStock_Log[WeekIndex],41))</f>
        <v/>
      </c>
      <c r="AQ26" s="12">
        <f>IF(COUNTIFS(T_TTAFStock_Log[Part Name],$A26,T_TTAFStock_Log[WeekIndex],42)=0,"",SUMIFS(T_TTAFStock_Log[TTAF_Qty],T_TTAFStock_Log[Part Name],$A26,T_TTAFStock_Log[WeekIndex],42))</f>
        <v/>
      </c>
      <c r="AR26" s="12">
        <f>IF(COUNTIFS(T_TTAFStock_Log[Part Name],$A26,T_TTAFStock_Log[WeekIndex],43)=0,"",SUMIFS(T_TTAFStock_Log[TTAF_Qty],T_TTAFStock_Log[Part Name],$A26,T_TTAFStock_Log[WeekIndex],43))</f>
        <v/>
      </c>
      <c r="AS26" s="12">
        <f>IF(COUNTIFS(T_TTAFStock_Log[Part Name],$A26,T_TTAFStock_Log[WeekIndex],44)=0,"",SUMIFS(T_TTAFStock_Log[TTAF_Qty],T_TTAFStock_Log[Part Name],$A26,T_TTAFStock_Log[WeekIndex],44))</f>
        <v/>
      </c>
      <c r="AT26" s="12">
        <f>IF(COUNTIFS(T_TTAFStock_Log[Part Name],$A26,T_TTAFStock_Log[WeekIndex],45)=0,"",SUMIFS(T_TTAFStock_Log[TTAF_Qty],T_TTAFStock_Log[Part Name],$A26,T_TTAFStock_Log[WeekIndex],45))</f>
        <v/>
      </c>
      <c r="AU26" s="12">
        <f>IF(COUNTIFS(T_TTAFStock_Log[Part Name],$A26,T_TTAFStock_Log[WeekIndex],46)=0,"",SUMIFS(T_TTAFStock_Log[TTAF_Qty],T_TTAFStock_Log[Part Name],$A26,T_TTAFStock_Log[WeekIndex],46))</f>
        <v/>
      </c>
      <c r="AV26" s="12">
        <f>IF(COUNTIFS(T_TTAFStock_Log[Part Name],$A26,T_TTAFStock_Log[WeekIndex],47)=0,"",SUMIFS(T_TTAFStock_Log[TTAF_Qty],T_TTAFStock_Log[Part Name],$A26,T_TTAFStock_Log[WeekIndex],47))</f>
        <v/>
      </c>
      <c r="AW26" s="12">
        <f>IF(COUNTIFS(T_TTAFStock_Log[Part Name],$A26,T_TTAFStock_Log[WeekIndex],48)=0,"",SUMIFS(T_TTAFStock_Log[TTAF_Qty],T_TTAFStock_Log[Part Name],$A26,T_TTAFStock_Log[WeekIndex],48))</f>
        <v/>
      </c>
      <c r="AX26" s="12">
        <f>IF(COUNTIFS(T_TTAFStock_Log[Part Name],$A26,T_TTAFStock_Log[WeekIndex],49)=0,"",SUMIFS(T_TTAFStock_Log[TTAF_Qty],T_TTAFStock_Log[Part Name],$A26,T_TTAFStock_Log[WeekIndex],49))</f>
        <v/>
      </c>
      <c r="AY26" s="12">
        <f>IF(COUNTIFS(T_TTAFStock_Log[Part Name],$A26,T_TTAFStock_Log[WeekIndex],50)=0,"",SUMIFS(T_TTAFStock_Log[TTAF_Qty],T_TTAFStock_Log[Part Name],$A26,T_TTAFStock_Log[WeekIndex],50))</f>
        <v/>
      </c>
      <c r="AZ26" s="12">
        <f>IF(COUNTIFS(T_TTAFStock_Log[Part Name],$A26,T_TTAFStock_Log[WeekIndex],51)=0,"",SUMIFS(T_TTAFStock_Log[TTAF_Qty],T_TTAFStock_Log[Part Name],$A26,T_TTAFStock_Log[WeekIndex],51))</f>
        <v/>
      </c>
      <c r="BA26" s="12">
        <f>IF(COUNTIFS(T_TTAFStock_Log[Part Name],$A26,T_TTAFStock_Log[WeekIndex],52)=0,"",SUMIFS(T_TTAFStock_Log[TTAF_Qty],T_TTAFStock_Log[Part Name],$A26,T_TTAFStock_Log[WeekIndex],52))</f>
        <v/>
      </c>
      <c r="BB26" s="12">
        <f>IF(COUNTIFS(T_TTAFStock_Log[Part Name],$A26,T_TTAFStock_Log[WeekIndex],53)=0,"",SUMIFS(T_TTAFStock_Log[TTAF_Qty],T_TTAFStock_Log[Part Name],$A26,T_TTAFStock_Log[WeekIndex],53))</f>
        <v/>
      </c>
      <c r="BC26" s="12">
        <f>IF(COUNTIFS(T_TTAFStock_Log[Part Name],$A26,T_TTAFStock_Log[WeekIndex],54)=0,"",SUMIFS(T_TTAFStock_Log[TTAF_Qty],T_TTAFStock_Log[Part Name],$A26,T_TTAFStock_Log[WeekIndex],54))</f>
        <v/>
      </c>
      <c r="BD26" s="12">
        <f>IF(COUNTIFS(T_TTAFStock_Log[Part Name],$A26,T_TTAFStock_Log[WeekIndex],55)=0,"",SUMIFS(T_TTAFStock_Log[TTAF_Qty],T_TTAFStock_Log[Part Name],$A26,T_TTAFStock_Log[WeekIndex],55))</f>
        <v/>
      </c>
      <c r="BE26" s="12">
        <f>IF(COUNTIFS(T_TTAFStock_Log[Part Name],$A26,T_TTAFStock_Log[WeekIndex],56)=0,"",SUMIFS(T_TTAFStock_Log[TTAF_Qty],T_TTAFStock_Log[Part Name],$A26,T_TTAFStock_Log[WeekIndex],56))</f>
        <v/>
      </c>
      <c r="BF26" s="12">
        <f>IF(COUNTIFS(T_TTAFStock_Log[Part Name],$A26,T_TTAFStock_Log[WeekIndex],57)=0,"",SUMIFS(T_TTAFStock_Log[TTAF_Qty],T_TTAFStock_Log[Part Name],$A26,T_TTAFStock_Log[WeekIndex],57))</f>
        <v/>
      </c>
      <c r="BG26" s="12">
        <f>IF(COUNTIFS(T_TTAFStock_Log[Part Name],$A26,T_TTAFStock_Log[WeekIndex],58)=0,"",SUMIFS(T_TTAFStock_Log[TTAF_Qty],T_TTAFStock_Log[Part Name],$A26,T_TTAFStock_Log[WeekIndex],58))</f>
        <v/>
      </c>
      <c r="BH26" s="12">
        <f>IF(COUNTIFS(T_TTAFStock_Log[Part Name],$A26,T_TTAFStock_Log[WeekIndex],59)=0,"",SUMIFS(T_TTAFStock_Log[TTAF_Qty],T_TTAFStock_Log[Part Name],$A26,T_TTAFStock_Log[WeekIndex],59))</f>
        <v/>
      </c>
      <c r="BI26" s="12">
        <f>IF(COUNTIFS(T_TTAFStock_Log[Part Name],$A26,T_TTAFStock_Log[WeekIndex],60)=0,"",SUMIFS(T_TTAFStock_Log[TTAF_Qty],T_TTAFStock_Log[Part Name],$A26,T_TTAFStock_Log[WeekIndex],60))</f>
        <v/>
      </c>
      <c r="BJ26" s="12">
        <f>IF(COUNTIFS(T_TTAFStock_Log[Part Name],$A26,T_TTAFStock_Log[WeekIndex],61)=0,"",SUMIFS(T_TTAFStock_Log[TTAF_Qty],T_TTAFStock_Log[Part Name],$A26,T_TTAFStock_Log[WeekIndex],61))</f>
        <v/>
      </c>
      <c r="BK26" s="12">
        <f>IF(COUNTIFS(T_TTAFStock_Log[Part Name],$A26,T_TTAFStock_Log[WeekIndex],62)=0,"",SUMIFS(T_TTAFStock_Log[TTAF_Qty],T_TTAFStock_Log[Part Name],$A26,T_TTAFStock_Log[WeekIndex],62))</f>
        <v/>
      </c>
      <c r="BL26" s="12">
        <f>IF(COUNTIFS(T_TTAFStock_Log[Part Name],$A26,T_TTAFStock_Log[WeekIndex],63)=0,"",SUMIFS(T_TTAFStock_Log[TTAF_Qty],T_TTAFStock_Log[Part Name],$A26,T_TTAFStock_Log[WeekIndex],63))</f>
        <v/>
      </c>
      <c r="BM26" s="12">
        <f>IF(COUNTIFS(T_TTAFStock_Log[Part Name],$A26,T_TTAFStock_Log[WeekIndex],64)=0,"",SUMIFS(T_TTAFStock_Log[TTAF_Qty],T_TTAFStock_Log[Part Name],$A26,T_TTAFStock_Log[WeekIndex],64))</f>
        <v/>
      </c>
      <c r="BN26" s="12">
        <f>IF(COUNTIFS(T_TTAFStock_Log[Part Name],$A26,T_TTAFStock_Log[WeekIndex],65)=0,"",SUMIFS(T_TTAFStock_Log[TTAF_Qty],T_TTAFStock_Log[Part Name],$A26,T_TTAFStock_Log[WeekIndex],65))</f>
        <v/>
      </c>
      <c r="BO26" s="12">
        <f>IF(COUNTIFS(T_TTAFStock_Log[Part Name],$A26,T_TTAFStock_Log[WeekIndex],66)=0,"",SUMIFS(T_TTAFStock_Log[TTAF_Qty],T_TTAFStock_Log[Part Name],$A26,T_TTAFStock_Log[WeekIndex],66))</f>
        <v/>
      </c>
      <c r="BP26" s="12">
        <f>IF(COUNTIFS(T_TTAFStock_Log[Part Name],$A26,T_TTAFStock_Log[WeekIndex],67)=0,"",SUMIFS(T_TTAFStock_Log[TTAF_Qty],T_TTAFStock_Log[Part Name],$A26,T_TTAFStock_Log[WeekIndex],67))</f>
        <v/>
      </c>
      <c r="BQ26" s="12">
        <f>IF(COUNTIFS(T_TTAFStock_Log[Part Name],$A26,T_TTAFStock_Log[WeekIndex],68)=0,"",SUMIFS(T_TTAFStock_Log[TTAF_Qty],T_TTAFStock_Log[Part Name],$A26,T_TTAFStock_Log[WeekIndex],68))</f>
        <v/>
      </c>
      <c r="BR26" s="12">
        <f>IF(COUNTIFS(T_TTAFStock_Log[Part Name],$A26,T_TTAFStock_Log[WeekIndex],69)=0,"",SUMIFS(T_TTAFStock_Log[TTAF_Qty],T_TTAFStock_Log[Part Name],$A26,T_TTAFStock_Log[WeekIndex],69))</f>
        <v/>
      </c>
      <c r="BS26" s="12">
        <f>IF(COUNTIFS(T_TTAFStock_Log[Part Name],$A26,T_TTAFStock_Log[WeekIndex],70)=0,"",SUMIFS(T_TTAFStock_Log[TTAF_Qty],T_TTAFStock_Log[Part Name],$A26,T_TTAFStock_Log[WeekIndex],70))</f>
        <v/>
      </c>
      <c r="BT26" s="12">
        <f>IF(COUNTIFS(T_TTAFStock_Log[Part Name],$A26,T_TTAFStock_Log[WeekIndex],71)=0,"",SUMIFS(T_TTAFStock_Log[TTAF_Qty],T_TTAFStock_Log[Part Name],$A26,T_TTAFStock_Log[WeekIndex],71))</f>
        <v/>
      </c>
      <c r="BU26" s="12">
        <f>IF(COUNTIFS(T_TTAFStock_Log[Part Name],$A26,T_TTAFStock_Log[WeekIndex],72)=0,"",SUMIFS(T_TTAFStock_Log[TTAF_Qty],T_TTAFStock_Log[Part Name],$A26,T_TTAFStock_Log[WeekIndex],72))</f>
        <v/>
      </c>
      <c r="BV26" s="12">
        <f>IF(COUNTIFS(T_TTAFStock_Log[Part Name],$A26,T_TTAFStock_Log[WeekIndex],73)=0,"",SUMIFS(T_TTAFStock_Log[TTAF_Qty],T_TTAFStock_Log[Part Name],$A26,T_TTAFStock_Log[WeekIndex],73))</f>
        <v/>
      </c>
      <c r="BW26" s="12">
        <f>IF(COUNTIFS(T_TTAFStock_Log[Part Name],$A26,T_TTAFStock_Log[WeekIndex],74)=0,"",SUMIFS(T_TTAFStock_Log[TTAF_Qty],T_TTAFStock_Log[Part Name],$A26,T_TTAFStock_Log[WeekIndex],74))</f>
        <v/>
      </c>
      <c r="BX26" s="12">
        <f>IF(COUNTIFS(T_TTAFStock_Log[Part Name],$A26,T_TTAFStock_Log[WeekIndex],75)=0,"",SUMIFS(T_TTAFStock_Log[TTAF_Qty],T_TTAFStock_Log[Part Name],$A26,T_TTAFStock_Log[WeekIndex],75))</f>
        <v/>
      </c>
      <c r="BY26" s="12">
        <f>IF(COUNTIFS(T_TTAFStock_Log[Part Name],$A26,T_TTAFStock_Log[WeekIndex],76)=0,"",SUMIFS(T_TTAFStock_Log[TTAF_Qty],T_TTAFStock_Log[Part Name],$A26,T_TTAFStock_Log[WeekIndex],76))</f>
        <v/>
      </c>
      <c r="BZ26" s="12">
        <f>IF(COUNTIFS(T_TTAFStock_Log[Part Name],$A26,T_TTAFStock_Log[WeekIndex],77)=0,"",SUMIFS(T_TTAFStock_Log[TTAF_Qty],T_TTAFStock_Log[Part Name],$A26,T_TTAFStock_Log[WeekIndex],77))</f>
        <v/>
      </c>
      <c r="CA26" s="12">
        <f>IF(COUNTIFS(T_TTAFStock_Log[Part Name],$A26,T_TTAFStock_Log[WeekIndex],78)=0,"",SUMIFS(T_TTAFStock_Log[TTAF_Qty],T_TTAFStock_Log[Part Name],$A26,T_TTAFStock_Log[WeekIndex],78))</f>
        <v/>
      </c>
      <c r="CB26" s="12">
        <f>IF(COUNTIFS(T_TTAFStock_Log[Part Name],$A26,T_TTAFStock_Log[WeekIndex],79)=0,"",SUMIFS(T_TTAFStock_Log[TTAF_Qty],T_TTAFStock_Log[Part Name],$A26,T_TTAFStock_Log[WeekIndex],79))</f>
        <v/>
      </c>
      <c r="CC26" s="12">
        <f>IF(COUNTIFS(T_TTAFStock_Log[Part Name],$A26,T_TTAFStock_Log[WeekIndex],80)=0,"",SUMIFS(T_TTAFStock_Log[TTAF_Qty],T_TTAFStock_Log[Part Name],$A26,T_TTAFStock_Log[WeekIndex],80))</f>
        <v/>
      </c>
      <c r="CD26" s="12">
        <f>IF(COUNTIFS(T_TTAFStock_Log[Part Name],$A26,T_TTAFStock_Log[WeekIndex],81)=0,"",SUMIFS(T_TTAFStock_Log[TTAF_Qty],T_TTAFStock_Log[Part Name],$A26,T_TTAFStock_Log[WeekIndex],81))</f>
        <v/>
      </c>
      <c r="CE26" s="12">
        <f>IF(COUNTIFS(T_TTAFStock_Log[Part Name],$A26,T_TTAFStock_Log[WeekIndex],82)=0,"",SUMIFS(T_TTAFStock_Log[TTAF_Qty],T_TTAFStock_Log[Part Name],$A26,T_TTAFStock_Log[WeekIndex],82))</f>
        <v/>
      </c>
      <c r="CF26" s="12">
        <f>IF(COUNTIFS(T_TTAFStock_Log[Part Name],$A26,T_TTAFStock_Log[WeekIndex],83)=0,"",SUMIFS(T_TTAFStock_Log[TTAF_Qty],T_TTAFStock_Log[Part Name],$A26,T_TTAFStock_Log[WeekIndex],83))</f>
        <v/>
      </c>
      <c r="CG26" s="12">
        <f>IF(COUNTIFS(T_TTAFStock_Log[Part Name],$A26,T_TTAFStock_Log[WeekIndex],84)=0,"",SUMIFS(T_TTAFStock_Log[TTAF_Qty],T_TTAFStock_Log[Part Name],$A26,T_TTAFStock_Log[WeekIndex],84))</f>
        <v/>
      </c>
      <c r="CH26" s="12">
        <f>IF(COUNTIFS(T_TTAFStock_Log[Part Name],$A26,T_TTAFStock_Log[WeekIndex],85)=0,"",SUMIFS(T_TTAFStock_Log[TTAF_Qty],T_TTAFStock_Log[Part Name],$A26,T_TTAFStock_Log[WeekIndex],85))</f>
        <v/>
      </c>
      <c r="CI26" s="12">
        <f>IF(COUNTIFS(T_TTAFStock_Log[Part Name],$A26,T_TTAFStock_Log[WeekIndex],86)=0,"",SUMIFS(T_TTAFStock_Log[TTAF_Qty],T_TTAFStock_Log[Part Name],$A26,T_TTAFStock_Log[WeekIndex],86))</f>
        <v/>
      </c>
      <c r="CJ26" s="12">
        <f>IF(COUNTIFS(T_TTAFStock_Log[Part Name],$A26,T_TTAFStock_Log[WeekIndex],87)=0,"",SUMIFS(T_TTAFStock_Log[TTAF_Qty],T_TTAFStock_Log[Part Name],$A26,T_TTAFStock_Log[WeekIndex],87))</f>
        <v/>
      </c>
      <c r="CK26" s="12">
        <f>IF(COUNTIFS(T_TTAFStock_Log[Part Name],$A26,T_TTAFStock_Log[WeekIndex],88)=0,"",SUMIFS(T_TTAFStock_Log[TTAF_Qty],T_TTAFStock_Log[Part Name],$A26,T_TTAFStock_Log[WeekIndex],88))</f>
        <v/>
      </c>
      <c r="CL26" s="12">
        <f>IF(COUNTIFS(T_TTAFStock_Log[Part Name],$A26,T_TTAFStock_Log[WeekIndex],89)=0,"",SUMIFS(T_TTAFStock_Log[TTAF_Qty],T_TTAFStock_Log[Part Name],$A26,T_TTAFStock_Log[WeekIndex],89))</f>
        <v/>
      </c>
      <c r="CM26" s="12">
        <f>IF(COUNTIFS(T_TTAFStock_Log[Part Name],$A26,T_TTAFStock_Log[WeekIndex],90)=0,"",SUMIFS(T_TTAFStock_Log[TTAF_Qty],T_TTAFStock_Log[Part Name],$A26,T_TTAFStock_Log[WeekIndex],90))</f>
        <v/>
      </c>
      <c r="CN26" s="12">
        <f>IF(COUNTIFS(T_TTAFStock_Log[Part Name],$A26,T_TTAFStock_Log[WeekIndex],91)=0,"",SUMIFS(T_TTAFStock_Log[TTAF_Qty],T_TTAFStock_Log[Part Name],$A26,T_TTAFStock_Log[WeekIndex],91))</f>
        <v/>
      </c>
      <c r="CO26" s="12">
        <f>IF(COUNTIFS(T_TTAFStock_Log[Part Name],$A26,T_TTAFStock_Log[WeekIndex],92)=0,"",SUMIFS(T_TTAFStock_Log[TTAF_Qty],T_TTAFStock_Log[Part Name],$A26,T_TTAFStock_Log[WeekIndex],92))</f>
        <v/>
      </c>
      <c r="CP26" s="12">
        <f>IF(COUNTIFS(T_TTAFStock_Log[Part Name],$A26,T_TTAFStock_Log[WeekIndex],93)=0,"",SUMIFS(T_TTAFStock_Log[TTAF_Qty],T_TTAFStock_Log[Part Name],$A26,T_TTAFStock_Log[WeekIndex],93))</f>
        <v/>
      </c>
      <c r="CQ26" s="12">
        <f>IF(COUNTIFS(T_TTAFStock_Log[Part Name],$A26,T_TTAFStock_Log[WeekIndex],94)=0,"",SUMIFS(T_TTAFStock_Log[TTAF_Qty],T_TTAFStock_Log[Part Name],$A26,T_TTAFStock_Log[WeekIndex],94))</f>
        <v/>
      </c>
      <c r="CR26" s="12">
        <f>IF(COUNTIFS(T_TTAFStock_Log[Part Name],$A26,T_TTAFStock_Log[WeekIndex],95)=0,"",SUMIFS(T_TTAFStock_Log[TTAF_Qty],T_TTAFStock_Log[Part Name],$A26,T_TTAFStock_Log[WeekIndex],95))</f>
        <v/>
      </c>
      <c r="CS26" s="12">
        <f>IF(COUNTIFS(T_TTAFStock_Log[Part Name],$A26,T_TTAFStock_Log[WeekIndex],96)=0,"",SUMIFS(T_TTAFStock_Log[TTAF_Qty],T_TTAFStock_Log[Part Name],$A26,T_TTAFStock_Log[WeekIndex],96))</f>
        <v/>
      </c>
      <c r="CT26" s="12">
        <f>IF(COUNTIFS(T_TTAFStock_Log[Part Name],$A26,T_TTAFStock_Log[WeekIndex],97)=0,"",SUMIFS(T_TTAFStock_Log[TTAF_Qty],T_TTAFStock_Log[Part Name],$A26,T_TTAFStock_Log[WeekIndex],97))</f>
        <v/>
      </c>
      <c r="CU26" s="12">
        <f>IF(COUNTIFS(T_TTAFStock_Log[Part Name],$A26,T_TTAFStock_Log[WeekIndex],98)=0,"",SUMIFS(T_TTAFStock_Log[TTAF_Qty],T_TTAFStock_Log[Part Name],$A26,T_TTAFStock_Log[WeekIndex],98))</f>
        <v/>
      </c>
      <c r="CV26" s="12">
        <f>IF(COUNTIFS(T_TTAFStock_Log[Part Name],$A26,T_TTAFStock_Log[WeekIndex],99)=0,"",SUMIFS(T_TTAFStock_Log[TTAF_Qty],T_TTAFStock_Log[Part Name],$A26,T_TTAFStock_Log[WeekIndex],99))</f>
        <v/>
      </c>
      <c r="CW26" s="12">
        <f>IF(COUNTIFS(T_TTAFStock_Log[Part Name],$A26,T_TTAFStock_Log[WeekIndex],100)=0,"",SUMIFS(T_TTAFStock_Log[TTAF_Qty],T_TTAFStock_Log[Part Name],$A26,T_TTAFStock_Log[WeekIndex],100))</f>
        <v/>
      </c>
      <c r="CX26" s="12">
        <f>IF(COUNTIFS(T_TTAFStock_Log[Part Name],$A26,T_TTAFStock_Log[WeekIndex],101)=0,"",SUMIFS(T_TTAFStock_Log[TTAF_Qty],T_TTAFStock_Log[Part Name],$A26,T_TTAFStock_Log[WeekIndex],101))</f>
        <v/>
      </c>
      <c r="CY26" s="12">
        <f>IF(COUNTIFS(T_TTAFStock_Log[Part Name],$A26,T_TTAFStock_Log[WeekIndex],102)=0,"",SUMIFS(T_TTAFStock_Log[TTAF_Qty],T_TTAFStock_Log[Part Name],$A26,T_TTAFStock_Log[WeekIndex],102))</f>
        <v/>
      </c>
      <c r="CZ26" s="12">
        <f>IF(COUNTIFS(T_TTAFStock_Log[Part Name],$A26,T_TTAFStock_Log[WeekIndex],103)=0,"",SUMIFS(T_TTAFStock_Log[TTAF_Qty],T_TTAFStock_Log[Part Name],$A26,T_TTAFStock_Log[WeekIndex],103))</f>
        <v/>
      </c>
      <c r="DA26" s="12">
        <f>IF(COUNTIFS(T_TTAFStock_Log[Part Name],$A26,T_TTAFStock_Log[WeekIndex],104)=0,"",SUMIFS(T_TTAFStock_Log[TTAF_Qty],T_TTAFStock_Log[Part Name],$A26,T_TTAFStock_Log[WeekIndex],104))</f>
        <v/>
      </c>
    </row>
    <row r="27">
      <c r="A27" s="13" t="inlineStr">
        <is>
          <t>CHEM-1760</t>
        </is>
      </c>
      <c r="B27" s="13">
        <f>IF(COUNTIFS(T_TTAFStock_Log[Part Name],$A27,T_TTAFStock_Log[WeekIndex],1)=0,"",SUMIFS(T_TTAFStock_Log[TTAF_Qty],T_TTAFStock_Log[Part Name],$A27,T_TTAFStock_Log[WeekIndex],1))</f>
        <v/>
      </c>
      <c r="C27" s="13">
        <f>IF(COUNTIFS(T_TTAFStock_Log[Part Name],$A27,T_TTAFStock_Log[WeekIndex],2)=0,"",SUMIFS(T_TTAFStock_Log[TTAF_Qty],T_TTAFStock_Log[Part Name],$A27,T_TTAFStock_Log[WeekIndex],2))</f>
        <v/>
      </c>
      <c r="D27" s="13">
        <f>IF(COUNTIFS(T_TTAFStock_Log[Part Name],$A27,T_TTAFStock_Log[WeekIndex],3)=0,"",SUMIFS(T_TTAFStock_Log[TTAF_Qty],T_TTAFStock_Log[Part Name],$A27,T_TTAFStock_Log[WeekIndex],3))</f>
        <v/>
      </c>
      <c r="E27" s="13">
        <f>IF(COUNTIFS(T_TTAFStock_Log[Part Name],$A27,T_TTAFStock_Log[WeekIndex],4)=0,"",SUMIFS(T_TTAFStock_Log[TTAF_Qty],T_TTAFStock_Log[Part Name],$A27,T_TTAFStock_Log[WeekIndex],4))</f>
        <v/>
      </c>
      <c r="F27" s="13">
        <f>IF(COUNTIFS(T_TTAFStock_Log[Part Name],$A27,T_TTAFStock_Log[WeekIndex],5)=0,"",SUMIFS(T_TTAFStock_Log[TTAF_Qty],T_TTAFStock_Log[Part Name],$A27,T_TTAFStock_Log[WeekIndex],5))</f>
        <v/>
      </c>
      <c r="G27" s="13">
        <f>IF(COUNTIFS(T_TTAFStock_Log[Part Name],$A27,T_TTAFStock_Log[WeekIndex],6)=0,"",SUMIFS(T_TTAFStock_Log[TTAF_Qty],T_TTAFStock_Log[Part Name],$A27,T_TTAFStock_Log[WeekIndex],6))</f>
        <v/>
      </c>
      <c r="H27" s="13">
        <f>IF(COUNTIFS(T_TTAFStock_Log[Part Name],$A27,T_TTAFStock_Log[WeekIndex],7)=0,"",SUMIFS(T_TTAFStock_Log[TTAF_Qty],T_TTAFStock_Log[Part Name],$A27,T_TTAFStock_Log[WeekIndex],7))</f>
        <v/>
      </c>
      <c r="I27" s="13">
        <f>IF(COUNTIFS(T_TTAFStock_Log[Part Name],$A27,T_TTAFStock_Log[WeekIndex],8)=0,"",SUMIFS(T_TTAFStock_Log[TTAF_Qty],T_TTAFStock_Log[Part Name],$A27,T_TTAFStock_Log[WeekIndex],8))</f>
        <v/>
      </c>
      <c r="J27" s="13">
        <f>IF(COUNTIFS(T_TTAFStock_Log[Part Name],$A27,T_TTAFStock_Log[WeekIndex],9)=0,"",SUMIFS(T_TTAFStock_Log[TTAF_Qty],T_TTAFStock_Log[Part Name],$A27,T_TTAFStock_Log[WeekIndex],9))</f>
        <v/>
      </c>
      <c r="K27" s="13">
        <f>IF(COUNTIFS(T_TTAFStock_Log[Part Name],$A27,T_TTAFStock_Log[WeekIndex],10)=0,"",SUMIFS(T_TTAFStock_Log[TTAF_Qty],T_TTAFStock_Log[Part Name],$A27,T_TTAFStock_Log[WeekIndex],10))</f>
        <v/>
      </c>
      <c r="L27" s="13">
        <f>IF(COUNTIFS(T_TTAFStock_Log[Part Name],$A27,T_TTAFStock_Log[WeekIndex],11)=0,"",SUMIFS(T_TTAFStock_Log[TTAF_Qty],T_TTAFStock_Log[Part Name],$A27,T_TTAFStock_Log[WeekIndex],11))</f>
        <v/>
      </c>
      <c r="M27" s="13">
        <f>IF(COUNTIFS(T_TTAFStock_Log[Part Name],$A27,T_TTAFStock_Log[WeekIndex],12)=0,"",SUMIFS(T_TTAFStock_Log[TTAF_Qty],T_TTAFStock_Log[Part Name],$A27,T_TTAFStock_Log[WeekIndex],12))</f>
        <v/>
      </c>
      <c r="N27" s="13">
        <f>IF(COUNTIFS(T_TTAFStock_Log[Part Name],$A27,T_TTAFStock_Log[WeekIndex],13)=0,"",SUMIFS(T_TTAFStock_Log[TTAF_Qty],T_TTAFStock_Log[Part Name],$A27,T_TTAFStock_Log[WeekIndex],13))</f>
        <v/>
      </c>
      <c r="O27" s="13">
        <f>IF(COUNTIFS(T_TTAFStock_Log[Part Name],$A27,T_TTAFStock_Log[WeekIndex],14)=0,"",SUMIFS(T_TTAFStock_Log[TTAF_Qty],T_TTAFStock_Log[Part Name],$A27,T_TTAFStock_Log[WeekIndex],14))</f>
        <v/>
      </c>
      <c r="P27" s="13">
        <f>IF(COUNTIFS(T_TTAFStock_Log[Part Name],$A27,T_TTAFStock_Log[WeekIndex],15)=0,"",SUMIFS(T_TTAFStock_Log[TTAF_Qty],T_TTAFStock_Log[Part Name],$A27,T_TTAFStock_Log[WeekIndex],15))</f>
        <v/>
      </c>
      <c r="Q27" s="13">
        <f>IF(COUNTIFS(T_TTAFStock_Log[Part Name],$A27,T_TTAFStock_Log[WeekIndex],16)=0,"",SUMIFS(T_TTAFStock_Log[TTAF_Qty],T_TTAFStock_Log[Part Name],$A27,T_TTAFStock_Log[WeekIndex],16))</f>
        <v/>
      </c>
      <c r="R27" s="13">
        <f>IF(COUNTIFS(T_TTAFStock_Log[Part Name],$A27,T_TTAFStock_Log[WeekIndex],17)=0,"",SUMIFS(T_TTAFStock_Log[TTAF_Qty],T_TTAFStock_Log[Part Name],$A27,T_TTAFStock_Log[WeekIndex],17))</f>
        <v/>
      </c>
      <c r="S27" s="13">
        <f>IF(COUNTIFS(T_TTAFStock_Log[Part Name],$A27,T_TTAFStock_Log[WeekIndex],18)=0,"",SUMIFS(T_TTAFStock_Log[TTAF_Qty],T_TTAFStock_Log[Part Name],$A27,T_TTAFStock_Log[WeekIndex],18))</f>
        <v/>
      </c>
      <c r="T27" s="13">
        <f>IF(COUNTIFS(T_TTAFStock_Log[Part Name],$A27,T_TTAFStock_Log[WeekIndex],19)=0,"",SUMIFS(T_TTAFStock_Log[TTAF_Qty],T_TTAFStock_Log[Part Name],$A27,T_TTAFStock_Log[WeekIndex],19))</f>
        <v/>
      </c>
      <c r="U27" s="13">
        <f>IF(COUNTIFS(T_TTAFStock_Log[Part Name],$A27,T_TTAFStock_Log[WeekIndex],20)=0,"",SUMIFS(T_TTAFStock_Log[TTAF_Qty],T_TTAFStock_Log[Part Name],$A27,T_TTAFStock_Log[WeekIndex],20))</f>
        <v/>
      </c>
      <c r="V27" s="13">
        <f>IF(COUNTIFS(T_TTAFStock_Log[Part Name],$A27,T_TTAFStock_Log[WeekIndex],21)=0,"",SUMIFS(T_TTAFStock_Log[TTAF_Qty],T_TTAFStock_Log[Part Name],$A27,T_TTAFStock_Log[WeekIndex],21))</f>
        <v/>
      </c>
      <c r="W27" s="13">
        <f>IF(COUNTIFS(T_TTAFStock_Log[Part Name],$A27,T_TTAFStock_Log[WeekIndex],22)=0,"",SUMIFS(T_TTAFStock_Log[TTAF_Qty],T_TTAFStock_Log[Part Name],$A27,T_TTAFStock_Log[WeekIndex],22))</f>
        <v/>
      </c>
      <c r="X27" s="13">
        <f>IF(COUNTIFS(T_TTAFStock_Log[Part Name],$A27,T_TTAFStock_Log[WeekIndex],23)=0,"",SUMIFS(T_TTAFStock_Log[TTAF_Qty],T_TTAFStock_Log[Part Name],$A27,T_TTAFStock_Log[WeekIndex],23))</f>
        <v/>
      </c>
      <c r="Y27" s="13">
        <f>IF(COUNTIFS(T_TTAFStock_Log[Part Name],$A27,T_TTAFStock_Log[WeekIndex],24)=0,"",SUMIFS(T_TTAFStock_Log[TTAF_Qty],T_TTAFStock_Log[Part Name],$A27,T_TTAFStock_Log[WeekIndex],24))</f>
        <v/>
      </c>
      <c r="Z27" s="13">
        <f>IF(COUNTIFS(T_TTAFStock_Log[Part Name],$A27,T_TTAFStock_Log[WeekIndex],25)=0,"",SUMIFS(T_TTAFStock_Log[TTAF_Qty],T_TTAFStock_Log[Part Name],$A27,T_TTAFStock_Log[WeekIndex],25))</f>
        <v/>
      </c>
      <c r="AA27" s="13">
        <f>IF(COUNTIFS(T_TTAFStock_Log[Part Name],$A27,T_TTAFStock_Log[WeekIndex],26)=0,"",SUMIFS(T_TTAFStock_Log[TTAF_Qty],T_TTAFStock_Log[Part Name],$A27,T_TTAFStock_Log[WeekIndex],26))</f>
        <v/>
      </c>
      <c r="AB27" s="13">
        <f>IF(COUNTIFS(T_TTAFStock_Log[Part Name],$A27,T_TTAFStock_Log[WeekIndex],27)=0,"",SUMIFS(T_TTAFStock_Log[TTAF_Qty],T_TTAFStock_Log[Part Name],$A27,T_TTAFStock_Log[WeekIndex],27))</f>
        <v/>
      </c>
      <c r="AC27" s="13">
        <f>IF(COUNTIFS(T_TTAFStock_Log[Part Name],$A27,T_TTAFStock_Log[WeekIndex],28)=0,"",SUMIFS(T_TTAFStock_Log[TTAF_Qty],T_TTAFStock_Log[Part Name],$A27,T_TTAFStock_Log[WeekIndex],28))</f>
        <v/>
      </c>
      <c r="AD27" s="13">
        <f>IF(COUNTIFS(T_TTAFStock_Log[Part Name],$A27,T_TTAFStock_Log[WeekIndex],29)=0,"",SUMIFS(T_TTAFStock_Log[TTAF_Qty],T_TTAFStock_Log[Part Name],$A27,T_TTAFStock_Log[WeekIndex],29))</f>
        <v/>
      </c>
      <c r="AE27" s="13">
        <f>IF(COUNTIFS(T_TTAFStock_Log[Part Name],$A27,T_TTAFStock_Log[WeekIndex],30)=0,"",SUMIFS(T_TTAFStock_Log[TTAF_Qty],T_TTAFStock_Log[Part Name],$A27,T_TTAFStock_Log[WeekIndex],30))</f>
        <v/>
      </c>
      <c r="AF27" s="13">
        <f>IF(COUNTIFS(T_TTAFStock_Log[Part Name],$A27,T_TTAFStock_Log[WeekIndex],31)=0,"",SUMIFS(T_TTAFStock_Log[TTAF_Qty],T_TTAFStock_Log[Part Name],$A27,T_TTAFStock_Log[WeekIndex],31))</f>
        <v/>
      </c>
      <c r="AG27" s="13">
        <f>IF(COUNTIFS(T_TTAFStock_Log[Part Name],$A27,T_TTAFStock_Log[WeekIndex],32)=0,"",SUMIFS(T_TTAFStock_Log[TTAF_Qty],T_TTAFStock_Log[Part Name],$A27,T_TTAFStock_Log[WeekIndex],32))</f>
        <v/>
      </c>
      <c r="AH27" s="13">
        <f>IF(COUNTIFS(T_TTAFStock_Log[Part Name],$A27,T_TTAFStock_Log[WeekIndex],33)=0,"",SUMIFS(T_TTAFStock_Log[TTAF_Qty],T_TTAFStock_Log[Part Name],$A27,T_TTAFStock_Log[WeekIndex],33))</f>
        <v/>
      </c>
      <c r="AI27" s="13">
        <f>IF(COUNTIFS(T_TTAFStock_Log[Part Name],$A27,T_TTAFStock_Log[WeekIndex],34)=0,"",SUMIFS(T_TTAFStock_Log[TTAF_Qty],T_TTAFStock_Log[Part Name],$A27,T_TTAFStock_Log[WeekIndex],34))</f>
        <v/>
      </c>
      <c r="AJ27" s="13">
        <f>IF(COUNTIFS(T_TTAFStock_Log[Part Name],$A27,T_TTAFStock_Log[WeekIndex],35)=0,"",SUMIFS(T_TTAFStock_Log[TTAF_Qty],T_TTAFStock_Log[Part Name],$A27,T_TTAFStock_Log[WeekIndex],35))</f>
        <v/>
      </c>
      <c r="AK27" s="13">
        <f>IF(COUNTIFS(T_TTAFStock_Log[Part Name],$A27,T_TTAFStock_Log[WeekIndex],36)=0,"",SUMIFS(T_TTAFStock_Log[TTAF_Qty],T_TTAFStock_Log[Part Name],$A27,T_TTAFStock_Log[WeekIndex],36))</f>
        <v/>
      </c>
      <c r="AL27" s="13">
        <f>IF(COUNTIFS(T_TTAFStock_Log[Part Name],$A27,T_TTAFStock_Log[WeekIndex],37)=0,"",SUMIFS(T_TTAFStock_Log[TTAF_Qty],T_TTAFStock_Log[Part Name],$A27,T_TTAFStock_Log[WeekIndex],37))</f>
        <v/>
      </c>
      <c r="AM27" s="13">
        <f>IF(COUNTIFS(T_TTAFStock_Log[Part Name],$A27,T_TTAFStock_Log[WeekIndex],38)=0,"",SUMIFS(T_TTAFStock_Log[TTAF_Qty],T_TTAFStock_Log[Part Name],$A27,T_TTAFStock_Log[WeekIndex],38))</f>
        <v/>
      </c>
      <c r="AN27" s="13">
        <f>IF(COUNTIFS(T_TTAFStock_Log[Part Name],$A27,T_TTAFStock_Log[WeekIndex],39)=0,"",SUMIFS(T_TTAFStock_Log[TTAF_Qty],T_TTAFStock_Log[Part Name],$A27,T_TTAFStock_Log[WeekIndex],39))</f>
        <v/>
      </c>
      <c r="AO27" s="13">
        <f>IF(COUNTIFS(T_TTAFStock_Log[Part Name],$A27,T_TTAFStock_Log[WeekIndex],40)=0,"",SUMIFS(T_TTAFStock_Log[TTAF_Qty],T_TTAFStock_Log[Part Name],$A27,T_TTAFStock_Log[WeekIndex],40))</f>
        <v/>
      </c>
      <c r="AP27" s="13">
        <f>IF(COUNTIFS(T_TTAFStock_Log[Part Name],$A27,T_TTAFStock_Log[WeekIndex],41)=0,"",SUMIFS(T_TTAFStock_Log[TTAF_Qty],T_TTAFStock_Log[Part Name],$A27,T_TTAFStock_Log[WeekIndex],41))</f>
        <v/>
      </c>
      <c r="AQ27" s="13">
        <f>IF(COUNTIFS(T_TTAFStock_Log[Part Name],$A27,T_TTAFStock_Log[WeekIndex],42)=0,"",SUMIFS(T_TTAFStock_Log[TTAF_Qty],T_TTAFStock_Log[Part Name],$A27,T_TTAFStock_Log[WeekIndex],42))</f>
        <v/>
      </c>
      <c r="AR27" s="13">
        <f>IF(COUNTIFS(T_TTAFStock_Log[Part Name],$A27,T_TTAFStock_Log[WeekIndex],43)=0,"",SUMIFS(T_TTAFStock_Log[TTAF_Qty],T_TTAFStock_Log[Part Name],$A27,T_TTAFStock_Log[WeekIndex],43))</f>
        <v/>
      </c>
      <c r="AS27" s="13">
        <f>IF(COUNTIFS(T_TTAFStock_Log[Part Name],$A27,T_TTAFStock_Log[WeekIndex],44)=0,"",SUMIFS(T_TTAFStock_Log[TTAF_Qty],T_TTAFStock_Log[Part Name],$A27,T_TTAFStock_Log[WeekIndex],44))</f>
        <v/>
      </c>
      <c r="AT27" s="13">
        <f>IF(COUNTIFS(T_TTAFStock_Log[Part Name],$A27,T_TTAFStock_Log[WeekIndex],45)=0,"",SUMIFS(T_TTAFStock_Log[TTAF_Qty],T_TTAFStock_Log[Part Name],$A27,T_TTAFStock_Log[WeekIndex],45))</f>
        <v/>
      </c>
      <c r="AU27" s="13">
        <f>IF(COUNTIFS(T_TTAFStock_Log[Part Name],$A27,T_TTAFStock_Log[WeekIndex],46)=0,"",SUMIFS(T_TTAFStock_Log[TTAF_Qty],T_TTAFStock_Log[Part Name],$A27,T_TTAFStock_Log[WeekIndex],46))</f>
        <v/>
      </c>
      <c r="AV27" s="13">
        <f>IF(COUNTIFS(T_TTAFStock_Log[Part Name],$A27,T_TTAFStock_Log[WeekIndex],47)=0,"",SUMIFS(T_TTAFStock_Log[TTAF_Qty],T_TTAFStock_Log[Part Name],$A27,T_TTAFStock_Log[WeekIndex],47))</f>
        <v/>
      </c>
      <c r="AW27" s="13">
        <f>IF(COUNTIFS(T_TTAFStock_Log[Part Name],$A27,T_TTAFStock_Log[WeekIndex],48)=0,"",SUMIFS(T_TTAFStock_Log[TTAF_Qty],T_TTAFStock_Log[Part Name],$A27,T_TTAFStock_Log[WeekIndex],48))</f>
        <v/>
      </c>
      <c r="AX27" s="13">
        <f>IF(COUNTIFS(T_TTAFStock_Log[Part Name],$A27,T_TTAFStock_Log[WeekIndex],49)=0,"",SUMIFS(T_TTAFStock_Log[TTAF_Qty],T_TTAFStock_Log[Part Name],$A27,T_TTAFStock_Log[WeekIndex],49))</f>
        <v/>
      </c>
      <c r="AY27" s="13">
        <f>IF(COUNTIFS(T_TTAFStock_Log[Part Name],$A27,T_TTAFStock_Log[WeekIndex],50)=0,"",SUMIFS(T_TTAFStock_Log[TTAF_Qty],T_TTAFStock_Log[Part Name],$A27,T_TTAFStock_Log[WeekIndex],50))</f>
        <v/>
      </c>
      <c r="AZ27" s="13">
        <f>IF(COUNTIFS(T_TTAFStock_Log[Part Name],$A27,T_TTAFStock_Log[WeekIndex],51)=0,"",SUMIFS(T_TTAFStock_Log[TTAF_Qty],T_TTAFStock_Log[Part Name],$A27,T_TTAFStock_Log[WeekIndex],51))</f>
        <v/>
      </c>
      <c r="BA27" s="13">
        <f>IF(COUNTIFS(T_TTAFStock_Log[Part Name],$A27,T_TTAFStock_Log[WeekIndex],52)=0,"",SUMIFS(T_TTAFStock_Log[TTAF_Qty],T_TTAFStock_Log[Part Name],$A27,T_TTAFStock_Log[WeekIndex],52))</f>
        <v/>
      </c>
      <c r="BB27" s="13">
        <f>IF(COUNTIFS(T_TTAFStock_Log[Part Name],$A27,T_TTAFStock_Log[WeekIndex],53)=0,"",SUMIFS(T_TTAFStock_Log[TTAF_Qty],T_TTAFStock_Log[Part Name],$A27,T_TTAFStock_Log[WeekIndex],53))</f>
        <v/>
      </c>
      <c r="BC27" s="13">
        <f>IF(COUNTIFS(T_TTAFStock_Log[Part Name],$A27,T_TTAFStock_Log[WeekIndex],54)=0,"",SUMIFS(T_TTAFStock_Log[TTAF_Qty],T_TTAFStock_Log[Part Name],$A27,T_TTAFStock_Log[WeekIndex],54))</f>
        <v/>
      </c>
      <c r="BD27" s="13">
        <f>IF(COUNTIFS(T_TTAFStock_Log[Part Name],$A27,T_TTAFStock_Log[WeekIndex],55)=0,"",SUMIFS(T_TTAFStock_Log[TTAF_Qty],T_TTAFStock_Log[Part Name],$A27,T_TTAFStock_Log[WeekIndex],55))</f>
        <v/>
      </c>
      <c r="BE27" s="13">
        <f>IF(COUNTIFS(T_TTAFStock_Log[Part Name],$A27,T_TTAFStock_Log[WeekIndex],56)=0,"",SUMIFS(T_TTAFStock_Log[TTAF_Qty],T_TTAFStock_Log[Part Name],$A27,T_TTAFStock_Log[WeekIndex],56))</f>
        <v/>
      </c>
      <c r="BF27" s="13">
        <f>IF(COUNTIFS(T_TTAFStock_Log[Part Name],$A27,T_TTAFStock_Log[WeekIndex],57)=0,"",SUMIFS(T_TTAFStock_Log[TTAF_Qty],T_TTAFStock_Log[Part Name],$A27,T_TTAFStock_Log[WeekIndex],57))</f>
        <v/>
      </c>
      <c r="BG27" s="13">
        <f>IF(COUNTIFS(T_TTAFStock_Log[Part Name],$A27,T_TTAFStock_Log[WeekIndex],58)=0,"",SUMIFS(T_TTAFStock_Log[TTAF_Qty],T_TTAFStock_Log[Part Name],$A27,T_TTAFStock_Log[WeekIndex],58))</f>
        <v/>
      </c>
      <c r="BH27" s="13">
        <f>IF(COUNTIFS(T_TTAFStock_Log[Part Name],$A27,T_TTAFStock_Log[WeekIndex],59)=0,"",SUMIFS(T_TTAFStock_Log[TTAF_Qty],T_TTAFStock_Log[Part Name],$A27,T_TTAFStock_Log[WeekIndex],59))</f>
        <v/>
      </c>
      <c r="BI27" s="13">
        <f>IF(COUNTIFS(T_TTAFStock_Log[Part Name],$A27,T_TTAFStock_Log[WeekIndex],60)=0,"",SUMIFS(T_TTAFStock_Log[TTAF_Qty],T_TTAFStock_Log[Part Name],$A27,T_TTAFStock_Log[WeekIndex],60))</f>
        <v/>
      </c>
      <c r="BJ27" s="13">
        <f>IF(COUNTIFS(T_TTAFStock_Log[Part Name],$A27,T_TTAFStock_Log[WeekIndex],61)=0,"",SUMIFS(T_TTAFStock_Log[TTAF_Qty],T_TTAFStock_Log[Part Name],$A27,T_TTAFStock_Log[WeekIndex],61))</f>
        <v/>
      </c>
      <c r="BK27" s="13">
        <f>IF(COUNTIFS(T_TTAFStock_Log[Part Name],$A27,T_TTAFStock_Log[WeekIndex],62)=0,"",SUMIFS(T_TTAFStock_Log[TTAF_Qty],T_TTAFStock_Log[Part Name],$A27,T_TTAFStock_Log[WeekIndex],62))</f>
        <v/>
      </c>
      <c r="BL27" s="13">
        <f>IF(COUNTIFS(T_TTAFStock_Log[Part Name],$A27,T_TTAFStock_Log[WeekIndex],63)=0,"",SUMIFS(T_TTAFStock_Log[TTAF_Qty],T_TTAFStock_Log[Part Name],$A27,T_TTAFStock_Log[WeekIndex],63))</f>
        <v/>
      </c>
      <c r="BM27" s="13">
        <f>IF(COUNTIFS(T_TTAFStock_Log[Part Name],$A27,T_TTAFStock_Log[WeekIndex],64)=0,"",SUMIFS(T_TTAFStock_Log[TTAF_Qty],T_TTAFStock_Log[Part Name],$A27,T_TTAFStock_Log[WeekIndex],64))</f>
        <v/>
      </c>
      <c r="BN27" s="13">
        <f>IF(COUNTIFS(T_TTAFStock_Log[Part Name],$A27,T_TTAFStock_Log[WeekIndex],65)=0,"",SUMIFS(T_TTAFStock_Log[TTAF_Qty],T_TTAFStock_Log[Part Name],$A27,T_TTAFStock_Log[WeekIndex],65))</f>
        <v/>
      </c>
      <c r="BO27" s="13">
        <f>IF(COUNTIFS(T_TTAFStock_Log[Part Name],$A27,T_TTAFStock_Log[WeekIndex],66)=0,"",SUMIFS(T_TTAFStock_Log[TTAF_Qty],T_TTAFStock_Log[Part Name],$A27,T_TTAFStock_Log[WeekIndex],66))</f>
        <v/>
      </c>
      <c r="BP27" s="13">
        <f>IF(COUNTIFS(T_TTAFStock_Log[Part Name],$A27,T_TTAFStock_Log[WeekIndex],67)=0,"",SUMIFS(T_TTAFStock_Log[TTAF_Qty],T_TTAFStock_Log[Part Name],$A27,T_TTAFStock_Log[WeekIndex],67))</f>
        <v/>
      </c>
      <c r="BQ27" s="13">
        <f>IF(COUNTIFS(T_TTAFStock_Log[Part Name],$A27,T_TTAFStock_Log[WeekIndex],68)=0,"",SUMIFS(T_TTAFStock_Log[TTAF_Qty],T_TTAFStock_Log[Part Name],$A27,T_TTAFStock_Log[WeekIndex],68))</f>
        <v/>
      </c>
      <c r="BR27" s="13">
        <f>IF(COUNTIFS(T_TTAFStock_Log[Part Name],$A27,T_TTAFStock_Log[WeekIndex],69)=0,"",SUMIFS(T_TTAFStock_Log[TTAF_Qty],T_TTAFStock_Log[Part Name],$A27,T_TTAFStock_Log[WeekIndex],69))</f>
        <v/>
      </c>
      <c r="BS27" s="13">
        <f>IF(COUNTIFS(T_TTAFStock_Log[Part Name],$A27,T_TTAFStock_Log[WeekIndex],70)=0,"",SUMIFS(T_TTAFStock_Log[TTAF_Qty],T_TTAFStock_Log[Part Name],$A27,T_TTAFStock_Log[WeekIndex],70))</f>
        <v/>
      </c>
      <c r="BT27" s="13">
        <f>IF(COUNTIFS(T_TTAFStock_Log[Part Name],$A27,T_TTAFStock_Log[WeekIndex],71)=0,"",SUMIFS(T_TTAFStock_Log[TTAF_Qty],T_TTAFStock_Log[Part Name],$A27,T_TTAFStock_Log[WeekIndex],71))</f>
        <v/>
      </c>
      <c r="BU27" s="13">
        <f>IF(COUNTIFS(T_TTAFStock_Log[Part Name],$A27,T_TTAFStock_Log[WeekIndex],72)=0,"",SUMIFS(T_TTAFStock_Log[TTAF_Qty],T_TTAFStock_Log[Part Name],$A27,T_TTAFStock_Log[WeekIndex],72))</f>
        <v/>
      </c>
      <c r="BV27" s="13">
        <f>IF(COUNTIFS(T_TTAFStock_Log[Part Name],$A27,T_TTAFStock_Log[WeekIndex],73)=0,"",SUMIFS(T_TTAFStock_Log[TTAF_Qty],T_TTAFStock_Log[Part Name],$A27,T_TTAFStock_Log[WeekIndex],73))</f>
        <v/>
      </c>
      <c r="BW27" s="13">
        <f>IF(COUNTIFS(T_TTAFStock_Log[Part Name],$A27,T_TTAFStock_Log[WeekIndex],74)=0,"",SUMIFS(T_TTAFStock_Log[TTAF_Qty],T_TTAFStock_Log[Part Name],$A27,T_TTAFStock_Log[WeekIndex],74))</f>
        <v/>
      </c>
      <c r="BX27" s="13">
        <f>IF(COUNTIFS(T_TTAFStock_Log[Part Name],$A27,T_TTAFStock_Log[WeekIndex],75)=0,"",SUMIFS(T_TTAFStock_Log[TTAF_Qty],T_TTAFStock_Log[Part Name],$A27,T_TTAFStock_Log[WeekIndex],75))</f>
        <v/>
      </c>
      <c r="BY27" s="13">
        <f>IF(COUNTIFS(T_TTAFStock_Log[Part Name],$A27,T_TTAFStock_Log[WeekIndex],76)=0,"",SUMIFS(T_TTAFStock_Log[TTAF_Qty],T_TTAFStock_Log[Part Name],$A27,T_TTAFStock_Log[WeekIndex],76))</f>
        <v/>
      </c>
      <c r="BZ27" s="13">
        <f>IF(COUNTIFS(T_TTAFStock_Log[Part Name],$A27,T_TTAFStock_Log[WeekIndex],77)=0,"",SUMIFS(T_TTAFStock_Log[TTAF_Qty],T_TTAFStock_Log[Part Name],$A27,T_TTAFStock_Log[WeekIndex],77))</f>
        <v/>
      </c>
      <c r="CA27" s="13">
        <f>IF(COUNTIFS(T_TTAFStock_Log[Part Name],$A27,T_TTAFStock_Log[WeekIndex],78)=0,"",SUMIFS(T_TTAFStock_Log[TTAF_Qty],T_TTAFStock_Log[Part Name],$A27,T_TTAFStock_Log[WeekIndex],78))</f>
        <v/>
      </c>
      <c r="CB27" s="13">
        <f>IF(COUNTIFS(T_TTAFStock_Log[Part Name],$A27,T_TTAFStock_Log[WeekIndex],79)=0,"",SUMIFS(T_TTAFStock_Log[TTAF_Qty],T_TTAFStock_Log[Part Name],$A27,T_TTAFStock_Log[WeekIndex],79))</f>
        <v/>
      </c>
      <c r="CC27" s="13">
        <f>IF(COUNTIFS(T_TTAFStock_Log[Part Name],$A27,T_TTAFStock_Log[WeekIndex],80)=0,"",SUMIFS(T_TTAFStock_Log[TTAF_Qty],T_TTAFStock_Log[Part Name],$A27,T_TTAFStock_Log[WeekIndex],80))</f>
        <v/>
      </c>
      <c r="CD27" s="13">
        <f>IF(COUNTIFS(T_TTAFStock_Log[Part Name],$A27,T_TTAFStock_Log[WeekIndex],81)=0,"",SUMIFS(T_TTAFStock_Log[TTAF_Qty],T_TTAFStock_Log[Part Name],$A27,T_TTAFStock_Log[WeekIndex],81))</f>
        <v/>
      </c>
      <c r="CE27" s="13">
        <f>IF(COUNTIFS(T_TTAFStock_Log[Part Name],$A27,T_TTAFStock_Log[WeekIndex],82)=0,"",SUMIFS(T_TTAFStock_Log[TTAF_Qty],T_TTAFStock_Log[Part Name],$A27,T_TTAFStock_Log[WeekIndex],82))</f>
        <v/>
      </c>
      <c r="CF27" s="13">
        <f>IF(COUNTIFS(T_TTAFStock_Log[Part Name],$A27,T_TTAFStock_Log[WeekIndex],83)=0,"",SUMIFS(T_TTAFStock_Log[TTAF_Qty],T_TTAFStock_Log[Part Name],$A27,T_TTAFStock_Log[WeekIndex],83))</f>
        <v/>
      </c>
      <c r="CG27" s="13">
        <f>IF(COUNTIFS(T_TTAFStock_Log[Part Name],$A27,T_TTAFStock_Log[WeekIndex],84)=0,"",SUMIFS(T_TTAFStock_Log[TTAF_Qty],T_TTAFStock_Log[Part Name],$A27,T_TTAFStock_Log[WeekIndex],84))</f>
        <v/>
      </c>
      <c r="CH27" s="13">
        <f>IF(COUNTIFS(T_TTAFStock_Log[Part Name],$A27,T_TTAFStock_Log[WeekIndex],85)=0,"",SUMIFS(T_TTAFStock_Log[TTAF_Qty],T_TTAFStock_Log[Part Name],$A27,T_TTAFStock_Log[WeekIndex],85))</f>
        <v/>
      </c>
      <c r="CI27" s="13">
        <f>IF(COUNTIFS(T_TTAFStock_Log[Part Name],$A27,T_TTAFStock_Log[WeekIndex],86)=0,"",SUMIFS(T_TTAFStock_Log[TTAF_Qty],T_TTAFStock_Log[Part Name],$A27,T_TTAFStock_Log[WeekIndex],86))</f>
        <v/>
      </c>
      <c r="CJ27" s="13">
        <f>IF(COUNTIFS(T_TTAFStock_Log[Part Name],$A27,T_TTAFStock_Log[WeekIndex],87)=0,"",SUMIFS(T_TTAFStock_Log[TTAF_Qty],T_TTAFStock_Log[Part Name],$A27,T_TTAFStock_Log[WeekIndex],87))</f>
        <v/>
      </c>
      <c r="CK27" s="13">
        <f>IF(COUNTIFS(T_TTAFStock_Log[Part Name],$A27,T_TTAFStock_Log[WeekIndex],88)=0,"",SUMIFS(T_TTAFStock_Log[TTAF_Qty],T_TTAFStock_Log[Part Name],$A27,T_TTAFStock_Log[WeekIndex],88))</f>
        <v/>
      </c>
      <c r="CL27" s="13">
        <f>IF(COUNTIFS(T_TTAFStock_Log[Part Name],$A27,T_TTAFStock_Log[WeekIndex],89)=0,"",SUMIFS(T_TTAFStock_Log[TTAF_Qty],T_TTAFStock_Log[Part Name],$A27,T_TTAFStock_Log[WeekIndex],89))</f>
        <v/>
      </c>
      <c r="CM27" s="13">
        <f>IF(COUNTIFS(T_TTAFStock_Log[Part Name],$A27,T_TTAFStock_Log[WeekIndex],90)=0,"",SUMIFS(T_TTAFStock_Log[TTAF_Qty],T_TTAFStock_Log[Part Name],$A27,T_TTAFStock_Log[WeekIndex],90))</f>
        <v/>
      </c>
      <c r="CN27" s="13">
        <f>IF(COUNTIFS(T_TTAFStock_Log[Part Name],$A27,T_TTAFStock_Log[WeekIndex],91)=0,"",SUMIFS(T_TTAFStock_Log[TTAF_Qty],T_TTAFStock_Log[Part Name],$A27,T_TTAFStock_Log[WeekIndex],91))</f>
        <v/>
      </c>
      <c r="CO27" s="13">
        <f>IF(COUNTIFS(T_TTAFStock_Log[Part Name],$A27,T_TTAFStock_Log[WeekIndex],92)=0,"",SUMIFS(T_TTAFStock_Log[TTAF_Qty],T_TTAFStock_Log[Part Name],$A27,T_TTAFStock_Log[WeekIndex],92))</f>
        <v/>
      </c>
      <c r="CP27" s="13">
        <f>IF(COUNTIFS(T_TTAFStock_Log[Part Name],$A27,T_TTAFStock_Log[WeekIndex],93)=0,"",SUMIFS(T_TTAFStock_Log[TTAF_Qty],T_TTAFStock_Log[Part Name],$A27,T_TTAFStock_Log[WeekIndex],93))</f>
        <v/>
      </c>
      <c r="CQ27" s="13">
        <f>IF(COUNTIFS(T_TTAFStock_Log[Part Name],$A27,T_TTAFStock_Log[WeekIndex],94)=0,"",SUMIFS(T_TTAFStock_Log[TTAF_Qty],T_TTAFStock_Log[Part Name],$A27,T_TTAFStock_Log[WeekIndex],94))</f>
        <v/>
      </c>
      <c r="CR27" s="13">
        <f>IF(COUNTIFS(T_TTAFStock_Log[Part Name],$A27,T_TTAFStock_Log[WeekIndex],95)=0,"",SUMIFS(T_TTAFStock_Log[TTAF_Qty],T_TTAFStock_Log[Part Name],$A27,T_TTAFStock_Log[WeekIndex],95))</f>
        <v/>
      </c>
      <c r="CS27" s="13">
        <f>IF(COUNTIFS(T_TTAFStock_Log[Part Name],$A27,T_TTAFStock_Log[WeekIndex],96)=0,"",SUMIFS(T_TTAFStock_Log[TTAF_Qty],T_TTAFStock_Log[Part Name],$A27,T_TTAFStock_Log[WeekIndex],96))</f>
        <v/>
      </c>
      <c r="CT27" s="13">
        <f>IF(COUNTIFS(T_TTAFStock_Log[Part Name],$A27,T_TTAFStock_Log[WeekIndex],97)=0,"",SUMIFS(T_TTAFStock_Log[TTAF_Qty],T_TTAFStock_Log[Part Name],$A27,T_TTAFStock_Log[WeekIndex],97))</f>
        <v/>
      </c>
      <c r="CU27" s="13">
        <f>IF(COUNTIFS(T_TTAFStock_Log[Part Name],$A27,T_TTAFStock_Log[WeekIndex],98)=0,"",SUMIFS(T_TTAFStock_Log[TTAF_Qty],T_TTAFStock_Log[Part Name],$A27,T_TTAFStock_Log[WeekIndex],98))</f>
        <v/>
      </c>
      <c r="CV27" s="13">
        <f>IF(COUNTIFS(T_TTAFStock_Log[Part Name],$A27,T_TTAFStock_Log[WeekIndex],99)=0,"",SUMIFS(T_TTAFStock_Log[TTAF_Qty],T_TTAFStock_Log[Part Name],$A27,T_TTAFStock_Log[WeekIndex],99))</f>
        <v/>
      </c>
      <c r="CW27" s="13">
        <f>IF(COUNTIFS(T_TTAFStock_Log[Part Name],$A27,T_TTAFStock_Log[WeekIndex],100)=0,"",SUMIFS(T_TTAFStock_Log[TTAF_Qty],T_TTAFStock_Log[Part Name],$A27,T_TTAFStock_Log[WeekIndex],100))</f>
        <v/>
      </c>
      <c r="CX27" s="13">
        <f>IF(COUNTIFS(T_TTAFStock_Log[Part Name],$A27,T_TTAFStock_Log[WeekIndex],101)=0,"",SUMIFS(T_TTAFStock_Log[TTAF_Qty],T_TTAFStock_Log[Part Name],$A27,T_TTAFStock_Log[WeekIndex],101))</f>
        <v/>
      </c>
      <c r="CY27" s="13">
        <f>IF(COUNTIFS(T_TTAFStock_Log[Part Name],$A27,T_TTAFStock_Log[WeekIndex],102)=0,"",SUMIFS(T_TTAFStock_Log[TTAF_Qty],T_TTAFStock_Log[Part Name],$A27,T_TTAFStock_Log[WeekIndex],102))</f>
        <v/>
      </c>
      <c r="CZ27" s="13">
        <f>IF(COUNTIFS(T_TTAFStock_Log[Part Name],$A27,T_TTAFStock_Log[WeekIndex],103)=0,"",SUMIFS(T_TTAFStock_Log[TTAF_Qty],T_TTAFStock_Log[Part Name],$A27,T_TTAFStock_Log[WeekIndex],103))</f>
        <v/>
      </c>
      <c r="DA27" s="13">
        <f>IF(COUNTIFS(T_TTAFStock_Log[Part Name],$A27,T_TTAFStock_Log[WeekIndex],104)=0,"",SUMIFS(T_TTAFStock_Log[TTAF_Qty],T_TTAFStock_Log[Part Name],$A27,T_TTAFStock_Log[WeekIndex],104))</f>
        <v/>
      </c>
    </row>
    <row r="28">
      <c r="A28" s="12" t="inlineStr">
        <is>
          <t>Original Towel</t>
        </is>
      </c>
      <c r="B28" s="12">
        <f>IF(COUNTIFS(T_TTAFStock_Log[Part Name],$A28,T_TTAFStock_Log[WeekIndex],1)=0,"",SUMIFS(T_TTAFStock_Log[TTAF_Qty],T_TTAFStock_Log[Part Name],$A28,T_TTAFStock_Log[WeekIndex],1))</f>
        <v/>
      </c>
      <c r="C28" s="12">
        <f>IF(COUNTIFS(T_TTAFStock_Log[Part Name],$A28,T_TTAFStock_Log[WeekIndex],2)=0,"",SUMIFS(T_TTAFStock_Log[TTAF_Qty],T_TTAFStock_Log[Part Name],$A28,T_TTAFStock_Log[WeekIndex],2))</f>
        <v/>
      </c>
      <c r="D28" s="12">
        <f>IF(COUNTIFS(T_TTAFStock_Log[Part Name],$A28,T_TTAFStock_Log[WeekIndex],3)=0,"",SUMIFS(T_TTAFStock_Log[TTAF_Qty],T_TTAFStock_Log[Part Name],$A28,T_TTAFStock_Log[WeekIndex],3))</f>
        <v/>
      </c>
      <c r="E28" s="12">
        <f>IF(COUNTIFS(T_TTAFStock_Log[Part Name],$A28,T_TTAFStock_Log[WeekIndex],4)=0,"",SUMIFS(T_TTAFStock_Log[TTAF_Qty],T_TTAFStock_Log[Part Name],$A28,T_TTAFStock_Log[WeekIndex],4))</f>
        <v/>
      </c>
      <c r="F28" s="12">
        <f>IF(COUNTIFS(T_TTAFStock_Log[Part Name],$A28,T_TTAFStock_Log[WeekIndex],5)=0,"",SUMIFS(T_TTAFStock_Log[TTAF_Qty],T_TTAFStock_Log[Part Name],$A28,T_TTAFStock_Log[WeekIndex],5))</f>
        <v/>
      </c>
      <c r="G28" s="12">
        <f>IF(COUNTIFS(T_TTAFStock_Log[Part Name],$A28,T_TTAFStock_Log[WeekIndex],6)=0,"",SUMIFS(T_TTAFStock_Log[TTAF_Qty],T_TTAFStock_Log[Part Name],$A28,T_TTAFStock_Log[WeekIndex],6))</f>
        <v/>
      </c>
      <c r="H28" s="12">
        <f>IF(COUNTIFS(T_TTAFStock_Log[Part Name],$A28,T_TTAFStock_Log[WeekIndex],7)=0,"",SUMIFS(T_TTAFStock_Log[TTAF_Qty],T_TTAFStock_Log[Part Name],$A28,T_TTAFStock_Log[WeekIndex],7))</f>
        <v/>
      </c>
      <c r="I28" s="12">
        <f>IF(COUNTIFS(T_TTAFStock_Log[Part Name],$A28,T_TTAFStock_Log[WeekIndex],8)=0,"",SUMIFS(T_TTAFStock_Log[TTAF_Qty],T_TTAFStock_Log[Part Name],$A28,T_TTAFStock_Log[WeekIndex],8))</f>
        <v/>
      </c>
      <c r="J28" s="12">
        <f>IF(COUNTIFS(T_TTAFStock_Log[Part Name],$A28,T_TTAFStock_Log[WeekIndex],9)=0,"",SUMIFS(T_TTAFStock_Log[TTAF_Qty],T_TTAFStock_Log[Part Name],$A28,T_TTAFStock_Log[WeekIndex],9))</f>
        <v/>
      </c>
      <c r="K28" s="12">
        <f>IF(COUNTIFS(T_TTAFStock_Log[Part Name],$A28,T_TTAFStock_Log[WeekIndex],10)=0,"",SUMIFS(T_TTAFStock_Log[TTAF_Qty],T_TTAFStock_Log[Part Name],$A28,T_TTAFStock_Log[WeekIndex],10))</f>
        <v/>
      </c>
      <c r="L28" s="12">
        <f>IF(COUNTIFS(T_TTAFStock_Log[Part Name],$A28,T_TTAFStock_Log[WeekIndex],11)=0,"",SUMIFS(T_TTAFStock_Log[TTAF_Qty],T_TTAFStock_Log[Part Name],$A28,T_TTAFStock_Log[WeekIndex],11))</f>
        <v/>
      </c>
      <c r="M28" s="12">
        <f>IF(COUNTIFS(T_TTAFStock_Log[Part Name],$A28,T_TTAFStock_Log[WeekIndex],12)=0,"",SUMIFS(T_TTAFStock_Log[TTAF_Qty],T_TTAFStock_Log[Part Name],$A28,T_TTAFStock_Log[WeekIndex],12))</f>
        <v/>
      </c>
      <c r="N28" s="12">
        <f>IF(COUNTIFS(T_TTAFStock_Log[Part Name],$A28,T_TTAFStock_Log[WeekIndex],13)=0,"",SUMIFS(T_TTAFStock_Log[TTAF_Qty],T_TTAFStock_Log[Part Name],$A28,T_TTAFStock_Log[WeekIndex],13))</f>
        <v/>
      </c>
      <c r="O28" s="12">
        <f>IF(COUNTIFS(T_TTAFStock_Log[Part Name],$A28,T_TTAFStock_Log[WeekIndex],14)=0,"",SUMIFS(T_TTAFStock_Log[TTAF_Qty],T_TTAFStock_Log[Part Name],$A28,T_TTAFStock_Log[WeekIndex],14))</f>
        <v/>
      </c>
      <c r="P28" s="12">
        <f>IF(COUNTIFS(T_TTAFStock_Log[Part Name],$A28,T_TTAFStock_Log[WeekIndex],15)=0,"",SUMIFS(T_TTAFStock_Log[TTAF_Qty],T_TTAFStock_Log[Part Name],$A28,T_TTAFStock_Log[WeekIndex],15))</f>
        <v/>
      </c>
      <c r="Q28" s="12">
        <f>IF(COUNTIFS(T_TTAFStock_Log[Part Name],$A28,T_TTAFStock_Log[WeekIndex],16)=0,"",SUMIFS(T_TTAFStock_Log[TTAF_Qty],T_TTAFStock_Log[Part Name],$A28,T_TTAFStock_Log[WeekIndex],16))</f>
        <v/>
      </c>
      <c r="R28" s="12">
        <f>IF(COUNTIFS(T_TTAFStock_Log[Part Name],$A28,T_TTAFStock_Log[WeekIndex],17)=0,"",SUMIFS(T_TTAFStock_Log[TTAF_Qty],T_TTAFStock_Log[Part Name],$A28,T_TTAFStock_Log[WeekIndex],17))</f>
        <v/>
      </c>
      <c r="S28" s="12">
        <f>IF(COUNTIFS(T_TTAFStock_Log[Part Name],$A28,T_TTAFStock_Log[WeekIndex],18)=0,"",SUMIFS(T_TTAFStock_Log[TTAF_Qty],T_TTAFStock_Log[Part Name],$A28,T_TTAFStock_Log[WeekIndex],18))</f>
        <v/>
      </c>
      <c r="T28" s="12">
        <f>IF(COUNTIFS(T_TTAFStock_Log[Part Name],$A28,T_TTAFStock_Log[WeekIndex],19)=0,"",SUMIFS(T_TTAFStock_Log[TTAF_Qty],T_TTAFStock_Log[Part Name],$A28,T_TTAFStock_Log[WeekIndex],19))</f>
        <v/>
      </c>
      <c r="U28" s="12">
        <f>IF(COUNTIFS(T_TTAFStock_Log[Part Name],$A28,T_TTAFStock_Log[WeekIndex],20)=0,"",SUMIFS(T_TTAFStock_Log[TTAF_Qty],T_TTAFStock_Log[Part Name],$A28,T_TTAFStock_Log[WeekIndex],20))</f>
        <v/>
      </c>
      <c r="V28" s="12">
        <f>IF(COUNTIFS(T_TTAFStock_Log[Part Name],$A28,T_TTAFStock_Log[WeekIndex],21)=0,"",SUMIFS(T_TTAFStock_Log[TTAF_Qty],T_TTAFStock_Log[Part Name],$A28,T_TTAFStock_Log[WeekIndex],21))</f>
        <v/>
      </c>
      <c r="W28" s="12">
        <f>IF(COUNTIFS(T_TTAFStock_Log[Part Name],$A28,T_TTAFStock_Log[WeekIndex],22)=0,"",SUMIFS(T_TTAFStock_Log[TTAF_Qty],T_TTAFStock_Log[Part Name],$A28,T_TTAFStock_Log[WeekIndex],22))</f>
        <v/>
      </c>
      <c r="X28" s="12">
        <f>IF(COUNTIFS(T_TTAFStock_Log[Part Name],$A28,T_TTAFStock_Log[WeekIndex],23)=0,"",SUMIFS(T_TTAFStock_Log[TTAF_Qty],T_TTAFStock_Log[Part Name],$A28,T_TTAFStock_Log[WeekIndex],23))</f>
        <v/>
      </c>
      <c r="Y28" s="12">
        <f>IF(COUNTIFS(T_TTAFStock_Log[Part Name],$A28,T_TTAFStock_Log[WeekIndex],24)=0,"",SUMIFS(T_TTAFStock_Log[TTAF_Qty],T_TTAFStock_Log[Part Name],$A28,T_TTAFStock_Log[WeekIndex],24))</f>
        <v/>
      </c>
      <c r="Z28" s="12">
        <f>IF(COUNTIFS(T_TTAFStock_Log[Part Name],$A28,T_TTAFStock_Log[WeekIndex],25)=0,"",SUMIFS(T_TTAFStock_Log[TTAF_Qty],T_TTAFStock_Log[Part Name],$A28,T_TTAFStock_Log[WeekIndex],25))</f>
        <v/>
      </c>
      <c r="AA28" s="12">
        <f>IF(COUNTIFS(T_TTAFStock_Log[Part Name],$A28,T_TTAFStock_Log[WeekIndex],26)=0,"",SUMIFS(T_TTAFStock_Log[TTAF_Qty],T_TTAFStock_Log[Part Name],$A28,T_TTAFStock_Log[WeekIndex],26))</f>
        <v/>
      </c>
      <c r="AB28" s="12">
        <f>IF(COUNTIFS(T_TTAFStock_Log[Part Name],$A28,T_TTAFStock_Log[WeekIndex],27)=0,"",SUMIFS(T_TTAFStock_Log[TTAF_Qty],T_TTAFStock_Log[Part Name],$A28,T_TTAFStock_Log[WeekIndex],27))</f>
        <v/>
      </c>
      <c r="AC28" s="12">
        <f>IF(COUNTIFS(T_TTAFStock_Log[Part Name],$A28,T_TTAFStock_Log[WeekIndex],28)=0,"",SUMIFS(T_TTAFStock_Log[TTAF_Qty],T_TTAFStock_Log[Part Name],$A28,T_TTAFStock_Log[WeekIndex],28))</f>
        <v/>
      </c>
      <c r="AD28" s="12">
        <f>IF(COUNTIFS(T_TTAFStock_Log[Part Name],$A28,T_TTAFStock_Log[WeekIndex],29)=0,"",SUMIFS(T_TTAFStock_Log[TTAF_Qty],T_TTAFStock_Log[Part Name],$A28,T_TTAFStock_Log[WeekIndex],29))</f>
        <v/>
      </c>
      <c r="AE28" s="12">
        <f>IF(COUNTIFS(T_TTAFStock_Log[Part Name],$A28,T_TTAFStock_Log[WeekIndex],30)=0,"",SUMIFS(T_TTAFStock_Log[TTAF_Qty],T_TTAFStock_Log[Part Name],$A28,T_TTAFStock_Log[WeekIndex],30))</f>
        <v/>
      </c>
      <c r="AF28" s="12">
        <f>IF(COUNTIFS(T_TTAFStock_Log[Part Name],$A28,T_TTAFStock_Log[WeekIndex],31)=0,"",SUMIFS(T_TTAFStock_Log[TTAF_Qty],T_TTAFStock_Log[Part Name],$A28,T_TTAFStock_Log[WeekIndex],31))</f>
        <v/>
      </c>
      <c r="AG28" s="12">
        <f>IF(COUNTIFS(T_TTAFStock_Log[Part Name],$A28,T_TTAFStock_Log[WeekIndex],32)=0,"",SUMIFS(T_TTAFStock_Log[TTAF_Qty],T_TTAFStock_Log[Part Name],$A28,T_TTAFStock_Log[WeekIndex],32))</f>
        <v/>
      </c>
      <c r="AH28" s="12">
        <f>IF(COUNTIFS(T_TTAFStock_Log[Part Name],$A28,T_TTAFStock_Log[WeekIndex],33)=0,"",SUMIFS(T_TTAFStock_Log[TTAF_Qty],T_TTAFStock_Log[Part Name],$A28,T_TTAFStock_Log[WeekIndex],33))</f>
        <v/>
      </c>
      <c r="AI28" s="12">
        <f>IF(COUNTIFS(T_TTAFStock_Log[Part Name],$A28,T_TTAFStock_Log[WeekIndex],34)=0,"",SUMIFS(T_TTAFStock_Log[TTAF_Qty],T_TTAFStock_Log[Part Name],$A28,T_TTAFStock_Log[WeekIndex],34))</f>
        <v/>
      </c>
      <c r="AJ28" s="12">
        <f>IF(COUNTIFS(T_TTAFStock_Log[Part Name],$A28,T_TTAFStock_Log[WeekIndex],35)=0,"",SUMIFS(T_TTAFStock_Log[TTAF_Qty],T_TTAFStock_Log[Part Name],$A28,T_TTAFStock_Log[WeekIndex],35))</f>
        <v/>
      </c>
      <c r="AK28" s="12">
        <f>IF(COUNTIFS(T_TTAFStock_Log[Part Name],$A28,T_TTAFStock_Log[WeekIndex],36)=0,"",SUMIFS(T_TTAFStock_Log[TTAF_Qty],T_TTAFStock_Log[Part Name],$A28,T_TTAFStock_Log[WeekIndex],36))</f>
        <v/>
      </c>
      <c r="AL28" s="12">
        <f>IF(COUNTIFS(T_TTAFStock_Log[Part Name],$A28,T_TTAFStock_Log[WeekIndex],37)=0,"",SUMIFS(T_TTAFStock_Log[TTAF_Qty],T_TTAFStock_Log[Part Name],$A28,T_TTAFStock_Log[WeekIndex],37))</f>
        <v/>
      </c>
      <c r="AM28" s="12">
        <f>IF(COUNTIFS(T_TTAFStock_Log[Part Name],$A28,T_TTAFStock_Log[WeekIndex],38)=0,"",SUMIFS(T_TTAFStock_Log[TTAF_Qty],T_TTAFStock_Log[Part Name],$A28,T_TTAFStock_Log[WeekIndex],38))</f>
        <v/>
      </c>
      <c r="AN28" s="12">
        <f>IF(COUNTIFS(T_TTAFStock_Log[Part Name],$A28,T_TTAFStock_Log[WeekIndex],39)=0,"",SUMIFS(T_TTAFStock_Log[TTAF_Qty],T_TTAFStock_Log[Part Name],$A28,T_TTAFStock_Log[WeekIndex],39))</f>
        <v/>
      </c>
      <c r="AO28" s="12">
        <f>IF(COUNTIFS(T_TTAFStock_Log[Part Name],$A28,T_TTAFStock_Log[WeekIndex],40)=0,"",SUMIFS(T_TTAFStock_Log[TTAF_Qty],T_TTAFStock_Log[Part Name],$A28,T_TTAFStock_Log[WeekIndex],40))</f>
        <v/>
      </c>
      <c r="AP28" s="12">
        <f>IF(COUNTIFS(T_TTAFStock_Log[Part Name],$A28,T_TTAFStock_Log[WeekIndex],41)=0,"",SUMIFS(T_TTAFStock_Log[TTAF_Qty],T_TTAFStock_Log[Part Name],$A28,T_TTAFStock_Log[WeekIndex],41))</f>
        <v/>
      </c>
      <c r="AQ28" s="12">
        <f>IF(COUNTIFS(T_TTAFStock_Log[Part Name],$A28,T_TTAFStock_Log[WeekIndex],42)=0,"",SUMIFS(T_TTAFStock_Log[TTAF_Qty],T_TTAFStock_Log[Part Name],$A28,T_TTAFStock_Log[WeekIndex],42))</f>
        <v/>
      </c>
      <c r="AR28" s="12">
        <f>IF(COUNTIFS(T_TTAFStock_Log[Part Name],$A28,T_TTAFStock_Log[WeekIndex],43)=0,"",SUMIFS(T_TTAFStock_Log[TTAF_Qty],T_TTAFStock_Log[Part Name],$A28,T_TTAFStock_Log[WeekIndex],43))</f>
        <v/>
      </c>
      <c r="AS28" s="12">
        <f>IF(COUNTIFS(T_TTAFStock_Log[Part Name],$A28,T_TTAFStock_Log[WeekIndex],44)=0,"",SUMIFS(T_TTAFStock_Log[TTAF_Qty],T_TTAFStock_Log[Part Name],$A28,T_TTAFStock_Log[WeekIndex],44))</f>
        <v/>
      </c>
      <c r="AT28" s="12">
        <f>IF(COUNTIFS(T_TTAFStock_Log[Part Name],$A28,T_TTAFStock_Log[WeekIndex],45)=0,"",SUMIFS(T_TTAFStock_Log[TTAF_Qty],T_TTAFStock_Log[Part Name],$A28,T_TTAFStock_Log[WeekIndex],45))</f>
        <v/>
      </c>
      <c r="AU28" s="12">
        <f>IF(COUNTIFS(T_TTAFStock_Log[Part Name],$A28,T_TTAFStock_Log[WeekIndex],46)=0,"",SUMIFS(T_TTAFStock_Log[TTAF_Qty],T_TTAFStock_Log[Part Name],$A28,T_TTAFStock_Log[WeekIndex],46))</f>
        <v/>
      </c>
      <c r="AV28" s="12">
        <f>IF(COUNTIFS(T_TTAFStock_Log[Part Name],$A28,T_TTAFStock_Log[WeekIndex],47)=0,"",SUMIFS(T_TTAFStock_Log[TTAF_Qty],T_TTAFStock_Log[Part Name],$A28,T_TTAFStock_Log[WeekIndex],47))</f>
        <v/>
      </c>
      <c r="AW28" s="12">
        <f>IF(COUNTIFS(T_TTAFStock_Log[Part Name],$A28,T_TTAFStock_Log[WeekIndex],48)=0,"",SUMIFS(T_TTAFStock_Log[TTAF_Qty],T_TTAFStock_Log[Part Name],$A28,T_TTAFStock_Log[WeekIndex],48))</f>
        <v/>
      </c>
      <c r="AX28" s="12">
        <f>IF(COUNTIFS(T_TTAFStock_Log[Part Name],$A28,T_TTAFStock_Log[WeekIndex],49)=0,"",SUMIFS(T_TTAFStock_Log[TTAF_Qty],T_TTAFStock_Log[Part Name],$A28,T_TTAFStock_Log[WeekIndex],49))</f>
        <v/>
      </c>
      <c r="AY28" s="12">
        <f>IF(COUNTIFS(T_TTAFStock_Log[Part Name],$A28,T_TTAFStock_Log[WeekIndex],50)=0,"",SUMIFS(T_TTAFStock_Log[TTAF_Qty],T_TTAFStock_Log[Part Name],$A28,T_TTAFStock_Log[WeekIndex],50))</f>
        <v/>
      </c>
      <c r="AZ28" s="12">
        <f>IF(COUNTIFS(T_TTAFStock_Log[Part Name],$A28,T_TTAFStock_Log[WeekIndex],51)=0,"",SUMIFS(T_TTAFStock_Log[TTAF_Qty],T_TTAFStock_Log[Part Name],$A28,T_TTAFStock_Log[WeekIndex],51))</f>
        <v/>
      </c>
      <c r="BA28" s="12">
        <f>IF(COUNTIFS(T_TTAFStock_Log[Part Name],$A28,T_TTAFStock_Log[WeekIndex],52)=0,"",SUMIFS(T_TTAFStock_Log[TTAF_Qty],T_TTAFStock_Log[Part Name],$A28,T_TTAFStock_Log[WeekIndex],52))</f>
        <v/>
      </c>
      <c r="BB28" s="12">
        <f>IF(COUNTIFS(T_TTAFStock_Log[Part Name],$A28,T_TTAFStock_Log[WeekIndex],53)=0,"",SUMIFS(T_TTAFStock_Log[TTAF_Qty],T_TTAFStock_Log[Part Name],$A28,T_TTAFStock_Log[WeekIndex],53))</f>
        <v/>
      </c>
      <c r="BC28" s="12">
        <f>IF(COUNTIFS(T_TTAFStock_Log[Part Name],$A28,T_TTAFStock_Log[WeekIndex],54)=0,"",SUMIFS(T_TTAFStock_Log[TTAF_Qty],T_TTAFStock_Log[Part Name],$A28,T_TTAFStock_Log[WeekIndex],54))</f>
        <v/>
      </c>
      <c r="BD28" s="12">
        <f>IF(COUNTIFS(T_TTAFStock_Log[Part Name],$A28,T_TTAFStock_Log[WeekIndex],55)=0,"",SUMIFS(T_TTAFStock_Log[TTAF_Qty],T_TTAFStock_Log[Part Name],$A28,T_TTAFStock_Log[WeekIndex],55))</f>
        <v/>
      </c>
      <c r="BE28" s="12">
        <f>IF(COUNTIFS(T_TTAFStock_Log[Part Name],$A28,T_TTAFStock_Log[WeekIndex],56)=0,"",SUMIFS(T_TTAFStock_Log[TTAF_Qty],T_TTAFStock_Log[Part Name],$A28,T_TTAFStock_Log[WeekIndex],56))</f>
        <v/>
      </c>
      <c r="BF28" s="12">
        <f>IF(COUNTIFS(T_TTAFStock_Log[Part Name],$A28,T_TTAFStock_Log[WeekIndex],57)=0,"",SUMIFS(T_TTAFStock_Log[TTAF_Qty],T_TTAFStock_Log[Part Name],$A28,T_TTAFStock_Log[WeekIndex],57))</f>
        <v/>
      </c>
      <c r="BG28" s="12">
        <f>IF(COUNTIFS(T_TTAFStock_Log[Part Name],$A28,T_TTAFStock_Log[WeekIndex],58)=0,"",SUMIFS(T_TTAFStock_Log[TTAF_Qty],T_TTAFStock_Log[Part Name],$A28,T_TTAFStock_Log[WeekIndex],58))</f>
        <v/>
      </c>
      <c r="BH28" s="12">
        <f>IF(COUNTIFS(T_TTAFStock_Log[Part Name],$A28,T_TTAFStock_Log[WeekIndex],59)=0,"",SUMIFS(T_TTAFStock_Log[TTAF_Qty],T_TTAFStock_Log[Part Name],$A28,T_TTAFStock_Log[WeekIndex],59))</f>
        <v/>
      </c>
      <c r="BI28" s="12">
        <f>IF(COUNTIFS(T_TTAFStock_Log[Part Name],$A28,T_TTAFStock_Log[WeekIndex],60)=0,"",SUMIFS(T_TTAFStock_Log[TTAF_Qty],T_TTAFStock_Log[Part Name],$A28,T_TTAFStock_Log[WeekIndex],60))</f>
        <v/>
      </c>
      <c r="BJ28" s="12">
        <f>IF(COUNTIFS(T_TTAFStock_Log[Part Name],$A28,T_TTAFStock_Log[WeekIndex],61)=0,"",SUMIFS(T_TTAFStock_Log[TTAF_Qty],T_TTAFStock_Log[Part Name],$A28,T_TTAFStock_Log[WeekIndex],61))</f>
        <v/>
      </c>
      <c r="BK28" s="12">
        <f>IF(COUNTIFS(T_TTAFStock_Log[Part Name],$A28,T_TTAFStock_Log[WeekIndex],62)=0,"",SUMIFS(T_TTAFStock_Log[TTAF_Qty],T_TTAFStock_Log[Part Name],$A28,T_TTAFStock_Log[WeekIndex],62))</f>
        <v/>
      </c>
      <c r="BL28" s="12">
        <f>IF(COUNTIFS(T_TTAFStock_Log[Part Name],$A28,T_TTAFStock_Log[WeekIndex],63)=0,"",SUMIFS(T_TTAFStock_Log[TTAF_Qty],T_TTAFStock_Log[Part Name],$A28,T_TTAFStock_Log[WeekIndex],63))</f>
        <v/>
      </c>
      <c r="BM28" s="12">
        <f>IF(COUNTIFS(T_TTAFStock_Log[Part Name],$A28,T_TTAFStock_Log[WeekIndex],64)=0,"",SUMIFS(T_TTAFStock_Log[TTAF_Qty],T_TTAFStock_Log[Part Name],$A28,T_TTAFStock_Log[WeekIndex],64))</f>
        <v/>
      </c>
      <c r="BN28" s="12">
        <f>IF(COUNTIFS(T_TTAFStock_Log[Part Name],$A28,T_TTAFStock_Log[WeekIndex],65)=0,"",SUMIFS(T_TTAFStock_Log[TTAF_Qty],T_TTAFStock_Log[Part Name],$A28,T_TTAFStock_Log[WeekIndex],65))</f>
        <v/>
      </c>
      <c r="BO28" s="12">
        <f>IF(COUNTIFS(T_TTAFStock_Log[Part Name],$A28,T_TTAFStock_Log[WeekIndex],66)=0,"",SUMIFS(T_TTAFStock_Log[TTAF_Qty],T_TTAFStock_Log[Part Name],$A28,T_TTAFStock_Log[WeekIndex],66))</f>
        <v/>
      </c>
      <c r="BP28" s="12">
        <f>IF(COUNTIFS(T_TTAFStock_Log[Part Name],$A28,T_TTAFStock_Log[WeekIndex],67)=0,"",SUMIFS(T_TTAFStock_Log[TTAF_Qty],T_TTAFStock_Log[Part Name],$A28,T_TTAFStock_Log[WeekIndex],67))</f>
        <v/>
      </c>
      <c r="BQ28" s="12">
        <f>IF(COUNTIFS(T_TTAFStock_Log[Part Name],$A28,T_TTAFStock_Log[WeekIndex],68)=0,"",SUMIFS(T_TTAFStock_Log[TTAF_Qty],T_TTAFStock_Log[Part Name],$A28,T_TTAFStock_Log[WeekIndex],68))</f>
        <v/>
      </c>
      <c r="BR28" s="12">
        <f>IF(COUNTIFS(T_TTAFStock_Log[Part Name],$A28,T_TTAFStock_Log[WeekIndex],69)=0,"",SUMIFS(T_TTAFStock_Log[TTAF_Qty],T_TTAFStock_Log[Part Name],$A28,T_TTAFStock_Log[WeekIndex],69))</f>
        <v/>
      </c>
      <c r="BS28" s="12">
        <f>IF(COUNTIFS(T_TTAFStock_Log[Part Name],$A28,T_TTAFStock_Log[WeekIndex],70)=0,"",SUMIFS(T_TTAFStock_Log[TTAF_Qty],T_TTAFStock_Log[Part Name],$A28,T_TTAFStock_Log[WeekIndex],70))</f>
        <v/>
      </c>
      <c r="BT28" s="12">
        <f>IF(COUNTIFS(T_TTAFStock_Log[Part Name],$A28,T_TTAFStock_Log[WeekIndex],71)=0,"",SUMIFS(T_TTAFStock_Log[TTAF_Qty],T_TTAFStock_Log[Part Name],$A28,T_TTAFStock_Log[WeekIndex],71))</f>
        <v/>
      </c>
      <c r="BU28" s="12">
        <f>IF(COUNTIFS(T_TTAFStock_Log[Part Name],$A28,T_TTAFStock_Log[WeekIndex],72)=0,"",SUMIFS(T_TTAFStock_Log[TTAF_Qty],T_TTAFStock_Log[Part Name],$A28,T_TTAFStock_Log[WeekIndex],72))</f>
        <v/>
      </c>
      <c r="BV28" s="12">
        <f>IF(COUNTIFS(T_TTAFStock_Log[Part Name],$A28,T_TTAFStock_Log[WeekIndex],73)=0,"",SUMIFS(T_TTAFStock_Log[TTAF_Qty],T_TTAFStock_Log[Part Name],$A28,T_TTAFStock_Log[WeekIndex],73))</f>
        <v/>
      </c>
      <c r="BW28" s="12">
        <f>IF(COUNTIFS(T_TTAFStock_Log[Part Name],$A28,T_TTAFStock_Log[WeekIndex],74)=0,"",SUMIFS(T_TTAFStock_Log[TTAF_Qty],T_TTAFStock_Log[Part Name],$A28,T_TTAFStock_Log[WeekIndex],74))</f>
        <v/>
      </c>
      <c r="BX28" s="12">
        <f>IF(COUNTIFS(T_TTAFStock_Log[Part Name],$A28,T_TTAFStock_Log[WeekIndex],75)=0,"",SUMIFS(T_TTAFStock_Log[TTAF_Qty],T_TTAFStock_Log[Part Name],$A28,T_TTAFStock_Log[WeekIndex],75))</f>
        <v/>
      </c>
      <c r="BY28" s="12">
        <f>IF(COUNTIFS(T_TTAFStock_Log[Part Name],$A28,T_TTAFStock_Log[WeekIndex],76)=0,"",SUMIFS(T_TTAFStock_Log[TTAF_Qty],T_TTAFStock_Log[Part Name],$A28,T_TTAFStock_Log[WeekIndex],76))</f>
        <v/>
      </c>
      <c r="BZ28" s="12">
        <f>IF(COUNTIFS(T_TTAFStock_Log[Part Name],$A28,T_TTAFStock_Log[WeekIndex],77)=0,"",SUMIFS(T_TTAFStock_Log[TTAF_Qty],T_TTAFStock_Log[Part Name],$A28,T_TTAFStock_Log[WeekIndex],77))</f>
        <v/>
      </c>
      <c r="CA28" s="12">
        <f>IF(COUNTIFS(T_TTAFStock_Log[Part Name],$A28,T_TTAFStock_Log[WeekIndex],78)=0,"",SUMIFS(T_TTAFStock_Log[TTAF_Qty],T_TTAFStock_Log[Part Name],$A28,T_TTAFStock_Log[WeekIndex],78))</f>
        <v/>
      </c>
      <c r="CB28" s="12">
        <f>IF(COUNTIFS(T_TTAFStock_Log[Part Name],$A28,T_TTAFStock_Log[WeekIndex],79)=0,"",SUMIFS(T_TTAFStock_Log[TTAF_Qty],T_TTAFStock_Log[Part Name],$A28,T_TTAFStock_Log[WeekIndex],79))</f>
        <v/>
      </c>
      <c r="CC28" s="12">
        <f>IF(COUNTIFS(T_TTAFStock_Log[Part Name],$A28,T_TTAFStock_Log[WeekIndex],80)=0,"",SUMIFS(T_TTAFStock_Log[TTAF_Qty],T_TTAFStock_Log[Part Name],$A28,T_TTAFStock_Log[WeekIndex],80))</f>
        <v/>
      </c>
      <c r="CD28" s="12">
        <f>IF(COUNTIFS(T_TTAFStock_Log[Part Name],$A28,T_TTAFStock_Log[WeekIndex],81)=0,"",SUMIFS(T_TTAFStock_Log[TTAF_Qty],T_TTAFStock_Log[Part Name],$A28,T_TTAFStock_Log[WeekIndex],81))</f>
        <v/>
      </c>
      <c r="CE28" s="12">
        <f>IF(COUNTIFS(T_TTAFStock_Log[Part Name],$A28,T_TTAFStock_Log[WeekIndex],82)=0,"",SUMIFS(T_TTAFStock_Log[TTAF_Qty],T_TTAFStock_Log[Part Name],$A28,T_TTAFStock_Log[WeekIndex],82))</f>
        <v/>
      </c>
      <c r="CF28" s="12">
        <f>IF(COUNTIFS(T_TTAFStock_Log[Part Name],$A28,T_TTAFStock_Log[WeekIndex],83)=0,"",SUMIFS(T_TTAFStock_Log[TTAF_Qty],T_TTAFStock_Log[Part Name],$A28,T_TTAFStock_Log[WeekIndex],83))</f>
        <v/>
      </c>
      <c r="CG28" s="12">
        <f>IF(COUNTIFS(T_TTAFStock_Log[Part Name],$A28,T_TTAFStock_Log[WeekIndex],84)=0,"",SUMIFS(T_TTAFStock_Log[TTAF_Qty],T_TTAFStock_Log[Part Name],$A28,T_TTAFStock_Log[WeekIndex],84))</f>
        <v/>
      </c>
      <c r="CH28" s="12">
        <f>IF(COUNTIFS(T_TTAFStock_Log[Part Name],$A28,T_TTAFStock_Log[WeekIndex],85)=0,"",SUMIFS(T_TTAFStock_Log[TTAF_Qty],T_TTAFStock_Log[Part Name],$A28,T_TTAFStock_Log[WeekIndex],85))</f>
        <v/>
      </c>
      <c r="CI28" s="12">
        <f>IF(COUNTIFS(T_TTAFStock_Log[Part Name],$A28,T_TTAFStock_Log[WeekIndex],86)=0,"",SUMIFS(T_TTAFStock_Log[TTAF_Qty],T_TTAFStock_Log[Part Name],$A28,T_TTAFStock_Log[WeekIndex],86))</f>
        <v/>
      </c>
      <c r="CJ28" s="12">
        <f>IF(COUNTIFS(T_TTAFStock_Log[Part Name],$A28,T_TTAFStock_Log[WeekIndex],87)=0,"",SUMIFS(T_TTAFStock_Log[TTAF_Qty],T_TTAFStock_Log[Part Name],$A28,T_TTAFStock_Log[WeekIndex],87))</f>
        <v/>
      </c>
      <c r="CK28" s="12">
        <f>IF(COUNTIFS(T_TTAFStock_Log[Part Name],$A28,T_TTAFStock_Log[WeekIndex],88)=0,"",SUMIFS(T_TTAFStock_Log[TTAF_Qty],T_TTAFStock_Log[Part Name],$A28,T_TTAFStock_Log[WeekIndex],88))</f>
        <v/>
      </c>
      <c r="CL28" s="12">
        <f>IF(COUNTIFS(T_TTAFStock_Log[Part Name],$A28,T_TTAFStock_Log[WeekIndex],89)=0,"",SUMIFS(T_TTAFStock_Log[TTAF_Qty],T_TTAFStock_Log[Part Name],$A28,T_TTAFStock_Log[WeekIndex],89))</f>
        <v/>
      </c>
      <c r="CM28" s="12">
        <f>IF(COUNTIFS(T_TTAFStock_Log[Part Name],$A28,T_TTAFStock_Log[WeekIndex],90)=0,"",SUMIFS(T_TTAFStock_Log[TTAF_Qty],T_TTAFStock_Log[Part Name],$A28,T_TTAFStock_Log[WeekIndex],90))</f>
        <v/>
      </c>
      <c r="CN28" s="12">
        <f>IF(COUNTIFS(T_TTAFStock_Log[Part Name],$A28,T_TTAFStock_Log[WeekIndex],91)=0,"",SUMIFS(T_TTAFStock_Log[TTAF_Qty],T_TTAFStock_Log[Part Name],$A28,T_TTAFStock_Log[WeekIndex],91))</f>
        <v/>
      </c>
      <c r="CO28" s="12">
        <f>IF(COUNTIFS(T_TTAFStock_Log[Part Name],$A28,T_TTAFStock_Log[WeekIndex],92)=0,"",SUMIFS(T_TTAFStock_Log[TTAF_Qty],T_TTAFStock_Log[Part Name],$A28,T_TTAFStock_Log[WeekIndex],92))</f>
        <v/>
      </c>
      <c r="CP28" s="12">
        <f>IF(COUNTIFS(T_TTAFStock_Log[Part Name],$A28,T_TTAFStock_Log[WeekIndex],93)=0,"",SUMIFS(T_TTAFStock_Log[TTAF_Qty],T_TTAFStock_Log[Part Name],$A28,T_TTAFStock_Log[WeekIndex],93))</f>
        <v/>
      </c>
      <c r="CQ28" s="12">
        <f>IF(COUNTIFS(T_TTAFStock_Log[Part Name],$A28,T_TTAFStock_Log[WeekIndex],94)=0,"",SUMIFS(T_TTAFStock_Log[TTAF_Qty],T_TTAFStock_Log[Part Name],$A28,T_TTAFStock_Log[WeekIndex],94))</f>
        <v/>
      </c>
      <c r="CR28" s="12">
        <f>IF(COUNTIFS(T_TTAFStock_Log[Part Name],$A28,T_TTAFStock_Log[WeekIndex],95)=0,"",SUMIFS(T_TTAFStock_Log[TTAF_Qty],T_TTAFStock_Log[Part Name],$A28,T_TTAFStock_Log[WeekIndex],95))</f>
        <v/>
      </c>
      <c r="CS28" s="12">
        <f>IF(COUNTIFS(T_TTAFStock_Log[Part Name],$A28,T_TTAFStock_Log[WeekIndex],96)=0,"",SUMIFS(T_TTAFStock_Log[TTAF_Qty],T_TTAFStock_Log[Part Name],$A28,T_TTAFStock_Log[WeekIndex],96))</f>
        <v/>
      </c>
      <c r="CT28" s="12">
        <f>IF(COUNTIFS(T_TTAFStock_Log[Part Name],$A28,T_TTAFStock_Log[WeekIndex],97)=0,"",SUMIFS(T_TTAFStock_Log[TTAF_Qty],T_TTAFStock_Log[Part Name],$A28,T_TTAFStock_Log[WeekIndex],97))</f>
        <v/>
      </c>
      <c r="CU28" s="12">
        <f>IF(COUNTIFS(T_TTAFStock_Log[Part Name],$A28,T_TTAFStock_Log[WeekIndex],98)=0,"",SUMIFS(T_TTAFStock_Log[TTAF_Qty],T_TTAFStock_Log[Part Name],$A28,T_TTAFStock_Log[WeekIndex],98))</f>
        <v/>
      </c>
      <c r="CV28" s="12">
        <f>IF(COUNTIFS(T_TTAFStock_Log[Part Name],$A28,T_TTAFStock_Log[WeekIndex],99)=0,"",SUMIFS(T_TTAFStock_Log[TTAF_Qty],T_TTAFStock_Log[Part Name],$A28,T_TTAFStock_Log[WeekIndex],99))</f>
        <v/>
      </c>
      <c r="CW28" s="12">
        <f>IF(COUNTIFS(T_TTAFStock_Log[Part Name],$A28,T_TTAFStock_Log[WeekIndex],100)=0,"",SUMIFS(T_TTAFStock_Log[TTAF_Qty],T_TTAFStock_Log[Part Name],$A28,T_TTAFStock_Log[WeekIndex],100))</f>
        <v/>
      </c>
      <c r="CX28" s="12">
        <f>IF(COUNTIFS(T_TTAFStock_Log[Part Name],$A28,T_TTAFStock_Log[WeekIndex],101)=0,"",SUMIFS(T_TTAFStock_Log[TTAF_Qty],T_TTAFStock_Log[Part Name],$A28,T_TTAFStock_Log[WeekIndex],101))</f>
        <v/>
      </c>
      <c r="CY28" s="12">
        <f>IF(COUNTIFS(T_TTAFStock_Log[Part Name],$A28,T_TTAFStock_Log[WeekIndex],102)=0,"",SUMIFS(T_TTAFStock_Log[TTAF_Qty],T_TTAFStock_Log[Part Name],$A28,T_TTAFStock_Log[WeekIndex],102))</f>
        <v/>
      </c>
      <c r="CZ28" s="12">
        <f>IF(COUNTIFS(T_TTAFStock_Log[Part Name],$A28,T_TTAFStock_Log[WeekIndex],103)=0,"",SUMIFS(T_TTAFStock_Log[TTAF_Qty],T_TTAFStock_Log[Part Name],$A28,T_TTAFStock_Log[WeekIndex],103))</f>
        <v/>
      </c>
      <c r="DA28" s="12">
        <f>IF(COUNTIFS(T_TTAFStock_Log[Part Name],$A28,T_TTAFStock_Log[WeekIndex],104)=0,"",SUMIFS(T_TTAFStock_Log[TTAF_Qty],T_TTAFStock_Log[Part Name],$A28,T_TTAFStock_Log[WeekIndex],104))</f>
        <v/>
      </c>
    </row>
    <row r="29">
      <c r="A29" s="13" t="inlineStr">
        <is>
          <t>CHEM-1200</t>
        </is>
      </c>
      <c r="B29" s="13">
        <f>IF(COUNTIFS(T_TTAFStock_Log[Part Name],$A29,T_TTAFStock_Log[WeekIndex],1)=0,"",SUMIFS(T_TTAFStock_Log[TTAF_Qty],T_TTAFStock_Log[Part Name],$A29,T_TTAFStock_Log[WeekIndex],1))</f>
        <v/>
      </c>
      <c r="C29" s="13">
        <f>IF(COUNTIFS(T_TTAFStock_Log[Part Name],$A29,T_TTAFStock_Log[WeekIndex],2)=0,"",SUMIFS(T_TTAFStock_Log[TTAF_Qty],T_TTAFStock_Log[Part Name],$A29,T_TTAFStock_Log[WeekIndex],2))</f>
        <v/>
      </c>
      <c r="D29" s="13">
        <f>IF(COUNTIFS(T_TTAFStock_Log[Part Name],$A29,T_TTAFStock_Log[WeekIndex],3)=0,"",SUMIFS(T_TTAFStock_Log[TTAF_Qty],T_TTAFStock_Log[Part Name],$A29,T_TTAFStock_Log[WeekIndex],3))</f>
        <v/>
      </c>
      <c r="E29" s="13">
        <f>IF(COUNTIFS(T_TTAFStock_Log[Part Name],$A29,T_TTAFStock_Log[WeekIndex],4)=0,"",SUMIFS(T_TTAFStock_Log[TTAF_Qty],T_TTAFStock_Log[Part Name],$A29,T_TTAFStock_Log[WeekIndex],4))</f>
        <v/>
      </c>
      <c r="F29" s="13">
        <f>IF(COUNTIFS(T_TTAFStock_Log[Part Name],$A29,T_TTAFStock_Log[WeekIndex],5)=0,"",SUMIFS(T_TTAFStock_Log[TTAF_Qty],T_TTAFStock_Log[Part Name],$A29,T_TTAFStock_Log[WeekIndex],5))</f>
        <v/>
      </c>
      <c r="G29" s="13">
        <f>IF(COUNTIFS(T_TTAFStock_Log[Part Name],$A29,T_TTAFStock_Log[WeekIndex],6)=0,"",SUMIFS(T_TTAFStock_Log[TTAF_Qty],T_TTAFStock_Log[Part Name],$A29,T_TTAFStock_Log[WeekIndex],6))</f>
        <v/>
      </c>
      <c r="H29" s="13">
        <f>IF(COUNTIFS(T_TTAFStock_Log[Part Name],$A29,T_TTAFStock_Log[WeekIndex],7)=0,"",SUMIFS(T_TTAFStock_Log[TTAF_Qty],T_TTAFStock_Log[Part Name],$A29,T_TTAFStock_Log[WeekIndex],7))</f>
        <v/>
      </c>
      <c r="I29" s="13">
        <f>IF(COUNTIFS(T_TTAFStock_Log[Part Name],$A29,T_TTAFStock_Log[WeekIndex],8)=0,"",SUMIFS(T_TTAFStock_Log[TTAF_Qty],T_TTAFStock_Log[Part Name],$A29,T_TTAFStock_Log[WeekIndex],8))</f>
        <v/>
      </c>
      <c r="J29" s="13">
        <f>IF(COUNTIFS(T_TTAFStock_Log[Part Name],$A29,T_TTAFStock_Log[WeekIndex],9)=0,"",SUMIFS(T_TTAFStock_Log[TTAF_Qty],T_TTAFStock_Log[Part Name],$A29,T_TTAFStock_Log[WeekIndex],9))</f>
        <v/>
      </c>
      <c r="K29" s="13">
        <f>IF(COUNTIFS(T_TTAFStock_Log[Part Name],$A29,T_TTAFStock_Log[WeekIndex],10)=0,"",SUMIFS(T_TTAFStock_Log[TTAF_Qty],T_TTAFStock_Log[Part Name],$A29,T_TTAFStock_Log[WeekIndex],10))</f>
        <v/>
      </c>
      <c r="L29" s="13">
        <f>IF(COUNTIFS(T_TTAFStock_Log[Part Name],$A29,T_TTAFStock_Log[WeekIndex],11)=0,"",SUMIFS(T_TTAFStock_Log[TTAF_Qty],T_TTAFStock_Log[Part Name],$A29,T_TTAFStock_Log[WeekIndex],11))</f>
        <v/>
      </c>
      <c r="M29" s="13">
        <f>IF(COUNTIFS(T_TTAFStock_Log[Part Name],$A29,T_TTAFStock_Log[WeekIndex],12)=0,"",SUMIFS(T_TTAFStock_Log[TTAF_Qty],T_TTAFStock_Log[Part Name],$A29,T_TTAFStock_Log[WeekIndex],12))</f>
        <v/>
      </c>
      <c r="N29" s="13">
        <f>IF(COUNTIFS(T_TTAFStock_Log[Part Name],$A29,T_TTAFStock_Log[WeekIndex],13)=0,"",SUMIFS(T_TTAFStock_Log[TTAF_Qty],T_TTAFStock_Log[Part Name],$A29,T_TTAFStock_Log[WeekIndex],13))</f>
        <v/>
      </c>
      <c r="O29" s="13">
        <f>IF(COUNTIFS(T_TTAFStock_Log[Part Name],$A29,T_TTAFStock_Log[WeekIndex],14)=0,"",SUMIFS(T_TTAFStock_Log[TTAF_Qty],T_TTAFStock_Log[Part Name],$A29,T_TTAFStock_Log[WeekIndex],14))</f>
        <v/>
      </c>
      <c r="P29" s="13">
        <f>IF(COUNTIFS(T_TTAFStock_Log[Part Name],$A29,T_TTAFStock_Log[WeekIndex],15)=0,"",SUMIFS(T_TTAFStock_Log[TTAF_Qty],T_TTAFStock_Log[Part Name],$A29,T_TTAFStock_Log[WeekIndex],15))</f>
        <v/>
      </c>
      <c r="Q29" s="13">
        <f>IF(COUNTIFS(T_TTAFStock_Log[Part Name],$A29,T_TTAFStock_Log[WeekIndex],16)=0,"",SUMIFS(T_TTAFStock_Log[TTAF_Qty],T_TTAFStock_Log[Part Name],$A29,T_TTAFStock_Log[WeekIndex],16))</f>
        <v/>
      </c>
      <c r="R29" s="13">
        <f>IF(COUNTIFS(T_TTAFStock_Log[Part Name],$A29,T_TTAFStock_Log[WeekIndex],17)=0,"",SUMIFS(T_TTAFStock_Log[TTAF_Qty],T_TTAFStock_Log[Part Name],$A29,T_TTAFStock_Log[WeekIndex],17))</f>
        <v/>
      </c>
      <c r="S29" s="13">
        <f>IF(COUNTIFS(T_TTAFStock_Log[Part Name],$A29,T_TTAFStock_Log[WeekIndex],18)=0,"",SUMIFS(T_TTAFStock_Log[TTAF_Qty],T_TTAFStock_Log[Part Name],$A29,T_TTAFStock_Log[WeekIndex],18))</f>
        <v/>
      </c>
      <c r="T29" s="13">
        <f>IF(COUNTIFS(T_TTAFStock_Log[Part Name],$A29,T_TTAFStock_Log[WeekIndex],19)=0,"",SUMIFS(T_TTAFStock_Log[TTAF_Qty],T_TTAFStock_Log[Part Name],$A29,T_TTAFStock_Log[WeekIndex],19))</f>
        <v/>
      </c>
      <c r="U29" s="13">
        <f>IF(COUNTIFS(T_TTAFStock_Log[Part Name],$A29,T_TTAFStock_Log[WeekIndex],20)=0,"",SUMIFS(T_TTAFStock_Log[TTAF_Qty],T_TTAFStock_Log[Part Name],$A29,T_TTAFStock_Log[WeekIndex],20))</f>
        <v/>
      </c>
      <c r="V29" s="13">
        <f>IF(COUNTIFS(T_TTAFStock_Log[Part Name],$A29,T_TTAFStock_Log[WeekIndex],21)=0,"",SUMIFS(T_TTAFStock_Log[TTAF_Qty],T_TTAFStock_Log[Part Name],$A29,T_TTAFStock_Log[WeekIndex],21))</f>
        <v/>
      </c>
      <c r="W29" s="13">
        <f>IF(COUNTIFS(T_TTAFStock_Log[Part Name],$A29,T_TTAFStock_Log[WeekIndex],22)=0,"",SUMIFS(T_TTAFStock_Log[TTAF_Qty],T_TTAFStock_Log[Part Name],$A29,T_TTAFStock_Log[WeekIndex],22))</f>
        <v/>
      </c>
      <c r="X29" s="13">
        <f>IF(COUNTIFS(T_TTAFStock_Log[Part Name],$A29,T_TTAFStock_Log[WeekIndex],23)=0,"",SUMIFS(T_TTAFStock_Log[TTAF_Qty],T_TTAFStock_Log[Part Name],$A29,T_TTAFStock_Log[WeekIndex],23))</f>
        <v/>
      </c>
      <c r="Y29" s="13">
        <f>IF(COUNTIFS(T_TTAFStock_Log[Part Name],$A29,T_TTAFStock_Log[WeekIndex],24)=0,"",SUMIFS(T_TTAFStock_Log[TTAF_Qty],T_TTAFStock_Log[Part Name],$A29,T_TTAFStock_Log[WeekIndex],24))</f>
        <v/>
      </c>
      <c r="Z29" s="13">
        <f>IF(COUNTIFS(T_TTAFStock_Log[Part Name],$A29,T_TTAFStock_Log[WeekIndex],25)=0,"",SUMIFS(T_TTAFStock_Log[TTAF_Qty],T_TTAFStock_Log[Part Name],$A29,T_TTAFStock_Log[WeekIndex],25))</f>
        <v/>
      </c>
      <c r="AA29" s="13">
        <f>IF(COUNTIFS(T_TTAFStock_Log[Part Name],$A29,T_TTAFStock_Log[WeekIndex],26)=0,"",SUMIFS(T_TTAFStock_Log[TTAF_Qty],T_TTAFStock_Log[Part Name],$A29,T_TTAFStock_Log[WeekIndex],26))</f>
        <v/>
      </c>
      <c r="AB29" s="13">
        <f>IF(COUNTIFS(T_TTAFStock_Log[Part Name],$A29,T_TTAFStock_Log[WeekIndex],27)=0,"",SUMIFS(T_TTAFStock_Log[TTAF_Qty],T_TTAFStock_Log[Part Name],$A29,T_TTAFStock_Log[WeekIndex],27))</f>
        <v/>
      </c>
      <c r="AC29" s="13">
        <f>IF(COUNTIFS(T_TTAFStock_Log[Part Name],$A29,T_TTAFStock_Log[WeekIndex],28)=0,"",SUMIFS(T_TTAFStock_Log[TTAF_Qty],T_TTAFStock_Log[Part Name],$A29,T_TTAFStock_Log[WeekIndex],28))</f>
        <v/>
      </c>
      <c r="AD29" s="13">
        <f>IF(COUNTIFS(T_TTAFStock_Log[Part Name],$A29,T_TTAFStock_Log[WeekIndex],29)=0,"",SUMIFS(T_TTAFStock_Log[TTAF_Qty],T_TTAFStock_Log[Part Name],$A29,T_TTAFStock_Log[WeekIndex],29))</f>
        <v/>
      </c>
      <c r="AE29" s="13">
        <f>IF(COUNTIFS(T_TTAFStock_Log[Part Name],$A29,T_TTAFStock_Log[WeekIndex],30)=0,"",SUMIFS(T_TTAFStock_Log[TTAF_Qty],T_TTAFStock_Log[Part Name],$A29,T_TTAFStock_Log[WeekIndex],30))</f>
        <v/>
      </c>
      <c r="AF29" s="13">
        <f>IF(COUNTIFS(T_TTAFStock_Log[Part Name],$A29,T_TTAFStock_Log[WeekIndex],31)=0,"",SUMIFS(T_TTAFStock_Log[TTAF_Qty],T_TTAFStock_Log[Part Name],$A29,T_TTAFStock_Log[WeekIndex],31))</f>
        <v/>
      </c>
      <c r="AG29" s="13">
        <f>IF(COUNTIFS(T_TTAFStock_Log[Part Name],$A29,T_TTAFStock_Log[WeekIndex],32)=0,"",SUMIFS(T_TTAFStock_Log[TTAF_Qty],T_TTAFStock_Log[Part Name],$A29,T_TTAFStock_Log[WeekIndex],32))</f>
        <v/>
      </c>
      <c r="AH29" s="13">
        <f>IF(COUNTIFS(T_TTAFStock_Log[Part Name],$A29,T_TTAFStock_Log[WeekIndex],33)=0,"",SUMIFS(T_TTAFStock_Log[TTAF_Qty],T_TTAFStock_Log[Part Name],$A29,T_TTAFStock_Log[WeekIndex],33))</f>
        <v/>
      </c>
      <c r="AI29" s="13">
        <f>IF(COUNTIFS(T_TTAFStock_Log[Part Name],$A29,T_TTAFStock_Log[WeekIndex],34)=0,"",SUMIFS(T_TTAFStock_Log[TTAF_Qty],T_TTAFStock_Log[Part Name],$A29,T_TTAFStock_Log[WeekIndex],34))</f>
        <v/>
      </c>
      <c r="AJ29" s="13">
        <f>IF(COUNTIFS(T_TTAFStock_Log[Part Name],$A29,T_TTAFStock_Log[WeekIndex],35)=0,"",SUMIFS(T_TTAFStock_Log[TTAF_Qty],T_TTAFStock_Log[Part Name],$A29,T_TTAFStock_Log[WeekIndex],35))</f>
        <v/>
      </c>
      <c r="AK29" s="13">
        <f>IF(COUNTIFS(T_TTAFStock_Log[Part Name],$A29,T_TTAFStock_Log[WeekIndex],36)=0,"",SUMIFS(T_TTAFStock_Log[TTAF_Qty],T_TTAFStock_Log[Part Name],$A29,T_TTAFStock_Log[WeekIndex],36))</f>
        <v/>
      </c>
      <c r="AL29" s="13">
        <f>IF(COUNTIFS(T_TTAFStock_Log[Part Name],$A29,T_TTAFStock_Log[WeekIndex],37)=0,"",SUMIFS(T_TTAFStock_Log[TTAF_Qty],T_TTAFStock_Log[Part Name],$A29,T_TTAFStock_Log[WeekIndex],37))</f>
        <v/>
      </c>
      <c r="AM29" s="13">
        <f>IF(COUNTIFS(T_TTAFStock_Log[Part Name],$A29,T_TTAFStock_Log[WeekIndex],38)=0,"",SUMIFS(T_TTAFStock_Log[TTAF_Qty],T_TTAFStock_Log[Part Name],$A29,T_TTAFStock_Log[WeekIndex],38))</f>
        <v/>
      </c>
      <c r="AN29" s="13">
        <f>IF(COUNTIFS(T_TTAFStock_Log[Part Name],$A29,T_TTAFStock_Log[WeekIndex],39)=0,"",SUMIFS(T_TTAFStock_Log[TTAF_Qty],T_TTAFStock_Log[Part Name],$A29,T_TTAFStock_Log[WeekIndex],39))</f>
        <v/>
      </c>
      <c r="AO29" s="13">
        <f>IF(COUNTIFS(T_TTAFStock_Log[Part Name],$A29,T_TTAFStock_Log[WeekIndex],40)=0,"",SUMIFS(T_TTAFStock_Log[TTAF_Qty],T_TTAFStock_Log[Part Name],$A29,T_TTAFStock_Log[WeekIndex],40))</f>
        <v/>
      </c>
      <c r="AP29" s="13">
        <f>IF(COUNTIFS(T_TTAFStock_Log[Part Name],$A29,T_TTAFStock_Log[WeekIndex],41)=0,"",SUMIFS(T_TTAFStock_Log[TTAF_Qty],T_TTAFStock_Log[Part Name],$A29,T_TTAFStock_Log[WeekIndex],41))</f>
        <v/>
      </c>
      <c r="AQ29" s="13">
        <f>IF(COUNTIFS(T_TTAFStock_Log[Part Name],$A29,T_TTAFStock_Log[WeekIndex],42)=0,"",SUMIFS(T_TTAFStock_Log[TTAF_Qty],T_TTAFStock_Log[Part Name],$A29,T_TTAFStock_Log[WeekIndex],42))</f>
        <v/>
      </c>
      <c r="AR29" s="13">
        <f>IF(COUNTIFS(T_TTAFStock_Log[Part Name],$A29,T_TTAFStock_Log[WeekIndex],43)=0,"",SUMIFS(T_TTAFStock_Log[TTAF_Qty],T_TTAFStock_Log[Part Name],$A29,T_TTAFStock_Log[WeekIndex],43))</f>
        <v/>
      </c>
      <c r="AS29" s="13">
        <f>IF(COUNTIFS(T_TTAFStock_Log[Part Name],$A29,T_TTAFStock_Log[WeekIndex],44)=0,"",SUMIFS(T_TTAFStock_Log[TTAF_Qty],T_TTAFStock_Log[Part Name],$A29,T_TTAFStock_Log[WeekIndex],44))</f>
        <v/>
      </c>
      <c r="AT29" s="13">
        <f>IF(COUNTIFS(T_TTAFStock_Log[Part Name],$A29,T_TTAFStock_Log[WeekIndex],45)=0,"",SUMIFS(T_TTAFStock_Log[TTAF_Qty],T_TTAFStock_Log[Part Name],$A29,T_TTAFStock_Log[WeekIndex],45))</f>
        <v/>
      </c>
      <c r="AU29" s="13">
        <f>IF(COUNTIFS(T_TTAFStock_Log[Part Name],$A29,T_TTAFStock_Log[WeekIndex],46)=0,"",SUMIFS(T_TTAFStock_Log[TTAF_Qty],T_TTAFStock_Log[Part Name],$A29,T_TTAFStock_Log[WeekIndex],46))</f>
        <v/>
      </c>
      <c r="AV29" s="13">
        <f>IF(COUNTIFS(T_TTAFStock_Log[Part Name],$A29,T_TTAFStock_Log[WeekIndex],47)=0,"",SUMIFS(T_TTAFStock_Log[TTAF_Qty],T_TTAFStock_Log[Part Name],$A29,T_TTAFStock_Log[WeekIndex],47))</f>
        <v/>
      </c>
      <c r="AW29" s="13">
        <f>IF(COUNTIFS(T_TTAFStock_Log[Part Name],$A29,T_TTAFStock_Log[WeekIndex],48)=0,"",SUMIFS(T_TTAFStock_Log[TTAF_Qty],T_TTAFStock_Log[Part Name],$A29,T_TTAFStock_Log[WeekIndex],48))</f>
        <v/>
      </c>
      <c r="AX29" s="13">
        <f>IF(COUNTIFS(T_TTAFStock_Log[Part Name],$A29,T_TTAFStock_Log[WeekIndex],49)=0,"",SUMIFS(T_TTAFStock_Log[TTAF_Qty],T_TTAFStock_Log[Part Name],$A29,T_TTAFStock_Log[WeekIndex],49))</f>
        <v/>
      </c>
      <c r="AY29" s="13">
        <f>IF(COUNTIFS(T_TTAFStock_Log[Part Name],$A29,T_TTAFStock_Log[WeekIndex],50)=0,"",SUMIFS(T_TTAFStock_Log[TTAF_Qty],T_TTAFStock_Log[Part Name],$A29,T_TTAFStock_Log[WeekIndex],50))</f>
        <v/>
      </c>
      <c r="AZ29" s="13">
        <f>IF(COUNTIFS(T_TTAFStock_Log[Part Name],$A29,T_TTAFStock_Log[WeekIndex],51)=0,"",SUMIFS(T_TTAFStock_Log[TTAF_Qty],T_TTAFStock_Log[Part Name],$A29,T_TTAFStock_Log[WeekIndex],51))</f>
        <v/>
      </c>
      <c r="BA29" s="13">
        <f>IF(COUNTIFS(T_TTAFStock_Log[Part Name],$A29,T_TTAFStock_Log[WeekIndex],52)=0,"",SUMIFS(T_TTAFStock_Log[TTAF_Qty],T_TTAFStock_Log[Part Name],$A29,T_TTAFStock_Log[WeekIndex],52))</f>
        <v/>
      </c>
      <c r="BB29" s="13">
        <f>IF(COUNTIFS(T_TTAFStock_Log[Part Name],$A29,T_TTAFStock_Log[WeekIndex],53)=0,"",SUMIFS(T_TTAFStock_Log[TTAF_Qty],T_TTAFStock_Log[Part Name],$A29,T_TTAFStock_Log[WeekIndex],53))</f>
        <v/>
      </c>
      <c r="BC29" s="13">
        <f>IF(COUNTIFS(T_TTAFStock_Log[Part Name],$A29,T_TTAFStock_Log[WeekIndex],54)=0,"",SUMIFS(T_TTAFStock_Log[TTAF_Qty],T_TTAFStock_Log[Part Name],$A29,T_TTAFStock_Log[WeekIndex],54))</f>
        <v/>
      </c>
      <c r="BD29" s="13">
        <f>IF(COUNTIFS(T_TTAFStock_Log[Part Name],$A29,T_TTAFStock_Log[WeekIndex],55)=0,"",SUMIFS(T_TTAFStock_Log[TTAF_Qty],T_TTAFStock_Log[Part Name],$A29,T_TTAFStock_Log[WeekIndex],55))</f>
        <v/>
      </c>
      <c r="BE29" s="13">
        <f>IF(COUNTIFS(T_TTAFStock_Log[Part Name],$A29,T_TTAFStock_Log[WeekIndex],56)=0,"",SUMIFS(T_TTAFStock_Log[TTAF_Qty],T_TTAFStock_Log[Part Name],$A29,T_TTAFStock_Log[WeekIndex],56))</f>
        <v/>
      </c>
      <c r="BF29" s="13">
        <f>IF(COUNTIFS(T_TTAFStock_Log[Part Name],$A29,T_TTAFStock_Log[WeekIndex],57)=0,"",SUMIFS(T_TTAFStock_Log[TTAF_Qty],T_TTAFStock_Log[Part Name],$A29,T_TTAFStock_Log[WeekIndex],57))</f>
        <v/>
      </c>
      <c r="BG29" s="13">
        <f>IF(COUNTIFS(T_TTAFStock_Log[Part Name],$A29,T_TTAFStock_Log[WeekIndex],58)=0,"",SUMIFS(T_TTAFStock_Log[TTAF_Qty],T_TTAFStock_Log[Part Name],$A29,T_TTAFStock_Log[WeekIndex],58))</f>
        <v/>
      </c>
      <c r="BH29" s="13">
        <f>IF(COUNTIFS(T_TTAFStock_Log[Part Name],$A29,T_TTAFStock_Log[WeekIndex],59)=0,"",SUMIFS(T_TTAFStock_Log[TTAF_Qty],T_TTAFStock_Log[Part Name],$A29,T_TTAFStock_Log[WeekIndex],59))</f>
        <v/>
      </c>
      <c r="BI29" s="13">
        <f>IF(COUNTIFS(T_TTAFStock_Log[Part Name],$A29,T_TTAFStock_Log[WeekIndex],60)=0,"",SUMIFS(T_TTAFStock_Log[TTAF_Qty],T_TTAFStock_Log[Part Name],$A29,T_TTAFStock_Log[WeekIndex],60))</f>
        <v/>
      </c>
      <c r="BJ29" s="13">
        <f>IF(COUNTIFS(T_TTAFStock_Log[Part Name],$A29,T_TTAFStock_Log[WeekIndex],61)=0,"",SUMIFS(T_TTAFStock_Log[TTAF_Qty],T_TTAFStock_Log[Part Name],$A29,T_TTAFStock_Log[WeekIndex],61))</f>
        <v/>
      </c>
      <c r="BK29" s="13">
        <f>IF(COUNTIFS(T_TTAFStock_Log[Part Name],$A29,T_TTAFStock_Log[WeekIndex],62)=0,"",SUMIFS(T_TTAFStock_Log[TTAF_Qty],T_TTAFStock_Log[Part Name],$A29,T_TTAFStock_Log[WeekIndex],62))</f>
        <v/>
      </c>
      <c r="BL29" s="13">
        <f>IF(COUNTIFS(T_TTAFStock_Log[Part Name],$A29,T_TTAFStock_Log[WeekIndex],63)=0,"",SUMIFS(T_TTAFStock_Log[TTAF_Qty],T_TTAFStock_Log[Part Name],$A29,T_TTAFStock_Log[WeekIndex],63))</f>
        <v/>
      </c>
      <c r="BM29" s="13">
        <f>IF(COUNTIFS(T_TTAFStock_Log[Part Name],$A29,T_TTAFStock_Log[WeekIndex],64)=0,"",SUMIFS(T_TTAFStock_Log[TTAF_Qty],T_TTAFStock_Log[Part Name],$A29,T_TTAFStock_Log[WeekIndex],64))</f>
        <v/>
      </c>
      <c r="BN29" s="13">
        <f>IF(COUNTIFS(T_TTAFStock_Log[Part Name],$A29,T_TTAFStock_Log[WeekIndex],65)=0,"",SUMIFS(T_TTAFStock_Log[TTAF_Qty],T_TTAFStock_Log[Part Name],$A29,T_TTAFStock_Log[WeekIndex],65))</f>
        <v/>
      </c>
      <c r="BO29" s="13">
        <f>IF(COUNTIFS(T_TTAFStock_Log[Part Name],$A29,T_TTAFStock_Log[WeekIndex],66)=0,"",SUMIFS(T_TTAFStock_Log[TTAF_Qty],T_TTAFStock_Log[Part Name],$A29,T_TTAFStock_Log[WeekIndex],66))</f>
        <v/>
      </c>
      <c r="BP29" s="13">
        <f>IF(COUNTIFS(T_TTAFStock_Log[Part Name],$A29,T_TTAFStock_Log[WeekIndex],67)=0,"",SUMIFS(T_TTAFStock_Log[TTAF_Qty],T_TTAFStock_Log[Part Name],$A29,T_TTAFStock_Log[WeekIndex],67))</f>
        <v/>
      </c>
      <c r="BQ29" s="13">
        <f>IF(COUNTIFS(T_TTAFStock_Log[Part Name],$A29,T_TTAFStock_Log[WeekIndex],68)=0,"",SUMIFS(T_TTAFStock_Log[TTAF_Qty],T_TTAFStock_Log[Part Name],$A29,T_TTAFStock_Log[WeekIndex],68))</f>
        <v/>
      </c>
      <c r="BR29" s="13">
        <f>IF(COUNTIFS(T_TTAFStock_Log[Part Name],$A29,T_TTAFStock_Log[WeekIndex],69)=0,"",SUMIFS(T_TTAFStock_Log[TTAF_Qty],T_TTAFStock_Log[Part Name],$A29,T_TTAFStock_Log[WeekIndex],69))</f>
        <v/>
      </c>
      <c r="BS29" s="13">
        <f>IF(COUNTIFS(T_TTAFStock_Log[Part Name],$A29,T_TTAFStock_Log[WeekIndex],70)=0,"",SUMIFS(T_TTAFStock_Log[TTAF_Qty],T_TTAFStock_Log[Part Name],$A29,T_TTAFStock_Log[WeekIndex],70))</f>
        <v/>
      </c>
      <c r="BT29" s="13">
        <f>IF(COUNTIFS(T_TTAFStock_Log[Part Name],$A29,T_TTAFStock_Log[WeekIndex],71)=0,"",SUMIFS(T_TTAFStock_Log[TTAF_Qty],T_TTAFStock_Log[Part Name],$A29,T_TTAFStock_Log[WeekIndex],71))</f>
        <v/>
      </c>
      <c r="BU29" s="13">
        <f>IF(COUNTIFS(T_TTAFStock_Log[Part Name],$A29,T_TTAFStock_Log[WeekIndex],72)=0,"",SUMIFS(T_TTAFStock_Log[TTAF_Qty],T_TTAFStock_Log[Part Name],$A29,T_TTAFStock_Log[WeekIndex],72))</f>
        <v/>
      </c>
      <c r="BV29" s="13">
        <f>IF(COUNTIFS(T_TTAFStock_Log[Part Name],$A29,T_TTAFStock_Log[WeekIndex],73)=0,"",SUMIFS(T_TTAFStock_Log[TTAF_Qty],T_TTAFStock_Log[Part Name],$A29,T_TTAFStock_Log[WeekIndex],73))</f>
        <v/>
      </c>
      <c r="BW29" s="13">
        <f>IF(COUNTIFS(T_TTAFStock_Log[Part Name],$A29,T_TTAFStock_Log[WeekIndex],74)=0,"",SUMIFS(T_TTAFStock_Log[TTAF_Qty],T_TTAFStock_Log[Part Name],$A29,T_TTAFStock_Log[WeekIndex],74))</f>
        <v/>
      </c>
      <c r="BX29" s="13">
        <f>IF(COUNTIFS(T_TTAFStock_Log[Part Name],$A29,T_TTAFStock_Log[WeekIndex],75)=0,"",SUMIFS(T_TTAFStock_Log[TTAF_Qty],T_TTAFStock_Log[Part Name],$A29,T_TTAFStock_Log[WeekIndex],75))</f>
        <v/>
      </c>
      <c r="BY29" s="13">
        <f>IF(COUNTIFS(T_TTAFStock_Log[Part Name],$A29,T_TTAFStock_Log[WeekIndex],76)=0,"",SUMIFS(T_TTAFStock_Log[TTAF_Qty],T_TTAFStock_Log[Part Name],$A29,T_TTAFStock_Log[WeekIndex],76))</f>
        <v/>
      </c>
      <c r="BZ29" s="13">
        <f>IF(COUNTIFS(T_TTAFStock_Log[Part Name],$A29,T_TTAFStock_Log[WeekIndex],77)=0,"",SUMIFS(T_TTAFStock_Log[TTAF_Qty],T_TTAFStock_Log[Part Name],$A29,T_TTAFStock_Log[WeekIndex],77))</f>
        <v/>
      </c>
      <c r="CA29" s="13">
        <f>IF(COUNTIFS(T_TTAFStock_Log[Part Name],$A29,T_TTAFStock_Log[WeekIndex],78)=0,"",SUMIFS(T_TTAFStock_Log[TTAF_Qty],T_TTAFStock_Log[Part Name],$A29,T_TTAFStock_Log[WeekIndex],78))</f>
        <v/>
      </c>
      <c r="CB29" s="13">
        <f>IF(COUNTIFS(T_TTAFStock_Log[Part Name],$A29,T_TTAFStock_Log[WeekIndex],79)=0,"",SUMIFS(T_TTAFStock_Log[TTAF_Qty],T_TTAFStock_Log[Part Name],$A29,T_TTAFStock_Log[WeekIndex],79))</f>
        <v/>
      </c>
      <c r="CC29" s="13">
        <f>IF(COUNTIFS(T_TTAFStock_Log[Part Name],$A29,T_TTAFStock_Log[WeekIndex],80)=0,"",SUMIFS(T_TTAFStock_Log[TTAF_Qty],T_TTAFStock_Log[Part Name],$A29,T_TTAFStock_Log[WeekIndex],80))</f>
        <v/>
      </c>
      <c r="CD29" s="13">
        <f>IF(COUNTIFS(T_TTAFStock_Log[Part Name],$A29,T_TTAFStock_Log[WeekIndex],81)=0,"",SUMIFS(T_TTAFStock_Log[TTAF_Qty],T_TTAFStock_Log[Part Name],$A29,T_TTAFStock_Log[WeekIndex],81))</f>
        <v/>
      </c>
      <c r="CE29" s="13">
        <f>IF(COUNTIFS(T_TTAFStock_Log[Part Name],$A29,T_TTAFStock_Log[WeekIndex],82)=0,"",SUMIFS(T_TTAFStock_Log[TTAF_Qty],T_TTAFStock_Log[Part Name],$A29,T_TTAFStock_Log[WeekIndex],82))</f>
        <v/>
      </c>
      <c r="CF29" s="13">
        <f>IF(COUNTIFS(T_TTAFStock_Log[Part Name],$A29,T_TTAFStock_Log[WeekIndex],83)=0,"",SUMIFS(T_TTAFStock_Log[TTAF_Qty],T_TTAFStock_Log[Part Name],$A29,T_TTAFStock_Log[WeekIndex],83))</f>
        <v/>
      </c>
      <c r="CG29" s="13">
        <f>IF(COUNTIFS(T_TTAFStock_Log[Part Name],$A29,T_TTAFStock_Log[WeekIndex],84)=0,"",SUMIFS(T_TTAFStock_Log[TTAF_Qty],T_TTAFStock_Log[Part Name],$A29,T_TTAFStock_Log[WeekIndex],84))</f>
        <v/>
      </c>
      <c r="CH29" s="13">
        <f>IF(COUNTIFS(T_TTAFStock_Log[Part Name],$A29,T_TTAFStock_Log[WeekIndex],85)=0,"",SUMIFS(T_TTAFStock_Log[TTAF_Qty],T_TTAFStock_Log[Part Name],$A29,T_TTAFStock_Log[WeekIndex],85))</f>
        <v/>
      </c>
      <c r="CI29" s="13">
        <f>IF(COUNTIFS(T_TTAFStock_Log[Part Name],$A29,T_TTAFStock_Log[WeekIndex],86)=0,"",SUMIFS(T_TTAFStock_Log[TTAF_Qty],T_TTAFStock_Log[Part Name],$A29,T_TTAFStock_Log[WeekIndex],86))</f>
        <v/>
      </c>
      <c r="CJ29" s="13">
        <f>IF(COUNTIFS(T_TTAFStock_Log[Part Name],$A29,T_TTAFStock_Log[WeekIndex],87)=0,"",SUMIFS(T_TTAFStock_Log[TTAF_Qty],T_TTAFStock_Log[Part Name],$A29,T_TTAFStock_Log[WeekIndex],87))</f>
        <v/>
      </c>
      <c r="CK29" s="13">
        <f>IF(COUNTIFS(T_TTAFStock_Log[Part Name],$A29,T_TTAFStock_Log[WeekIndex],88)=0,"",SUMIFS(T_TTAFStock_Log[TTAF_Qty],T_TTAFStock_Log[Part Name],$A29,T_TTAFStock_Log[WeekIndex],88))</f>
        <v/>
      </c>
      <c r="CL29" s="13">
        <f>IF(COUNTIFS(T_TTAFStock_Log[Part Name],$A29,T_TTAFStock_Log[WeekIndex],89)=0,"",SUMIFS(T_TTAFStock_Log[TTAF_Qty],T_TTAFStock_Log[Part Name],$A29,T_TTAFStock_Log[WeekIndex],89))</f>
        <v/>
      </c>
      <c r="CM29" s="13">
        <f>IF(COUNTIFS(T_TTAFStock_Log[Part Name],$A29,T_TTAFStock_Log[WeekIndex],90)=0,"",SUMIFS(T_TTAFStock_Log[TTAF_Qty],T_TTAFStock_Log[Part Name],$A29,T_TTAFStock_Log[WeekIndex],90))</f>
        <v/>
      </c>
      <c r="CN29" s="13">
        <f>IF(COUNTIFS(T_TTAFStock_Log[Part Name],$A29,T_TTAFStock_Log[WeekIndex],91)=0,"",SUMIFS(T_TTAFStock_Log[TTAF_Qty],T_TTAFStock_Log[Part Name],$A29,T_TTAFStock_Log[WeekIndex],91))</f>
        <v/>
      </c>
      <c r="CO29" s="13">
        <f>IF(COUNTIFS(T_TTAFStock_Log[Part Name],$A29,T_TTAFStock_Log[WeekIndex],92)=0,"",SUMIFS(T_TTAFStock_Log[TTAF_Qty],T_TTAFStock_Log[Part Name],$A29,T_TTAFStock_Log[WeekIndex],92))</f>
        <v/>
      </c>
      <c r="CP29" s="13">
        <f>IF(COUNTIFS(T_TTAFStock_Log[Part Name],$A29,T_TTAFStock_Log[WeekIndex],93)=0,"",SUMIFS(T_TTAFStock_Log[TTAF_Qty],T_TTAFStock_Log[Part Name],$A29,T_TTAFStock_Log[WeekIndex],93))</f>
        <v/>
      </c>
      <c r="CQ29" s="13">
        <f>IF(COUNTIFS(T_TTAFStock_Log[Part Name],$A29,T_TTAFStock_Log[WeekIndex],94)=0,"",SUMIFS(T_TTAFStock_Log[TTAF_Qty],T_TTAFStock_Log[Part Name],$A29,T_TTAFStock_Log[WeekIndex],94))</f>
        <v/>
      </c>
      <c r="CR29" s="13">
        <f>IF(COUNTIFS(T_TTAFStock_Log[Part Name],$A29,T_TTAFStock_Log[WeekIndex],95)=0,"",SUMIFS(T_TTAFStock_Log[TTAF_Qty],T_TTAFStock_Log[Part Name],$A29,T_TTAFStock_Log[WeekIndex],95))</f>
        <v/>
      </c>
      <c r="CS29" s="13">
        <f>IF(COUNTIFS(T_TTAFStock_Log[Part Name],$A29,T_TTAFStock_Log[WeekIndex],96)=0,"",SUMIFS(T_TTAFStock_Log[TTAF_Qty],T_TTAFStock_Log[Part Name],$A29,T_TTAFStock_Log[WeekIndex],96))</f>
        <v/>
      </c>
      <c r="CT29" s="13">
        <f>IF(COUNTIFS(T_TTAFStock_Log[Part Name],$A29,T_TTAFStock_Log[WeekIndex],97)=0,"",SUMIFS(T_TTAFStock_Log[TTAF_Qty],T_TTAFStock_Log[Part Name],$A29,T_TTAFStock_Log[WeekIndex],97))</f>
        <v/>
      </c>
      <c r="CU29" s="13">
        <f>IF(COUNTIFS(T_TTAFStock_Log[Part Name],$A29,T_TTAFStock_Log[WeekIndex],98)=0,"",SUMIFS(T_TTAFStock_Log[TTAF_Qty],T_TTAFStock_Log[Part Name],$A29,T_TTAFStock_Log[WeekIndex],98))</f>
        <v/>
      </c>
      <c r="CV29" s="13">
        <f>IF(COUNTIFS(T_TTAFStock_Log[Part Name],$A29,T_TTAFStock_Log[WeekIndex],99)=0,"",SUMIFS(T_TTAFStock_Log[TTAF_Qty],T_TTAFStock_Log[Part Name],$A29,T_TTAFStock_Log[WeekIndex],99))</f>
        <v/>
      </c>
      <c r="CW29" s="13">
        <f>IF(COUNTIFS(T_TTAFStock_Log[Part Name],$A29,T_TTAFStock_Log[WeekIndex],100)=0,"",SUMIFS(T_TTAFStock_Log[TTAF_Qty],T_TTAFStock_Log[Part Name],$A29,T_TTAFStock_Log[WeekIndex],100))</f>
        <v/>
      </c>
      <c r="CX29" s="13">
        <f>IF(COUNTIFS(T_TTAFStock_Log[Part Name],$A29,T_TTAFStock_Log[WeekIndex],101)=0,"",SUMIFS(T_TTAFStock_Log[TTAF_Qty],T_TTAFStock_Log[Part Name],$A29,T_TTAFStock_Log[WeekIndex],101))</f>
        <v/>
      </c>
      <c r="CY29" s="13">
        <f>IF(COUNTIFS(T_TTAFStock_Log[Part Name],$A29,T_TTAFStock_Log[WeekIndex],102)=0,"",SUMIFS(T_TTAFStock_Log[TTAF_Qty],T_TTAFStock_Log[Part Name],$A29,T_TTAFStock_Log[WeekIndex],102))</f>
        <v/>
      </c>
      <c r="CZ29" s="13">
        <f>IF(COUNTIFS(T_TTAFStock_Log[Part Name],$A29,T_TTAFStock_Log[WeekIndex],103)=0,"",SUMIFS(T_TTAFStock_Log[TTAF_Qty],T_TTAFStock_Log[Part Name],$A29,T_TTAFStock_Log[WeekIndex],103))</f>
        <v/>
      </c>
      <c r="DA29" s="13">
        <f>IF(COUNTIFS(T_TTAFStock_Log[Part Name],$A29,T_TTAFStock_Log[WeekIndex],104)=0,"",SUMIFS(T_TTAFStock_Log[TTAF_Qty],T_TTAFStock_Log[Part Name],$A29,T_TTAFStock_Log[WeekIndex],104))</f>
        <v/>
      </c>
    </row>
    <row r="30">
      <c r="A30" s="12" t="inlineStr">
        <is>
          <t>CHEM-1830</t>
        </is>
      </c>
      <c r="B30" s="12">
        <f>IF(COUNTIFS(T_TTAFStock_Log[Part Name],$A30,T_TTAFStock_Log[WeekIndex],1)=0,"",SUMIFS(T_TTAFStock_Log[TTAF_Qty],T_TTAFStock_Log[Part Name],$A30,T_TTAFStock_Log[WeekIndex],1))</f>
        <v/>
      </c>
      <c r="C30" s="12">
        <f>IF(COUNTIFS(T_TTAFStock_Log[Part Name],$A30,T_TTAFStock_Log[WeekIndex],2)=0,"",SUMIFS(T_TTAFStock_Log[TTAF_Qty],T_TTAFStock_Log[Part Name],$A30,T_TTAFStock_Log[WeekIndex],2))</f>
        <v/>
      </c>
      <c r="D30" s="12">
        <f>IF(COUNTIFS(T_TTAFStock_Log[Part Name],$A30,T_TTAFStock_Log[WeekIndex],3)=0,"",SUMIFS(T_TTAFStock_Log[TTAF_Qty],T_TTAFStock_Log[Part Name],$A30,T_TTAFStock_Log[WeekIndex],3))</f>
        <v/>
      </c>
      <c r="E30" s="12">
        <f>IF(COUNTIFS(T_TTAFStock_Log[Part Name],$A30,T_TTAFStock_Log[WeekIndex],4)=0,"",SUMIFS(T_TTAFStock_Log[TTAF_Qty],T_TTAFStock_Log[Part Name],$A30,T_TTAFStock_Log[WeekIndex],4))</f>
        <v/>
      </c>
      <c r="F30" s="12">
        <f>IF(COUNTIFS(T_TTAFStock_Log[Part Name],$A30,T_TTAFStock_Log[WeekIndex],5)=0,"",SUMIFS(T_TTAFStock_Log[TTAF_Qty],T_TTAFStock_Log[Part Name],$A30,T_TTAFStock_Log[WeekIndex],5))</f>
        <v/>
      </c>
      <c r="G30" s="12">
        <f>IF(COUNTIFS(T_TTAFStock_Log[Part Name],$A30,T_TTAFStock_Log[WeekIndex],6)=0,"",SUMIFS(T_TTAFStock_Log[TTAF_Qty],T_TTAFStock_Log[Part Name],$A30,T_TTAFStock_Log[WeekIndex],6))</f>
        <v/>
      </c>
      <c r="H30" s="12">
        <f>IF(COUNTIFS(T_TTAFStock_Log[Part Name],$A30,T_TTAFStock_Log[WeekIndex],7)=0,"",SUMIFS(T_TTAFStock_Log[TTAF_Qty],T_TTAFStock_Log[Part Name],$A30,T_TTAFStock_Log[WeekIndex],7))</f>
        <v/>
      </c>
      <c r="I30" s="12">
        <f>IF(COUNTIFS(T_TTAFStock_Log[Part Name],$A30,T_TTAFStock_Log[WeekIndex],8)=0,"",SUMIFS(T_TTAFStock_Log[TTAF_Qty],T_TTAFStock_Log[Part Name],$A30,T_TTAFStock_Log[WeekIndex],8))</f>
        <v/>
      </c>
      <c r="J30" s="12">
        <f>IF(COUNTIFS(T_TTAFStock_Log[Part Name],$A30,T_TTAFStock_Log[WeekIndex],9)=0,"",SUMIFS(T_TTAFStock_Log[TTAF_Qty],T_TTAFStock_Log[Part Name],$A30,T_TTAFStock_Log[WeekIndex],9))</f>
        <v/>
      </c>
      <c r="K30" s="12">
        <f>IF(COUNTIFS(T_TTAFStock_Log[Part Name],$A30,T_TTAFStock_Log[WeekIndex],10)=0,"",SUMIFS(T_TTAFStock_Log[TTAF_Qty],T_TTAFStock_Log[Part Name],$A30,T_TTAFStock_Log[WeekIndex],10))</f>
        <v/>
      </c>
      <c r="L30" s="12">
        <f>IF(COUNTIFS(T_TTAFStock_Log[Part Name],$A30,T_TTAFStock_Log[WeekIndex],11)=0,"",SUMIFS(T_TTAFStock_Log[TTAF_Qty],T_TTAFStock_Log[Part Name],$A30,T_TTAFStock_Log[WeekIndex],11))</f>
        <v/>
      </c>
      <c r="M30" s="12">
        <f>IF(COUNTIFS(T_TTAFStock_Log[Part Name],$A30,T_TTAFStock_Log[WeekIndex],12)=0,"",SUMIFS(T_TTAFStock_Log[TTAF_Qty],T_TTAFStock_Log[Part Name],$A30,T_TTAFStock_Log[WeekIndex],12))</f>
        <v/>
      </c>
      <c r="N30" s="12">
        <f>IF(COUNTIFS(T_TTAFStock_Log[Part Name],$A30,T_TTAFStock_Log[WeekIndex],13)=0,"",SUMIFS(T_TTAFStock_Log[TTAF_Qty],T_TTAFStock_Log[Part Name],$A30,T_TTAFStock_Log[WeekIndex],13))</f>
        <v/>
      </c>
      <c r="O30" s="12">
        <f>IF(COUNTIFS(T_TTAFStock_Log[Part Name],$A30,T_TTAFStock_Log[WeekIndex],14)=0,"",SUMIFS(T_TTAFStock_Log[TTAF_Qty],T_TTAFStock_Log[Part Name],$A30,T_TTAFStock_Log[WeekIndex],14))</f>
        <v/>
      </c>
      <c r="P30" s="12">
        <f>IF(COUNTIFS(T_TTAFStock_Log[Part Name],$A30,T_TTAFStock_Log[WeekIndex],15)=0,"",SUMIFS(T_TTAFStock_Log[TTAF_Qty],T_TTAFStock_Log[Part Name],$A30,T_TTAFStock_Log[WeekIndex],15))</f>
        <v/>
      </c>
      <c r="Q30" s="12">
        <f>IF(COUNTIFS(T_TTAFStock_Log[Part Name],$A30,T_TTAFStock_Log[WeekIndex],16)=0,"",SUMIFS(T_TTAFStock_Log[TTAF_Qty],T_TTAFStock_Log[Part Name],$A30,T_TTAFStock_Log[WeekIndex],16))</f>
        <v/>
      </c>
      <c r="R30" s="12">
        <f>IF(COUNTIFS(T_TTAFStock_Log[Part Name],$A30,T_TTAFStock_Log[WeekIndex],17)=0,"",SUMIFS(T_TTAFStock_Log[TTAF_Qty],T_TTAFStock_Log[Part Name],$A30,T_TTAFStock_Log[WeekIndex],17))</f>
        <v/>
      </c>
      <c r="S30" s="12">
        <f>IF(COUNTIFS(T_TTAFStock_Log[Part Name],$A30,T_TTAFStock_Log[WeekIndex],18)=0,"",SUMIFS(T_TTAFStock_Log[TTAF_Qty],T_TTAFStock_Log[Part Name],$A30,T_TTAFStock_Log[WeekIndex],18))</f>
        <v/>
      </c>
      <c r="T30" s="12">
        <f>IF(COUNTIFS(T_TTAFStock_Log[Part Name],$A30,T_TTAFStock_Log[WeekIndex],19)=0,"",SUMIFS(T_TTAFStock_Log[TTAF_Qty],T_TTAFStock_Log[Part Name],$A30,T_TTAFStock_Log[WeekIndex],19))</f>
        <v/>
      </c>
      <c r="U30" s="12">
        <f>IF(COUNTIFS(T_TTAFStock_Log[Part Name],$A30,T_TTAFStock_Log[WeekIndex],20)=0,"",SUMIFS(T_TTAFStock_Log[TTAF_Qty],T_TTAFStock_Log[Part Name],$A30,T_TTAFStock_Log[WeekIndex],20))</f>
        <v/>
      </c>
      <c r="V30" s="12">
        <f>IF(COUNTIFS(T_TTAFStock_Log[Part Name],$A30,T_TTAFStock_Log[WeekIndex],21)=0,"",SUMIFS(T_TTAFStock_Log[TTAF_Qty],T_TTAFStock_Log[Part Name],$A30,T_TTAFStock_Log[WeekIndex],21))</f>
        <v/>
      </c>
      <c r="W30" s="12">
        <f>IF(COUNTIFS(T_TTAFStock_Log[Part Name],$A30,T_TTAFStock_Log[WeekIndex],22)=0,"",SUMIFS(T_TTAFStock_Log[TTAF_Qty],T_TTAFStock_Log[Part Name],$A30,T_TTAFStock_Log[WeekIndex],22))</f>
        <v/>
      </c>
      <c r="X30" s="12">
        <f>IF(COUNTIFS(T_TTAFStock_Log[Part Name],$A30,T_TTAFStock_Log[WeekIndex],23)=0,"",SUMIFS(T_TTAFStock_Log[TTAF_Qty],T_TTAFStock_Log[Part Name],$A30,T_TTAFStock_Log[WeekIndex],23))</f>
        <v/>
      </c>
      <c r="Y30" s="12">
        <f>IF(COUNTIFS(T_TTAFStock_Log[Part Name],$A30,T_TTAFStock_Log[WeekIndex],24)=0,"",SUMIFS(T_TTAFStock_Log[TTAF_Qty],T_TTAFStock_Log[Part Name],$A30,T_TTAFStock_Log[WeekIndex],24))</f>
        <v/>
      </c>
      <c r="Z30" s="12">
        <f>IF(COUNTIFS(T_TTAFStock_Log[Part Name],$A30,T_TTAFStock_Log[WeekIndex],25)=0,"",SUMIFS(T_TTAFStock_Log[TTAF_Qty],T_TTAFStock_Log[Part Name],$A30,T_TTAFStock_Log[WeekIndex],25))</f>
        <v/>
      </c>
      <c r="AA30" s="12">
        <f>IF(COUNTIFS(T_TTAFStock_Log[Part Name],$A30,T_TTAFStock_Log[WeekIndex],26)=0,"",SUMIFS(T_TTAFStock_Log[TTAF_Qty],T_TTAFStock_Log[Part Name],$A30,T_TTAFStock_Log[WeekIndex],26))</f>
        <v/>
      </c>
      <c r="AB30" s="12">
        <f>IF(COUNTIFS(T_TTAFStock_Log[Part Name],$A30,T_TTAFStock_Log[WeekIndex],27)=0,"",SUMIFS(T_TTAFStock_Log[TTAF_Qty],T_TTAFStock_Log[Part Name],$A30,T_TTAFStock_Log[WeekIndex],27))</f>
        <v/>
      </c>
      <c r="AC30" s="12">
        <f>IF(COUNTIFS(T_TTAFStock_Log[Part Name],$A30,T_TTAFStock_Log[WeekIndex],28)=0,"",SUMIFS(T_TTAFStock_Log[TTAF_Qty],T_TTAFStock_Log[Part Name],$A30,T_TTAFStock_Log[WeekIndex],28))</f>
        <v/>
      </c>
      <c r="AD30" s="12">
        <f>IF(COUNTIFS(T_TTAFStock_Log[Part Name],$A30,T_TTAFStock_Log[WeekIndex],29)=0,"",SUMIFS(T_TTAFStock_Log[TTAF_Qty],T_TTAFStock_Log[Part Name],$A30,T_TTAFStock_Log[WeekIndex],29))</f>
        <v/>
      </c>
      <c r="AE30" s="12">
        <f>IF(COUNTIFS(T_TTAFStock_Log[Part Name],$A30,T_TTAFStock_Log[WeekIndex],30)=0,"",SUMIFS(T_TTAFStock_Log[TTAF_Qty],T_TTAFStock_Log[Part Name],$A30,T_TTAFStock_Log[WeekIndex],30))</f>
        <v/>
      </c>
      <c r="AF30" s="12">
        <f>IF(COUNTIFS(T_TTAFStock_Log[Part Name],$A30,T_TTAFStock_Log[WeekIndex],31)=0,"",SUMIFS(T_TTAFStock_Log[TTAF_Qty],T_TTAFStock_Log[Part Name],$A30,T_TTAFStock_Log[WeekIndex],31))</f>
        <v/>
      </c>
      <c r="AG30" s="12">
        <f>IF(COUNTIFS(T_TTAFStock_Log[Part Name],$A30,T_TTAFStock_Log[WeekIndex],32)=0,"",SUMIFS(T_TTAFStock_Log[TTAF_Qty],T_TTAFStock_Log[Part Name],$A30,T_TTAFStock_Log[WeekIndex],32))</f>
        <v/>
      </c>
      <c r="AH30" s="12">
        <f>IF(COUNTIFS(T_TTAFStock_Log[Part Name],$A30,T_TTAFStock_Log[WeekIndex],33)=0,"",SUMIFS(T_TTAFStock_Log[TTAF_Qty],T_TTAFStock_Log[Part Name],$A30,T_TTAFStock_Log[WeekIndex],33))</f>
        <v/>
      </c>
      <c r="AI30" s="12">
        <f>IF(COUNTIFS(T_TTAFStock_Log[Part Name],$A30,T_TTAFStock_Log[WeekIndex],34)=0,"",SUMIFS(T_TTAFStock_Log[TTAF_Qty],T_TTAFStock_Log[Part Name],$A30,T_TTAFStock_Log[WeekIndex],34))</f>
        <v/>
      </c>
      <c r="AJ30" s="12">
        <f>IF(COUNTIFS(T_TTAFStock_Log[Part Name],$A30,T_TTAFStock_Log[WeekIndex],35)=0,"",SUMIFS(T_TTAFStock_Log[TTAF_Qty],T_TTAFStock_Log[Part Name],$A30,T_TTAFStock_Log[WeekIndex],35))</f>
        <v/>
      </c>
      <c r="AK30" s="12">
        <f>IF(COUNTIFS(T_TTAFStock_Log[Part Name],$A30,T_TTAFStock_Log[WeekIndex],36)=0,"",SUMIFS(T_TTAFStock_Log[TTAF_Qty],T_TTAFStock_Log[Part Name],$A30,T_TTAFStock_Log[WeekIndex],36))</f>
        <v/>
      </c>
      <c r="AL30" s="12">
        <f>IF(COUNTIFS(T_TTAFStock_Log[Part Name],$A30,T_TTAFStock_Log[WeekIndex],37)=0,"",SUMIFS(T_TTAFStock_Log[TTAF_Qty],T_TTAFStock_Log[Part Name],$A30,T_TTAFStock_Log[WeekIndex],37))</f>
        <v/>
      </c>
      <c r="AM30" s="12">
        <f>IF(COUNTIFS(T_TTAFStock_Log[Part Name],$A30,T_TTAFStock_Log[WeekIndex],38)=0,"",SUMIFS(T_TTAFStock_Log[TTAF_Qty],T_TTAFStock_Log[Part Name],$A30,T_TTAFStock_Log[WeekIndex],38))</f>
        <v/>
      </c>
      <c r="AN30" s="12">
        <f>IF(COUNTIFS(T_TTAFStock_Log[Part Name],$A30,T_TTAFStock_Log[WeekIndex],39)=0,"",SUMIFS(T_TTAFStock_Log[TTAF_Qty],T_TTAFStock_Log[Part Name],$A30,T_TTAFStock_Log[WeekIndex],39))</f>
        <v/>
      </c>
      <c r="AO30" s="12">
        <f>IF(COUNTIFS(T_TTAFStock_Log[Part Name],$A30,T_TTAFStock_Log[WeekIndex],40)=0,"",SUMIFS(T_TTAFStock_Log[TTAF_Qty],T_TTAFStock_Log[Part Name],$A30,T_TTAFStock_Log[WeekIndex],40))</f>
        <v/>
      </c>
      <c r="AP30" s="12">
        <f>IF(COUNTIFS(T_TTAFStock_Log[Part Name],$A30,T_TTAFStock_Log[WeekIndex],41)=0,"",SUMIFS(T_TTAFStock_Log[TTAF_Qty],T_TTAFStock_Log[Part Name],$A30,T_TTAFStock_Log[WeekIndex],41))</f>
        <v/>
      </c>
      <c r="AQ30" s="12">
        <f>IF(COUNTIFS(T_TTAFStock_Log[Part Name],$A30,T_TTAFStock_Log[WeekIndex],42)=0,"",SUMIFS(T_TTAFStock_Log[TTAF_Qty],T_TTAFStock_Log[Part Name],$A30,T_TTAFStock_Log[WeekIndex],42))</f>
        <v/>
      </c>
      <c r="AR30" s="12">
        <f>IF(COUNTIFS(T_TTAFStock_Log[Part Name],$A30,T_TTAFStock_Log[WeekIndex],43)=0,"",SUMIFS(T_TTAFStock_Log[TTAF_Qty],T_TTAFStock_Log[Part Name],$A30,T_TTAFStock_Log[WeekIndex],43))</f>
        <v/>
      </c>
      <c r="AS30" s="12">
        <f>IF(COUNTIFS(T_TTAFStock_Log[Part Name],$A30,T_TTAFStock_Log[WeekIndex],44)=0,"",SUMIFS(T_TTAFStock_Log[TTAF_Qty],T_TTAFStock_Log[Part Name],$A30,T_TTAFStock_Log[WeekIndex],44))</f>
        <v/>
      </c>
      <c r="AT30" s="12">
        <f>IF(COUNTIFS(T_TTAFStock_Log[Part Name],$A30,T_TTAFStock_Log[WeekIndex],45)=0,"",SUMIFS(T_TTAFStock_Log[TTAF_Qty],T_TTAFStock_Log[Part Name],$A30,T_TTAFStock_Log[WeekIndex],45))</f>
        <v/>
      </c>
      <c r="AU30" s="12">
        <f>IF(COUNTIFS(T_TTAFStock_Log[Part Name],$A30,T_TTAFStock_Log[WeekIndex],46)=0,"",SUMIFS(T_TTAFStock_Log[TTAF_Qty],T_TTAFStock_Log[Part Name],$A30,T_TTAFStock_Log[WeekIndex],46))</f>
        <v/>
      </c>
      <c r="AV30" s="12">
        <f>IF(COUNTIFS(T_TTAFStock_Log[Part Name],$A30,T_TTAFStock_Log[WeekIndex],47)=0,"",SUMIFS(T_TTAFStock_Log[TTAF_Qty],T_TTAFStock_Log[Part Name],$A30,T_TTAFStock_Log[WeekIndex],47))</f>
        <v/>
      </c>
      <c r="AW30" s="12">
        <f>IF(COUNTIFS(T_TTAFStock_Log[Part Name],$A30,T_TTAFStock_Log[WeekIndex],48)=0,"",SUMIFS(T_TTAFStock_Log[TTAF_Qty],T_TTAFStock_Log[Part Name],$A30,T_TTAFStock_Log[WeekIndex],48))</f>
        <v/>
      </c>
      <c r="AX30" s="12">
        <f>IF(COUNTIFS(T_TTAFStock_Log[Part Name],$A30,T_TTAFStock_Log[WeekIndex],49)=0,"",SUMIFS(T_TTAFStock_Log[TTAF_Qty],T_TTAFStock_Log[Part Name],$A30,T_TTAFStock_Log[WeekIndex],49))</f>
        <v/>
      </c>
      <c r="AY30" s="12">
        <f>IF(COUNTIFS(T_TTAFStock_Log[Part Name],$A30,T_TTAFStock_Log[WeekIndex],50)=0,"",SUMIFS(T_TTAFStock_Log[TTAF_Qty],T_TTAFStock_Log[Part Name],$A30,T_TTAFStock_Log[WeekIndex],50))</f>
        <v/>
      </c>
      <c r="AZ30" s="12">
        <f>IF(COUNTIFS(T_TTAFStock_Log[Part Name],$A30,T_TTAFStock_Log[WeekIndex],51)=0,"",SUMIFS(T_TTAFStock_Log[TTAF_Qty],T_TTAFStock_Log[Part Name],$A30,T_TTAFStock_Log[WeekIndex],51))</f>
        <v/>
      </c>
      <c r="BA30" s="12">
        <f>IF(COUNTIFS(T_TTAFStock_Log[Part Name],$A30,T_TTAFStock_Log[WeekIndex],52)=0,"",SUMIFS(T_TTAFStock_Log[TTAF_Qty],T_TTAFStock_Log[Part Name],$A30,T_TTAFStock_Log[WeekIndex],52))</f>
        <v/>
      </c>
      <c r="BB30" s="12">
        <f>IF(COUNTIFS(T_TTAFStock_Log[Part Name],$A30,T_TTAFStock_Log[WeekIndex],53)=0,"",SUMIFS(T_TTAFStock_Log[TTAF_Qty],T_TTAFStock_Log[Part Name],$A30,T_TTAFStock_Log[WeekIndex],53))</f>
        <v/>
      </c>
      <c r="BC30" s="12">
        <f>IF(COUNTIFS(T_TTAFStock_Log[Part Name],$A30,T_TTAFStock_Log[WeekIndex],54)=0,"",SUMIFS(T_TTAFStock_Log[TTAF_Qty],T_TTAFStock_Log[Part Name],$A30,T_TTAFStock_Log[WeekIndex],54))</f>
        <v/>
      </c>
      <c r="BD30" s="12">
        <f>IF(COUNTIFS(T_TTAFStock_Log[Part Name],$A30,T_TTAFStock_Log[WeekIndex],55)=0,"",SUMIFS(T_TTAFStock_Log[TTAF_Qty],T_TTAFStock_Log[Part Name],$A30,T_TTAFStock_Log[WeekIndex],55))</f>
        <v/>
      </c>
      <c r="BE30" s="12">
        <f>IF(COUNTIFS(T_TTAFStock_Log[Part Name],$A30,T_TTAFStock_Log[WeekIndex],56)=0,"",SUMIFS(T_TTAFStock_Log[TTAF_Qty],T_TTAFStock_Log[Part Name],$A30,T_TTAFStock_Log[WeekIndex],56))</f>
        <v/>
      </c>
      <c r="BF30" s="12">
        <f>IF(COUNTIFS(T_TTAFStock_Log[Part Name],$A30,T_TTAFStock_Log[WeekIndex],57)=0,"",SUMIFS(T_TTAFStock_Log[TTAF_Qty],T_TTAFStock_Log[Part Name],$A30,T_TTAFStock_Log[WeekIndex],57))</f>
        <v/>
      </c>
      <c r="BG30" s="12">
        <f>IF(COUNTIFS(T_TTAFStock_Log[Part Name],$A30,T_TTAFStock_Log[WeekIndex],58)=0,"",SUMIFS(T_TTAFStock_Log[TTAF_Qty],T_TTAFStock_Log[Part Name],$A30,T_TTAFStock_Log[WeekIndex],58))</f>
        <v/>
      </c>
      <c r="BH30" s="12">
        <f>IF(COUNTIFS(T_TTAFStock_Log[Part Name],$A30,T_TTAFStock_Log[WeekIndex],59)=0,"",SUMIFS(T_TTAFStock_Log[TTAF_Qty],T_TTAFStock_Log[Part Name],$A30,T_TTAFStock_Log[WeekIndex],59))</f>
        <v/>
      </c>
      <c r="BI30" s="12">
        <f>IF(COUNTIFS(T_TTAFStock_Log[Part Name],$A30,T_TTAFStock_Log[WeekIndex],60)=0,"",SUMIFS(T_TTAFStock_Log[TTAF_Qty],T_TTAFStock_Log[Part Name],$A30,T_TTAFStock_Log[WeekIndex],60))</f>
        <v/>
      </c>
      <c r="BJ30" s="12">
        <f>IF(COUNTIFS(T_TTAFStock_Log[Part Name],$A30,T_TTAFStock_Log[WeekIndex],61)=0,"",SUMIFS(T_TTAFStock_Log[TTAF_Qty],T_TTAFStock_Log[Part Name],$A30,T_TTAFStock_Log[WeekIndex],61))</f>
        <v/>
      </c>
      <c r="BK30" s="12">
        <f>IF(COUNTIFS(T_TTAFStock_Log[Part Name],$A30,T_TTAFStock_Log[WeekIndex],62)=0,"",SUMIFS(T_TTAFStock_Log[TTAF_Qty],T_TTAFStock_Log[Part Name],$A30,T_TTAFStock_Log[WeekIndex],62))</f>
        <v/>
      </c>
      <c r="BL30" s="12">
        <f>IF(COUNTIFS(T_TTAFStock_Log[Part Name],$A30,T_TTAFStock_Log[WeekIndex],63)=0,"",SUMIFS(T_TTAFStock_Log[TTAF_Qty],T_TTAFStock_Log[Part Name],$A30,T_TTAFStock_Log[WeekIndex],63))</f>
        <v/>
      </c>
      <c r="BM30" s="12">
        <f>IF(COUNTIFS(T_TTAFStock_Log[Part Name],$A30,T_TTAFStock_Log[WeekIndex],64)=0,"",SUMIFS(T_TTAFStock_Log[TTAF_Qty],T_TTAFStock_Log[Part Name],$A30,T_TTAFStock_Log[WeekIndex],64))</f>
        <v/>
      </c>
      <c r="BN30" s="12">
        <f>IF(COUNTIFS(T_TTAFStock_Log[Part Name],$A30,T_TTAFStock_Log[WeekIndex],65)=0,"",SUMIFS(T_TTAFStock_Log[TTAF_Qty],T_TTAFStock_Log[Part Name],$A30,T_TTAFStock_Log[WeekIndex],65))</f>
        <v/>
      </c>
      <c r="BO30" s="12">
        <f>IF(COUNTIFS(T_TTAFStock_Log[Part Name],$A30,T_TTAFStock_Log[WeekIndex],66)=0,"",SUMIFS(T_TTAFStock_Log[TTAF_Qty],T_TTAFStock_Log[Part Name],$A30,T_TTAFStock_Log[WeekIndex],66))</f>
        <v/>
      </c>
      <c r="BP30" s="12">
        <f>IF(COUNTIFS(T_TTAFStock_Log[Part Name],$A30,T_TTAFStock_Log[WeekIndex],67)=0,"",SUMIFS(T_TTAFStock_Log[TTAF_Qty],T_TTAFStock_Log[Part Name],$A30,T_TTAFStock_Log[WeekIndex],67))</f>
        <v/>
      </c>
      <c r="BQ30" s="12">
        <f>IF(COUNTIFS(T_TTAFStock_Log[Part Name],$A30,T_TTAFStock_Log[WeekIndex],68)=0,"",SUMIFS(T_TTAFStock_Log[TTAF_Qty],T_TTAFStock_Log[Part Name],$A30,T_TTAFStock_Log[WeekIndex],68))</f>
        <v/>
      </c>
      <c r="BR30" s="12">
        <f>IF(COUNTIFS(T_TTAFStock_Log[Part Name],$A30,T_TTAFStock_Log[WeekIndex],69)=0,"",SUMIFS(T_TTAFStock_Log[TTAF_Qty],T_TTAFStock_Log[Part Name],$A30,T_TTAFStock_Log[WeekIndex],69))</f>
        <v/>
      </c>
      <c r="BS30" s="12">
        <f>IF(COUNTIFS(T_TTAFStock_Log[Part Name],$A30,T_TTAFStock_Log[WeekIndex],70)=0,"",SUMIFS(T_TTAFStock_Log[TTAF_Qty],T_TTAFStock_Log[Part Name],$A30,T_TTAFStock_Log[WeekIndex],70))</f>
        <v/>
      </c>
      <c r="BT30" s="12">
        <f>IF(COUNTIFS(T_TTAFStock_Log[Part Name],$A30,T_TTAFStock_Log[WeekIndex],71)=0,"",SUMIFS(T_TTAFStock_Log[TTAF_Qty],T_TTAFStock_Log[Part Name],$A30,T_TTAFStock_Log[WeekIndex],71))</f>
        <v/>
      </c>
      <c r="BU30" s="12">
        <f>IF(COUNTIFS(T_TTAFStock_Log[Part Name],$A30,T_TTAFStock_Log[WeekIndex],72)=0,"",SUMIFS(T_TTAFStock_Log[TTAF_Qty],T_TTAFStock_Log[Part Name],$A30,T_TTAFStock_Log[WeekIndex],72))</f>
        <v/>
      </c>
      <c r="BV30" s="12">
        <f>IF(COUNTIFS(T_TTAFStock_Log[Part Name],$A30,T_TTAFStock_Log[WeekIndex],73)=0,"",SUMIFS(T_TTAFStock_Log[TTAF_Qty],T_TTAFStock_Log[Part Name],$A30,T_TTAFStock_Log[WeekIndex],73))</f>
        <v/>
      </c>
      <c r="BW30" s="12">
        <f>IF(COUNTIFS(T_TTAFStock_Log[Part Name],$A30,T_TTAFStock_Log[WeekIndex],74)=0,"",SUMIFS(T_TTAFStock_Log[TTAF_Qty],T_TTAFStock_Log[Part Name],$A30,T_TTAFStock_Log[WeekIndex],74))</f>
        <v/>
      </c>
      <c r="BX30" s="12">
        <f>IF(COUNTIFS(T_TTAFStock_Log[Part Name],$A30,T_TTAFStock_Log[WeekIndex],75)=0,"",SUMIFS(T_TTAFStock_Log[TTAF_Qty],T_TTAFStock_Log[Part Name],$A30,T_TTAFStock_Log[WeekIndex],75))</f>
        <v/>
      </c>
      <c r="BY30" s="12">
        <f>IF(COUNTIFS(T_TTAFStock_Log[Part Name],$A30,T_TTAFStock_Log[WeekIndex],76)=0,"",SUMIFS(T_TTAFStock_Log[TTAF_Qty],T_TTAFStock_Log[Part Name],$A30,T_TTAFStock_Log[WeekIndex],76))</f>
        <v/>
      </c>
      <c r="BZ30" s="12">
        <f>IF(COUNTIFS(T_TTAFStock_Log[Part Name],$A30,T_TTAFStock_Log[WeekIndex],77)=0,"",SUMIFS(T_TTAFStock_Log[TTAF_Qty],T_TTAFStock_Log[Part Name],$A30,T_TTAFStock_Log[WeekIndex],77))</f>
        <v/>
      </c>
      <c r="CA30" s="12">
        <f>IF(COUNTIFS(T_TTAFStock_Log[Part Name],$A30,T_TTAFStock_Log[WeekIndex],78)=0,"",SUMIFS(T_TTAFStock_Log[TTAF_Qty],T_TTAFStock_Log[Part Name],$A30,T_TTAFStock_Log[WeekIndex],78))</f>
        <v/>
      </c>
      <c r="CB30" s="12">
        <f>IF(COUNTIFS(T_TTAFStock_Log[Part Name],$A30,T_TTAFStock_Log[WeekIndex],79)=0,"",SUMIFS(T_TTAFStock_Log[TTAF_Qty],T_TTAFStock_Log[Part Name],$A30,T_TTAFStock_Log[WeekIndex],79))</f>
        <v/>
      </c>
      <c r="CC30" s="12">
        <f>IF(COUNTIFS(T_TTAFStock_Log[Part Name],$A30,T_TTAFStock_Log[WeekIndex],80)=0,"",SUMIFS(T_TTAFStock_Log[TTAF_Qty],T_TTAFStock_Log[Part Name],$A30,T_TTAFStock_Log[WeekIndex],80))</f>
        <v/>
      </c>
      <c r="CD30" s="12">
        <f>IF(COUNTIFS(T_TTAFStock_Log[Part Name],$A30,T_TTAFStock_Log[WeekIndex],81)=0,"",SUMIFS(T_TTAFStock_Log[TTAF_Qty],T_TTAFStock_Log[Part Name],$A30,T_TTAFStock_Log[WeekIndex],81))</f>
        <v/>
      </c>
      <c r="CE30" s="12">
        <f>IF(COUNTIFS(T_TTAFStock_Log[Part Name],$A30,T_TTAFStock_Log[WeekIndex],82)=0,"",SUMIFS(T_TTAFStock_Log[TTAF_Qty],T_TTAFStock_Log[Part Name],$A30,T_TTAFStock_Log[WeekIndex],82))</f>
        <v/>
      </c>
      <c r="CF30" s="12">
        <f>IF(COUNTIFS(T_TTAFStock_Log[Part Name],$A30,T_TTAFStock_Log[WeekIndex],83)=0,"",SUMIFS(T_TTAFStock_Log[TTAF_Qty],T_TTAFStock_Log[Part Name],$A30,T_TTAFStock_Log[WeekIndex],83))</f>
        <v/>
      </c>
      <c r="CG30" s="12">
        <f>IF(COUNTIFS(T_TTAFStock_Log[Part Name],$A30,T_TTAFStock_Log[WeekIndex],84)=0,"",SUMIFS(T_TTAFStock_Log[TTAF_Qty],T_TTAFStock_Log[Part Name],$A30,T_TTAFStock_Log[WeekIndex],84))</f>
        <v/>
      </c>
      <c r="CH30" s="12">
        <f>IF(COUNTIFS(T_TTAFStock_Log[Part Name],$A30,T_TTAFStock_Log[WeekIndex],85)=0,"",SUMIFS(T_TTAFStock_Log[TTAF_Qty],T_TTAFStock_Log[Part Name],$A30,T_TTAFStock_Log[WeekIndex],85))</f>
        <v/>
      </c>
      <c r="CI30" s="12">
        <f>IF(COUNTIFS(T_TTAFStock_Log[Part Name],$A30,T_TTAFStock_Log[WeekIndex],86)=0,"",SUMIFS(T_TTAFStock_Log[TTAF_Qty],T_TTAFStock_Log[Part Name],$A30,T_TTAFStock_Log[WeekIndex],86))</f>
        <v/>
      </c>
      <c r="CJ30" s="12">
        <f>IF(COUNTIFS(T_TTAFStock_Log[Part Name],$A30,T_TTAFStock_Log[WeekIndex],87)=0,"",SUMIFS(T_TTAFStock_Log[TTAF_Qty],T_TTAFStock_Log[Part Name],$A30,T_TTAFStock_Log[WeekIndex],87))</f>
        <v/>
      </c>
      <c r="CK30" s="12">
        <f>IF(COUNTIFS(T_TTAFStock_Log[Part Name],$A30,T_TTAFStock_Log[WeekIndex],88)=0,"",SUMIFS(T_TTAFStock_Log[TTAF_Qty],T_TTAFStock_Log[Part Name],$A30,T_TTAFStock_Log[WeekIndex],88))</f>
        <v/>
      </c>
      <c r="CL30" s="12">
        <f>IF(COUNTIFS(T_TTAFStock_Log[Part Name],$A30,T_TTAFStock_Log[WeekIndex],89)=0,"",SUMIFS(T_TTAFStock_Log[TTAF_Qty],T_TTAFStock_Log[Part Name],$A30,T_TTAFStock_Log[WeekIndex],89))</f>
        <v/>
      </c>
      <c r="CM30" s="12">
        <f>IF(COUNTIFS(T_TTAFStock_Log[Part Name],$A30,T_TTAFStock_Log[WeekIndex],90)=0,"",SUMIFS(T_TTAFStock_Log[TTAF_Qty],T_TTAFStock_Log[Part Name],$A30,T_TTAFStock_Log[WeekIndex],90))</f>
        <v/>
      </c>
      <c r="CN30" s="12">
        <f>IF(COUNTIFS(T_TTAFStock_Log[Part Name],$A30,T_TTAFStock_Log[WeekIndex],91)=0,"",SUMIFS(T_TTAFStock_Log[TTAF_Qty],T_TTAFStock_Log[Part Name],$A30,T_TTAFStock_Log[WeekIndex],91))</f>
        <v/>
      </c>
      <c r="CO30" s="12">
        <f>IF(COUNTIFS(T_TTAFStock_Log[Part Name],$A30,T_TTAFStock_Log[WeekIndex],92)=0,"",SUMIFS(T_TTAFStock_Log[TTAF_Qty],T_TTAFStock_Log[Part Name],$A30,T_TTAFStock_Log[WeekIndex],92))</f>
        <v/>
      </c>
      <c r="CP30" s="12">
        <f>IF(COUNTIFS(T_TTAFStock_Log[Part Name],$A30,T_TTAFStock_Log[WeekIndex],93)=0,"",SUMIFS(T_TTAFStock_Log[TTAF_Qty],T_TTAFStock_Log[Part Name],$A30,T_TTAFStock_Log[WeekIndex],93))</f>
        <v/>
      </c>
      <c r="CQ30" s="12">
        <f>IF(COUNTIFS(T_TTAFStock_Log[Part Name],$A30,T_TTAFStock_Log[WeekIndex],94)=0,"",SUMIFS(T_TTAFStock_Log[TTAF_Qty],T_TTAFStock_Log[Part Name],$A30,T_TTAFStock_Log[WeekIndex],94))</f>
        <v/>
      </c>
      <c r="CR30" s="12">
        <f>IF(COUNTIFS(T_TTAFStock_Log[Part Name],$A30,T_TTAFStock_Log[WeekIndex],95)=0,"",SUMIFS(T_TTAFStock_Log[TTAF_Qty],T_TTAFStock_Log[Part Name],$A30,T_TTAFStock_Log[WeekIndex],95))</f>
        <v/>
      </c>
      <c r="CS30" s="12">
        <f>IF(COUNTIFS(T_TTAFStock_Log[Part Name],$A30,T_TTAFStock_Log[WeekIndex],96)=0,"",SUMIFS(T_TTAFStock_Log[TTAF_Qty],T_TTAFStock_Log[Part Name],$A30,T_TTAFStock_Log[WeekIndex],96))</f>
        <v/>
      </c>
      <c r="CT30" s="12">
        <f>IF(COUNTIFS(T_TTAFStock_Log[Part Name],$A30,T_TTAFStock_Log[WeekIndex],97)=0,"",SUMIFS(T_TTAFStock_Log[TTAF_Qty],T_TTAFStock_Log[Part Name],$A30,T_TTAFStock_Log[WeekIndex],97))</f>
        <v/>
      </c>
      <c r="CU30" s="12">
        <f>IF(COUNTIFS(T_TTAFStock_Log[Part Name],$A30,T_TTAFStock_Log[WeekIndex],98)=0,"",SUMIFS(T_TTAFStock_Log[TTAF_Qty],T_TTAFStock_Log[Part Name],$A30,T_TTAFStock_Log[WeekIndex],98))</f>
        <v/>
      </c>
      <c r="CV30" s="12">
        <f>IF(COUNTIFS(T_TTAFStock_Log[Part Name],$A30,T_TTAFStock_Log[WeekIndex],99)=0,"",SUMIFS(T_TTAFStock_Log[TTAF_Qty],T_TTAFStock_Log[Part Name],$A30,T_TTAFStock_Log[WeekIndex],99))</f>
        <v/>
      </c>
      <c r="CW30" s="12">
        <f>IF(COUNTIFS(T_TTAFStock_Log[Part Name],$A30,T_TTAFStock_Log[WeekIndex],100)=0,"",SUMIFS(T_TTAFStock_Log[TTAF_Qty],T_TTAFStock_Log[Part Name],$A30,T_TTAFStock_Log[WeekIndex],100))</f>
        <v/>
      </c>
      <c r="CX30" s="12">
        <f>IF(COUNTIFS(T_TTAFStock_Log[Part Name],$A30,T_TTAFStock_Log[WeekIndex],101)=0,"",SUMIFS(T_TTAFStock_Log[TTAF_Qty],T_TTAFStock_Log[Part Name],$A30,T_TTAFStock_Log[WeekIndex],101))</f>
        <v/>
      </c>
      <c r="CY30" s="12">
        <f>IF(COUNTIFS(T_TTAFStock_Log[Part Name],$A30,T_TTAFStock_Log[WeekIndex],102)=0,"",SUMIFS(T_TTAFStock_Log[TTAF_Qty],T_TTAFStock_Log[Part Name],$A30,T_TTAFStock_Log[WeekIndex],102))</f>
        <v/>
      </c>
      <c r="CZ30" s="12">
        <f>IF(COUNTIFS(T_TTAFStock_Log[Part Name],$A30,T_TTAFStock_Log[WeekIndex],103)=0,"",SUMIFS(T_TTAFStock_Log[TTAF_Qty],T_TTAFStock_Log[Part Name],$A30,T_TTAFStock_Log[WeekIndex],103))</f>
        <v/>
      </c>
      <c r="DA30" s="12">
        <f>IF(COUNTIFS(T_TTAFStock_Log[Part Name],$A30,T_TTAFStock_Log[WeekIndex],104)=0,"",SUMIFS(T_TTAFStock_Log[TTAF_Qty],T_TTAFStock_Log[Part Name],$A30,T_TTAFStock_Log[WeekIndex],104))</f>
        <v/>
      </c>
    </row>
    <row r="31">
      <c r="A31" s="13" t="inlineStr">
        <is>
          <t>CHEM-1680</t>
        </is>
      </c>
      <c r="B31" s="13">
        <f>IF(COUNTIFS(T_TTAFStock_Log[Part Name],$A31,T_TTAFStock_Log[WeekIndex],1)=0,"",SUMIFS(T_TTAFStock_Log[TTAF_Qty],T_TTAFStock_Log[Part Name],$A31,T_TTAFStock_Log[WeekIndex],1))</f>
        <v/>
      </c>
      <c r="C31" s="13">
        <f>IF(COUNTIFS(T_TTAFStock_Log[Part Name],$A31,T_TTAFStock_Log[WeekIndex],2)=0,"",SUMIFS(T_TTAFStock_Log[TTAF_Qty],T_TTAFStock_Log[Part Name],$A31,T_TTAFStock_Log[WeekIndex],2))</f>
        <v/>
      </c>
      <c r="D31" s="13">
        <f>IF(COUNTIFS(T_TTAFStock_Log[Part Name],$A31,T_TTAFStock_Log[WeekIndex],3)=0,"",SUMIFS(T_TTAFStock_Log[TTAF_Qty],T_TTAFStock_Log[Part Name],$A31,T_TTAFStock_Log[WeekIndex],3))</f>
        <v/>
      </c>
      <c r="E31" s="13">
        <f>IF(COUNTIFS(T_TTAFStock_Log[Part Name],$A31,T_TTAFStock_Log[WeekIndex],4)=0,"",SUMIFS(T_TTAFStock_Log[TTAF_Qty],T_TTAFStock_Log[Part Name],$A31,T_TTAFStock_Log[WeekIndex],4))</f>
        <v/>
      </c>
      <c r="F31" s="13">
        <f>IF(COUNTIFS(T_TTAFStock_Log[Part Name],$A31,T_TTAFStock_Log[WeekIndex],5)=0,"",SUMIFS(T_TTAFStock_Log[TTAF_Qty],T_TTAFStock_Log[Part Name],$A31,T_TTAFStock_Log[WeekIndex],5))</f>
        <v/>
      </c>
      <c r="G31" s="13">
        <f>IF(COUNTIFS(T_TTAFStock_Log[Part Name],$A31,T_TTAFStock_Log[WeekIndex],6)=0,"",SUMIFS(T_TTAFStock_Log[TTAF_Qty],T_TTAFStock_Log[Part Name],$A31,T_TTAFStock_Log[WeekIndex],6))</f>
        <v/>
      </c>
      <c r="H31" s="13">
        <f>IF(COUNTIFS(T_TTAFStock_Log[Part Name],$A31,T_TTAFStock_Log[WeekIndex],7)=0,"",SUMIFS(T_TTAFStock_Log[TTAF_Qty],T_TTAFStock_Log[Part Name],$A31,T_TTAFStock_Log[WeekIndex],7))</f>
        <v/>
      </c>
      <c r="I31" s="13">
        <f>IF(COUNTIFS(T_TTAFStock_Log[Part Name],$A31,T_TTAFStock_Log[WeekIndex],8)=0,"",SUMIFS(T_TTAFStock_Log[TTAF_Qty],T_TTAFStock_Log[Part Name],$A31,T_TTAFStock_Log[WeekIndex],8))</f>
        <v/>
      </c>
      <c r="J31" s="13">
        <f>IF(COUNTIFS(T_TTAFStock_Log[Part Name],$A31,T_TTAFStock_Log[WeekIndex],9)=0,"",SUMIFS(T_TTAFStock_Log[TTAF_Qty],T_TTAFStock_Log[Part Name],$A31,T_TTAFStock_Log[WeekIndex],9))</f>
        <v/>
      </c>
      <c r="K31" s="13">
        <f>IF(COUNTIFS(T_TTAFStock_Log[Part Name],$A31,T_TTAFStock_Log[WeekIndex],10)=0,"",SUMIFS(T_TTAFStock_Log[TTAF_Qty],T_TTAFStock_Log[Part Name],$A31,T_TTAFStock_Log[WeekIndex],10))</f>
        <v/>
      </c>
      <c r="L31" s="13">
        <f>IF(COUNTIFS(T_TTAFStock_Log[Part Name],$A31,T_TTAFStock_Log[WeekIndex],11)=0,"",SUMIFS(T_TTAFStock_Log[TTAF_Qty],T_TTAFStock_Log[Part Name],$A31,T_TTAFStock_Log[WeekIndex],11))</f>
        <v/>
      </c>
      <c r="M31" s="13">
        <f>IF(COUNTIFS(T_TTAFStock_Log[Part Name],$A31,T_TTAFStock_Log[WeekIndex],12)=0,"",SUMIFS(T_TTAFStock_Log[TTAF_Qty],T_TTAFStock_Log[Part Name],$A31,T_TTAFStock_Log[WeekIndex],12))</f>
        <v/>
      </c>
      <c r="N31" s="13">
        <f>IF(COUNTIFS(T_TTAFStock_Log[Part Name],$A31,T_TTAFStock_Log[WeekIndex],13)=0,"",SUMIFS(T_TTAFStock_Log[TTAF_Qty],T_TTAFStock_Log[Part Name],$A31,T_TTAFStock_Log[WeekIndex],13))</f>
        <v/>
      </c>
      <c r="O31" s="13">
        <f>IF(COUNTIFS(T_TTAFStock_Log[Part Name],$A31,T_TTAFStock_Log[WeekIndex],14)=0,"",SUMIFS(T_TTAFStock_Log[TTAF_Qty],T_TTAFStock_Log[Part Name],$A31,T_TTAFStock_Log[WeekIndex],14))</f>
        <v/>
      </c>
      <c r="P31" s="13">
        <f>IF(COUNTIFS(T_TTAFStock_Log[Part Name],$A31,T_TTAFStock_Log[WeekIndex],15)=0,"",SUMIFS(T_TTAFStock_Log[TTAF_Qty],T_TTAFStock_Log[Part Name],$A31,T_TTAFStock_Log[WeekIndex],15))</f>
        <v/>
      </c>
      <c r="Q31" s="13">
        <f>IF(COUNTIFS(T_TTAFStock_Log[Part Name],$A31,T_TTAFStock_Log[WeekIndex],16)=0,"",SUMIFS(T_TTAFStock_Log[TTAF_Qty],T_TTAFStock_Log[Part Name],$A31,T_TTAFStock_Log[WeekIndex],16))</f>
        <v/>
      </c>
      <c r="R31" s="13">
        <f>IF(COUNTIFS(T_TTAFStock_Log[Part Name],$A31,T_TTAFStock_Log[WeekIndex],17)=0,"",SUMIFS(T_TTAFStock_Log[TTAF_Qty],T_TTAFStock_Log[Part Name],$A31,T_TTAFStock_Log[WeekIndex],17))</f>
        <v/>
      </c>
      <c r="S31" s="13">
        <f>IF(COUNTIFS(T_TTAFStock_Log[Part Name],$A31,T_TTAFStock_Log[WeekIndex],18)=0,"",SUMIFS(T_TTAFStock_Log[TTAF_Qty],T_TTAFStock_Log[Part Name],$A31,T_TTAFStock_Log[WeekIndex],18))</f>
        <v/>
      </c>
      <c r="T31" s="13">
        <f>IF(COUNTIFS(T_TTAFStock_Log[Part Name],$A31,T_TTAFStock_Log[WeekIndex],19)=0,"",SUMIFS(T_TTAFStock_Log[TTAF_Qty],T_TTAFStock_Log[Part Name],$A31,T_TTAFStock_Log[WeekIndex],19))</f>
        <v/>
      </c>
      <c r="U31" s="13">
        <f>IF(COUNTIFS(T_TTAFStock_Log[Part Name],$A31,T_TTAFStock_Log[WeekIndex],20)=0,"",SUMIFS(T_TTAFStock_Log[TTAF_Qty],T_TTAFStock_Log[Part Name],$A31,T_TTAFStock_Log[WeekIndex],20))</f>
        <v/>
      </c>
      <c r="V31" s="13">
        <f>IF(COUNTIFS(T_TTAFStock_Log[Part Name],$A31,T_TTAFStock_Log[WeekIndex],21)=0,"",SUMIFS(T_TTAFStock_Log[TTAF_Qty],T_TTAFStock_Log[Part Name],$A31,T_TTAFStock_Log[WeekIndex],21))</f>
        <v/>
      </c>
      <c r="W31" s="13">
        <f>IF(COUNTIFS(T_TTAFStock_Log[Part Name],$A31,T_TTAFStock_Log[WeekIndex],22)=0,"",SUMIFS(T_TTAFStock_Log[TTAF_Qty],T_TTAFStock_Log[Part Name],$A31,T_TTAFStock_Log[WeekIndex],22))</f>
        <v/>
      </c>
      <c r="X31" s="13">
        <f>IF(COUNTIFS(T_TTAFStock_Log[Part Name],$A31,T_TTAFStock_Log[WeekIndex],23)=0,"",SUMIFS(T_TTAFStock_Log[TTAF_Qty],T_TTAFStock_Log[Part Name],$A31,T_TTAFStock_Log[WeekIndex],23))</f>
        <v/>
      </c>
      <c r="Y31" s="13">
        <f>IF(COUNTIFS(T_TTAFStock_Log[Part Name],$A31,T_TTAFStock_Log[WeekIndex],24)=0,"",SUMIFS(T_TTAFStock_Log[TTAF_Qty],T_TTAFStock_Log[Part Name],$A31,T_TTAFStock_Log[WeekIndex],24))</f>
        <v/>
      </c>
      <c r="Z31" s="13">
        <f>IF(COUNTIFS(T_TTAFStock_Log[Part Name],$A31,T_TTAFStock_Log[WeekIndex],25)=0,"",SUMIFS(T_TTAFStock_Log[TTAF_Qty],T_TTAFStock_Log[Part Name],$A31,T_TTAFStock_Log[WeekIndex],25))</f>
        <v/>
      </c>
      <c r="AA31" s="13">
        <f>IF(COUNTIFS(T_TTAFStock_Log[Part Name],$A31,T_TTAFStock_Log[WeekIndex],26)=0,"",SUMIFS(T_TTAFStock_Log[TTAF_Qty],T_TTAFStock_Log[Part Name],$A31,T_TTAFStock_Log[WeekIndex],26))</f>
        <v/>
      </c>
      <c r="AB31" s="13">
        <f>IF(COUNTIFS(T_TTAFStock_Log[Part Name],$A31,T_TTAFStock_Log[WeekIndex],27)=0,"",SUMIFS(T_TTAFStock_Log[TTAF_Qty],T_TTAFStock_Log[Part Name],$A31,T_TTAFStock_Log[WeekIndex],27))</f>
        <v/>
      </c>
      <c r="AC31" s="13">
        <f>IF(COUNTIFS(T_TTAFStock_Log[Part Name],$A31,T_TTAFStock_Log[WeekIndex],28)=0,"",SUMIFS(T_TTAFStock_Log[TTAF_Qty],T_TTAFStock_Log[Part Name],$A31,T_TTAFStock_Log[WeekIndex],28))</f>
        <v/>
      </c>
      <c r="AD31" s="13">
        <f>IF(COUNTIFS(T_TTAFStock_Log[Part Name],$A31,T_TTAFStock_Log[WeekIndex],29)=0,"",SUMIFS(T_TTAFStock_Log[TTAF_Qty],T_TTAFStock_Log[Part Name],$A31,T_TTAFStock_Log[WeekIndex],29))</f>
        <v/>
      </c>
      <c r="AE31" s="13">
        <f>IF(COUNTIFS(T_TTAFStock_Log[Part Name],$A31,T_TTAFStock_Log[WeekIndex],30)=0,"",SUMIFS(T_TTAFStock_Log[TTAF_Qty],T_TTAFStock_Log[Part Name],$A31,T_TTAFStock_Log[WeekIndex],30))</f>
        <v/>
      </c>
      <c r="AF31" s="13">
        <f>IF(COUNTIFS(T_TTAFStock_Log[Part Name],$A31,T_TTAFStock_Log[WeekIndex],31)=0,"",SUMIFS(T_TTAFStock_Log[TTAF_Qty],T_TTAFStock_Log[Part Name],$A31,T_TTAFStock_Log[WeekIndex],31))</f>
        <v/>
      </c>
      <c r="AG31" s="13">
        <f>IF(COUNTIFS(T_TTAFStock_Log[Part Name],$A31,T_TTAFStock_Log[WeekIndex],32)=0,"",SUMIFS(T_TTAFStock_Log[TTAF_Qty],T_TTAFStock_Log[Part Name],$A31,T_TTAFStock_Log[WeekIndex],32))</f>
        <v/>
      </c>
      <c r="AH31" s="13">
        <f>IF(COUNTIFS(T_TTAFStock_Log[Part Name],$A31,T_TTAFStock_Log[WeekIndex],33)=0,"",SUMIFS(T_TTAFStock_Log[TTAF_Qty],T_TTAFStock_Log[Part Name],$A31,T_TTAFStock_Log[WeekIndex],33))</f>
        <v/>
      </c>
      <c r="AI31" s="13">
        <f>IF(COUNTIFS(T_TTAFStock_Log[Part Name],$A31,T_TTAFStock_Log[WeekIndex],34)=0,"",SUMIFS(T_TTAFStock_Log[TTAF_Qty],T_TTAFStock_Log[Part Name],$A31,T_TTAFStock_Log[WeekIndex],34))</f>
        <v/>
      </c>
      <c r="AJ31" s="13">
        <f>IF(COUNTIFS(T_TTAFStock_Log[Part Name],$A31,T_TTAFStock_Log[WeekIndex],35)=0,"",SUMIFS(T_TTAFStock_Log[TTAF_Qty],T_TTAFStock_Log[Part Name],$A31,T_TTAFStock_Log[WeekIndex],35))</f>
        <v/>
      </c>
      <c r="AK31" s="13">
        <f>IF(COUNTIFS(T_TTAFStock_Log[Part Name],$A31,T_TTAFStock_Log[WeekIndex],36)=0,"",SUMIFS(T_TTAFStock_Log[TTAF_Qty],T_TTAFStock_Log[Part Name],$A31,T_TTAFStock_Log[WeekIndex],36))</f>
        <v/>
      </c>
      <c r="AL31" s="13">
        <f>IF(COUNTIFS(T_TTAFStock_Log[Part Name],$A31,T_TTAFStock_Log[WeekIndex],37)=0,"",SUMIFS(T_TTAFStock_Log[TTAF_Qty],T_TTAFStock_Log[Part Name],$A31,T_TTAFStock_Log[WeekIndex],37))</f>
        <v/>
      </c>
      <c r="AM31" s="13">
        <f>IF(COUNTIFS(T_TTAFStock_Log[Part Name],$A31,T_TTAFStock_Log[WeekIndex],38)=0,"",SUMIFS(T_TTAFStock_Log[TTAF_Qty],T_TTAFStock_Log[Part Name],$A31,T_TTAFStock_Log[WeekIndex],38))</f>
        <v/>
      </c>
      <c r="AN31" s="13">
        <f>IF(COUNTIFS(T_TTAFStock_Log[Part Name],$A31,T_TTAFStock_Log[WeekIndex],39)=0,"",SUMIFS(T_TTAFStock_Log[TTAF_Qty],T_TTAFStock_Log[Part Name],$A31,T_TTAFStock_Log[WeekIndex],39))</f>
        <v/>
      </c>
      <c r="AO31" s="13">
        <f>IF(COUNTIFS(T_TTAFStock_Log[Part Name],$A31,T_TTAFStock_Log[WeekIndex],40)=0,"",SUMIFS(T_TTAFStock_Log[TTAF_Qty],T_TTAFStock_Log[Part Name],$A31,T_TTAFStock_Log[WeekIndex],40))</f>
        <v/>
      </c>
      <c r="AP31" s="13">
        <f>IF(COUNTIFS(T_TTAFStock_Log[Part Name],$A31,T_TTAFStock_Log[WeekIndex],41)=0,"",SUMIFS(T_TTAFStock_Log[TTAF_Qty],T_TTAFStock_Log[Part Name],$A31,T_TTAFStock_Log[WeekIndex],41))</f>
        <v/>
      </c>
      <c r="AQ31" s="13">
        <f>IF(COUNTIFS(T_TTAFStock_Log[Part Name],$A31,T_TTAFStock_Log[WeekIndex],42)=0,"",SUMIFS(T_TTAFStock_Log[TTAF_Qty],T_TTAFStock_Log[Part Name],$A31,T_TTAFStock_Log[WeekIndex],42))</f>
        <v/>
      </c>
      <c r="AR31" s="13">
        <f>IF(COUNTIFS(T_TTAFStock_Log[Part Name],$A31,T_TTAFStock_Log[WeekIndex],43)=0,"",SUMIFS(T_TTAFStock_Log[TTAF_Qty],T_TTAFStock_Log[Part Name],$A31,T_TTAFStock_Log[WeekIndex],43))</f>
        <v/>
      </c>
      <c r="AS31" s="13">
        <f>IF(COUNTIFS(T_TTAFStock_Log[Part Name],$A31,T_TTAFStock_Log[WeekIndex],44)=0,"",SUMIFS(T_TTAFStock_Log[TTAF_Qty],T_TTAFStock_Log[Part Name],$A31,T_TTAFStock_Log[WeekIndex],44))</f>
        <v/>
      </c>
      <c r="AT31" s="13">
        <f>IF(COUNTIFS(T_TTAFStock_Log[Part Name],$A31,T_TTAFStock_Log[WeekIndex],45)=0,"",SUMIFS(T_TTAFStock_Log[TTAF_Qty],T_TTAFStock_Log[Part Name],$A31,T_TTAFStock_Log[WeekIndex],45))</f>
        <v/>
      </c>
      <c r="AU31" s="13">
        <f>IF(COUNTIFS(T_TTAFStock_Log[Part Name],$A31,T_TTAFStock_Log[WeekIndex],46)=0,"",SUMIFS(T_TTAFStock_Log[TTAF_Qty],T_TTAFStock_Log[Part Name],$A31,T_TTAFStock_Log[WeekIndex],46))</f>
        <v/>
      </c>
      <c r="AV31" s="13">
        <f>IF(COUNTIFS(T_TTAFStock_Log[Part Name],$A31,T_TTAFStock_Log[WeekIndex],47)=0,"",SUMIFS(T_TTAFStock_Log[TTAF_Qty],T_TTAFStock_Log[Part Name],$A31,T_TTAFStock_Log[WeekIndex],47))</f>
        <v/>
      </c>
      <c r="AW31" s="13">
        <f>IF(COUNTIFS(T_TTAFStock_Log[Part Name],$A31,T_TTAFStock_Log[WeekIndex],48)=0,"",SUMIFS(T_TTAFStock_Log[TTAF_Qty],T_TTAFStock_Log[Part Name],$A31,T_TTAFStock_Log[WeekIndex],48))</f>
        <v/>
      </c>
      <c r="AX31" s="13">
        <f>IF(COUNTIFS(T_TTAFStock_Log[Part Name],$A31,T_TTAFStock_Log[WeekIndex],49)=0,"",SUMIFS(T_TTAFStock_Log[TTAF_Qty],T_TTAFStock_Log[Part Name],$A31,T_TTAFStock_Log[WeekIndex],49))</f>
        <v/>
      </c>
      <c r="AY31" s="13">
        <f>IF(COUNTIFS(T_TTAFStock_Log[Part Name],$A31,T_TTAFStock_Log[WeekIndex],50)=0,"",SUMIFS(T_TTAFStock_Log[TTAF_Qty],T_TTAFStock_Log[Part Name],$A31,T_TTAFStock_Log[WeekIndex],50))</f>
        <v/>
      </c>
      <c r="AZ31" s="13">
        <f>IF(COUNTIFS(T_TTAFStock_Log[Part Name],$A31,T_TTAFStock_Log[WeekIndex],51)=0,"",SUMIFS(T_TTAFStock_Log[TTAF_Qty],T_TTAFStock_Log[Part Name],$A31,T_TTAFStock_Log[WeekIndex],51))</f>
        <v/>
      </c>
      <c r="BA31" s="13">
        <f>IF(COUNTIFS(T_TTAFStock_Log[Part Name],$A31,T_TTAFStock_Log[WeekIndex],52)=0,"",SUMIFS(T_TTAFStock_Log[TTAF_Qty],T_TTAFStock_Log[Part Name],$A31,T_TTAFStock_Log[WeekIndex],52))</f>
        <v/>
      </c>
      <c r="BB31" s="13">
        <f>IF(COUNTIFS(T_TTAFStock_Log[Part Name],$A31,T_TTAFStock_Log[WeekIndex],53)=0,"",SUMIFS(T_TTAFStock_Log[TTAF_Qty],T_TTAFStock_Log[Part Name],$A31,T_TTAFStock_Log[WeekIndex],53))</f>
        <v/>
      </c>
      <c r="BC31" s="13">
        <f>IF(COUNTIFS(T_TTAFStock_Log[Part Name],$A31,T_TTAFStock_Log[WeekIndex],54)=0,"",SUMIFS(T_TTAFStock_Log[TTAF_Qty],T_TTAFStock_Log[Part Name],$A31,T_TTAFStock_Log[WeekIndex],54))</f>
        <v/>
      </c>
      <c r="BD31" s="13">
        <f>IF(COUNTIFS(T_TTAFStock_Log[Part Name],$A31,T_TTAFStock_Log[WeekIndex],55)=0,"",SUMIFS(T_TTAFStock_Log[TTAF_Qty],T_TTAFStock_Log[Part Name],$A31,T_TTAFStock_Log[WeekIndex],55))</f>
        <v/>
      </c>
      <c r="BE31" s="13">
        <f>IF(COUNTIFS(T_TTAFStock_Log[Part Name],$A31,T_TTAFStock_Log[WeekIndex],56)=0,"",SUMIFS(T_TTAFStock_Log[TTAF_Qty],T_TTAFStock_Log[Part Name],$A31,T_TTAFStock_Log[WeekIndex],56))</f>
        <v/>
      </c>
      <c r="BF31" s="13">
        <f>IF(COUNTIFS(T_TTAFStock_Log[Part Name],$A31,T_TTAFStock_Log[WeekIndex],57)=0,"",SUMIFS(T_TTAFStock_Log[TTAF_Qty],T_TTAFStock_Log[Part Name],$A31,T_TTAFStock_Log[WeekIndex],57))</f>
        <v/>
      </c>
      <c r="BG31" s="13">
        <f>IF(COUNTIFS(T_TTAFStock_Log[Part Name],$A31,T_TTAFStock_Log[WeekIndex],58)=0,"",SUMIFS(T_TTAFStock_Log[TTAF_Qty],T_TTAFStock_Log[Part Name],$A31,T_TTAFStock_Log[WeekIndex],58))</f>
        <v/>
      </c>
      <c r="BH31" s="13">
        <f>IF(COUNTIFS(T_TTAFStock_Log[Part Name],$A31,T_TTAFStock_Log[WeekIndex],59)=0,"",SUMIFS(T_TTAFStock_Log[TTAF_Qty],T_TTAFStock_Log[Part Name],$A31,T_TTAFStock_Log[WeekIndex],59))</f>
        <v/>
      </c>
      <c r="BI31" s="13">
        <f>IF(COUNTIFS(T_TTAFStock_Log[Part Name],$A31,T_TTAFStock_Log[WeekIndex],60)=0,"",SUMIFS(T_TTAFStock_Log[TTAF_Qty],T_TTAFStock_Log[Part Name],$A31,T_TTAFStock_Log[WeekIndex],60))</f>
        <v/>
      </c>
      <c r="BJ31" s="13">
        <f>IF(COUNTIFS(T_TTAFStock_Log[Part Name],$A31,T_TTAFStock_Log[WeekIndex],61)=0,"",SUMIFS(T_TTAFStock_Log[TTAF_Qty],T_TTAFStock_Log[Part Name],$A31,T_TTAFStock_Log[WeekIndex],61))</f>
        <v/>
      </c>
      <c r="BK31" s="13">
        <f>IF(COUNTIFS(T_TTAFStock_Log[Part Name],$A31,T_TTAFStock_Log[WeekIndex],62)=0,"",SUMIFS(T_TTAFStock_Log[TTAF_Qty],T_TTAFStock_Log[Part Name],$A31,T_TTAFStock_Log[WeekIndex],62))</f>
        <v/>
      </c>
      <c r="BL31" s="13">
        <f>IF(COUNTIFS(T_TTAFStock_Log[Part Name],$A31,T_TTAFStock_Log[WeekIndex],63)=0,"",SUMIFS(T_TTAFStock_Log[TTAF_Qty],T_TTAFStock_Log[Part Name],$A31,T_TTAFStock_Log[WeekIndex],63))</f>
        <v/>
      </c>
      <c r="BM31" s="13">
        <f>IF(COUNTIFS(T_TTAFStock_Log[Part Name],$A31,T_TTAFStock_Log[WeekIndex],64)=0,"",SUMIFS(T_TTAFStock_Log[TTAF_Qty],T_TTAFStock_Log[Part Name],$A31,T_TTAFStock_Log[WeekIndex],64))</f>
        <v/>
      </c>
      <c r="BN31" s="13">
        <f>IF(COUNTIFS(T_TTAFStock_Log[Part Name],$A31,T_TTAFStock_Log[WeekIndex],65)=0,"",SUMIFS(T_TTAFStock_Log[TTAF_Qty],T_TTAFStock_Log[Part Name],$A31,T_TTAFStock_Log[WeekIndex],65))</f>
        <v/>
      </c>
      <c r="BO31" s="13">
        <f>IF(COUNTIFS(T_TTAFStock_Log[Part Name],$A31,T_TTAFStock_Log[WeekIndex],66)=0,"",SUMIFS(T_TTAFStock_Log[TTAF_Qty],T_TTAFStock_Log[Part Name],$A31,T_TTAFStock_Log[WeekIndex],66))</f>
        <v/>
      </c>
      <c r="BP31" s="13">
        <f>IF(COUNTIFS(T_TTAFStock_Log[Part Name],$A31,T_TTAFStock_Log[WeekIndex],67)=0,"",SUMIFS(T_TTAFStock_Log[TTAF_Qty],T_TTAFStock_Log[Part Name],$A31,T_TTAFStock_Log[WeekIndex],67))</f>
        <v/>
      </c>
      <c r="BQ31" s="13">
        <f>IF(COUNTIFS(T_TTAFStock_Log[Part Name],$A31,T_TTAFStock_Log[WeekIndex],68)=0,"",SUMIFS(T_TTAFStock_Log[TTAF_Qty],T_TTAFStock_Log[Part Name],$A31,T_TTAFStock_Log[WeekIndex],68))</f>
        <v/>
      </c>
      <c r="BR31" s="13">
        <f>IF(COUNTIFS(T_TTAFStock_Log[Part Name],$A31,T_TTAFStock_Log[WeekIndex],69)=0,"",SUMIFS(T_TTAFStock_Log[TTAF_Qty],T_TTAFStock_Log[Part Name],$A31,T_TTAFStock_Log[WeekIndex],69))</f>
        <v/>
      </c>
      <c r="BS31" s="13">
        <f>IF(COUNTIFS(T_TTAFStock_Log[Part Name],$A31,T_TTAFStock_Log[WeekIndex],70)=0,"",SUMIFS(T_TTAFStock_Log[TTAF_Qty],T_TTAFStock_Log[Part Name],$A31,T_TTAFStock_Log[WeekIndex],70))</f>
        <v/>
      </c>
      <c r="BT31" s="13">
        <f>IF(COUNTIFS(T_TTAFStock_Log[Part Name],$A31,T_TTAFStock_Log[WeekIndex],71)=0,"",SUMIFS(T_TTAFStock_Log[TTAF_Qty],T_TTAFStock_Log[Part Name],$A31,T_TTAFStock_Log[WeekIndex],71))</f>
        <v/>
      </c>
      <c r="BU31" s="13">
        <f>IF(COUNTIFS(T_TTAFStock_Log[Part Name],$A31,T_TTAFStock_Log[WeekIndex],72)=0,"",SUMIFS(T_TTAFStock_Log[TTAF_Qty],T_TTAFStock_Log[Part Name],$A31,T_TTAFStock_Log[WeekIndex],72))</f>
        <v/>
      </c>
      <c r="BV31" s="13">
        <f>IF(COUNTIFS(T_TTAFStock_Log[Part Name],$A31,T_TTAFStock_Log[WeekIndex],73)=0,"",SUMIFS(T_TTAFStock_Log[TTAF_Qty],T_TTAFStock_Log[Part Name],$A31,T_TTAFStock_Log[WeekIndex],73))</f>
        <v/>
      </c>
      <c r="BW31" s="13">
        <f>IF(COUNTIFS(T_TTAFStock_Log[Part Name],$A31,T_TTAFStock_Log[WeekIndex],74)=0,"",SUMIFS(T_TTAFStock_Log[TTAF_Qty],T_TTAFStock_Log[Part Name],$A31,T_TTAFStock_Log[WeekIndex],74))</f>
        <v/>
      </c>
      <c r="BX31" s="13">
        <f>IF(COUNTIFS(T_TTAFStock_Log[Part Name],$A31,T_TTAFStock_Log[WeekIndex],75)=0,"",SUMIFS(T_TTAFStock_Log[TTAF_Qty],T_TTAFStock_Log[Part Name],$A31,T_TTAFStock_Log[WeekIndex],75))</f>
        <v/>
      </c>
      <c r="BY31" s="13">
        <f>IF(COUNTIFS(T_TTAFStock_Log[Part Name],$A31,T_TTAFStock_Log[WeekIndex],76)=0,"",SUMIFS(T_TTAFStock_Log[TTAF_Qty],T_TTAFStock_Log[Part Name],$A31,T_TTAFStock_Log[WeekIndex],76))</f>
        <v/>
      </c>
      <c r="BZ31" s="13">
        <f>IF(COUNTIFS(T_TTAFStock_Log[Part Name],$A31,T_TTAFStock_Log[WeekIndex],77)=0,"",SUMIFS(T_TTAFStock_Log[TTAF_Qty],T_TTAFStock_Log[Part Name],$A31,T_TTAFStock_Log[WeekIndex],77))</f>
        <v/>
      </c>
      <c r="CA31" s="13">
        <f>IF(COUNTIFS(T_TTAFStock_Log[Part Name],$A31,T_TTAFStock_Log[WeekIndex],78)=0,"",SUMIFS(T_TTAFStock_Log[TTAF_Qty],T_TTAFStock_Log[Part Name],$A31,T_TTAFStock_Log[WeekIndex],78))</f>
        <v/>
      </c>
      <c r="CB31" s="13">
        <f>IF(COUNTIFS(T_TTAFStock_Log[Part Name],$A31,T_TTAFStock_Log[WeekIndex],79)=0,"",SUMIFS(T_TTAFStock_Log[TTAF_Qty],T_TTAFStock_Log[Part Name],$A31,T_TTAFStock_Log[WeekIndex],79))</f>
        <v/>
      </c>
      <c r="CC31" s="13">
        <f>IF(COUNTIFS(T_TTAFStock_Log[Part Name],$A31,T_TTAFStock_Log[WeekIndex],80)=0,"",SUMIFS(T_TTAFStock_Log[TTAF_Qty],T_TTAFStock_Log[Part Name],$A31,T_TTAFStock_Log[WeekIndex],80))</f>
        <v/>
      </c>
      <c r="CD31" s="13">
        <f>IF(COUNTIFS(T_TTAFStock_Log[Part Name],$A31,T_TTAFStock_Log[WeekIndex],81)=0,"",SUMIFS(T_TTAFStock_Log[TTAF_Qty],T_TTAFStock_Log[Part Name],$A31,T_TTAFStock_Log[WeekIndex],81))</f>
        <v/>
      </c>
      <c r="CE31" s="13">
        <f>IF(COUNTIFS(T_TTAFStock_Log[Part Name],$A31,T_TTAFStock_Log[WeekIndex],82)=0,"",SUMIFS(T_TTAFStock_Log[TTAF_Qty],T_TTAFStock_Log[Part Name],$A31,T_TTAFStock_Log[WeekIndex],82))</f>
        <v/>
      </c>
      <c r="CF31" s="13">
        <f>IF(COUNTIFS(T_TTAFStock_Log[Part Name],$A31,T_TTAFStock_Log[WeekIndex],83)=0,"",SUMIFS(T_TTAFStock_Log[TTAF_Qty],T_TTAFStock_Log[Part Name],$A31,T_TTAFStock_Log[WeekIndex],83))</f>
        <v/>
      </c>
      <c r="CG31" s="13">
        <f>IF(COUNTIFS(T_TTAFStock_Log[Part Name],$A31,T_TTAFStock_Log[WeekIndex],84)=0,"",SUMIFS(T_TTAFStock_Log[TTAF_Qty],T_TTAFStock_Log[Part Name],$A31,T_TTAFStock_Log[WeekIndex],84))</f>
        <v/>
      </c>
      <c r="CH31" s="13">
        <f>IF(COUNTIFS(T_TTAFStock_Log[Part Name],$A31,T_TTAFStock_Log[WeekIndex],85)=0,"",SUMIFS(T_TTAFStock_Log[TTAF_Qty],T_TTAFStock_Log[Part Name],$A31,T_TTAFStock_Log[WeekIndex],85))</f>
        <v/>
      </c>
      <c r="CI31" s="13">
        <f>IF(COUNTIFS(T_TTAFStock_Log[Part Name],$A31,T_TTAFStock_Log[WeekIndex],86)=0,"",SUMIFS(T_TTAFStock_Log[TTAF_Qty],T_TTAFStock_Log[Part Name],$A31,T_TTAFStock_Log[WeekIndex],86))</f>
        <v/>
      </c>
      <c r="CJ31" s="13">
        <f>IF(COUNTIFS(T_TTAFStock_Log[Part Name],$A31,T_TTAFStock_Log[WeekIndex],87)=0,"",SUMIFS(T_TTAFStock_Log[TTAF_Qty],T_TTAFStock_Log[Part Name],$A31,T_TTAFStock_Log[WeekIndex],87))</f>
        <v/>
      </c>
      <c r="CK31" s="13">
        <f>IF(COUNTIFS(T_TTAFStock_Log[Part Name],$A31,T_TTAFStock_Log[WeekIndex],88)=0,"",SUMIFS(T_TTAFStock_Log[TTAF_Qty],T_TTAFStock_Log[Part Name],$A31,T_TTAFStock_Log[WeekIndex],88))</f>
        <v/>
      </c>
      <c r="CL31" s="13">
        <f>IF(COUNTIFS(T_TTAFStock_Log[Part Name],$A31,T_TTAFStock_Log[WeekIndex],89)=0,"",SUMIFS(T_TTAFStock_Log[TTAF_Qty],T_TTAFStock_Log[Part Name],$A31,T_TTAFStock_Log[WeekIndex],89))</f>
        <v/>
      </c>
      <c r="CM31" s="13">
        <f>IF(COUNTIFS(T_TTAFStock_Log[Part Name],$A31,T_TTAFStock_Log[WeekIndex],90)=0,"",SUMIFS(T_TTAFStock_Log[TTAF_Qty],T_TTAFStock_Log[Part Name],$A31,T_TTAFStock_Log[WeekIndex],90))</f>
        <v/>
      </c>
      <c r="CN31" s="13">
        <f>IF(COUNTIFS(T_TTAFStock_Log[Part Name],$A31,T_TTAFStock_Log[WeekIndex],91)=0,"",SUMIFS(T_TTAFStock_Log[TTAF_Qty],T_TTAFStock_Log[Part Name],$A31,T_TTAFStock_Log[WeekIndex],91))</f>
        <v/>
      </c>
      <c r="CO31" s="13">
        <f>IF(COUNTIFS(T_TTAFStock_Log[Part Name],$A31,T_TTAFStock_Log[WeekIndex],92)=0,"",SUMIFS(T_TTAFStock_Log[TTAF_Qty],T_TTAFStock_Log[Part Name],$A31,T_TTAFStock_Log[WeekIndex],92))</f>
        <v/>
      </c>
      <c r="CP31" s="13">
        <f>IF(COUNTIFS(T_TTAFStock_Log[Part Name],$A31,T_TTAFStock_Log[WeekIndex],93)=0,"",SUMIFS(T_TTAFStock_Log[TTAF_Qty],T_TTAFStock_Log[Part Name],$A31,T_TTAFStock_Log[WeekIndex],93))</f>
        <v/>
      </c>
      <c r="CQ31" s="13">
        <f>IF(COUNTIFS(T_TTAFStock_Log[Part Name],$A31,T_TTAFStock_Log[WeekIndex],94)=0,"",SUMIFS(T_TTAFStock_Log[TTAF_Qty],T_TTAFStock_Log[Part Name],$A31,T_TTAFStock_Log[WeekIndex],94))</f>
        <v/>
      </c>
      <c r="CR31" s="13">
        <f>IF(COUNTIFS(T_TTAFStock_Log[Part Name],$A31,T_TTAFStock_Log[WeekIndex],95)=0,"",SUMIFS(T_TTAFStock_Log[TTAF_Qty],T_TTAFStock_Log[Part Name],$A31,T_TTAFStock_Log[WeekIndex],95))</f>
        <v/>
      </c>
      <c r="CS31" s="13">
        <f>IF(COUNTIFS(T_TTAFStock_Log[Part Name],$A31,T_TTAFStock_Log[WeekIndex],96)=0,"",SUMIFS(T_TTAFStock_Log[TTAF_Qty],T_TTAFStock_Log[Part Name],$A31,T_TTAFStock_Log[WeekIndex],96))</f>
        <v/>
      </c>
      <c r="CT31" s="13">
        <f>IF(COUNTIFS(T_TTAFStock_Log[Part Name],$A31,T_TTAFStock_Log[WeekIndex],97)=0,"",SUMIFS(T_TTAFStock_Log[TTAF_Qty],T_TTAFStock_Log[Part Name],$A31,T_TTAFStock_Log[WeekIndex],97))</f>
        <v/>
      </c>
      <c r="CU31" s="13">
        <f>IF(COUNTIFS(T_TTAFStock_Log[Part Name],$A31,T_TTAFStock_Log[WeekIndex],98)=0,"",SUMIFS(T_TTAFStock_Log[TTAF_Qty],T_TTAFStock_Log[Part Name],$A31,T_TTAFStock_Log[WeekIndex],98))</f>
        <v/>
      </c>
      <c r="CV31" s="13">
        <f>IF(COUNTIFS(T_TTAFStock_Log[Part Name],$A31,T_TTAFStock_Log[WeekIndex],99)=0,"",SUMIFS(T_TTAFStock_Log[TTAF_Qty],T_TTAFStock_Log[Part Name],$A31,T_TTAFStock_Log[WeekIndex],99))</f>
        <v/>
      </c>
      <c r="CW31" s="13">
        <f>IF(COUNTIFS(T_TTAFStock_Log[Part Name],$A31,T_TTAFStock_Log[WeekIndex],100)=0,"",SUMIFS(T_TTAFStock_Log[TTAF_Qty],T_TTAFStock_Log[Part Name],$A31,T_TTAFStock_Log[WeekIndex],100))</f>
        <v/>
      </c>
      <c r="CX31" s="13">
        <f>IF(COUNTIFS(T_TTAFStock_Log[Part Name],$A31,T_TTAFStock_Log[WeekIndex],101)=0,"",SUMIFS(T_TTAFStock_Log[TTAF_Qty],T_TTAFStock_Log[Part Name],$A31,T_TTAFStock_Log[WeekIndex],101))</f>
        <v/>
      </c>
      <c r="CY31" s="13">
        <f>IF(COUNTIFS(T_TTAFStock_Log[Part Name],$A31,T_TTAFStock_Log[WeekIndex],102)=0,"",SUMIFS(T_TTAFStock_Log[TTAF_Qty],T_TTAFStock_Log[Part Name],$A31,T_TTAFStock_Log[WeekIndex],102))</f>
        <v/>
      </c>
      <c r="CZ31" s="13">
        <f>IF(COUNTIFS(T_TTAFStock_Log[Part Name],$A31,T_TTAFStock_Log[WeekIndex],103)=0,"",SUMIFS(T_TTAFStock_Log[TTAF_Qty],T_TTAFStock_Log[Part Name],$A31,T_TTAFStock_Log[WeekIndex],103))</f>
        <v/>
      </c>
      <c r="DA31" s="13">
        <f>IF(COUNTIFS(T_TTAFStock_Log[Part Name],$A31,T_TTAFStock_Log[WeekIndex],104)=0,"",SUMIFS(T_TTAFStock_Log[TTAF_Qty],T_TTAFStock_Log[Part Name],$A31,T_TTAFStock_Log[WeekIndex],104))</f>
        <v/>
      </c>
    </row>
    <row r="32">
      <c r="A32" s="12" t="inlineStr">
        <is>
          <t>CHEM-1820</t>
        </is>
      </c>
      <c r="B32" s="12">
        <f>IF(COUNTIFS(T_TTAFStock_Log[Part Name],$A32,T_TTAFStock_Log[WeekIndex],1)=0,"",SUMIFS(T_TTAFStock_Log[TTAF_Qty],T_TTAFStock_Log[Part Name],$A32,T_TTAFStock_Log[WeekIndex],1))</f>
        <v/>
      </c>
      <c r="C32" s="12">
        <f>IF(COUNTIFS(T_TTAFStock_Log[Part Name],$A32,T_TTAFStock_Log[WeekIndex],2)=0,"",SUMIFS(T_TTAFStock_Log[TTAF_Qty],T_TTAFStock_Log[Part Name],$A32,T_TTAFStock_Log[WeekIndex],2))</f>
        <v/>
      </c>
      <c r="D32" s="12">
        <f>IF(COUNTIFS(T_TTAFStock_Log[Part Name],$A32,T_TTAFStock_Log[WeekIndex],3)=0,"",SUMIFS(T_TTAFStock_Log[TTAF_Qty],T_TTAFStock_Log[Part Name],$A32,T_TTAFStock_Log[WeekIndex],3))</f>
        <v/>
      </c>
      <c r="E32" s="12">
        <f>IF(COUNTIFS(T_TTAFStock_Log[Part Name],$A32,T_TTAFStock_Log[WeekIndex],4)=0,"",SUMIFS(T_TTAFStock_Log[TTAF_Qty],T_TTAFStock_Log[Part Name],$A32,T_TTAFStock_Log[WeekIndex],4))</f>
        <v/>
      </c>
      <c r="F32" s="12">
        <f>IF(COUNTIFS(T_TTAFStock_Log[Part Name],$A32,T_TTAFStock_Log[WeekIndex],5)=0,"",SUMIFS(T_TTAFStock_Log[TTAF_Qty],T_TTAFStock_Log[Part Name],$A32,T_TTAFStock_Log[WeekIndex],5))</f>
        <v/>
      </c>
      <c r="G32" s="12">
        <f>IF(COUNTIFS(T_TTAFStock_Log[Part Name],$A32,T_TTAFStock_Log[WeekIndex],6)=0,"",SUMIFS(T_TTAFStock_Log[TTAF_Qty],T_TTAFStock_Log[Part Name],$A32,T_TTAFStock_Log[WeekIndex],6))</f>
        <v/>
      </c>
      <c r="H32" s="12">
        <f>IF(COUNTIFS(T_TTAFStock_Log[Part Name],$A32,T_TTAFStock_Log[WeekIndex],7)=0,"",SUMIFS(T_TTAFStock_Log[TTAF_Qty],T_TTAFStock_Log[Part Name],$A32,T_TTAFStock_Log[WeekIndex],7))</f>
        <v/>
      </c>
      <c r="I32" s="12">
        <f>IF(COUNTIFS(T_TTAFStock_Log[Part Name],$A32,T_TTAFStock_Log[WeekIndex],8)=0,"",SUMIFS(T_TTAFStock_Log[TTAF_Qty],T_TTAFStock_Log[Part Name],$A32,T_TTAFStock_Log[WeekIndex],8))</f>
        <v/>
      </c>
      <c r="J32" s="12">
        <f>IF(COUNTIFS(T_TTAFStock_Log[Part Name],$A32,T_TTAFStock_Log[WeekIndex],9)=0,"",SUMIFS(T_TTAFStock_Log[TTAF_Qty],T_TTAFStock_Log[Part Name],$A32,T_TTAFStock_Log[WeekIndex],9))</f>
        <v/>
      </c>
      <c r="K32" s="12">
        <f>IF(COUNTIFS(T_TTAFStock_Log[Part Name],$A32,T_TTAFStock_Log[WeekIndex],10)=0,"",SUMIFS(T_TTAFStock_Log[TTAF_Qty],T_TTAFStock_Log[Part Name],$A32,T_TTAFStock_Log[WeekIndex],10))</f>
        <v/>
      </c>
      <c r="L32" s="12">
        <f>IF(COUNTIFS(T_TTAFStock_Log[Part Name],$A32,T_TTAFStock_Log[WeekIndex],11)=0,"",SUMIFS(T_TTAFStock_Log[TTAF_Qty],T_TTAFStock_Log[Part Name],$A32,T_TTAFStock_Log[WeekIndex],11))</f>
        <v/>
      </c>
      <c r="M32" s="12">
        <f>IF(COUNTIFS(T_TTAFStock_Log[Part Name],$A32,T_TTAFStock_Log[WeekIndex],12)=0,"",SUMIFS(T_TTAFStock_Log[TTAF_Qty],T_TTAFStock_Log[Part Name],$A32,T_TTAFStock_Log[WeekIndex],12))</f>
        <v/>
      </c>
      <c r="N32" s="12">
        <f>IF(COUNTIFS(T_TTAFStock_Log[Part Name],$A32,T_TTAFStock_Log[WeekIndex],13)=0,"",SUMIFS(T_TTAFStock_Log[TTAF_Qty],T_TTAFStock_Log[Part Name],$A32,T_TTAFStock_Log[WeekIndex],13))</f>
        <v/>
      </c>
      <c r="O32" s="12">
        <f>IF(COUNTIFS(T_TTAFStock_Log[Part Name],$A32,T_TTAFStock_Log[WeekIndex],14)=0,"",SUMIFS(T_TTAFStock_Log[TTAF_Qty],T_TTAFStock_Log[Part Name],$A32,T_TTAFStock_Log[WeekIndex],14))</f>
        <v/>
      </c>
      <c r="P32" s="12">
        <f>IF(COUNTIFS(T_TTAFStock_Log[Part Name],$A32,T_TTAFStock_Log[WeekIndex],15)=0,"",SUMIFS(T_TTAFStock_Log[TTAF_Qty],T_TTAFStock_Log[Part Name],$A32,T_TTAFStock_Log[WeekIndex],15))</f>
        <v/>
      </c>
      <c r="Q32" s="12">
        <f>IF(COUNTIFS(T_TTAFStock_Log[Part Name],$A32,T_TTAFStock_Log[WeekIndex],16)=0,"",SUMIFS(T_TTAFStock_Log[TTAF_Qty],T_TTAFStock_Log[Part Name],$A32,T_TTAFStock_Log[WeekIndex],16))</f>
        <v/>
      </c>
      <c r="R32" s="12">
        <f>IF(COUNTIFS(T_TTAFStock_Log[Part Name],$A32,T_TTAFStock_Log[WeekIndex],17)=0,"",SUMIFS(T_TTAFStock_Log[TTAF_Qty],T_TTAFStock_Log[Part Name],$A32,T_TTAFStock_Log[WeekIndex],17))</f>
        <v/>
      </c>
      <c r="S32" s="12">
        <f>IF(COUNTIFS(T_TTAFStock_Log[Part Name],$A32,T_TTAFStock_Log[WeekIndex],18)=0,"",SUMIFS(T_TTAFStock_Log[TTAF_Qty],T_TTAFStock_Log[Part Name],$A32,T_TTAFStock_Log[WeekIndex],18))</f>
        <v/>
      </c>
      <c r="T32" s="12">
        <f>IF(COUNTIFS(T_TTAFStock_Log[Part Name],$A32,T_TTAFStock_Log[WeekIndex],19)=0,"",SUMIFS(T_TTAFStock_Log[TTAF_Qty],T_TTAFStock_Log[Part Name],$A32,T_TTAFStock_Log[WeekIndex],19))</f>
        <v/>
      </c>
      <c r="U32" s="12">
        <f>IF(COUNTIFS(T_TTAFStock_Log[Part Name],$A32,T_TTAFStock_Log[WeekIndex],20)=0,"",SUMIFS(T_TTAFStock_Log[TTAF_Qty],T_TTAFStock_Log[Part Name],$A32,T_TTAFStock_Log[WeekIndex],20))</f>
        <v/>
      </c>
      <c r="V32" s="12">
        <f>IF(COUNTIFS(T_TTAFStock_Log[Part Name],$A32,T_TTAFStock_Log[WeekIndex],21)=0,"",SUMIFS(T_TTAFStock_Log[TTAF_Qty],T_TTAFStock_Log[Part Name],$A32,T_TTAFStock_Log[WeekIndex],21))</f>
        <v/>
      </c>
      <c r="W32" s="12">
        <f>IF(COUNTIFS(T_TTAFStock_Log[Part Name],$A32,T_TTAFStock_Log[WeekIndex],22)=0,"",SUMIFS(T_TTAFStock_Log[TTAF_Qty],T_TTAFStock_Log[Part Name],$A32,T_TTAFStock_Log[WeekIndex],22))</f>
        <v/>
      </c>
      <c r="X32" s="12">
        <f>IF(COUNTIFS(T_TTAFStock_Log[Part Name],$A32,T_TTAFStock_Log[WeekIndex],23)=0,"",SUMIFS(T_TTAFStock_Log[TTAF_Qty],T_TTAFStock_Log[Part Name],$A32,T_TTAFStock_Log[WeekIndex],23))</f>
        <v/>
      </c>
      <c r="Y32" s="12">
        <f>IF(COUNTIFS(T_TTAFStock_Log[Part Name],$A32,T_TTAFStock_Log[WeekIndex],24)=0,"",SUMIFS(T_TTAFStock_Log[TTAF_Qty],T_TTAFStock_Log[Part Name],$A32,T_TTAFStock_Log[WeekIndex],24))</f>
        <v/>
      </c>
      <c r="Z32" s="12">
        <f>IF(COUNTIFS(T_TTAFStock_Log[Part Name],$A32,T_TTAFStock_Log[WeekIndex],25)=0,"",SUMIFS(T_TTAFStock_Log[TTAF_Qty],T_TTAFStock_Log[Part Name],$A32,T_TTAFStock_Log[WeekIndex],25))</f>
        <v/>
      </c>
      <c r="AA32" s="12">
        <f>IF(COUNTIFS(T_TTAFStock_Log[Part Name],$A32,T_TTAFStock_Log[WeekIndex],26)=0,"",SUMIFS(T_TTAFStock_Log[TTAF_Qty],T_TTAFStock_Log[Part Name],$A32,T_TTAFStock_Log[WeekIndex],26))</f>
        <v/>
      </c>
      <c r="AB32" s="12">
        <f>IF(COUNTIFS(T_TTAFStock_Log[Part Name],$A32,T_TTAFStock_Log[WeekIndex],27)=0,"",SUMIFS(T_TTAFStock_Log[TTAF_Qty],T_TTAFStock_Log[Part Name],$A32,T_TTAFStock_Log[WeekIndex],27))</f>
        <v/>
      </c>
      <c r="AC32" s="12">
        <f>IF(COUNTIFS(T_TTAFStock_Log[Part Name],$A32,T_TTAFStock_Log[WeekIndex],28)=0,"",SUMIFS(T_TTAFStock_Log[TTAF_Qty],T_TTAFStock_Log[Part Name],$A32,T_TTAFStock_Log[WeekIndex],28))</f>
        <v/>
      </c>
      <c r="AD32" s="12">
        <f>IF(COUNTIFS(T_TTAFStock_Log[Part Name],$A32,T_TTAFStock_Log[WeekIndex],29)=0,"",SUMIFS(T_TTAFStock_Log[TTAF_Qty],T_TTAFStock_Log[Part Name],$A32,T_TTAFStock_Log[WeekIndex],29))</f>
        <v/>
      </c>
      <c r="AE32" s="12">
        <f>IF(COUNTIFS(T_TTAFStock_Log[Part Name],$A32,T_TTAFStock_Log[WeekIndex],30)=0,"",SUMIFS(T_TTAFStock_Log[TTAF_Qty],T_TTAFStock_Log[Part Name],$A32,T_TTAFStock_Log[WeekIndex],30))</f>
        <v/>
      </c>
      <c r="AF32" s="12">
        <f>IF(COUNTIFS(T_TTAFStock_Log[Part Name],$A32,T_TTAFStock_Log[WeekIndex],31)=0,"",SUMIFS(T_TTAFStock_Log[TTAF_Qty],T_TTAFStock_Log[Part Name],$A32,T_TTAFStock_Log[WeekIndex],31))</f>
        <v/>
      </c>
      <c r="AG32" s="12">
        <f>IF(COUNTIFS(T_TTAFStock_Log[Part Name],$A32,T_TTAFStock_Log[WeekIndex],32)=0,"",SUMIFS(T_TTAFStock_Log[TTAF_Qty],T_TTAFStock_Log[Part Name],$A32,T_TTAFStock_Log[WeekIndex],32))</f>
        <v/>
      </c>
      <c r="AH32" s="12">
        <f>IF(COUNTIFS(T_TTAFStock_Log[Part Name],$A32,T_TTAFStock_Log[WeekIndex],33)=0,"",SUMIFS(T_TTAFStock_Log[TTAF_Qty],T_TTAFStock_Log[Part Name],$A32,T_TTAFStock_Log[WeekIndex],33))</f>
        <v/>
      </c>
      <c r="AI32" s="12">
        <f>IF(COUNTIFS(T_TTAFStock_Log[Part Name],$A32,T_TTAFStock_Log[WeekIndex],34)=0,"",SUMIFS(T_TTAFStock_Log[TTAF_Qty],T_TTAFStock_Log[Part Name],$A32,T_TTAFStock_Log[WeekIndex],34))</f>
        <v/>
      </c>
      <c r="AJ32" s="12">
        <f>IF(COUNTIFS(T_TTAFStock_Log[Part Name],$A32,T_TTAFStock_Log[WeekIndex],35)=0,"",SUMIFS(T_TTAFStock_Log[TTAF_Qty],T_TTAFStock_Log[Part Name],$A32,T_TTAFStock_Log[WeekIndex],35))</f>
        <v/>
      </c>
      <c r="AK32" s="12">
        <f>IF(COUNTIFS(T_TTAFStock_Log[Part Name],$A32,T_TTAFStock_Log[WeekIndex],36)=0,"",SUMIFS(T_TTAFStock_Log[TTAF_Qty],T_TTAFStock_Log[Part Name],$A32,T_TTAFStock_Log[WeekIndex],36))</f>
        <v/>
      </c>
      <c r="AL32" s="12">
        <f>IF(COUNTIFS(T_TTAFStock_Log[Part Name],$A32,T_TTAFStock_Log[WeekIndex],37)=0,"",SUMIFS(T_TTAFStock_Log[TTAF_Qty],T_TTAFStock_Log[Part Name],$A32,T_TTAFStock_Log[WeekIndex],37))</f>
        <v/>
      </c>
      <c r="AM32" s="12">
        <f>IF(COUNTIFS(T_TTAFStock_Log[Part Name],$A32,T_TTAFStock_Log[WeekIndex],38)=0,"",SUMIFS(T_TTAFStock_Log[TTAF_Qty],T_TTAFStock_Log[Part Name],$A32,T_TTAFStock_Log[WeekIndex],38))</f>
        <v/>
      </c>
      <c r="AN32" s="12">
        <f>IF(COUNTIFS(T_TTAFStock_Log[Part Name],$A32,T_TTAFStock_Log[WeekIndex],39)=0,"",SUMIFS(T_TTAFStock_Log[TTAF_Qty],T_TTAFStock_Log[Part Name],$A32,T_TTAFStock_Log[WeekIndex],39))</f>
        <v/>
      </c>
      <c r="AO32" s="12">
        <f>IF(COUNTIFS(T_TTAFStock_Log[Part Name],$A32,T_TTAFStock_Log[WeekIndex],40)=0,"",SUMIFS(T_TTAFStock_Log[TTAF_Qty],T_TTAFStock_Log[Part Name],$A32,T_TTAFStock_Log[WeekIndex],40))</f>
        <v/>
      </c>
      <c r="AP32" s="12">
        <f>IF(COUNTIFS(T_TTAFStock_Log[Part Name],$A32,T_TTAFStock_Log[WeekIndex],41)=0,"",SUMIFS(T_TTAFStock_Log[TTAF_Qty],T_TTAFStock_Log[Part Name],$A32,T_TTAFStock_Log[WeekIndex],41))</f>
        <v/>
      </c>
      <c r="AQ32" s="12">
        <f>IF(COUNTIFS(T_TTAFStock_Log[Part Name],$A32,T_TTAFStock_Log[WeekIndex],42)=0,"",SUMIFS(T_TTAFStock_Log[TTAF_Qty],T_TTAFStock_Log[Part Name],$A32,T_TTAFStock_Log[WeekIndex],42))</f>
        <v/>
      </c>
      <c r="AR32" s="12">
        <f>IF(COUNTIFS(T_TTAFStock_Log[Part Name],$A32,T_TTAFStock_Log[WeekIndex],43)=0,"",SUMIFS(T_TTAFStock_Log[TTAF_Qty],T_TTAFStock_Log[Part Name],$A32,T_TTAFStock_Log[WeekIndex],43))</f>
        <v/>
      </c>
      <c r="AS32" s="12">
        <f>IF(COUNTIFS(T_TTAFStock_Log[Part Name],$A32,T_TTAFStock_Log[WeekIndex],44)=0,"",SUMIFS(T_TTAFStock_Log[TTAF_Qty],T_TTAFStock_Log[Part Name],$A32,T_TTAFStock_Log[WeekIndex],44))</f>
        <v/>
      </c>
      <c r="AT32" s="12">
        <f>IF(COUNTIFS(T_TTAFStock_Log[Part Name],$A32,T_TTAFStock_Log[WeekIndex],45)=0,"",SUMIFS(T_TTAFStock_Log[TTAF_Qty],T_TTAFStock_Log[Part Name],$A32,T_TTAFStock_Log[WeekIndex],45))</f>
        <v/>
      </c>
      <c r="AU32" s="12">
        <f>IF(COUNTIFS(T_TTAFStock_Log[Part Name],$A32,T_TTAFStock_Log[WeekIndex],46)=0,"",SUMIFS(T_TTAFStock_Log[TTAF_Qty],T_TTAFStock_Log[Part Name],$A32,T_TTAFStock_Log[WeekIndex],46))</f>
        <v/>
      </c>
      <c r="AV32" s="12">
        <f>IF(COUNTIFS(T_TTAFStock_Log[Part Name],$A32,T_TTAFStock_Log[WeekIndex],47)=0,"",SUMIFS(T_TTAFStock_Log[TTAF_Qty],T_TTAFStock_Log[Part Name],$A32,T_TTAFStock_Log[WeekIndex],47))</f>
        <v/>
      </c>
      <c r="AW32" s="12">
        <f>IF(COUNTIFS(T_TTAFStock_Log[Part Name],$A32,T_TTAFStock_Log[WeekIndex],48)=0,"",SUMIFS(T_TTAFStock_Log[TTAF_Qty],T_TTAFStock_Log[Part Name],$A32,T_TTAFStock_Log[WeekIndex],48))</f>
        <v/>
      </c>
      <c r="AX32" s="12">
        <f>IF(COUNTIFS(T_TTAFStock_Log[Part Name],$A32,T_TTAFStock_Log[WeekIndex],49)=0,"",SUMIFS(T_TTAFStock_Log[TTAF_Qty],T_TTAFStock_Log[Part Name],$A32,T_TTAFStock_Log[WeekIndex],49))</f>
        <v/>
      </c>
      <c r="AY32" s="12">
        <f>IF(COUNTIFS(T_TTAFStock_Log[Part Name],$A32,T_TTAFStock_Log[WeekIndex],50)=0,"",SUMIFS(T_TTAFStock_Log[TTAF_Qty],T_TTAFStock_Log[Part Name],$A32,T_TTAFStock_Log[WeekIndex],50))</f>
        <v/>
      </c>
      <c r="AZ32" s="12">
        <f>IF(COUNTIFS(T_TTAFStock_Log[Part Name],$A32,T_TTAFStock_Log[WeekIndex],51)=0,"",SUMIFS(T_TTAFStock_Log[TTAF_Qty],T_TTAFStock_Log[Part Name],$A32,T_TTAFStock_Log[WeekIndex],51))</f>
        <v/>
      </c>
      <c r="BA32" s="12">
        <f>IF(COUNTIFS(T_TTAFStock_Log[Part Name],$A32,T_TTAFStock_Log[WeekIndex],52)=0,"",SUMIFS(T_TTAFStock_Log[TTAF_Qty],T_TTAFStock_Log[Part Name],$A32,T_TTAFStock_Log[WeekIndex],52))</f>
        <v/>
      </c>
      <c r="BB32" s="12">
        <f>IF(COUNTIFS(T_TTAFStock_Log[Part Name],$A32,T_TTAFStock_Log[WeekIndex],53)=0,"",SUMIFS(T_TTAFStock_Log[TTAF_Qty],T_TTAFStock_Log[Part Name],$A32,T_TTAFStock_Log[WeekIndex],53))</f>
        <v/>
      </c>
      <c r="BC32" s="12">
        <f>IF(COUNTIFS(T_TTAFStock_Log[Part Name],$A32,T_TTAFStock_Log[WeekIndex],54)=0,"",SUMIFS(T_TTAFStock_Log[TTAF_Qty],T_TTAFStock_Log[Part Name],$A32,T_TTAFStock_Log[WeekIndex],54))</f>
        <v/>
      </c>
      <c r="BD32" s="12">
        <f>IF(COUNTIFS(T_TTAFStock_Log[Part Name],$A32,T_TTAFStock_Log[WeekIndex],55)=0,"",SUMIFS(T_TTAFStock_Log[TTAF_Qty],T_TTAFStock_Log[Part Name],$A32,T_TTAFStock_Log[WeekIndex],55))</f>
        <v/>
      </c>
      <c r="BE32" s="12">
        <f>IF(COUNTIFS(T_TTAFStock_Log[Part Name],$A32,T_TTAFStock_Log[WeekIndex],56)=0,"",SUMIFS(T_TTAFStock_Log[TTAF_Qty],T_TTAFStock_Log[Part Name],$A32,T_TTAFStock_Log[WeekIndex],56))</f>
        <v/>
      </c>
      <c r="BF32" s="12">
        <f>IF(COUNTIFS(T_TTAFStock_Log[Part Name],$A32,T_TTAFStock_Log[WeekIndex],57)=0,"",SUMIFS(T_TTAFStock_Log[TTAF_Qty],T_TTAFStock_Log[Part Name],$A32,T_TTAFStock_Log[WeekIndex],57))</f>
        <v/>
      </c>
      <c r="BG32" s="12">
        <f>IF(COUNTIFS(T_TTAFStock_Log[Part Name],$A32,T_TTAFStock_Log[WeekIndex],58)=0,"",SUMIFS(T_TTAFStock_Log[TTAF_Qty],T_TTAFStock_Log[Part Name],$A32,T_TTAFStock_Log[WeekIndex],58))</f>
        <v/>
      </c>
      <c r="BH32" s="12">
        <f>IF(COUNTIFS(T_TTAFStock_Log[Part Name],$A32,T_TTAFStock_Log[WeekIndex],59)=0,"",SUMIFS(T_TTAFStock_Log[TTAF_Qty],T_TTAFStock_Log[Part Name],$A32,T_TTAFStock_Log[WeekIndex],59))</f>
        <v/>
      </c>
      <c r="BI32" s="12">
        <f>IF(COUNTIFS(T_TTAFStock_Log[Part Name],$A32,T_TTAFStock_Log[WeekIndex],60)=0,"",SUMIFS(T_TTAFStock_Log[TTAF_Qty],T_TTAFStock_Log[Part Name],$A32,T_TTAFStock_Log[WeekIndex],60))</f>
        <v/>
      </c>
      <c r="BJ32" s="12">
        <f>IF(COUNTIFS(T_TTAFStock_Log[Part Name],$A32,T_TTAFStock_Log[WeekIndex],61)=0,"",SUMIFS(T_TTAFStock_Log[TTAF_Qty],T_TTAFStock_Log[Part Name],$A32,T_TTAFStock_Log[WeekIndex],61))</f>
        <v/>
      </c>
      <c r="BK32" s="12">
        <f>IF(COUNTIFS(T_TTAFStock_Log[Part Name],$A32,T_TTAFStock_Log[WeekIndex],62)=0,"",SUMIFS(T_TTAFStock_Log[TTAF_Qty],T_TTAFStock_Log[Part Name],$A32,T_TTAFStock_Log[WeekIndex],62))</f>
        <v/>
      </c>
      <c r="BL32" s="12">
        <f>IF(COUNTIFS(T_TTAFStock_Log[Part Name],$A32,T_TTAFStock_Log[WeekIndex],63)=0,"",SUMIFS(T_TTAFStock_Log[TTAF_Qty],T_TTAFStock_Log[Part Name],$A32,T_TTAFStock_Log[WeekIndex],63))</f>
        <v/>
      </c>
      <c r="BM32" s="12">
        <f>IF(COUNTIFS(T_TTAFStock_Log[Part Name],$A32,T_TTAFStock_Log[WeekIndex],64)=0,"",SUMIFS(T_TTAFStock_Log[TTAF_Qty],T_TTAFStock_Log[Part Name],$A32,T_TTAFStock_Log[WeekIndex],64))</f>
        <v/>
      </c>
      <c r="BN32" s="12">
        <f>IF(COUNTIFS(T_TTAFStock_Log[Part Name],$A32,T_TTAFStock_Log[WeekIndex],65)=0,"",SUMIFS(T_TTAFStock_Log[TTAF_Qty],T_TTAFStock_Log[Part Name],$A32,T_TTAFStock_Log[WeekIndex],65))</f>
        <v/>
      </c>
      <c r="BO32" s="12">
        <f>IF(COUNTIFS(T_TTAFStock_Log[Part Name],$A32,T_TTAFStock_Log[WeekIndex],66)=0,"",SUMIFS(T_TTAFStock_Log[TTAF_Qty],T_TTAFStock_Log[Part Name],$A32,T_TTAFStock_Log[WeekIndex],66))</f>
        <v/>
      </c>
      <c r="BP32" s="12">
        <f>IF(COUNTIFS(T_TTAFStock_Log[Part Name],$A32,T_TTAFStock_Log[WeekIndex],67)=0,"",SUMIFS(T_TTAFStock_Log[TTAF_Qty],T_TTAFStock_Log[Part Name],$A32,T_TTAFStock_Log[WeekIndex],67))</f>
        <v/>
      </c>
      <c r="BQ32" s="12">
        <f>IF(COUNTIFS(T_TTAFStock_Log[Part Name],$A32,T_TTAFStock_Log[WeekIndex],68)=0,"",SUMIFS(T_TTAFStock_Log[TTAF_Qty],T_TTAFStock_Log[Part Name],$A32,T_TTAFStock_Log[WeekIndex],68))</f>
        <v/>
      </c>
      <c r="BR32" s="12">
        <f>IF(COUNTIFS(T_TTAFStock_Log[Part Name],$A32,T_TTAFStock_Log[WeekIndex],69)=0,"",SUMIFS(T_TTAFStock_Log[TTAF_Qty],T_TTAFStock_Log[Part Name],$A32,T_TTAFStock_Log[WeekIndex],69))</f>
        <v/>
      </c>
      <c r="BS32" s="12">
        <f>IF(COUNTIFS(T_TTAFStock_Log[Part Name],$A32,T_TTAFStock_Log[WeekIndex],70)=0,"",SUMIFS(T_TTAFStock_Log[TTAF_Qty],T_TTAFStock_Log[Part Name],$A32,T_TTAFStock_Log[WeekIndex],70))</f>
        <v/>
      </c>
      <c r="BT32" s="12">
        <f>IF(COUNTIFS(T_TTAFStock_Log[Part Name],$A32,T_TTAFStock_Log[WeekIndex],71)=0,"",SUMIFS(T_TTAFStock_Log[TTAF_Qty],T_TTAFStock_Log[Part Name],$A32,T_TTAFStock_Log[WeekIndex],71))</f>
        <v/>
      </c>
      <c r="BU32" s="12">
        <f>IF(COUNTIFS(T_TTAFStock_Log[Part Name],$A32,T_TTAFStock_Log[WeekIndex],72)=0,"",SUMIFS(T_TTAFStock_Log[TTAF_Qty],T_TTAFStock_Log[Part Name],$A32,T_TTAFStock_Log[WeekIndex],72))</f>
        <v/>
      </c>
      <c r="BV32" s="12">
        <f>IF(COUNTIFS(T_TTAFStock_Log[Part Name],$A32,T_TTAFStock_Log[WeekIndex],73)=0,"",SUMIFS(T_TTAFStock_Log[TTAF_Qty],T_TTAFStock_Log[Part Name],$A32,T_TTAFStock_Log[WeekIndex],73))</f>
        <v/>
      </c>
      <c r="BW32" s="12">
        <f>IF(COUNTIFS(T_TTAFStock_Log[Part Name],$A32,T_TTAFStock_Log[WeekIndex],74)=0,"",SUMIFS(T_TTAFStock_Log[TTAF_Qty],T_TTAFStock_Log[Part Name],$A32,T_TTAFStock_Log[WeekIndex],74))</f>
        <v/>
      </c>
      <c r="BX32" s="12">
        <f>IF(COUNTIFS(T_TTAFStock_Log[Part Name],$A32,T_TTAFStock_Log[WeekIndex],75)=0,"",SUMIFS(T_TTAFStock_Log[TTAF_Qty],T_TTAFStock_Log[Part Name],$A32,T_TTAFStock_Log[WeekIndex],75))</f>
        <v/>
      </c>
      <c r="BY32" s="12">
        <f>IF(COUNTIFS(T_TTAFStock_Log[Part Name],$A32,T_TTAFStock_Log[WeekIndex],76)=0,"",SUMIFS(T_TTAFStock_Log[TTAF_Qty],T_TTAFStock_Log[Part Name],$A32,T_TTAFStock_Log[WeekIndex],76))</f>
        <v/>
      </c>
      <c r="BZ32" s="12">
        <f>IF(COUNTIFS(T_TTAFStock_Log[Part Name],$A32,T_TTAFStock_Log[WeekIndex],77)=0,"",SUMIFS(T_TTAFStock_Log[TTAF_Qty],T_TTAFStock_Log[Part Name],$A32,T_TTAFStock_Log[WeekIndex],77))</f>
        <v/>
      </c>
      <c r="CA32" s="12">
        <f>IF(COUNTIFS(T_TTAFStock_Log[Part Name],$A32,T_TTAFStock_Log[WeekIndex],78)=0,"",SUMIFS(T_TTAFStock_Log[TTAF_Qty],T_TTAFStock_Log[Part Name],$A32,T_TTAFStock_Log[WeekIndex],78))</f>
        <v/>
      </c>
      <c r="CB32" s="12">
        <f>IF(COUNTIFS(T_TTAFStock_Log[Part Name],$A32,T_TTAFStock_Log[WeekIndex],79)=0,"",SUMIFS(T_TTAFStock_Log[TTAF_Qty],T_TTAFStock_Log[Part Name],$A32,T_TTAFStock_Log[WeekIndex],79))</f>
        <v/>
      </c>
      <c r="CC32" s="12">
        <f>IF(COUNTIFS(T_TTAFStock_Log[Part Name],$A32,T_TTAFStock_Log[WeekIndex],80)=0,"",SUMIFS(T_TTAFStock_Log[TTAF_Qty],T_TTAFStock_Log[Part Name],$A32,T_TTAFStock_Log[WeekIndex],80))</f>
        <v/>
      </c>
      <c r="CD32" s="12">
        <f>IF(COUNTIFS(T_TTAFStock_Log[Part Name],$A32,T_TTAFStock_Log[WeekIndex],81)=0,"",SUMIFS(T_TTAFStock_Log[TTAF_Qty],T_TTAFStock_Log[Part Name],$A32,T_TTAFStock_Log[WeekIndex],81))</f>
        <v/>
      </c>
      <c r="CE32" s="12">
        <f>IF(COUNTIFS(T_TTAFStock_Log[Part Name],$A32,T_TTAFStock_Log[WeekIndex],82)=0,"",SUMIFS(T_TTAFStock_Log[TTAF_Qty],T_TTAFStock_Log[Part Name],$A32,T_TTAFStock_Log[WeekIndex],82))</f>
        <v/>
      </c>
      <c r="CF32" s="12">
        <f>IF(COUNTIFS(T_TTAFStock_Log[Part Name],$A32,T_TTAFStock_Log[WeekIndex],83)=0,"",SUMIFS(T_TTAFStock_Log[TTAF_Qty],T_TTAFStock_Log[Part Name],$A32,T_TTAFStock_Log[WeekIndex],83))</f>
        <v/>
      </c>
      <c r="CG32" s="12">
        <f>IF(COUNTIFS(T_TTAFStock_Log[Part Name],$A32,T_TTAFStock_Log[WeekIndex],84)=0,"",SUMIFS(T_TTAFStock_Log[TTAF_Qty],T_TTAFStock_Log[Part Name],$A32,T_TTAFStock_Log[WeekIndex],84))</f>
        <v/>
      </c>
      <c r="CH32" s="12">
        <f>IF(COUNTIFS(T_TTAFStock_Log[Part Name],$A32,T_TTAFStock_Log[WeekIndex],85)=0,"",SUMIFS(T_TTAFStock_Log[TTAF_Qty],T_TTAFStock_Log[Part Name],$A32,T_TTAFStock_Log[WeekIndex],85))</f>
        <v/>
      </c>
      <c r="CI32" s="12">
        <f>IF(COUNTIFS(T_TTAFStock_Log[Part Name],$A32,T_TTAFStock_Log[WeekIndex],86)=0,"",SUMIFS(T_TTAFStock_Log[TTAF_Qty],T_TTAFStock_Log[Part Name],$A32,T_TTAFStock_Log[WeekIndex],86))</f>
        <v/>
      </c>
      <c r="CJ32" s="12">
        <f>IF(COUNTIFS(T_TTAFStock_Log[Part Name],$A32,T_TTAFStock_Log[WeekIndex],87)=0,"",SUMIFS(T_TTAFStock_Log[TTAF_Qty],T_TTAFStock_Log[Part Name],$A32,T_TTAFStock_Log[WeekIndex],87))</f>
        <v/>
      </c>
      <c r="CK32" s="12">
        <f>IF(COUNTIFS(T_TTAFStock_Log[Part Name],$A32,T_TTAFStock_Log[WeekIndex],88)=0,"",SUMIFS(T_TTAFStock_Log[TTAF_Qty],T_TTAFStock_Log[Part Name],$A32,T_TTAFStock_Log[WeekIndex],88))</f>
        <v/>
      </c>
      <c r="CL32" s="12">
        <f>IF(COUNTIFS(T_TTAFStock_Log[Part Name],$A32,T_TTAFStock_Log[WeekIndex],89)=0,"",SUMIFS(T_TTAFStock_Log[TTAF_Qty],T_TTAFStock_Log[Part Name],$A32,T_TTAFStock_Log[WeekIndex],89))</f>
        <v/>
      </c>
      <c r="CM32" s="12">
        <f>IF(COUNTIFS(T_TTAFStock_Log[Part Name],$A32,T_TTAFStock_Log[WeekIndex],90)=0,"",SUMIFS(T_TTAFStock_Log[TTAF_Qty],T_TTAFStock_Log[Part Name],$A32,T_TTAFStock_Log[WeekIndex],90))</f>
        <v/>
      </c>
      <c r="CN32" s="12">
        <f>IF(COUNTIFS(T_TTAFStock_Log[Part Name],$A32,T_TTAFStock_Log[WeekIndex],91)=0,"",SUMIFS(T_TTAFStock_Log[TTAF_Qty],T_TTAFStock_Log[Part Name],$A32,T_TTAFStock_Log[WeekIndex],91))</f>
        <v/>
      </c>
      <c r="CO32" s="12">
        <f>IF(COUNTIFS(T_TTAFStock_Log[Part Name],$A32,T_TTAFStock_Log[WeekIndex],92)=0,"",SUMIFS(T_TTAFStock_Log[TTAF_Qty],T_TTAFStock_Log[Part Name],$A32,T_TTAFStock_Log[WeekIndex],92))</f>
        <v/>
      </c>
      <c r="CP32" s="12">
        <f>IF(COUNTIFS(T_TTAFStock_Log[Part Name],$A32,T_TTAFStock_Log[WeekIndex],93)=0,"",SUMIFS(T_TTAFStock_Log[TTAF_Qty],T_TTAFStock_Log[Part Name],$A32,T_TTAFStock_Log[WeekIndex],93))</f>
        <v/>
      </c>
      <c r="CQ32" s="12">
        <f>IF(COUNTIFS(T_TTAFStock_Log[Part Name],$A32,T_TTAFStock_Log[WeekIndex],94)=0,"",SUMIFS(T_TTAFStock_Log[TTAF_Qty],T_TTAFStock_Log[Part Name],$A32,T_TTAFStock_Log[WeekIndex],94))</f>
        <v/>
      </c>
      <c r="CR32" s="12">
        <f>IF(COUNTIFS(T_TTAFStock_Log[Part Name],$A32,T_TTAFStock_Log[WeekIndex],95)=0,"",SUMIFS(T_TTAFStock_Log[TTAF_Qty],T_TTAFStock_Log[Part Name],$A32,T_TTAFStock_Log[WeekIndex],95))</f>
        <v/>
      </c>
      <c r="CS32" s="12">
        <f>IF(COUNTIFS(T_TTAFStock_Log[Part Name],$A32,T_TTAFStock_Log[WeekIndex],96)=0,"",SUMIFS(T_TTAFStock_Log[TTAF_Qty],T_TTAFStock_Log[Part Name],$A32,T_TTAFStock_Log[WeekIndex],96))</f>
        <v/>
      </c>
      <c r="CT32" s="12">
        <f>IF(COUNTIFS(T_TTAFStock_Log[Part Name],$A32,T_TTAFStock_Log[WeekIndex],97)=0,"",SUMIFS(T_TTAFStock_Log[TTAF_Qty],T_TTAFStock_Log[Part Name],$A32,T_TTAFStock_Log[WeekIndex],97))</f>
        <v/>
      </c>
      <c r="CU32" s="12">
        <f>IF(COUNTIFS(T_TTAFStock_Log[Part Name],$A32,T_TTAFStock_Log[WeekIndex],98)=0,"",SUMIFS(T_TTAFStock_Log[TTAF_Qty],T_TTAFStock_Log[Part Name],$A32,T_TTAFStock_Log[WeekIndex],98))</f>
        <v/>
      </c>
      <c r="CV32" s="12">
        <f>IF(COUNTIFS(T_TTAFStock_Log[Part Name],$A32,T_TTAFStock_Log[WeekIndex],99)=0,"",SUMIFS(T_TTAFStock_Log[TTAF_Qty],T_TTAFStock_Log[Part Name],$A32,T_TTAFStock_Log[WeekIndex],99))</f>
        <v/>
      </c>
      <c r="CW32" s="12">
        <f>IF(COUNTIFS(T_TTAFStock_Log[Part Name],$A32,T_TTAFStock_Log[WeekIndex],100)=0,"",SUMIFS(T_TTAFStock_Log[TTAF_Qty],T_TTAFStock_Log[Part Name],$A32,T_TTAFStock_Log[WeekIndex],100))</f>
        <v/>
      </c>
      <c r="CX32" s="12">
        <f>IF(COUNTIFS(T_TTAFStock_Log[Part Name],$A32,T_TTAFStock_Log[WeekIndex],101)=0,"",SUMIFS(T_TTAFStock_Log[TTAF_Qty],T_TTAFStock_Log[Part Name],$A32,T_TTAFStock_Log[WeekIndex],101))</f>
        <v/>
      </c>
      <c r="CY32" s="12">
        <f>IF(COUNTIFS(T_TTAFStock_Log[Part Name],$A32,T_TTAFStock_Log[WeekIndex],102)=0,"",SUMIFS(T_TTAFStock_Log[TTAF_Qty],T_TTAFStock_Log[Part Name],$A32,T_TTAFStock_Log[WeekIndex],102))</f>
        <v/>
      </c>
      <c r="CZ32" s="12">
        <f>IF(COUNTIFS(T_TTAFStock_Log[Part Name],$A32,T_TTAFStock_Log[WeekIndex],103)=0,"",SUMIFS(T_TTAFStock_Log[TTAF_Qty],T_TTAFStock_Log[Part Name],$A32,T_TTAFStock_Log[WeekIndex],103))</f>
        <v/>
      </c>
      <c r="DA32" s="12">
        <f>IF(COUNTIFS(T_TTAFStock_Log[Part Name],$A32,T_TTAFStock_Log[WeekIndex],104)=0,"",SUMIFS(T_TTAFStock_Log[TTAF_Qty],T_TTAFStock_Log[Part Name],$A32,T_TTAFStock_Log[WeekIndex],104))</f>
        <v/>
      </c>
    </row>
    <row r="33">
      <c r="A33" s="13" t="inlineStr">
        <is>
          <t>CHEM-1840</t>
        </is>
      </c>
      <c r="B33" s="13">
        <f>IF(COUNTIFS(T_TTAFStock_Log[Part Name],$A33,T_TTAFStock_Log[WeekIndex],1)=0,"",SUMIFS(T_TTAFStock_Log[TTAF_Qty],T_TTAFStock_Log[Part Name],$A33,T_TTAFStock_Log[WeekIndex],1))</f>
        <v/>
      </c>
      <c r="C33" s="13">
        <f>IF(COUNTIFS(T_TTAFStock_Log[Part Name],$A33,T_TTAFStock_Log[WeekIndex],2)=0,"",SUMIFS(T_TTAFStock_Log[TTAF_Qty],T_TTAFStock_Log[Part Name],$A33,T_TTAFStock_Log[WeekIndex],2))</f>
        <v/>
      </c>
      <c r="D33" s="13">
        <f>IF(COUNTIFS(T_TTAFStock_Log[Part Name],$A33,T_TTAFStock_Log[WeekIndex],3)=0,"",SUMIFS(T_TTAFStock_Log[TTAF_Qty],T_TTAFStock_Log[Part Name],$A33,T_TTAFStock_Log[WeekIndex],3))</f>
        <v/>
      </c>
      <c r="E33" s="13">
        <f>IF(COUNTIFS(T_TTAFStock_Log[Part Name],$A33,T_TTAFStock_Log[WeekIndex],4)=0,"",SUMIFS(T_TTAFStock_Log[TTAF_Qty],T_TTAFStock_Log[Part Name],$A33,T_TTAFStock_Log[WeekIndex],4))</f>
        <v/>
      </c>
      <c r="F33" s="13">
        <f>IF(COUNTIFS(T_TTAFStock_Log[Part Name],$A33,T_TTAFStock_Log[WeekIndex],5)=0,"",SUMIFS(T_TTAFStock_Log[TTAF_Qty],T_TTAFStock_Log[Part Name],$A33,T_TTAFStock_Log[WeekIndex],5))</f>
        <v/>
      </c>
      <c r="G33" s="13">
        <f>IF(COUNTIFS(T_TTAFStock_Log[Part Name],$A33,T_TTAFStock_Log[WeekIndex],6)=0,"",SUMIFS(T_TTAFStock_Log[TTAF_Qty],T_TTAFStock_Log[Part Name],$A33,T_TTAFStock_Log[WeekIndex],6))</f>
        <v/>
      </c>
      <c r="H33" s="13">
        <f>IF(COUNTIFS(T_TTAFStock_Log[Part Name],$A33,T_TTAFStock_Log[WeekIndex],7)=0,"",SUMIFS(T_TTAFStock_Log[TTAF_Qty],T_TTAFStock_Log[Part Name],$A33,T_TTAFStock_Log[WeekIndex],7))</f>
        <v/>
      </c>
      <c r="I33" s="13">
        <f>IF(COUNTIFS(T_TTAFStock_Log[Part Name],$A33,T_TTAFStock_Log[WeekIndex],8)=0,"",SUMIFS(T_TTAFStock_Log[TTAF_Qty],T_TTAFStock_Log[Part Name],$A33,T_TTAFStock_Log[WeekIndex],8))</f>
        <v/>
      </c>
      <c r="J33" s="13">
        <f>IF(COUNTIFS(T_TTAFStock_Log[Part Name],$A33,T_TTAFStock_Log[WeekIndex],9)=0,"",SUMIFS(T_TTAFStock_Log[TTAF_Qty],T_TTAFStock_Log[Part Name],$A33,T_TTAFStock_Log[WeekIndex],9))</f>
        <v/>
      </c>
      <c r="K33" s="13">
        <f>IF(COUNTIFS(T_TTAFStock_Log[Part Name],$A33,T_TTAFStock_Log[WeekIndex],10)=0,"",SUMIFS(T_TTAFStock_Log[TTAF_Qty],T_TTAFStock_Log[Part Name],$A33,T_TTAFStock_Log[WeekIndex],10))</f>
        <v/>
      </c>
      <c r="L33" s="13">
        <f>IF(COUNTIFS(T_TTAFStock_Log[Part Name],$A33,T_TTAFStock_Log[WeekIndex],11)=0,"",SUMIFS(T_TTAFStock_Log[TTAF_Qty],T_TTAFStock_Log[Part Name],$A33,T_TTAFStock_Log[WeekIndex],11))</f>
        <v/>
      </c>
      <c r="M33" s="13">
        <f>IF(COUNTIFS(T_TTAFStock_Log[Part Name],$A33,T_TTAFStock_Log[WeekIndex],12)=0,"",SUMIFS(T_TTAFStock_Log[TTAF_Qty],T_TTAFStock_Log[Part Name],$A33,T_TTAFStock_Log[WeekIndex],12))</f>
        <v/>
      </c>
      <c r="N33" s="13">
        <f>IF(COUNTIFS(T_TTAFStock_Log[Part Name],$A33,T_TTAFStock_Log[WeekIndex],13)=0,"",SUMIFS(T_TTAFStock_Log[TTAF_Qty],T_TTAFStock_Log[Part Name],$A33,T_TTAFStock_Log[WeekIndex],13))</f>
        <v/>
      </c>
      <c r="O33" s="13">
        <f>IF(COUNTIFS(T_TTAFStock_Log[Part Name],$A33,T_TTAFStock_Log[WeekIndex],14)=0,"",SUMIFS(T_TTAFStock_Log[TTAF_Qty],T_TTAFStock_Log[Part Name],$A33,T_TTAFStock_Log[WeekIndex],14))</f>
        <v/>
      </c>
      <c r="P33" s="13">
        <f>IF(COUNTIFS(T_TTAFStock_Log[Part Name],$A33,T_TTAFStock_Log[WeekIndex],15)=0,"",SUMIFS(T_TTAFStock_Log[TTAF_Qty],T_TTAFStock_Log[Part Name],$A33,T_TTAFStock_Log[WeekIndex],15))</f>
        <v/>
      </c>
      <c r="Q33" s="13">
        <f>IF(COUNTIFS(T_TTAFStock_Log[Part Name],$A33,T_TTAFStock_Log[WeekIndex],16)=0,"",SUMIFS(T_TTAFStock_Log[TTAF_Qty],T_TTAFStock_Log[Part Name],$A33,T_TTAFStock_Log[WeekIndex],16))</f>
        <v/>
      </c>
      <c r="R33" s="13">
        <f>IF(COUNTIFS(T_TTAFStock_Log[Part Name],$A33,T_TTAFStock_Log[WeekIndex],17)=0,"",SUMIFS(T_TTAFStock_Log[TTAF_Qty],T_TTAFStock_Log[Part Name],$A33,T_TTAFStock_Log[WeekIndex],17))</f>
        <v/>
      </c>
      <c r="S33" s="13">
        <f>IF(COUNTIFS(T_TTAFStock_Log[Part Name],$A33,T_TTAFStock_Log[WeekIndex],18)=0,"",SUMIFS(T_TTAFStock_Log[TTAF_Qty],T_TTAFStock_Log[Part Name],$A33,T_TTAFStock_Log[WeekIndex],18))</f>
        <v/>
      </c>
      <c r="T33" s="13">
        <f>IF(COUNTIFS(T_TTAFStock_Log[Part Name],$A33,T_TTAFStock_Log[WeekIndex],19)=0,"",SUMIFS(T_TTAFStock_Log[TTAF_Qty],T_TTAFStock_Log[Part Name],$A33,T_TTAFStock_Log[WeekIndex],19))</f>
        <v/>
      </c>
      <c r="U33" s="13">
        <f>IF(COUNTIFS(T_TTAFStock_Log[Part Name],$A33,T_TTAFStock_Log[WeekIndex],20)=0,"",SUMIFS(T_TTAFStock_Log[TTAF_Qty],T_TTAFStock_Log[Part Name],$A33,T_TTAFStock_Log[WeekIndex],20))</f>
        <v/>
      </c>
      <c r="V33" s="13">
        <f>IF(COUNTIFS(T_TTAFStock_Log[Part Name],$A33,T_TTAFStock_Log[WeekIndex],21)=0,"",SUMIFS(T_TTAFStock_Log[TTAF_Qty],T_TTAFStock_Log[Part Name],$A33,T_TTAFStock_Log[WeekIndex],21))</f>
        <v/>
      </c>
      <c r="W33" s="13">
        <f>IF(COUNTIFS(T_TTAFStock_Log[Part Name],$A33,T_TTAFStock_Log[WeekIndex],22)=0,"",SUMIFS(T_TTAFStock_Log[TTAF_Qty],T_TTAFStock_Log[Part Name],$A33,T_TTAFStock_Log[WeekIndex],22))</f>
        <v/>
      </c>
      <c r="X33" s="13">
        <f>IF(COUNTIFS(T_TTAFStock_Log[Part Name],$A33,T_TTAFStock_Log[WeekIndex],23)=0,"",SUMIFS(T_TTAFStock_Log[TTAF_Qty],T_TTAFStock_Log[Part Name],$A33,T_TTAFStock_Log[WeekIndex],23))</f>
        <v/>
      </c>
      <c r="Y33" s="13">
        <f>IF(COUNTIFS(T_TTAFStock_Log[Part Name],$A33,T_TTAFStock_Log[WeekIndex],24)=0,"",SUMIFS(T_TTAFStock_Log[TTAF_Qty],T_TTAFStock_Log[Part Name],$A33,T_TTAFStock_Log[WeekIndex],24))</f>
        <v/>
      </c>
      <c r="Z33" s="13">
        <f>IF(COUNTIFS(T_TTAFStock_Log[Part Name],$A33,T_TTAFStock_Log[WeekIndex],25)=0,"",SUMIFS(T_TTAFStock_Log[TTAF_Qty],T_TTAFStock_Log[Part Name],$A33,T_TTAFStock_Log[WeekIndex],25))</f>
        <v/>
      </c>
      <c r="AA33" s="13">
        <f>IF(COUNTIFS(T_TTAFStock_Log[Part Name],$A33,T_TTAFStock_Log[WeekIndex],26)=0,"",SUMIFS(T_TTAFStock_Log[TTAF_Qty],T_TTAFStock_Log[Part Name],$A33,T_TTAFStock_Log[WeekIndex],26))</f>
        <v/>
      </c>
      <c r="AB33" s="13">
        <f>IF(COUNTIFS(T_TTAFStock_Log[Part Name],$A33,T_TTAFStock_Log[WeekIndex],27)=0,"",SUMIFS(T_TTAFStock_Log[TTAF_Qty],T_TTAFStock_Log[Part Name],$A33,T_TTAFStock_Log[WeekIndex],27))</f>
        <v/>
      </c>
      <c r="AC33" s="13">
        <f>IF(COUNTIFS(T_TTAFStock_Log[Part Name],$A33,T_TTAFStock_Log[WeekIndex],28)=0,"",SUMIFS(T_TTAFStock_Log[TTAF_Qty],T_TTAFStock_Log[Part Name],$A33,T_TTAFStock_Log[WeekIndex],28))</f>
        <v/>
      </c>
      <c r="AD33" s="13">
        <f>IF(COUNTIFS(T_TTAFStock_Log[Part Name],$A33,T_TTAFStock_Log[WeekIndex],29)=0,"",SUMIFS(T_TTAFStock_Log[TTAF_Qty],T_TTAFStock_Log[Part Name],$A33,T_TTAFStock_Log[WeekIndex],29))</f>
        <v/>
      </c>
      <c r="AE33" s="13">
        <f>IF(COUNTIFS(T_TTAFStock_Log[Part Name],$A33,T_TTAFStock_Log[WeekIndex],30)=0,"",SUMIFS(T_TTAFStock_Log[TTAF_Qty],T_TTAFStock_Log[Part Name],$A33,T_TTAFStock_Log[WeekIndex],30))</f>
        <v/>
      </c>
      <c r="AF33" s="13">
        <f>IF(COUNTIFS(T_TTAFStock_Log[Part Name],$A33,T_TTAFStock_Log[WeekIndex],31)=0,"",SUMIFS(T_TTAFStock_Log[TTAF_Qty],T_TTAFStock_Log[Part Name],$A33,T_TTAFStock_Log[WeekIndex],31))</f>
        <v/>
      </c>
      <c r="AG33" s="13">
        <f>IF(COUNTIFS(T_TTAFStock_Log[Part Name],$A33,T_TTAFStock_Log[WeekIndex],32)=0,"",SUMIFS(T_TTAFStock_Log[TTAF_Qty],T_TTAFStock_Log[Part Name],$A33,T_TTAFStock_Log[WeekIndex],32))</f>
        <v/>
      </c>
      <c r="AH33" s="13">
        <f>IF(COUNTIFS(T_TTAFStock_Log[Part Name],$A33,T_TTAFStock_Log[WeekIndex],33)=0,"",SUMIFS(T_TTAFStock_Log[TTAF_Qty],T_TTAFStock_Log[Part Name],$A33,T_TTAFStock_Log[WeekIndex],33))</f>
        <v/>
      </c>
      <c r="AI33" s="13">
        <f>IF(COUNTIFS(T_TTAFStock_Log[Part Name],$A33,T_TTAFStock_Log[WeekIndex],34)=0,"",SUMIFS(T_TTAFStock_Log[TTAF_Qty],T_TTAFStock_Log[Part Name],$A33,T_TTAFStock_Log[WeekIndex],34))</f>
        <v/>
      </c>
      <c r="AJ33" s="13">
        <f>IF(COUNTIFS(T_TTAFStock_Log[Part Name],$A33,T_TTAFStock_Log[WeekIndex],35)=0,"",SUMIFS(T_TTAFStock_Log[TTAF_Qty],T_TTAFStock_Log[Part Name],$A33,T_TTAFStock_Log[WeekIndex],35))</f>
        <v/>
      </c>
      <c r="AK33" s="13">
        <f>IF(COUNTIFS(T_TTAFStock_Log[Part Name],$A33,T_TTAFStock_Log[WeekIndex],36)=0,"",SUMIFS(T_TTAFStock_Log[TTAF_Qty],T_TTAFStock_Log[Part Name],$A33,T_TTAFStock_Log[WeekIndex],36))</f>
        <v/>
      </c>
      <c r="AL33" s="13">
        <f>IF(COUNTIFS(T_TTAFStock_Log[Part Name],$A33,T_TTAFStock_Log[WeekIndex],37)=0,"",SUMIFS(T_TTAFStock_Log[TTAF_Qty],T_TTAFStock_Log[Part Name],$A33,T_TTAFStock_Log[WeekIndex],37))</f>
        <v/>
      </c>
      <c r="AM33" s="13">
        <f>IF(COUNTIFS(T_TTAFStock_Log[Part Name],$A33,T_TTAFStock_Log[WeekIndex],38)=0,"",SUMIFS(T_TTAFStock_Log[TTAF_Qty],T_TTAFStock_Log[Part Name],$A33,T_TTAFStock_Log[WeekIndex],38))</f>
        <v/>
      </c>
      <c r="AN33" s="13">
        <f>IF(COUNTIFS(T_TTAFStock_Log[Part Name],$A33,T_TTAFStock_Log[WeekIndex],39)=0,"",SUMIFS(T_TTAFStock_Log[TTAF_Qty],T_TTAFStock_Log[Part Name],$A33,T_TTAFStock_Log[WeekIndex],39))</f>
        <v/>
      </c>
      <c r="AO33" s="13">
        <f>IF(COUNTIFS(T_TTAFStock_Log[Part Name],$A33,T_TTAFStock_Log[WeekIndex],40)=0,"",SUMIFS(T_TTAFStock_Log[TTAF_Qty],T_TTAFStock_Log[Part Name],$A33,T_TTAFStock_Log[WeekIndex],40))</f>
        <v/>
      </c>
      <c r="AP33" s="13">
        <f>IF(COUNTIFS(T_TTAFStock_Log[Part Name],$A33,T_TTAFStock_Log[WeekIndex],41)=0,"",SUMIFS(T_TTAFStock_Log[TTAF_Qty],T_TTAFStock_Log[Part Name],$A33,T_TTAFStock_Log[WeekIndex],41))</f>
        <v/>
      </c>
      <c r="AQ33" s="13">
        <f>IF(COUNTIFS(T_TTAFStock_Log[Part Name],$A33,T_TTAFStock_Log[WeekIndex],42)=0,"",SUMIFS(T_TTAFStock_Log[TTAF_Qty],T_TTAFStock_Log[Part Name],$A33,T_TTAFStock_Log[WeekIndex],42))</f>
        <v/>
      </c>
      <c r="AR33" s="13">
        <f>IF(COUNTIFS(T_TTAFStock_Log[Part Name],$A33,T_TTAFStock_Log[WeekIndex],43)=0,"",SUMIFS(T_TTAFStock_Log[TTAF_Qty],T_TTAFStock_Log[Part Name],$A33,T_TTAFStock_Log[WeekIndex],43))</f>
        <v/>
      </c>
      <c r="AS33" s="13">
        <f>IF(COUNTIFS(T_TTAFStock_Log[Part Name],$A33,T_TTAFStock_Log[WeekIndex],44)=0,"",SUMIFS(T_TTAFStock_Log[TTAF_Qty],T_TTAFStock_Log[Part Name],$A33,T_TTAFStock_Log[WeekIndex],44))</f>
        <v/>
      </c>
      <c r="AT33" s="13">
        <f>IF(COUNTIFS(T_TTAFStock_Log[Part Name],$A33,T_TTAFStock_Log[WeekIndex],45)=0,"",SUMIFS(T_TTAFStock_Log[TTAF_Qty],T_TTAFStock_Log[Part Name],$A33,T_TTAFStock_Log[WeekIndex],45))</f>
        <v/>
      </c>
      <c r="AU33" s="13">
        <f>IF(COUNTIFS(T_TTAFStock_Log[Part Name],$A33,T_TTAFStock_Log[WeekIndex],46)=0,"",SUMIFS(T_TTAFStock_Log[TTAF_Qty],T_TTAFStock_Log[Part Name],$A33,T_TTAFStock_Log[WeekIndex],46))</f>
        <v/>
      </c>
      <c r="AV33" s="13">
        <f>IF(COUNTIFS(T_TTAFStock_Log[Part Name],$A33,T_TTAFStock_Log[WeekIndex],47)=0,"",SUMIFS(T_TTAFStock_Log[TTAF_Qty],T_TTAFStock_Log[Part Name],$A33,T_TTAFStock_Log[WeekIndex],47))</f>
        <v/>
      </c>
      <c r="AW33" s="13">
        <f>IF(COUNTIFS(T_TTAFStock_Log[Part Name],$A33,T_TTAFStock_Log[WeekIndex],48)=0,"",SUMIFS(T_TTAFStock_Log[TTAF_Qty],T_TTAFStock_Log[Part Name],$A33,T_TTAFStock_Log[WeekIndex],48))</f>
        <v/>
      </c>
      <c r="AX33" s="13">
        <f>IF(COUNTIFS(T_TTAFStock_Log[Part Name],$A33,T_TTAFStock_Log[WeekIndex],49)=0,"",SUMIFS(T_TTAFStock_Log[TTAF_Qty],T_TTAFStock_Log[Part Name],$A33,T_TTAFStock_Log[WeekIndex],49))</f>
        <v/>
      </c>
      <c r="AY33" s="13">
        <f>IF(COUNTIFS(T_TTAFStock_Log[Part Name],$A33,T_TTAFStock_Log[WeekIndex],50)=0,"",SUMIFS(T_TTAFStock_Log[TTAF_Qty],T_TTAFStock_Log[Part Name],$A33,T_TTAFStock_Log[WeekIndex],50))</f>
        <v/>
      </c>
      <c r="AZ33" s="13">
        <f>IF(COUNTIFS(T_TTAFStock_Log[Part Name],$A33,T_TTAFStock_Log[WeekIndex],51)=0,"",SUMIFS(T_TTAFStock_Log[TTAF_Qty],T_TTAFStock_Log[Part Name],$A33,T_TTAFStock_Log[WeekIndex],51))</f>
        <v/>
      </c>
      <c r="BA33" s="13">
        <f>IF(COUNTIFS(T_TTAFStock_Log[Part Name],$A33,T_TTAFStock_Log[WeekIndex],52)=0,"",SUMIFS(T_TTAFStock_Log[TTAF_Qty],T_TTAFStock_Log[Part Name],$A33,T_TTAFStock_Log[WeekIndex],52))</f>
        <v/>
      </c>
      <c r="BB33" s="13">
        <f>IF(COUNTIFS(T_TTAFStock_Log[Part Name],$A33,T_TTAFStock_Log[WeekIndex],53)=0,"",SUMIFS(T_TTAFStock_Log[TTAF_Qty],T_TTAFStock_Log[Part Name],$A33,T_TTAFStock_Log[WeekIndex],53))</f>
        <v/>
      </c>
      <c r="BC33" s="13">
        <f>IF(COUNTIFS(T_TTAFStock_Log[Part Name],$A33,T_TTAFStock_Log[WeekIndex],54)=0,"",SUMIFS(T_TTAFStock_Log[TTAF_Qty],T_TTAFStock_Log[Part Name],$A33,T_TTAFStock_Log[WeekIndex],54))</f>
        <v/>
      </c>
      <c r="BD33" s="13">
        <f>IF(COUNTIFS(T_TTAFStock_Log[Part Name],$A33,T_TTAFStock_Log[WeekIndex],55)=0,"",SUMIFS(T_TTAFStock_Log[TTAF_Qty],T_TTAFStock_Log[Part Name],$A33,T_TTAFStock_Log[WeekIndex],55))</f>
        <v/>
      </c>
      <c r="BE33" s="13">
        <f>IF(COUNTIFS(T_TTAFStock_Log[Part Name],$A33,T_TTAFStock_Log[WeekIndex],56)=0,"",SUMIFS(T_TTAFStock_Log[TTAF_Qty],T_TTAFStock_Log[Part Name],$A33,T_TTAFStock_Log[WeekIndex],56))</f>
        <v/>
      </c>
      <c r="BF33" s="13">
        <f>IF(COUNTIFS(T_TTAFStock_Log[Part Name],$A33,T_TTAFStock_Log[WeekIndex],57)=0,"",SUMIFS(T_TTAFStock_Log[TTAF_Qty],T_TTAFStock_Log[Part Name],$A33,T_TTAFStock_Log[WeekIndex],57))</f>
        <v/>
      </c>
      <c r="BG33" s="13">
        <f>IF(COUNTIFS(T_TTAFStock_Log[Part Name],$A33,T_TTAFStock_Log[WeekIndex],58)=0,"",SUMIFS(T_TTAFStock_Log[TTAF_Qty],T_TTAFStock_Log[Part Name],$A33,T_TTAFStock_Log[WeekIndex],58))</f>
        <v/>
      </c>
      <c r="BH33" s="13">
        <f>IF(COUNTIFS(T_TTAFStock_Log[Part Name],$A33,T_TTAFStock_Log[WeekIndex],59)=0,"",SUMIFS(T_TTAFStock_Log[TTAF_Qty],T_TTAFStock_Log[Part Name],$A33,T_TTAFStock_Log[WeekIndex],59))</f>
        <v/>
      </c>
      <c r="BI33" s="13">
        <f>IF(COUNTIFS(T_TTAFStock_Log[Part Name],$A33,T_TTAFStock_Log[WeekIndex],60)=0,"",SUMIFS(T_TTAFStock_Log[TTAF_Qty],T_TTAFStock_Log[Part Name],$A33,T_TTAFStock_Log[WeekIndex],60))</f>
        <v/>
      </c>
      <c r="BJ33" s="13">
        <f>IF(COUNTIFS(T_TTAFStock_Log[Part Name],$A33,T_TTAFStock_Log[WeekIndex],61)=0,"",SUMIFS(T_TTAFStock_Log[TTAF_Qty],T_TTAFStock_Log[Part Name],$A33,T_TTAFStock_Log[WeekIndex],61))</f>
        <v/>
      </c>
      <c r="BK33" s="13">
        <f>IF(COUNTIFS(T_TTAFStock_Log[Part Name],$A33,T_TTAFStock_Log[WeekIndex],62)=0,"",SUMIFS(T_TTAFStock_Log[TTAF_Qty],T_TTAFStock_Log[Part Name],$A33,T_TTAFStock_Log[WeekIndex],62))</f>
        <v/>
      </c>
      <c r="BL33" s="13">
        <f>IF(COUNTIFS(T_TTAFStock_Log[Part Name],$A33,T_TTAFStock_Log[WeekIndex],63)=0,"",SUMIFS(T_TTAFStock_Log[TTAF_Qty],T_TTAFStock_Log[Part Name],$A33,T_TTAFStock_Log[WeekIndex],63))</f>
        <v/>
      </c>
      <c r="BM33" s="13">
        <f>IF(COUNTIFS(T_TTAFStock_Log[Part Name],$A33,T_TTAFStock_Log[WeekIndex],64)=0,"",SUMIFS(T_TTAFStock_Log[TTAF_Qty],T_TTAFStock_Log[Part Name],$A33,T_TTAFStock_Log[WeekIndex],64))</f>
        <v/>
      </c>
      <c r="BN33" s="13">
        <f>IF(COUNTIFS(T_TTAFStock_Log[Part Name],$A33,T_TTAFStock_Log[WeekIndex],65)=0,"",SUMIFS(T_TTAFStock_Log[TTAF_Qty],T_TTAFStock_Log[Part Name],$A33,T_TTAFStock_Log[WeekIndex],65))</f>
        <v/>
      </c>
      <c r="BO33" s="13">
        <f>IF(COUNTIFS(T_TTAFStock_Log[Part Name],$A33,T_TTAFStock_Log[WeekIndex],66)=0,"",SUMIFS(T_TTAFStock_Log[TTAF_Qty],T_TTAFStock_Log[Part Name],$A33,T_TTAFStock_Log[WeekIndex],66))</f>
        <v/>
      </c>
      <c r="BP33" s="13">
        <f>IF(COUNTIFS(T_TTAFStock_Log[Part Name],$A33,T_TTAFStock_Log[WeekIndex],67)=0,"",SUMIFS(T_TTAFStock_Log[TTAF_Qty],T_TTAFStock_Log[Part Name],$A33,T_TTAFStock_Log[WeekIndex],67))</f>
        <v/>
      </c>
      <c r="BQ33" s="13">
        <f>IF(COUNTIFS(T_TTAFStock_Log[Part Name],$A33,T_TTAFStock_Log[WeekIndex],68)=0,"",SUMIFS(T_TTAFStock_Log[TTAF_Qty],T_TTAFStock_Log[Part Name],$A33,T_TTAFStock_Log[WeekIndex],68))</f>
        <v/>
      </c>
      <c r="BR33" s="13">
        <f>IF(COUNTIFS(T_TTAFStock_Log[Part Name],$A33,T_TTAFStock_Log[WeekIndex],69)=0,"",SUMIFS(T_TTAFStock_Log[TTAF_Qty],T_TTAFStock_Log[Part Name],$A33,T_TTAFStock_Log[WeekIndex],69))</f>
        <v/>
      </c>
      <c r="BS33" s="13">
        <f>IF(COUNTIFS(T_TTAFStock_Log[Part Name],$A33,T_TTAFStock_Log[WeekIndex],70)=0,"",SUMIFS(T_TTAFStock_Log[TTAF_Qty],T_TTAFStock_Log[Part Name],$A33,T_TTAFStock_Log[WeekIndex],70))</f>
        <v/>
      </c>
      <c r="BT33" s="13">
        <f>IF(COUNTIFS(T_TTAFStock_Log[Part Name],$A33,T_TTAFStock_Log[WeekIndex],71)=0,"",SUMIFS(T_TTAFStock_Log[TTAF_Qty],T_TTAFStock_Log[Part Name],$A33,T_TTAFStock_Log[WeekIndex],71))</f>
        <v/>
      </c>
      <c r="BU33" s="13">
        <f>IF(COUNTIFS(T_TTAFStock_Log[Part Name],$A33,T_TTAFStock_Log[WeekIndex],72)=0,"",SUMIFS(T_TTAFStock_Log[TTAF_Qty],T_TTAFStock_Log[Part Name],$A33,T_TTAFStock_Log[WeekIndex],72))</f>
        <v/>
      </c>
      <c r="BV33" s="13">
        <f>IF(COUNTIFS(T_TTAFStock_Log[Part Name],$A33,T_TTAFStock_Log[WeekIndex],73)=0,"",SUMIFS(T_TTAFStock_Log[TTAF_Qty],T_TTAFStock_Log[Part Name],$A33,T_TTAFStock_Log[WeekIndex],73))</f>
        <v/>
      </c>
      <c r="BW33" s="13">
        <f>IF(COUNTIFS(T_TTAFStock_Log[Part Name],$A33,T_TTAFStock_Log[WeekIndex],74)=0,"",SUMIFS(T_TTAFStock_Log[TTAF_Qty],T_TTAFStock_Log[Part Name],$A33,T_TTAFStock_Log[WeekIndex],74))</f>
        <v/>
      </c>
      <c r="BX33" s="13">
        <f>IF(COUNTIFS(T_TTAFStock_Log[Part Name],$A33,T_TTAFStock_Log[WeekIndex],75)=0,"",SUMIFS(T_TTAFStock_Log[TTAF_Qty],T_TTAFStock_Log[Part Name],$A33,T_TTAFStock_Log[WeekIndex],75))</f>
        <v/>
      </c>
      <c r="BY33" s="13">
        <f>IF(COUNTIFS(T_TTAFStock_Log[Part Name],$A33,T_TTAFStock_Log[WeekIndex],76)=0,"",SUMIFS(T_TTAFStock_Log[TTAF_Qty],T_TTAFStock_Log[Part Name],$A33,T_TTAFStock_Log[WeekIndex],76))</f>
        <v/>
      </c>
      <c r="BZ33" s="13">
        <f>IF(COUNTIFS(T_TTAFStock_Log[Part Name],$A33,T_TTAFStock_Log[WeekIndex],77)=0,"",SUMIFS(T_TTAFStock_Log[TTAF_Qty],T_TTAFStock_Log[Part Name],$A33,T_TTAFStock_Log[WeekIndex],77))</f>
        <v/>
      </c>
      <c r="CA33" s="13">
        <f>IF(COUNTIFS(T_TTAFStock_Log[Part Name],$A33,T_TTAFStock_Log[WeekIndex],78)=0,"",SUMIFS(T_TTAFStock_Log[TTAF_Qty],T_TTAFStock_Log[Part Name],$A33,T_TTAFStock_Log[WeekIndex],78))</f>
        <v/>
      </c>
      <c r="CB33" s="13">
        <f>IF(COUNTIFS(T_TTAFStock_Log[Part Name],$A33,T_TTAFStock_Log[WeekIndex],79)=0,"",SUMIFS(T_TTAFStock_Log[TTAF_Qty],T_TTAFStock_Log[Part Name],$A33,T_TTAFStock_Log[WeekIndex],79))</f>
        <v/>
      </c>
      <c r="CC33" s="13">
        <f>IF(COUNTIFS(T_TTAFStock_Log[Part Name],$A33,T_TTAFStock_Log[WeekIndex],80)=0,"",SUMIFS(T_TTAFStock_Log[TTAF_Qty],T_TTAFStock_Log[Part Name],$A33,T_TTAFStock_Log[WeekIndex],80))</f>
        <v/>
      </c>
      <c r="CD33" s="13">
        <f>IF(COUNTIFS(T_TTAFStock_Log[Part Name],$A33,T_TTAFStock_Log[WeekIndex],81)=0,"",SUMIFS(T_TTAFStock_Log[TTAF_Qty],T_TTAFStock_Log[Part Name],$A33,T_TTAFStock_Log[WeekIndex],81))</f>
        <v/>
      </c>
      <c r="CE33" s="13">
        <f>IF(COUNTIFS(T_TTAFStock_Log[Part Name],$A33,T_TTAFStock_Log[WeekIndex],82)=0,"",SUMIFS(T_TTAFStock_Log[TTAF_Qty],T_TTAFStock_Log[Part Name],$A33,T_TTAFStock_Log[WeekIndex],82))</f>
        <v/>
      </c>
      <c r="CF33" s="13">
        <f>IF(COUNTIFS(T_TTAFStock_Log[Part Name],$A33,T_TTAFStock_Log[WeekIndex],83)=0,"",SUMIFS(T_TTAFStock_Log[TTAF_Qty],T_TTAFStock_Log[Part Name],$A33,T_TTAFStock_Log[WeekIndex],83))</f>
        <v/>
      </c>
      <c r="CG33" s="13">
        <f>IF(COUNTIFS(T_TTAFStock_Log[Part Name],$A33,T_TTAFStock_Log[WeekIndex],84)=0,"",SUMIFS(T_TTAFStock_Log[TTAF_Qty],T_TTAFStock_Log[Part Name],$A33,T_TTAFStock_Log[WeekIndex],84))</f>
        <v/>
      </c>
      <c r="CH33" s="13">
        <f>IF(COUNTIFS(T_TTAFStock_Log[Part Name],$A33,T_TTAFStock_Log[WeekIndex],85)=0,"",SUMIFS(T_TTAFStock_Log[TTAF_Qty],T_TTAFStock_Log[Part Name],$A33,T_TTAFStock_Log[WeekIndex],85))</f>
        <v/>
      </c>
      <c r="CI33" s="13">
        <f>IF(COUNTIFS(T_TTAFStock_Log[Part Name],$A33,T_TTAFStock_Log[WeekIndex],86)=0,"",SUMIFS(T_TTAFStock_Log[TTAF_Qty],T_TTAFStock_Log[Part Name],$A33,T_TTAFStock_Log[WeekIndex],86))</f>
        <v/>
      </c>
      <c r="CJ33" s="13">
        <f>IF(COUNTIFS(T_TTAFStock_Log[Part Name],$A33,T_TTAFStock_Log[WeekIndex],87)=0,"",SUMIFS(T_TTAFStock_Log[TTAF_Qty],T_TTAFStock_Log[Part Name],$A33,T_TTAFStock_Log[WeekIndex],87))</f>
        <v/>
      </c>
      <c r="CK33" s="13">
        <f>IF(COUNTIFS(T_TTAFStock_Log[Part Name],$A33,T_TTAFStock_Log[WeekIndex],88)=0,"",SUMIFS(T_TTAFStock_Log[TTAF_Qty],T_TTAFStock_Log[Part Name],$A33,T_TTAFStock_Log[WeekIndex],88))</f>
        <v/>
      </c>
      <c r="CL33" s="13">
        <f>IF(COUNTIFS(T_TTAFStock_Log[Part Name],$A33,T_TTAFStock_Log[WeekIndex],89)=0,"",SUMIFS(T_TTAFStock_Log[TTAF_Qty],T_TTAFStock_Log[Part Name],$A33,T_TTAFStock_Log[WeekIndex],89))</f>
        <v/>
      </c>
      <c r="CM33" s="13">
        <f>IF(COUNTIFS(T_TTAFStock_Log[Part Name],$A33,T_TTAFStock_Log[WeekIndex],90)=0,"",SUMIFS(T_TTAFStock_Log[TTAF_Qty],T_TTAFStock_Log[Part Name],$A33,T_TTAFStock_Log[WeekIndex],90))</f>
        <v/>
      </c>
      <c r="CN33" s="13">
        <f>IF(COUNTIFS(T_TTAFStock_Log[Part Name],$A33,T_TTAFStock_Log[WeekIndex],91)=0,"",SUMIFS(T_TTAFStock_Log[TTAF_Qty],T_TTAFStock_Log[Part Name],$A33,T_TTAFStock_Log[WeekIndex],91))</f>
        <v/>
      </c>
      <c r="CO33" s="13">
        <f>IF(COUNTIFS(T_TTAFStock_Log[Part Name],$A33,T_TTAFStock_Log[WeekIndex],92)=0,"",SUMIFS(T_TTAFStock_Log[TTAF_Qty],T_TTAFStock_Log[Part Name],$A33,T_TTAFStock_Log[WeekIndex],92))</f>
        <v/>
      </c>
      <c r="CP33" s="13">
        <f>IF(COUNTIFS(T_TTAFStock_Log[Part Name],$A33,T_TTAFStock_Log[WeekIndex],93)=0,"",SUMIFS(T_TTAFStock_Log[TTAF_Qty],T_TTAFStock_Log[Part Name],$A33,T_TTAFStock_Log[WeekIndex],93))</f>
        <v/>
      </c>
      <c r="CQ33" s="13">
        <f>IF(COUNTIFS(T_TTAFStock_Log[Part Name],$A33,T_TTAFStock_Log[WeekIndex],94)=0,"",SUMIFS(T_TTAFStock_Log[TTAF_Qty],T_TTAFStock_Log[Part Name],$A33,T_TTAFStock_Log[WeekIndex],94))</f>
        <v/>
      </c>
      <c r="CR33" s="13">
        <f>IF(COUNTIFS(T_TTAFStock_Log[Part Name],$A33,T_TTAFStock_Log[WeekIndex],95)=0,"",SUMIFS(T_TTAFStock_Log[TTAF_Qty],T_TTAFStock_Log[Part Name],$A33,T_TTAFStock_Log[WeekIndex],95))</f>
        <v/>
      </c>
      <c r="CS33" s="13">
        <f>IF(COUNTIFS(T_TTAFStock_Log[Part Name],$A33,T_TTAFStock_Log[WeekIndex],96)=0,"",SUMIFS(T_TTAFStock_Log[TTAF_Qty],T_TTAFStock_Log[Part Name],$A33,T_TTAFStock_Log[WeekIndex],96))</f>
        <v/>
      </c>
      <c r="CT33" s="13">
        <f>IF(COUNTIFS(T_TTAFStock_Log[Part Name],$A33,T_TTAFStock_Log[WeekIndex],97)=0,"",SUMIFS(T_TTAFStock_Log[TTAF_Qty],T_TTAFStock_Log[Part Name],$A33,T_TTAFStock_Log[WeekIndex],97))</f>
        <v/>
      </c>
      <c r="CU33" s="13">
        <f>IF(COUNTIFS(T_TTAFStock_Log[Part Name],$A33,T_TTAFStock_Log[WeekIndex],98)=0,"",SUMIFS(T_TTAFStock_Log[TTAF_Qty],T_TTAFStock_Log[Part Name],$A33,T_TTAFStock_Log[WeekIndex],98))</f>
        <v/>
      </c>
      <c r="CV33" s="13">
        <f>IF(COUNTIFS(T_TTAFStock_Log[Part Name],$A33,T_TTAFStock_Log[WeekIndex],99)=0,"",SUMIFS(T_TTAFStock_Log[TTAF_Qty],T_TTAFStock_Log[Part Name],$A33,T_TTAFStock_Log[WeekIndex],99))</f>
        <v/>
      </c>
      <c r="CW33" s="13">
        <f>IF(COUNTIFS(T_TTAFStock_Log[Part Name],$A33,T_TTAFStock_Log[WeekIndex],100)=0,"",SUMIFS(T_TTAFStock_Log[TTAF_Qty],T_TTAFStock_Log[Part Name],$A33,T_TTAFStock_Log[WeekIndex],100))</f>
        <v/>
      </c>
      <c r="CX33" s="13">
        <f>IF(COUNTIFS(T_TTAFStock_Log[Part Name],$A33,T_TTAFStock_Log[WeekIndex],101)=0,"",SUMIFS(T_TTAFStock_Log[TTAF_Qty],T_TTAFStock_Log[Part Name],$A33,T_TTAFStock_Log[WeekIndex],101))</f>
        <v/>
      </c>
      <c r="CY33" s="13">
        <f>IF(COUNTIFS(T_TTAFStock_Log[Part Name],$A33,T_TTAFStock_Log[WeekIndex],102)=0,"",SUMIFS(T_TTAFStock_Log[TTAF_Qty],T_TTAFStock_Log[Part Name],$A33,T_TTAFStock_Log[WeekIndex],102))</f>
        <v/>
      </c>
      <c r="CZ33" s="13">
        <f>IF(COUNTIFS(T_TTAFStock_Log[Part Name],$A33,T_TTAFStock_Log[WeekIndex],103)=0,"",SUMIFS(T_TTAFStock_Log[TTAF_Qty],T_TTAFStock_Log[Part Name],$A33,T_TTAFStock_Log[WeekIndex],103))</f>
        <v/>
      </c>
      <c r="DA33" s="13">
        <f>IF(COUNTIFS(T_TTAFStock_Log[Part Name],$A33,T_TTAFStock_Log[WeekIndex],104)=0,"",SUMIFS(T_TTAFStock_Log[TTAF_Qty],T_TTAFStock_Log[Part Name],$A33,T_TTAFStock_Log[WeekIndex],104))</f>
        <v/>
      </c>
    </row>
    <row r="34">
      <c r="A34" s="12" t="inlineStr">
        <is>
          <t>TDJ</t>
        </is>
      </c>
      <c r="B34" s="12">
        <f>IF(COUNTIFS(T_TTAFStock_Log[Part Name],$A34,T_TTAFStock_Log[WeekIndex],1)=0,"",SUMIFS(T_TTAFStock_Log[TTAF_Qty],T_TTAFStock_Log[Part Name],$A34,T_TTAFStock_Log[WeekIndex],1))</f>
        <v/>
      </c>
      <c r="C34" s="12">
        <f>IF(COUNTIFS(T_TTAFStock_Log[Part Name],$A34,T_TTAFStock_Log[WeekIndex],2)=0,"",SUMIFS(T_TTAFStock_Log[TTAF_Qty],T_TTAFStock_Log[Part Name],$A34,T_TTAFStock_Log[WeekIndex],2))</f>
        <v/>
      </c>
      <c r="D34" s="12">
        <f>IF(COUNTIFS(T_TTAFStock_Log[Part Name],$A34,T_TTAFStock_Log[WeekIndex],3)=0,"",SUMIFS(T_TTAFStock_Log[TTAF_Qty],T_TTAFStock_Log[Part Name],$A34,T_TTAFStock_Log[WeekIndex],3))</f>
        <v/>
      </c>
      <c r="E34" s="12">
        <f>IF(COUNTIFS(T_TTAFStock_Log[Part Name],$A34,T_TTAFStock_Log[WeekIndex],4)=0,"",SUMIFS(T_TTAFStock_Log[TTAF_Qty],T_TTAFStock_Log[Part Name],$A34,T_TTAFStock_Log[WeekIndex],4))</f>
        <v/>
      </c>
      <c r="F34" s="12">
        <f>IF(COUNTIFS(T_TTAFStock_Log[Part Name],$A34,T_TTAFStock_Log[WeekIndex],5)=0,"",SUMIFS(T_TTAFStock_Log[TTAF_Qty],T_TTAFStock_Log[Part Name],$A34,T_TTAFStock_Log[WeekIndex],5))</f>
        <v/>
      </c>
      <c r="G34" s="12">
        <f>IF(COUNTIFS(T_TTAFStock_Log[Part Name],$A34,T_TTAFStock_Log[WeekIndex],6)=0,"",SUMIFS(T_TTAFStock_Log[TTAF_Qty],T_TTAFStock_Log[Part Name],$A34,T_TTAFStock_Log[WeekIndex],6))</f>
        <v/>
      </c>
      <c r="H34" s="12">
        <f>IF(COUNTIFS(T_TTAFStock_Log[Part Name],$A34,T_TTAFStock_Log[WeekIndex],7)=0,"",SUMIFS(T_TTAFStock_Log[TTAF_Qty],T_TTAFStock_Log[Part Name],$A34,T_TTAFStock_Log[WeekIndex],7))</f>
        <v/>
      </c>
      <c r="I34" s="12">
        <f>IF(COUNTIFS(T_TTAFStock_Log[Part Name],$A34,T_TTAFStock_Log[WeekIndex],8)=0,"",SUMIFS(T_TTAFStock_Log[TTAF_Qty],T_TTAFStock_Log[Part Name],$A34,T_TTAFStock_Log[WeekIndex],8))</f>
        <v/>
      </c>
      <c r="J34" s="12">
        <f>IF(COUNTIFS(T_TTAFStock_Log[Part Name],$A34,T_TTAFStock_Log[WeekIndex],9)=0,"",SUMIFS(T_TTAFStock_Log[TTAF_Qty],T_TTAFStock_Log[Part Name],$A34,T_TTAFStock_Log[WeekIndex],9))</f>
        <v/>
      </c>
      <c r="K34" s="12">
        <f>IF(COUNTIFS(T_TTAFStock_Log[Part Name],$A34,T_TTAFStock_Log[WeekIndex],10)=0,"",SUMIFS(T_TTAFStock_Log[TTAF_Qty],T_TTAFStock_Log[Part Name],$A34,T_TTAFStock_Log[WeekIndex],10))</f>
        <v/>
      </c>
      <c r="L34" s="12">
        <f>IF(COUNTIFS(T_TTAFStock_Log[Part Name],$A34,T_TTAFStock_Log[WeekIndex],11)=0,"",SUMIFS(T_TTAFStock_Log[TTAF_Qty],T_TTAFStock_Log[Part Name],$A34,T_TTAFStock_Log[WeekIndex],11))</f>
        <v/>
      </c>
      <c r="M34" s="12">
        <f>IF(COUNTIFS(T_TTAFStock_Log[Part Name],$A34,T_TTAFStock_Log[WeekIndex],12)=0,"",SUMIFS(T_TTAFStock_Log[TTAF_Qty],T_TTAFStock_Log[Part Name],$A34,T_TTAFStock_Log[WeekIndex],12))</f>
        <v/>
      </c>
      <c r="N34" s="12">
        <f>IF(COUNTIFS(T_TTAFStock_Log[Part Name],$A34,T_TTAFStock_Log[WeekIndex],13)=0,"",SUMIFS(T_TTAFStock_Log[TTAF_Qty],T_TTAFStock_Log[Part Name],$A34,T_TTAFStock_Log[WeekIndex],13))</f>
        <v/>
      </c>
      <c r="O34" s="12">
        <f>IF(COUNTIFS(T_TTAFStock_Log[Part Name],$A34,T_TTAFStock_Log[WeekIndex],14)=0,"",SUMIFS(T_TTAFStock_Log[TTAF_Qty],T_TTAFStock_Log[Part Name],$A34,T_TTAFStock_Log[WeekIndex],14))</f>
        <v/>
      </c>
      <c r="P34" s="12">
        <f>IF(COUNTIFS(T_TTAFStock_Log[Part Name],$A34,T_TTAFStock_Log[WeekIndex],15)=0,"",SUMIFS(T_TTAFStock_Log[TTAF_Qty],T_TTAFStock_Log[Part Name],$A34,T_TTAFStock_Log[WeekIndex],15))</f>
        <v/>
      </c>
      <c r="Q34" s="12">
        <f>IF(COUNTIFS(T_TTAFStock_Log[Part Name],$A34,T_TTAFStock_Log[WeekIndex],16)=0,"",SUMIFS(T_TTAFStock_Log[TTAF_Qty],T_TTAFStock_Log[Part Name],$A34,T_TTAFStock_Log[WeekIndex],16))</f>
        <v/>
      </c>
      <c r="R34" s="12">
        <f>IF(COUNTIFS(T_TTAFStock_Log[Part Name],$A34,T_TTAFStock_Log[WeekIndex],17)=0,"",SUMIFS(T_TTAFStock_Log[TTAF_Qty],T_TTAFStock_Log[Part Name],$A34,T_TTAFStock_Log[WeekIndex],17))</f>
        <v/>
      </c>
      <c r="S34" s="12">
        <f>IF(COUNTIFS(T_TTAFStock_Log[Part Name],$A34,T_TTAFStock_Log[WeekIndex],18)=0,"",SUMIFS(T_TTAFStock_Log[TTAF_Qty],T_TTAFStock_Log[Part Name],$A34,T_TTAFStock_Log[WeekIndex],18))</f>
        <v/>
      </c>
      <c r="T34" s="12">
        <f>IF(COUNTIFS(T_TTAFStock_Log[Part Name],$A34,T_TTAFStock_Log[WeekIndex],19)=0,"",SUMIFS(T_TTAFStock_Log[TTAF_Qty],T_TTAFStock_Log[Part Name],$A34,T_TTAFStock_Log[WeekIndex],19))</f>
        <v/>
      </c>
      <c r="U34" s="12">
        <f>IF(COUNTIFS(T_TTAFStock_Log[Part Name],$A34,T_TTAFStock_Log[WeekIndex],20)=0,"",SUMIFS(T_TTAFStock_Log[TTAF_Qty],T_TTAFStock_Log[Part Name],$A34,T_TTAFStock_Log[WeekIndex],20))</f>
        <v/>
      </c>
      <c r="V34" s="12">
        <f>IF(COUNTIFS(T_TTAFStock_Log[Part Name],$A34,T_TTAFStock_Log[WeekIndex],21)=0,"",SUMIFS(T_TTAFStock_Log[TTAF_Qty],T_TTAFStock_Log[Part Name],$A34,T_TTAFStock_Log[WeekIndex],21))</f>
        <v/>
      </c>
      <c r="W34" s="12">
        <f>IF(COUNTIFS(T_TTAFStock_Log[Part Name],$A34,T_TTAFStock_Log[WeekIndex],22)=0,"",SUMIFS(T_TTAFStock_Log[TTAF_Qty],T_TTAFStock_Log[Part Name],$A34,T_TTAFStock_Log[WeekIndex],22))</f>
        <v/>
      </c>
      <c r="X34" s="12">
        <f>IF(COUNTIFS(T_TTAFStock_Log[Part Name],$A34,T_TTAFStock_Log[WeekIndex],23)=0,"",SUMIFS(T_TTAFStock_Log[TTAF_Qty],T_TTAFStock_Log[Part Name],$A34,T_TTAFStock_Log[WeekIndex],23))</f>
        <v/>
      </c>
      <c r="Y34" s="12">
        <f>IF(COUNTIFS(T_TTAFStock_Log[Part Name],$A34,T_TTAFStock_Log[WeekIndex],24)=0,"",SUMIFS(T_TTAFStock_Log[TTAF_Qty],T_TTAFStock_Log[Part Name],$A34,T_TTAFStock_Log[WeekIndex],24))</f>
        <v/>
      </c>
      <c r="Z34" s="12">
        <f>IF(COUNTIFS(T_TTAFStock_Log[Part Name],$A34,T_TTAFStock_Log[WeekIndex],25)=0,"",SUMIFS(T_TTAFStock_Log[TTAF_Qty],T_TTAFStock_Log[Part Name],$A34,T_TTAFStock_Log[WeekIndex],25))</f>
        <v/>
      </c>
      <c r="AA34" s="12">
        <f>IF(COUNTIFS(T_TTAFStock_Log[Part Name],$A34,T_TTAFStock_Log[WeekIndex],26)=0,"",SUMIFS(T_TTAFStock_Log[TTAF_Qty],T_TTAFStock_Log[Part Name],$A34,T_TTAFStock_Log[WeekIndex],26))</f>
        <v/>
      </c>
      <c r="AB34" s="12">
        <f>IF(COUNTIFS(T_TTAFStock_Log[Part Name],$A34,T_TTAFStock_Log[WeekIndex],27)=0,"",SUMIFS(T_TTAFStock_Log[TTAF_Qty],T_TTAFStock_Log[Part Name],$A34,T_TTAFStock_Log[WeekIndex],27))</f>
        <v/>
      </c>
      <c r="AC34" s="12">
        <f>IF(COUNTIFS(T_TTAFStock_Log[Part Name],$A34,T_TTAFStock_Log[WeekIndex],28)=0,"",SUMIFS(T_TTAFStock_Log[TTAF_Qty],T_TTAFStock_Log[Part Name],$A34,T_TTAFStock_Log[WeekIndex],28))</f>
        <v/>
      </c>
      <c r="AD34" s="12">
        <f>IF(COUNTIFS(T_TTAFStock_Log[Part Name],$A34,T_TTAFStock_Log[WeekIndex],29)=0,"",SUMIFS(T_TTAFStock_Log[TTAF_Qty],T_TTAFStock_Log[Part Name],$A34,T_TTAFStock_Log[WeekIndex],29))</f>
        <v/>
      </c>
      <c r="AE34" s="12">
        <f>IF(COUNTIFS(T_TTAFStock_Log[Part Name],$A34,T_TTAFStock_Log[WeekIndex],30)=0,"",SUMIFS(T_TTAFStock_Log[TTAF_Qty],T_TTAFStock_Log[Part Name],$A34,T_TTAFStock_Log[WeekIndex],30))</f>
        <v/>
      </c>
      <c r="AF34" s="12">
        <f>IF(COUNTIFS(T_TTAFStock_Log[Part Name],$A34,T_TTAFStock_Log[WeekIndex],31)=0,"",SUMIFS(T_TTAFStock_Log[TTAF_Qty],T_TTAFStock_Log[Part Name],$A34,T_TTAFStock_Log[WeekIndex],31))</f>
        <v/>
      </c>
      <c r="AG34" s="12">
        <f>IF(COUNTIFS(T_TTAFStock_Log[Part Name],$A34,T_TTAFStock_Log[WeekIndex],32)=0,"",SUMIFS(T_TTAFStock_Log[TTAF_Qty],T_TTAFStock_Log[Part Name],$A34,T_TTAFStock_Log[WeekIndex],32))</f>
        <v/>
      </c>
      <c r="AH34" s="12">
        <f>IF(COUNTIFS(T_TTAFStock_Log[Part Name],$A34,T_TTAFStock_Log[WeekIndex],33)=0,"",SUMIFS(T_TTAFStock_Log[TTAF_Qty],T_TTAFStock_Log[Part Name],$A34,T_TTAFStock_Log[WeekIndex],33))</f>
        <v/>
      </c>
      <c r="AI34" s="12">
        <f>IF(COUNTIFS(T_TTAFStock_Log[Part Name],$A34,T_TTAFStock_Log[WeekIndex],34)=0,"",SUMIFS(T_TTAFStock_Log[TTAF_Qty],T_TTAFStock_Log[Part Name],$A34,T_TTAFStock_Log[WeekIndex],34))</f>
        <v/>
      </c>
      <c r="AJ34" s="12">
        <f>IF(COUNTIFS(T_TTAFStock_Log[Part Name],$A34,T_TTAFStock_Log[WeekIndex],35)=0,"",SUMIFS(T_TTAFStock_Log[TTAF_Qty],T_TTAFStock_Log[Part Name],$A34,T_TTAFStock_Log[WeekIndex],35))</f>
        <v/>
      </c>
      <c r="AK34" s="12">
        <f>IF(COUNTIFS(T_TTAFStock_Log[Part Name],$A34,T_TTAFStock_Log[WeekIndex],36)=0,"",SUMIFS(T_TTAFStock_Log[TTAF_Qty],T_TTAFStock_Log[Part Name],$A34,T_TTAFStock_Log[WeekIndex],36))</f>
        <v/>
      </c>
      <c r="AL34" s="12">
        <f>IF(COUNTIFS(T_TTAFStock_Log[Part Name],$A34,T_TTAFStock_Log[WeekIndex],37)=0,"",SUMIFS(T_TTAFStock_Log[TTAF_Qty],T_TTAFStock_Log[Part Name],$A34,T_TTAFStock_Log[WeekIndex],37))</f>
        <v/>
      </c>
      <c r="AM34" s="12">
        <f>IF(COUNTIFS(T_TTAFStock_Log[Part Name],$A34,T_TTAFStock_Log[WeekIndex],38)=0,"",SUMIFS(T_TTAFStock_Log[TTAF_Qty],T_TTAFStock_Log[Part Name],$A34,T_TTAFStock_Log[WeekIndex],38))</f>
        <v/>
      </c>
      <c r="AN34" s="12">
        <f>IF(COUNTIFS(T_TTAFStock_Log[Part Name],$A34,T_TTAFStock_Log[WeekIndex],39)=0,"",SUMIFS(T_TTAFStock_Log[TTAF_Qty],T_TTAFStock_Log[Part Name],$A34,T_TTAFStock_Log[WeekIndex],39))</f>
        <v/>
      </c>
      <c r="AO34" s="12">
        <f>IF(COUNTIFS(T_TTAFStock_Log[Part Name],$A34,T_TTAFStock_Log[WeekIndex],40)=0,"",SUMIFS(T_TTAFStock_Log[TTAF_Qty],T_TTAFStock_Log[Part Name],$A34,T_TTAFStock_Log[WeekIndex],40))</f>
        <v/>
      </c>
      <c r="AP34" s="12">
        <f>IF(COUNTIFS(T_TTAFStock_Log[Part Name],$A34,T_TTAFStock_Log[WeekIndex],41)=0,"",SUMIFS(T_TTAFStock_Log[TTAF_Qty],T_TTAFStock_Log[Part Name],$A34,T_TTAFStock_Log[WeekIndex],41))</f>
        <v/>
      </c>
      <c r="AQ34" s="12">
        <f>IF(COUNTIFS(T_TTAFStock_Log[Part Name],$A34,T_TTAFStock_Log[WeekIndex],42)=0,"",SUMIFS(T_TTAFStock_Log[TTAF_Qty],T_TTAFStock_Log[Part Name],$A34,T_TTAFStock_Log[WeekIndex],42))</f>
        <v/>
      </c>
      <c r="AR34" s="12">
        <f>IF(COUNTIFS(T_TTAFStock_Log[Part Name],$A34,T_TTAFStock_Log[WeekIndex],43)=0,"",SUMIFS(T_TTAFStock_Log[TTAF_Qty],T_TTAFStock_Log[Part Name],$A34,T_TTAFStock_Log[WeekIndex],43))</f>
        <v/>
      </c>
      <c r="AS34" s="12">
        <f>IF(COUNTIFS(T_TTAFStock_Log[Part Name],$A34,T_TTAFStock_Log[WeekIndex],44)=0,"",SUMIFS(T_TTAFStock_Log[TTAF_Qty],T_TTAFStock_Log[Part Name],$A34,T_TTAFStock_Log[WeekIndex],44))</f>
        <v/>
      </c>
      <c r="AT34" s="12">
        <f>IF(COUNTIFS(T_TTAFStock_Log[Part Name],$A34,T_TTAFStock_Log[WeekIndex],45)=0,"",SUMIFS(T_TTAFStock_Log[TTAF_Qty],T_TTAFStock_Log[Part Name],$A34,T_TTAFStock_Log[WeekIndex],45))</f>
        <v/>
      </c>
      <c r="AU34" s="12">
        <f>IF(COUNTIFS(T_TTAFStock_Log[Part Name],$A34,T_TTAFStock_Log[WeekIndex],46)=0,"",SUMIFS(T_TTAFStock_Log[TTAF_Qty],T_TTAFStock_Log[Part Name],$A34,T_TTAFStock_Log[WeekIndex],46))</f>
        <v/>
      </c>
      <c r="AV34" s="12">
        <f>IF(COUNTIFS(T_TTAFStock_Log[Part Name],$A34,T_TTAFStock_Log[WeekIndex],47)=0,"",SUMIFS(T_TTAFStock_Log[TTAF_Qty],T_TTAFStock_Log[Part Name],$A34,T_TTAFStock_Log[WeekIndex],47))</f>
        <v/>
      </c>
      <c r="AW34" s="12">
        <f>IF(COUNTIFS(T_TTAFStock_Log[Part Name],$A34,T_TTAFStock_Log[WeekIndex],48)=0,"",SUMIFS(T_TTAFStock_Log[TTAF_Qty],T_TTAFStock_Log[Part Name],$A34,T_TTAFStock_Log[WeekIndex],48))</f>
        <v/>
      </c>
      <c r="AX34" s="12">
        <f>IF(COUNTIFS(T_TTAFStock_Log[Part Name],$A34,T_TTAFStock_Log[WeekIndex],49)=0,"",SUMIFS(T_TTAFStock_Log[TTAF_Qty],T_TTAFStock_Log[Part Name],$A34,T_TTAFStock_Log[WeekIndex],49))</f>
        <v/>
      </c>
      <c r="AY34" s="12">
        <f>IF(COUNTIFS(T_TTAFStock_Log[Part Name],$A34,T_TTAFStock_Log[WeekIndex],50)=0,"",SUMIFS(T_TTAFStock_Log[TTAF_Qty],T_TTAFStock_Log[Part Name],$A34,T_TTAFStock_Log[WeekIndex],50))</f>
        <v/>
      </c>
      <c r="AZ34" s="12">
        <f>IF(COUNTIFS(T_TTAFStock_Log[Part Name],$A34,T_TTAFStock_Log[WeekIndex],51)=0,"",SUMIFS(T_TTAFStock_Log[TTAF_Qty],T_TTAFStock_Log[Part Name],$A34,T_TTAFStock_Log[WeekIndex],51))</f>
        <v/>
      </c>
      <c r="BA34" s="12">
        <f>IF(COUNTIFS(T_TTAFStock_Log[Part Name],$A34,T_TTAFStock_Log[WeekIndex],52)=0,"",SUMIFS(T_TTAFStock_Log[TTAF_Qty],T_TTAFStock_Log[Part Name],$A34,T_TTAFStock_Log[WeekIndex],52))</f>
        <v/>
      </c>
      <c r="BB34" s="12">
        <f>IF(COUNTIFS(T_TTAFStock_Log[Part Name],$A34,T_TTAFStock_Log[WeekIndex],53)=0,"",SUMIFS(T_TTAFStock_Log[TTAF_Qty],T_TTAFStock_Log[Part Name],$A34,T_TTAFStock_Log[WeekIndex],53))</f>
        <v/>
      </c>
      <c r="BC34" s="12">
        <f>IF(COUNTIFS(T_TTAFStock_Log[Part Name],$A34,T_TTAFStock_Log[WeekIndex],54)=0,"",SUMIFS(T_TTAFStock_Log[TTAF_Qty],T_TTAFStock_Log[Part Name],$A34,T_TTAFStock_Log[WeekIndex],54))</f>
        <v/>
      </c>
      <c r="BD34" s="12">
        <f>IF(COUNTIFS(T_TTAFStock_Log[Part Name],$A34,T_TTAFStock_Log[WeekIndex],55)=0,"",SUMIFS(T_TTAFStock_Log[TTAF_Qty],T_TTAFStock_Log[Part Name],$A34,T_TTAFStock_Log[WeekIndex],55))</f>
        <v/>
      </c>
      <c r="BE34" s="12">
        <f>IF(COUNTIFS(T_TTAFStock_Log[Part Name],$A34,T_TTAFStock_Log[WeekIndex],56)=0,"",SUMIFS(T_TTAFStock_Log[TTAF_Qty],T_TTAFStock_Log[Part Name],$A34,T_TTAFStock_Log[WeekIndex],56))</f>
        <v/>
      </c>
      <c r="BF34" s="12">
        <f>IF(COUNTIFS(T_TTAFStock_Log[Part Name],$A34,T_TTAFStock_Log[WeekIndex],57)=0,"",SUMIFS(T_TTAFStock_Log[TTAF_Qty],T_TTAFStock_Log[Part Name],$A34,T_TTAFStock_Log[WeekIndex],57))</f>
        <v/>
      </c>
      <c r="BG34" s="12">
        <f>IF(COUNTIFS(T_TTAFStock_Log[Part Name],$A34,T_TTAFStock_Log[WeekIndex],58)=0,"",SUMIFS(T_TTAFStock_Log[TTAF_Qty],T_TTAFStock_Log[Part Name],$A34,T_TTAFStock_Log[WeekIndex],58))</f>
        <v/>
      </c>
      <c r="BH34" s="12">
        <f>IF(COUNTIFS(T_TTAFStock_Log[Part Name],$A34,T_TTAFStock_Log[WeekIndex],59)=0,"",SUMIFS(T_TTAFStock_Log[TTAF_Qty],T_TTAFStock_Log[Part Name],$A34,T_TTAFStock_Log[WeekIndex],59))</f>
        <v/>
      </c>
      <c r="BI34" s="12">
        <f>IF(COUNTIFS(T_TTAFStock_Log[Part Name],$A34,T_TTAFStock_Log[WeekIndex],60)=0,"",SUMIFS(T_TTAFStock_Log[TTAF_Qty],T_TTAFStock_Log[Part Name],$A34,T_TTAFStock_Log[WeekIndex],60))</f>
        <v/>
      </c>
      <c r="BJ34" s="12">
        <f>IF(COUNTIFS(T_TTAFStock_Log[Part Name],$A34,T_TTAFStock_Log[WeekIndex],61)=0,"",SUMIFS(T_TTAFStock_Log[TTAF_Qty],T_TTAFStock_Log[Part Name],$A34,T_TTAFStock_Log[WeekIndex],61))</f>
        <v/>
      </c>
      <c r="BK34" s="12">
        <f>IF(COUNTIFS(T_TTAFStock_Log[Part Name],$A34,T_TTAFStock_Log[WeekIndex],62)=0,"",SUMIFS(T_TTAFStock_Log[TTAF_Qty],T_TTAFStock_Log[Part Name],$A34,T_TTAFStock_Log[WeekIndex],62))</f>
        <v/>
      </c>
      <c r="BL34" s="12">
        <f>IF(COUNTIFS(T_TTAFStock_Log[Part Name],$A34,T_TTAFStock_Log[WeekIndex],63)=0,"",SUMIFS(T_TTAFStock_Log[TTAF_Qty],T_TTAFStock_Log[Part Name],$A34,T_TTAFStock_Log[WeekIndex],63))</f>
        <v/>
      </c>
      <c r="BM34" s="12">
        <f>IF(COUNTIFS(T_TTAFStock_Log[Part Name],$A34,T_TTAFStock_Log[WeekIndex],64)=0,"",SUMIFS(T_TTAFStock_Log[TTAF_Qty],T_TTAFStock_Log[Part Name],$A34,T_TTAFStock_Log[WeekIndex],64))</f>
        <v/>
      </c>
      <c r="BN34" s="12">
        <f>IF(COUNTIFS(T_TTAFStock_Log[Part Name],$A34,T_TTAFStock_Log[WeekIndex],65)=0,"",SUMIFS(T_TTAFStock_Log[TTAF_Qty],T_TTAFStock_Log[Part Name],$A34,T_TTAFStock_Log[WeekIndex],65))</f>
        <v/>
      </c>
      <c r="BO34" s="12">
        <f>IF(COUNTIFS(T_TTAFStock_Log[Part Name],$A34,T_TTAFStock_Log[WeekIndex],66)=0,"",SUMIFS(T_TTAFStock_Log[TTAF_Qty],T_TTAFStock_Log[Part Name],$A34,T_TTAFStock_Log[WeekIndex],66))</f>
        <v/>
      </c>
      <c r="BP34" s="12">
        <f>IF(COUNTIFS(T_TTAFStock_Log[Part Name],$A34,T_TTAFStock_Log[WeekIndex],67)=0,"",SUMIFS(T_TTAFStock_Log[TTAF_Qty],T_TTAFStock_Log[Part Name],$A34,T_TTAFStock_Log[WeekIndex],67))</f>
        <v/>
      </c>
      <c r="BQ34" s="12">
        <f>IF(COUNTIFS(T_TTAFStock_Log[Part Name],$A34,T_TTAFStock_Log[WeekIndex],68)=0,"",SUMIFS(T_TTAFStock_Log[TTAF_Qty],T_TTAFStock_Log[Part Name],$A34,T_TTAFStock_Log[WeekIndex],68))</f>
        <v/>
      </c>
      <c r="BR34" s="12">
        <f>IF(COUNTIFS(T_TTAFStock_Log[Part Name],$A34,T_TTAFStock_Log[WeekIndex],69)=0,"",SUMIFS(T_TTAFStock_Log[TTAF_Qty],T_TTAFStock_Log[Part Name],$A34,T_TTAFStock_Log[WeekIndex],69))</f>
        <v/>
      </c>
      <c r="BS34" s="12">
        <f>IF(COUNTIFS(T_TTAFStock_Log[Part Name],$A34,T_TTAFStock_Log[WeekIndex],70)=0,"",SUMIFS(T_TTAFStock_Log[TTAF_Qty],T_TTAFStock_Log[Part Name],$A34,T_TTAFStock_Log[WeekIndex],70))</f>
        <v/>
      </c>
      <c r="BT34" s="12">
        <f>IF(COUNTIFS(T_TTAFStock_Log[Part Name],$A34,T_TTAFStock_Log[WeekIndex],71)=0,"",SUMIFS(T_TTAFStock_Log[TTAF_Qty],T_TTAFStock_Log[Part Name],$A34,T_TTAFStock_Log[WeekIndex],71))</f>
        <v/>
      </c>
      <c r="BU34" s="12">
        <f>IF(COUNTIFS(T_TTAFStock_Log[Part Name],$A34,T_TTAFStock_Log[WeekIndex],72)=0,"",SUMIFS(T_TTAFStock_Log[TTAF_Qty],T_TTAFStock_Log[Part Name],$A34,T_TTAFStock_Log[WeekIndex],72))</f>
        <v/>
      </c>
      <c r="BV34" s="12">
        <f>IF(COUNTIFS(T_TTAFStock_Log[Part Name],$A34,T_TTAFStock_Log[WeekIndex],73)=0,"",SUMIFS(T_TTAFStock_Log[TTAF_Qty],T_TTAFStock_Log[Part Name],$A34,T_TTAFStock_Log[WeekIndex],73))</f>
        <v/>
      </c>
      <c r="BW34" s="12">
        <f>IF(COUNTIFS(T_TTAFStock_Log[Part Name],$A34,T_TTAFStock_Log[WeekIndex],74)=0,"",SUMIFS(T_TTAFStock_Log[TTAF_Qty],T_TTAFStock_Log[Part Name],$A34,T_TTAFStock_Log[WeekIndex],74))</f>
        <v/>
      </c>
      <c r="BX34" s="12">
        <f>IF(COUNTIFS(T_TTAFStock_Log[Part Name],$A34,T_TTAFStock_Log[WeekIndex],75)=0,"",SUMIFS(T_TTAFStock_Log[TTAF_Qty],T_TTAFStock_Log[Part Name],$A34,T_TTAFStock_Log[WeekIndex],75))</f>
        <v/>
      </c>
      <c r="BY34" s="12">
        <f>IF(COUNTIFS(T_TTAFStock_Log[Part Name],$A34,T_TTAFStock_Log[WeekIndex],76)=0,"",SUMIFS(T_TTAFStock_Log[TTAF_Qty],T_TTAFStock_Log[Part Name],$A34,T_TTAFStock_Log[WeekIndex],76))</f>
        <v/>
      </c>
      <c r="BZ34" s="12">
        <f>IF(COUNTIFS(T_TTAFStock_Log[Part Name],$A34,T_TTAFStock_Log[WeekIndex],77)=0,"",SUMIFS(T_TTAFStock_Log[TTAF_Qty],T_TTAFStock_Log[Part Name],$A34,T_TTAFStock_Log[WeekIndex],77))</f>
        <v/>
      </c>
      <c r="CA34" s="12">
        <f>IF(COUNTIFS(T_TTAFStock_Log[Part Name],$A34,T_TTAFStock_Log[WeekIndex],78)=0,"",SUMIFS(T_TTAFStock_Log[TTAF_Qty],T_TTAFStock_Log[Part Name],$A34,T_TTAFStock_Log[WeekIndex],78))</f>
        <v/>
      </c>
      <c r="CB34" s="12">
        <f>IF(COUNTIFS(T_TTAFStock_Log[Part Name],$A34,T_TTAFStock_Log[WeekIndex],79)=0,"",SUMIFS(T_TTAFStock_Log[TTAF_Qty],T_TTAFStock_Log[Part Name],$A34,T_TTAFStock_Log[WeekIndex],79))</f>
        <v/>
      </c>
      <c r="CC34" s="12">
        <f>IF(COUNTIFS(T_TTAFStock_Log[Part Name],$A34,T_TTAFStock_Log[WeekIndex],80)=0,"",SUMIFS(T_TTAFStock_Log[TTAF_Qty],T_TTAFStock_Log[Part Name],$A34,T_TTAFStock_Log[WeekIndex],80))</f>
        <v/>
      </c>
      <c r="CD34" s="12">
        <f>IF(COUNTIFS(T_TTAFStock_Log[Part Name],$A34,T_TTAFStock_Log[WeekIndex],81)=0,"",SUMIFS(T_TTAFStock_Log[TTAF_Qty],T_TTAFStock_Log[Part Name],$A34,T_TTAFStock_Log[WeekIndex],81))</f>
        <v/>
      </c>
      <c r="CE34" s="12">
        <f>IF(COUNTIFS(T_TTAFStock_Log[Part Name],$A34,T_TTAFStock_Log[WeekIndex],82)=0,"",SUMIFS(T_TTAFStock_Log[TTAF_Qty],T_TTAFStock_Log[Part Name],$A34,T_TTAFStock_Log[WeekIndex],82))</f>
        <v/>
      </c>
      <c r="CF34" s="12">
        <f>IF(COUNTIFS(T_TTAFStock_Log[Part Name],$A34,T_TTAFStock_Log[WeekIndex],83)=0,"",SUMIFS(T_TTAFStock_Log[TTAF_Qty],T_TTAFStock_Log[Part Name],$A34,T_TTAFStock_Log[WeekIndex],83))</f>
        <v/>
      </c>
      <c r="CG34" s="12">
        <f>IF(COUNTIFS(T_TTAFStock_Log[Part Name],$A34,T_TTAFStock_Log[WeekIndex],84)=0,"",SUMIFS(T_TTAFStock_Log[TTAF_Qty],T_TTAFStock_Log[Part Name],$A34,T_TTAFStock_Log[WeekIndex],84))</f>
        <v/>
      </c>
      <c r="CH34" s="12">
        <f>IF(COUNTIFS(T_TTAFStock_Log[Part Name],$A34,T_TTAFStock_Log[WeekIndex],85)=0,"",SUMIFS(T_TTAFStock_Log[TTAF_Qty],T_TTAFStock_Log[Part Name],$A34,T_TTAFStock_Log[WeekIndex],85))</f>
        <v/>
      </c>
      <c r="CI34" s="12">
        <f>IF(COUNTIFS(T_TTAFStock_Log[Part Name],$A34,T_TTAFStock_Log[WeekIndex],86)=0,"",SUMIFS(T_TTAFStock_Log[TTAF_Qty],T_TTAFStock_Log[Part Name],$A34,T_TTAFStock_Log[WeekIndex],86))</f>
        <v/>
      </c>
      <c r="CJ34" s="12">
        <f>IF(COUNTIFS(T_TTAFStock_Log[Part Name],$A34,T_TTAFStock_Log[WeekIndex],87)=0,"",SUMIFS(T_TTAFStock_Log[TTAF_Qty],T_TTAFStock_Log[Part Name],$A34,T_TTAFStock_Log[WeekIndex],87))</f>
        <v/>
      </c>
      <c r="CK34" s="12">
        <f>IF(COUNTIFS(T_TTAFStock_Log[Part Name],$A34,T_TTAFStock_Log[WeekIndex],88)=0,"",SUMIFS(T_TTAFStock_Log[TTAF_Qty],T_TTAFStock_Log[Part Name],$A34,T_TTAFStock_Log[WeekIndex],88))</f>
        <v/>
      </c>
      <c r="CL34" s="12">
        <f>IF(COUNTIFS(T_TTAFStock_Log[Part Name],$A34,T_TTAFStock_Log[WeekIndex],89)=0,"",SUMIFS(T_TTAFStock_Log[TTAF_Qty],T_TTAFStock_Log[Part Name],$A34,T_TTAFStock_Log[WeekIndex],89))</f>
        <v/>
      </c>
      <c r="CM34" s="12">
        <f>IF(COUNTIFS(T_TTAFStock_Log[Part Name],$A34,T_TTAFStock_Log[WeekIndex],90)=0,"",SUMIFS(T_TTAFStock_Log[TTAF_Qty],T_TTAFStock_Log[Part Name],$A34,T_TTAFStock_Log[WeekIndex],90))</f>
        <v/>
      </c>
      <c r="CN34" s="12">
        <f>IF(COUNTIFS(T_TTAFStock_Log[Part Name],$A34,T_TTAFStock_Log[WeekIndex],91)=0,"",SUMIFS(T_TTAFStock_Log[TTAF_Qty],T_TTAFStock_Log[Part Name],$A34,T_TTAFStock_Log[WeekIndex],91))</f>
        <v/>
      </c>
      <c r="CO34" s="12">
        <f>IF(COUNTIFS(T_TTAFStock_Log[Part Name],$A34,T_TTAFStock_Log[WeekIndex],92)=0,"",SUMIFS(T_TTAFStock_Log[TTAF_Qty],T_TTAFStock_Log[Part Name],$A34,T_TTAFStock_Log[WeekIndex],92))</f>
        <v/>
      </c>
      <c r="CP34" s="12">
        <f>IF(COUNTIFS(T_TTAFStock_Log[Part Name],$A34,T_TTAFStock_Log[WeekIndex],93)=0,"",SUMIFS(T_TTAFStock_Log[TTAF_Qty],T_TTAFStock_Log[Part Name],$A34,T_TTAFStock_Log[WeekIndex],93))</f>
        <v/>
      </c>
      <c r="CQ34" s="12">
        <f>IF(COUNTIFS(T_TTAFStock_Log[Part Name],$A34,T_TTAFStock_Log[WeekIndex],94)=0,"",SUMIFS(T_TTAFStock_Log[TTAF_Qty],T_TTAFStock_Log[Part Name],$A34,T_TTAFStock_Log[WeekIndex],94))</f>
        <v/>
      </c>
      <c r="CR34" s="12">
        <f>IF(COUNTIFS(T_TTAFStock_Log[Part Name],$A34,T_TTAFStock_Log[WeekIndex],95)=0,"",SUMIFS(T_TTAFStock_Log[TTAF_Qty],T_TTAFStock_Log[Part Name],$A34,T_TTAFStock_Log[WeekIndex],95))</f>
        <v/>
      </c>
      <c r="CS34" s="12">
        <f>IF(COUNTIFS(T_TTAFStock_Log[Part Name],$A34,T_TTAFStock_Log[WeekIndex],96)=0,"",SUMIFS(T_TTAFStock_Log[TTAF_Qty],T_TTAFStock_Log[Part Name],$A34,T_TTAFStock_Log[WeekIndex],96))</f>
        <v/>
      </c>
      <c r="CT34" s="12">
        <f>IF(COUNTIFS(T_TTAFStock_Log[Part Name],$A34,T_TTAFStock_Log[WeekIndex],97)=0,"",SUMIFS(T_TTAFStock_Log[TTAF_Qty],T_TTAFStock_Log[Part Name],$A34,T_TTAFStock_Log[WeekIndex],97))</f>
        <v/>
      </c>
      <c r="CU34" s="12">
        <f>IF(COUNTIFS(T_TTAFStock_Log[Part Name],$A34,T_TTAFStock_Log[WeekIndex],98)=0,"",SUMIFS(T_TTAFStock_Log[TTAF_Qty],T_TTAFStock_Log[Part Name],$A34,T_TTAFStock_Log[WeekIndex],98))</f>
        <v/>
      </c>
      <c r="CV34" s="12">
        <f>IF(COUNTIFS(T_TTAFStock_Log[Part Name],$A34,T_TTAFStock_Log[WeekIndex],99)=0,"",SUMIFS(T_TTAFStock_Log[TTAF_Qty],T_TTAFStock_Log[Part Name],$A34,T_TTAFStock_Log[WeekIndex],99))</f>
        <v/>
      </c>
      <c r="CW34" s="12">
        <f>IF(COUNTIFS(T_TTAFStock_Log[Part Name],$A34,T_TTAFStock_Log[WeekIndex],100)=0,"",SUMIFS(T_TTAFStock_Log[TTAF_Qty],T_TTAFStock_Log[Part Name],$A34,T_TTAFStock_Log[WeekIndex],100))</f>
        <v/>
      </c>
      <c r="CX34" s="12">
        <f>IF(COUNTIFS(T_TTAFStock_Log[Part Name],$A34,T_TTAFStock_Log[WeekIndex],101)=0,"",SUMIFS(T_TTAFStock_Log[TTAF_Qty],T_TTAFStock_Log[Part Name],$A34,T_TTAFStock_Log[WeekIndex],101))</f>
        <v/>
      </c>
      <c r="CY34" s="12">
        <f>IF(COUNTIFS(T_TTAFStock_Log[Part Name],$A34,T_TTAFStock_Log[WeekIndex],102)=0,"",SUMIFS(T_TTAFStock_Log[TTAF_Qty],T_TTAFStock_Log[Part Name],$A34,T_TTAFStock_Log[WeekIndex],102))</f>
        <v/>
      </c>
      <c r="CZ34" s="12">
        <f>IF(COUNTIFS(T_TTAFStock_Log[Part Name],$A34,T_TTAFStock_Log[WeekIndex],103)=0,"",SUMIFS(T_TTAFStock_Log[TTAF_Qty],T_TTAFStock_Log[Part Name],$A34,T_TTAFStock_Log[WeekIndex],103))</f>
        <v/>
      </c>
      <c r="DA34" s="12">
        <f>IF(COUNTIFS(T_TTAFStock_Log[Part Name],$A34,T_TTAFStock_Log[WeekIndex],104)=0,"",SUMIFS(T_TTAFStock_Log[TTAF_Qty],T_TTAFStock_Log[Part Name],$A34,T_TTAFStock_Log[WeekIndex],104))</f>
        <v/>
      </c>
    </row>
    <row r="35">
      <c r="A35" s="13" t="inlineStr">
        <is>
          <t>CHEM-1730</t>
        </is>
      </c>
      <c r="B35" s="13">
        <f>IF(COUNTIFS(T_TTAFStock_Log[Part Name],$A35,T_TTAFStock_Log[WeekIndex],1)=0,"",SUMIFS(T_TTAFStock_Log[TTAF_Qty],T_TTAFStock_Log[Part Name],$A35,T_TTAFStock_Log[WeekIndex],1))</f>
        <v/>
      </c>
      <c r="C35" s="13">
        <f>IF(COUNTIFS(T_TTAFStock_Log[Part Name],$A35,T_TTAFStock_Log[WeekIndex],2)=0,"",SUMIFS(T_TTAFStock_Log[TTAF_Qty],T_TTAFStock_Log[Part Name],$A35,T_TTAFStock_Log[WeekIndex],2))</f>
        <v/>
      </c>
      <c r="D35" s="13">
        <f>IF(COUNTIFS(T_TTAFStock_Log[Part Name],$A35,T_TTAFStock_Log[WeekIndex],3)=0,"",SUMIFS(T_TTAFStock_Log[TTAF_Qty],T_TTAFStock_Log[Part Name],$A35,T_TTAFStock_Log[WeekIndex],3))</f>
        <v/>
      </c>
      <c r="E35" s="13">
        <f>IF(COUNTIFS(T_TTAFStock_Log[Part Name],$A35,T_TTAFStock_Log[WeekIndex],4)=0,"",SUMIFS(T_TTAFStock_Log[TTAF_Qty],T_TTAFStock_Log[Part Name],$A35,T_TTAFStock_Log[WeekIndex],4))</f>
        <v/>
      </c>
      <c r="F35" s="13">
        <f>IF(COUNTIFS(T_TTAFStock_Log[Part Name],$A35,T_TTAFStock_Log[WeekIndex],5)=0,"",SUMIFS(T_TTAFStock_Log[TTAF_Qty],T_TTAFStock_Log[Part Name],$A35,T_TTAFStock_Log[WeekIndex],5))</f>
        <v/>
      </c>
      <c r="G35" s="13">
        <f>IF(COUNTIFS(T_TTAFStock_Log[Part Name],$A35,T_TTAFStock_Log[WeekIndex],6)=0,"",SUMIFS(T_TTAFStock_Log[TTAF_Qty],T_TTAFStock_Log[Part Name],$A35,T_TTAFStock_Log[WeekIndex],6))</f>
        <v/>
      </c>
      <c r="H35" s="13">
        <f>IF(COUNTIFS(T_TTAFStock_Log[Part Name],$A35,T_TTAFStock_Log[WeekIndex],7)=0,"",SUMIFS(T_TTAFStock_Log[TTAF_Qty],T_TTAFStock_Log[Part Name],$A35,T_TTAFStock_Log[WeekIndex],7))</f>
        <v/>
      </c>
      <c r="I35" s="13">
        <f>IF(COUNTIFS(T_TTAFStock_Log[Part Name],$A35,T_TTAFStock_Log[WeekIndex],8)=0,"",SUMIFS(T_TTAFStock_Log[TTAF_Qty],T_TTAFStock_Log[Part Name],$A35,T_TTAFStock_Log[WeekIndex],8))</f>
        <v/>
      </c>
      <c r="J35" s="13">
        <f>IF(COUNTIFS(T_TTAFStock_Log[Part Name],$A35,T_TTAFStock_Log[WeekIndex],9)=0,"",SUMIFS(T_TTAFStock_Log[TTAF_Qty],T_TTAFStock_Log[Part Name],$A35,T_TTAFStock_Log[WeekIndex],9))</f>
        <v/>
      </c>
      <c r="K35" s="13">
        <f>IF(COUNTIFS(T_TTAFStock_Log[Part Name],$A35,T_TTAFStock_Log[WeekIndex],10)=0,"",SUMIFS(T_TTAFStock_Log[TTAF_Qty],T_TTAFStock_Log[Part Name],$A35,T_TTAFStock_Log[WeekIndex],10))</f>
        <v/>
      </c>
      <c r="L35" s="13">
        <f>IF(COUNTIFS(T_TTAFStock_Log[Part Name],$A35,T_TTAFStock_Log[WeekIndex],11)=0,"",SUMIFS(T_TTAFStock_Log[TTAF_Qty],T_TTAFStock_Log[Part Name],$A35,T_TTAFStock_Log[WeekIndex],11))</f>
        <v/>
      </c>
      <c r="M35" s="13">
        <f>IF(COUNTIFS(T_TTAFStock_Log[Part Name],$A35,T_TTAFStock_Log[WeekIndex],12)=0,"",SUMIFS(T_TTAFStock_Log[TTAF_Qty],T_TTAFStock_Log[Part Name],$A35,T_TTAFStock_Log[WeekIndex],12))</f>
        <v/>
      </c>
      <c r="N35" s="13">
        <f>IF(COUNTIFS(T_TTAFStock_Log[Part Name],$A35,T_TTAFStock_Log[WeekIndex],13)=0,"",SUMIFS(T_TTAFStock_Log[TTAF_Qty],T_TTAFStock_Log[Part Name],$A35,T_TTAFStock_Log[WeekIndex],13))</f>
        <v/>
      </c>
      <c r="O35" s="13">
        <f>IF(COUNTIFS(T_TTAFStock_Log[Part Name],$A35,T_TTAFStock_Log[WeekIndex],14)=0,"",SUMIFS(T_TTAFStock_Log[TTAF_Qty],T_TTAFStock_Log[Part Name],$A35,T_TTAFStock_Log[WeekIndex],14))</f>
        <v/>
      </c>
      <c r="P35" s="13">
        <f>IF(COUNTIFS(T_TTAFStock_Log[Part Name],$A35,T_TTAFStock_Log[WeekIndex],15)=0,"",SUMIFS(T_TTAFStock_Log[TTAF_Qty],T_TTAFStock_Log[Part Name],$A35,T_TTAFStock_Log[WeekIndex],15))</f>
        <v/>
      </c>
      <c r="Q35" s="13">
        <f>IF(COUNTIFS(T_TTAFStock_Log[Part Name],$A35,T_TTAFStock_Log[WeekIndex],16)=0,"",SUMIFS(T_TTAFStock_Log[TTAF_Qty],T_TTAFStock_Log[Part Name],$A35,T_TTAFStock_Log[WeekIndex],16))</f>
        <v/>
      </c>
      <c r="R35" s="13">
        <f>IF(COUNTIFS(T_TTAFStock_Log[Part Name],$A35,T_TTAFStock_Log[WeekIndex],17)=0,"",SUMIFS(T_TTAFStock_Log[TTAF_Qty],T_TTAFStock_Log[Part Name],$A35,T_TTAFStock_Log[WeekIndex],17))</f>
        <v/>
      </c>
      <c r="S35" s="13">
        <f>IF(COUNTIFS(T_TTAFStock_Log[Part Name],$A35,T_TTAFStock_Log[WeekIndex],18)=0,"",SUMIFS(T_TTAFStock_Log[TTAF_Qty],T_TTAFStock_Log[Part Name],$A35,T_TTAFStock_Log[WeekIndex],18))</f>
        <v/>
      </c>
      <c r="T35" s="13">
        <f>IF(COUNTIFS(T_TTAFStock_Log[Part Name],$A35,T_TTAFStock_Log[WeekIndex],19)=0,"",SUMIFS(T_TTAFStock_Log[TTAF_Qty],T_TTAFStock_Log[Part Name],$A35,T_TTAFStock_Log[WeekIndex],19))</f>
        <v/>
      </c>
      <c r="U35" s="13">
        <f>IF(COUNTIFS(T_TTAFStock_Log[Part Name],$A35,T_TTAFStock_Log[WeekIndex],20)=0,"",SUMIFS(T_TTAFStock_Log[TTAF_Qty],T_TTAFStock_Log[Part Name],$A35,T_TTAFStock_Log[WeekIndex],20))</f>
        <v/>
      </c>
      <c r="V35" s="13">
        <f>IF(COUNTIFS(T_TTAFStock_Log[Part Name],$A35,T_TTAFStock_Log[WeekIndex],21)=0,"",SUMIFS(T_TTAFStock_Log[TTAF_Qty],T_TTAFStock_Log[Part Name],$A35,T_TTAFStock_Log[WeekIndex],21))</f>
        <v/>
      </c>
      <c r="W35" s="13">
        <f>IF(COUNTIFS(T_TTAFStock_Log[Part Name],$A35,T_TTAFStock_Log[WeekIndex],22)=0,"",SUMIFS(T_TTAFStock_Log[TTAF_Qty],T_TTAFStock_Log[Part Name],$A35,T_TTAFStock_Log[WeekIndex],22))</f>
        <v/>
      </c>
      <c r="X35" s="13">
        <f>IF(COUNTIFS(T_TTAFStock_Log[Part Name],$A35,T_TTAFStock_Log[WeekIndex],23)=0,"",SUMIFS(T_TTAFStock_Log[TTAF_Qty],T_TTAFStock_Log[Part Name],$A35,T_TTAFStock_Log[WeekIndex],23))</f>
        <v/>
      </c>
      <c r="Y35" s="13">
        <f>IF(COUNTIFS(T_TTAFStock_Log[Part Name],$A35,T_TTAFStock_Log[WeekIndex],24)=0,"",SUMIFS(T_TTAFStock_Log[TTAF_Qty],T_TTAFStock_Log[Part Name],$A35,T_TTAFStock_Log[WeekIndex],24))</f>
        <v/>
      </c>
      <c r="Z35" s="13">
        <f>IF(COUNTIFS(T_TTAFStock_Log[Part Name],$A35,T_TTAFStock_Log[WeekIndex],25)=0,"",SUMIFS(T_TTAFStock_Log[TTAF_Qty],T_TTAFStock_Log[Part Name],$A35,T_TTAFStock_Log[WeekIndex],25))</f>
        <v/>
      </c>
      <c r="AA35" s="13">
        <f>IF(COUNTIFS(T_TTAFStock_Log[Part Name],$A35,T_TTAFStock_Log[WeekIndex],26)=0,"",SUMIFS(T_TTAFStock_Log[TTAF_Qty],T_TTAFStock_Log[Part Name],$A35,T_TTAFStock_Log[WeekIndex],26))</f>
        <v/>
      </c>
      <c r="AB35" s="13">
        <f>IF(COUNTIFS(T_TTAFStock_Log[Part Name],$A35,T_TTAFStock_Log[WeekIndex],27)=0,"",SUMIFS(T_TTAFStock_Log[TTAF_Qty],T_TTAFStock_Log[Part Name],$A35,T_TTAFStock_Log[WeekIndex],27))</f>
        <v/>
      </c>
      <c r="AC35" s="13">
        <f>IF(COUNTIFS(T_TTAFStock_Log[Part Name],$A35,T_TTAFStock_Log[WeekIndex],28)=0,"",SUMIFS(T_TTAFStock_Log[TTAF_Qty],T_TTAFStock_Log[Part Name],$A35,T_TTAFStock_Log[WeekIndex],28))</f>
        <v/>
      </c>
      <c r="AD35" s="13">
        <f>IF(COUNTIFS(T_TTAFStock_Log[Part Name],$A35,T_TTAFStock_Log[WeekIndex],29)=0,"",SUMIFS(T_TTAFStock_Log[TTAF_Qty],T_TTAFStock_Log[Part Name],$A35,T_TTAFStock_Log[WeekIndex],29))</f>
        <v/>
      </c>
      <c r="AE35" s="13">
        <f>IF(COUNTIFS(T_TTAFStock_Log[Part Name],$A35,T_TTAFStock_Log[WeekIndex],30)=0,"",SUMIFS(T_TTAFStock_Log[TTAF_Qty],T_TTAFStock_Log[Part Name],$A35,T_TTAFStock_Log[WeekIndex],30))</f>
        <v/>
      </c>
      <c r="AF35" s="13">
        <f>IF(COUNTIFS(T_TTAFStock_Log[Part Name],$A35,T_TTAFStock_Log[WeekIndex],31)=0,"",SUMIFS(T_TTAFStock_Log[TTAF_Qty],T_TTAFStock_Log[Part Name],$A35,T_TTAFStock_Log[WeekIndex],31))</f>
        <v/>
      </c>
      <c r="AG35" s="13">
        <f>IF(COUNTIFS(T_TTAFStock_Log[Part Name],$A35,T_TTAFStock_Log[WeekIndex],32)=0,"",SUMIFS(T_TTAFStock_Log[TTAF_Qty],T_TTAFStock_Log[Part Name],$A35,T_TTAFStock_Log[WeekIndex],32))</f>
        <v/>
      </c>
      <c r="AH35" s="13">
        <f>IF(COUNTIFS(T_TTAFStock_Log[Part Name],$A35,T_TTAFStock_Log[WeekIndex],33)=0,"",SUMIFS(T_TTAFStock_Log[TTAF_Qty],T_TTAFStock_Log[Part Name],$A35,T_TTAFStock_Log[WeekIndex],33))</f>
        <v/>
      </c>
      <c r="AI35" s="13">
        <f>IF(COUNTIFS(T_TTAFStock_Log[Part Name],$A35,T_TTAFStock_Log[WeekIndex],34)=0,"",SUMIFS(T_TTAFStock_Log[TTAF_Qty],T_TTAFStock_Log[Part Name],$A35,T_TTAFStock_Log[WeekIndex],34))</f>
        <v/>
      </c>
      <c r="AJ35" s="13">
        <f>IF(COUNTIFS(T_TTAFStock_Log[Part Name],$A35,T_TTAFStock_Log[WeekIndex],35)=0,"",SUMIFS(T_TTAFStock_Log[TTAF_Qty],T_TTAFStock_Log[Part Name],$A35,T_TTAFStock_Log[WeekIndex],35))</f>
        <v/>
      </c>
      <c r="AK35" s="13">
        <f>IF(COUNTIFS(T_TTAFStock_Log[Part Name],$A35,T_TTAFStock_Log[WeekIndex],36)=0,"",SUMIFS(T_TTAFStock_Log[TTAF_Qty],T_TTAFStock_Log[Part Name],$A35,T_TTAFStock_Log[WeekIndex],36))</f>
        <v/>
      </c>
      <c r="AL35" s="13">
        <f>IF(COUNTIFS(T_TTAFStock_Log[Part Name],$A35,T_TTAFStock_Log[WeekIndex],37)=0,"",SUMIFS(T_TTAFStock_Log[TTAF_Qty],T_TTAFStock_Log[Part Name],$A35,T_TTAFStock_Log[WeekIndex],37))</f>
        <v/>
      </c>
      <c r="AM35" s="13">
        <f>IF(COUNTIFS(T_TTAFStock_Log[Part Name],$A35,T_TTAFStock_Log[WeekIndex],38)=0,"",SUMIFS(T_TTAFStock_Log[TTAF_Qty],T_TTAFStock_Log[Part Name],$A35,T_TTAFStock_Log[WeekIndex],38))</f>
        <v/>
      </c>
      <c r="AN35" s="13">
        <f>IF(COUNTIFS(T_TTAFStock_Log[Part Name],$A35,T_TTAFStock_Log[WeekIndex],39)=0,"",SUMIFS(T_TTAFStock_Log[TTAF_Qty],T_TTAFStock_Log[Part Name],$A35,T_TTAFStock_Log[WeekIndex],39))</f>
        <v/>
      </c>
      <c r="AO35" s="13">
        <f>IF(COUNTIFS(T_TTAFStock_Log[Part Name],$A35,T_TTAFStock_Log[WeekIndex],40)=0,"",SUMIFS(T_TTAFStock_Log[TTAF_Qty],T_TTAFStock_Log[Part Name],$A35,T_TTAFStock_Log[WeekIndex],40))</f>
        <v/>
      </c>
      <c r="AP35" s="13">
        <f>IF(COUNTIFS(T_TTAFStock_Log[Part Name],$A35,T_TTAFStock_Log[WeekIndex],41)=0,"",SUMIFS(T_TTAFStock_Log[TTAF_Qty],T_TTAFStock_Log[Part Name],$A35,T_TTAFStock_Log[WeekIndex],41))</f>
        <v/>
      </c>
      <c r="AQ35" s="13">
        <f>IF(COUNTIFS(T_TTAFStock_Log[Part Name],$A35,T_TTAFStock_Log[WeekIndex],42)=0,"",SUMIFS(T_TTAFStock_Log[TTAF_Qty],T_TTAFStock_Log[Part Name],$A35,T_TTAFStock_Log[WeekIndex],42))</f>
        <v/>
      </c>
      <c r="AR35" s="13">
        <f>IF(COUNTIFS(T_TTAFStock_Log[Part Name],$A35,T_TTAFStock_Log[WeekIndex],43)=0,"",SUMIFS(T_TTAFStock_Log[TTAF_Qty],T_TTAFStock_Log[Part Name],$A35,T_TTAFStock_Log[WeekIndex],43))</f>
        <v/>
      </c>
      <c r="AS35" s="13">
        <f>IF(COUNTIFS(T_TTAFStock_Log[Part Name],$A35,T_TTAFStock_Log[WeekIndex],44)=0,"",SUMIFS(T_TTAFStock_Log[TTAF_Qty],T_TTAFStock_Log[Part Name],$A35,T_TTAFStock_Log[WeekIndex],44))</f>
        <v/>
      </c>
      <c r="AT35" s="13">
        <f>IF(COUNTIFS(T_TTAFStock_Log[Part Name],$A35,T_TTAFStock_Log[WeekIndex],45)=0,"",SUMIFS(T_TTAFStock_Log[TTAF_Qty],T_TTAFStock_Log[Part Name],$A35,T_TTAFStock_Log[WeekIndex],45))</f>
        <v/>
      </c>
      <c r="AU35" s="13">
        <f>IF(COUNTIFS(T_TTAFStock_Log[Part Name],$A35,T_TTAFStock_Log[WeekIndex],46)=0,"",SUMIFS(T_TTAFStock_Log[TTAF_Qty],T_TTAFStock_Log[Part Name],$A35,T_TTAFStock_Log[WeekIndex],46))</f>
        <v/>
      </c>
      <c r="AV35" s="13">
        <f>IF(COUNTIFS(T_TTAFStock_Log[Part Name],$A35,T_TTAFStock_Log[WeekIndex],47)=0,"",SUMIFS(T_TTAFStock_Log[TTAF_Qty],T_TTAFStock_Log[Part Name],$A35,T_TTAFStock_Log[WeekIndex],47))</f>
        <v/>
      </c>
      <c r="AW35" s="13">
        <f>IF(COUNTIFS(T_TTAFStock_Log[Part Name],$A35,T_TTAFStock_Log[WeekIndex],48)=0,"",SUMIFS(T_TTAFStock_Log[TTAF_Qty],T_TTAFStock_Log[Part Name],$A35,T_TTAFStock_Log[WeekIndex],48))</f>
        <v/>
      </c>
      <c r="AX35" s="13">
        <f>IF(COUNTIFS(T_TTAFStock_Log[Part Name],$A35,T_TTAFStock_Log[WeekIndex],49)=0,"",SUMIFS(T_TTAFStock_Log[TTAF_Qty],T_TTAFStock_Log[Part Name],$A35,T_TTAFStock_Log[WeekIndex],49))</f>
        <v/>
      </c>
      <c r="AY35" s="13">
        <f>IF(COUNTIFS(T_TTAFStock_Log[Part Name],$A35,T_TTAFStock_Log[WeekIndex],50)=0,"",SUMIFS(T_TTAFStock_Log[TTAF_Qty],T_TTAFStock_Log[Part Name],$A35,T_TTAFStock_Log[WeekIndex],50))</f>
        <v/>
      </c>
      <c r="AZ35" s="13">
        <f>IF(COUNTIFS(T_TTAFStock_Log[Part Name],$A35,T_TTAFStock_Log[WeekIndex],51)=0,"",SUMIFS(T_TTAFStock_Log[TTAF_Qty],T_TTAFStock_Log[Part Name],$A35,T_TTAFStock_Log[WeekIndex],51))</f>
        <v/>
      </c>
      <c r="BA35" s="13">
        <f>IF(COUNTIFS(T_TTAFStock_Log[Part Name],$A35,T_TTAFStock_Log[WeekIndex],52)=0,"",SUMIFS(T_TTAFStock_Log[TTAF_Qty],T_TTAFStock_Log[Part Name],$A35,T_TTAFStock_Log[WeekIndex],52))</f>
        <v/>
      </c>
      <c r="BB35" s="13">
        <f>IF(COUNTIFS(T_TTAFStock_Log[Part Name],$A35,T_TTAFStock_Log[WeekIndex],53)=0,"",SUMIFS(T_TTAFStock_Log[TTAF_Qty],T_TTAFStock_Log[Part Name],$A35,T_TTAFStock_Log[WeekIndex],53))</f>
        <v/>
      </c>
      <c r="BC35" s="13">
        <f>IF(COUNTIFS(T_TTAFStock_Log[Part Name],$A35,T_TTAFStock_Log[WeekIndex],54)=0,"",SUMIFS(T_TTAFStock_Log[TTAF_Qty],T_TTAFStock_Log[Part Name],$A35,T_TTAFStock_Log[WeekIndex],54))</f>
        <v/>
      </c>
      <c r="BD35" s="13">
        <f>IF(COUNTIFS(T_TTAFStock_Log[Part Name],$A35,T_TTAFStock_Log[WeekIndex],55)=0,"",SUMIFS(T_TTAFStock_Log[TTAF_Qty],T_TTAFStock_Log[Part Name],$A35,T_TTAFStock_Log[WeekIndex],55))</f>
        <v/>
      </c>
      <c r="BE35" s="13">
        <f>IF(COUNTIFS(T_TTAFStock_Log[Part Name],$A35,T_TTAFStock_Log[WeekIndex],56)=0,"",SUMIFS(T_TTAFStock_Log[TTAF_Qty],T_TTAFStock_Log[Part Name],$A35,T_TTAFStock_Log[WeekIndex],56))</f>
        <v/>
      </c>
      <c r="BF35" s="13">
        <f>IF(COUNTIFS(T_TTAFStock_Log[Part Name],$A35,T_TTAFStock_Log[WeekIndex],57)=0,"",SUMIFS(T_TTAFStock_Log[TTAF_Qty],T_TTAFStock_Log[Part Name],$A35,T_TTAFStock_Log[WeekIndex],57))</f>
        <v/>
      </c>
      <c r="BG35" s="13">
        <f>IF(COUNTIFS(T_TTAFStock_Log[Part Name],$A35,T_TTAFStock_Log[WeekIndex],58)=0,"",SUMIFS(T_TTAFStock_Log[TTAF_Qty],T_TTAFStock_Log[Part Name],$A35,T_TTAFStock_Log[WeekIndex],58))</f>
        <v/>
      </c>
      <c r="BH35" s="13">
        <f>IF(COUNTIFS(T_TTAFStock_Log[Part Name],$A35,T_TTAFStock_Log[WeekIndex],59)=0,"",SUMIFS(T_TTAFStock_Log[TTAF_Qty],T_TTAFStock_Log[Part Name],$A35,T_TTAFStock_Log[WeekIndex],59))</f>
        <v/>
      </c>
      <c r="BI35" s="13">
        <f>IF(COUNTIFS(T_TTAFStock_Log[Part Name],$A35,T_TTAFStock_Log[WeekIndex],60)=0,"",SUMIFS(T_TTAFStock_Log[TTAF_Qty],T_TTAFStock_Log[Part Name],$A35,T_TTAFStock_Log[WeekIndex],60))</f>
        <v/>
      </c>
      <c r="BJ35" s="13">
        <f>IF(COUNTIFS(T_TTAFStock_Log[Part Name],$A35,T_TTAFStock_Log[WeekIndex],61)=0,"",SUMIFS(T_TTAFStock_Log[TTAF_Qty],T_TTAFStock_Log[Part Name],$A35,T_TTAFStock_Log[WeekIndex],61))</f>
        <v/>
      </c>
      <c r="BK35" s="13">
        <f>IF(COUNTIFS(T_TTAFStock_Log[Part Name],$A35,T_TTAFStock_Log[WeekIndex],62)=0,"",SUMIFS(T_TTAFStock_Log[TTAF_Qty],T_TTAFStock_Log[Part Name],$A35,T_TTAFStock_Log[WeekIndex],62))</f>
        <v/>
      </c>
      <c r="BL35" s="13">
        <f>IF(COUNTIFS(T_TTAFStock_Log[Part Name],$A35,T_TTAFStock_Log[WeekIndex],63)=0,"",SUMIFS(T_TTAFStock_Log[TTAF_Qty],T_TTAFStock_Log[Part Name],$A35,T_TTAFStock_Log[WeekIndex],63))</f>
        <v/>
      </c>
      <c r="BM35" s="13">
        <f>IF(COUNTIFS(T_TTAFStock_Log[Part Name],$A35,T_TTAFStock_Log[WeekIndex],64)=0,"",SUMIFS(T_TTAFStock_Log[TTAF_Qty],T_TTAFStock_Log[Part Name],$A35,T_TTAFStock_Log[WeekIndex],64))</f>
        <v/>
      </c>
      <c r="BN35" s="13">
        <f>IF(COUNTIFS(T_TTAFStock_Log[Part Name],$A35,T_TTAFStock_Log[WeekIndex],65)=0,"",SUMIFS(T_TTAFStock_Log[TTAF_Qty],T_TTAFStock_Log[Part Name],$A35,T_TTAFStock_Log[WeekIndex],65))</f>
        <v/>
      </c>
      <c r="BO35" s="13">
        <f>IF(COUNTIFS(T_TTAFStock_Log[Part Name],$A35,T_TTAFStock_Log[WeekIndex],66)=0,"",SUMIFS(T_TTAFStock_Log[TTAF_Qty],T_TTAFStock_Log[Part Name],$A35,T_TTAFStock_Log[WeekIndex],66))</f>
        <v/>
      </c>
      <c r="BP35" s="13">
        <f>IF(COUNTIFS(T_TTAFStock_Log[Part Name],$A35,T_TTAFStock_Log[WeekIndex],67)=0,"",SUMIFS(T_TTAFStock_Log[TTAF_Qty],T_TTAFStock_Log[Part Name],$A35,T_TTAFStock_Log[WeekIndex],67))</f>
        <v/>
      </c>
      <c r="BQ35" s="13">
        <f>IF(COUNTIFS(T_TTAFStock_Log[Part Name],$A35,T_TTAFStock_Log[WeekIndex],68)=0,"",SUMIFS(T_TTAFStock_Log[TTAF_Qty],T_TTAFStock_Log[Part Name],$A35,T_TTAFStock_Log[WeekIndex],68))</f>
        <v/>
      </c>
      <c r="BR35" s="13">
        <f>IF(COUNTIFS(T_TTAFStock_Log[Part Name],$A35,T_TTAFStock_Log[WeekIndex],69)=0,"",SUMIFS(T_TTAFStock_Log[TTAF_Qty],T_TTAFStock_Log[Part Name],$A35,T_TTAFStock_Log[WeekIndex],69))</f>
        <v/>
      </c>
      <c r="BS35" s="13">
        <f>IF(COUNTIFS(T_TTAFStock_Log[Part Name],$A35,T_TTAFStock_Log[WeekIndex],70)=0,"",SUMIFS(T_TTAFStock_Log[TTAF_Qty],T_TTAFStock_Log[Part Name],$A35,T_TTAFStock_Log[WeekIndex],70))</f>
        <v/>
      </c>
      <c r="BT35" s="13">
        <f>IF(COUNTIFS(T_TTAFStock_Log[Part Name],$A35,T_TTAFStock_Log[WeekIndex],71)=0,"",SUMIFS(T_TTAFStock_Log[TTAF_Qty],T_TTAFStock_Log[Part Name],$A35,T_TTAFStock_Log[WeekIndex],71))</f>
        <v/>
      </c>
      <c r="BU35" s="13">
        <f>IF(COUNTIFS(T_TTAFStock_Log[Part Name],$A35,T_TTAFStock_Log[WeekIndex],72)=0,"",SUMIFS(T_TTAFStock_Log[TTAF_Qty],T_TTAFStock_Log[Part Name],$A35,T_TTAFStock_Log[WeekIndex],72))</f>
        <v/>
      </c>
      <c r="BV35" s="13">
        <f>IF(COUNTIFS(T_TTAFStock_Log[Part Name],$A35,T_TTAFStock_Log[WeekIndex],73)=0,"",SUMIFS(T_TTAFStock_Log[TTAF_Qty],T_TTAFStock_Log[Part Name],$A35,T_TTAFStock_Log[WeekIndex],73))</f>
        <v/>
      </c>
      <c r="BW35" s="13">
        <f>IF(COUNTIFS(T_TTAFStock_Log[Part Name],$A35,T_TTAFStock_Log[WeekIndex],74)=0,"",SUMIFS(T_TTAFStock_Log[TTAF_Qty],T_TTAFStock_Log[Part Name],$A35,T_TTAFStock_Log[WeekIndex],74))</f>
        <v/>
      </c>
      <c r="BX35" s="13">
        <f>IF(COUNTIFS(T_TTAFStock_Log[Part Name],$A35,T_TTAFStock_Log[WeekIndex],75)=0,"",SUMIFS(T_TTAFStock_Log[TTAF_Qty],T_TTAFStock_Log[Part Name],$A35,T_TTAFStock_Log[WeekIndex],75))</f>
        <v/>
      </c>
      <c r="BY35" s="13">
        <f>IF(COUNTIFS(T_TTAFStock_Log[Part Name],$A35,T_TTAFStock_Log[WeekIndex],76)=0,"",SUMIFS(T_TTAFStock_Log[TTAF_Qty],T_TTAFStock_Log[Part Name],$A35,T_TTAFStock_Log[WeekIndex],76))</f>
        <v/>
      </c>
      <c r="BZ35" s="13">
        <f>IF(COUNTIFS(T_TTAFStock_Log[Part Name],$A35,T_TTAFStock_Log[WeekIndex],77)=0,"",SUMIFS(T_TTAFStock_Log[TTAF_Qty],T_TTAFStock_Log[Part Name],$A35,T_TTAFStock_Log[WeekIndex],77))</f>
        <v/>
      </c>
      <c r="CA35" s="13">
        <f>IF(COUNTIFS(T_TTAFStock_Log[Part Name],$A35,T_TTAFStock_Log[WeekIndex],78)=0,"",SUMIFS(T_TTAFStock_Log[TTAF_Qty],T_TTAFStock_Log[Part Name],$A35,T_TTAFStock_Log[WeekIndex],78))</f>
        <v/>
      </c>
      <c r="CB35" s="13">
        <f>IF(COUNTIFS(T_TTAFStock_Log[Part Name],$A35,T_TTAFStock_Log[WeekIndex],79)=0,"",SUMIFS(T_TTAFStock_Log[TTAF_Qty],T_TTAFStock_Log[Part Name],$A35,T_TTAFStock_Log[WeekIndex],79))</f>
        <v/>
      </c>
      <c r="CC35" s="13">
        <f>IF(COUNTIFS(T_TTAFStock_Log[Part Name],$A35,T_TTAFStock_Log[WeekIndex],80)=0,"",SUMIFS(T_TTAFStock_Log[TTAF_Qty],T_TTAFStock_Log[Part Name],$A35,T_TTAFStock_Log[WeekIndex],80))</f>
        <v/>
      </c>
      <c r="CD35" s="13">
        <f>IF(COUNTIFS(T_TTAFStock_Log[Part Name],$A35,T_TTAFStock_Log[WeekIndex],81)=0,"",SUMIFS(T_TTAFStock_Log[TTAF_Qty],T_TTAFStock_Log[Part Name],$A35,T_TTAFStock_Log[WeekIndex],81))</f>
        <v/>
      </c>
      <c r="CE35" s="13">
        <f>IF(COUNTIFS(T_TTAFStock_Log[Part Name],$A35,T_TTAFStock_Log[WeekIndex],82)=0,"",SUMIFS(T_TTAFStock_Log[TTAF_Qty],T_TTAFStock_Log[Part Name],$A35,T_TTAFStock_Log[WeekIndex],82))</f>
        <v/>
      </c>
      <c r="CF35" s="13">
        <f>IF(COUNTIFS(T_TTAFStock_Log[Part Name],$A35,T_TTAFStock_Log[WeekIndex],83)=0,"",SUMIFS(T_TTAFStock_Log[TTAF_Qty],T_TTAFStock_Log[Part Name],$A35,T_TTAFStock_Log[WeekIndex],83))</f>
        <v/>
      </c>
      <c r="CG35" s="13">
        <f>IF(COUNTIFS(T_TTAFStock_Log[Part Name],$A35,T_TTAFStock_Log[WeekIndex],84)=0,"",SUMIFS(T_TTAFStock_Log[TTAF_Qty],T_TTAFStock_Log[Part Name],$A35,T_TTAFStock_Log[WeekIndex],84))</f>
        <v/>
      </c>
      <c r="CH35" s="13">
        <f>IF(COUNTIFS(T_TTAFStock_Log[Part Name],$A35,T_TTAFStock_Log[WeekIndex],85)=0,"",SUMIFS(T_TTAFStock_Log[TTAF_Qty],T_TTAFStock_Log[Part Name],$A35,T_TTAFStock_Log[WeekIndex],85))</f>
        <v/>
      </c>
      <c r="CI35" s="13">
        <f>IF(COUNTIFS(T_TTAFStock_Log[Part Name],$A35,T_TTAFStock_Log[WeekIndex],86)=0,"",SUMIFS(T_TTAFStock_Log[TTAF_Qty],T_TTAFStock_Log[Part Name],$A35,T_TTAFStock_Log[WeekIndex],86))</f>
        <v/>
      </c>
      <c r="CJ35" s="13">
        <f>IF(COUNTIFS(T_TTAFStock_Log[Part Name],$A35,T_TTAFStock_Log[WeekIndex],87)=0,"",SUMIFS(T_TTAFStock_Log[TTAF_Qty],T_TTAFStock_Log[Part Name],$A35,T_TTAFStock_Log[WeekIndex],87))</f>
        <v/>
      </c>
      <c r="CK35" s="13">
        <f>IF(COUNTIFS(T_TTAFStock_Log[Part Name],$A35,T_TTAFStock_Log[WeekIndex],88)=0,"",SUMIFS(T_TTAFStock_Log[TTAF_Qty],T_TTAFStock_Log[Part Name],$A35,T_TTAFStock_Log[WeekIndex],88))</f>
        <v/>
      </c>
      <c r="CL35" s="13">
        <f>IF(COUNTIFS(T_TTAFStock_Log[Part Name],$A35,T_TTAFStock_Log[WeekIndex],89)=0,"",SUMIFS(T_TTAFStock_Log[TTAF_Qty],T_TTAFStock_Log[Part Name],$A35,T_TTAFStock_Log[WeekIndex],89))</f>
        <v/>
      </c>
      <c r="CM35" s="13">
        <f>IF(COUNTIFS(T_TTAFStock_Log[Part Name],$A35,T_TTAFStock_Log[WeekIndex],90)=0,"",SUMIFS(T_TTAFStock_Log[TTAF_Qty],T_TTAFStock_Log[Part Name],$A35,T_TTAFStock_Log[WeekIndex],90))</f>
        <v/>
      </c>
      <c r="CN35" s="13">
        <f>IF(COUNTIFS(T_TTAFStock_Log[Part Name],$A35,T_TTAFStock_Log[WeekIndex],91)=0,"",SUMIFS(T_TTAFStock_Log[TTAF_Qty],T_TTAFStock_Log[Part Name],$A35,T_TTAFStock_Log[WeekIndex],91))</f>
        <v/>
      </c>
      <c r="CO35" s="13">
        <f>IF(COUNTIFS(T_TTAFStock_Log[Part Name],$A35,T_TTAFStock_Log[WeekIndex],92)=0,"",SUMIFS(T_TTAFStock_Log[TTAF_Qty],T_TTAFStock_Log[Part Name],$A35,T_TTAFStock_Log[WeekIndex],92))</f>
        <v/>
      </c>
      <c r="CP35" s="13">
        <f>IF(COUNTIFS(T_TTAFStock_Log[Part Name],$A35,T_TTAFStock_Log[WeekIndex],93)=0,"",SUMIFS(T_TTAFStock_Log[TTAF_Qty],T_TTAFStock_Log[Part Name],$A35,T_TTAFStock_Log[WeekIndex],93))</f>
        <v/>
      </c>
      <c r="CQ35" s="13">
        <f>IF(COUNTIFS(T_TTAFStock_Log[Part Name],$A35,T_TTAFStock_Log[WeekIndex],94)=0,"",SUMIFS(T_TTAFStock_Log[TTAF_Qty],T_TTAFStock_Log[Part Name],$A35,T_TTAFStock_Log[WeekIndex],94))</f>
        <v/>
      </c>
      <c r="CR35" s="13">
        <f>IF(COUNTIFS(T_TTAFStock_Log[Part Name],$A35,T_TTAFStock_Log[WeekIndex],95)=0,"",SUMIFS(T_TTAFStock_Log[TTAF_Qty],T_TTAFStock_Log[Part Name],$A35,T_TTAFStock_Log[WeekIndex],95))</f>
        <v/>
      </c>
      <c r="CS35" s="13">
        <f>IF(COUNTIFS(T_TTAFStock_Log[Part Name],$A35,T_TTAFStock_Log[WeekIndex],96)=0,"",SUMIFS(T_TTAFStock_Log[TTAF_Qty],T_TTAFStock_Log[Part Name],$A35,T_TTAFStock_Log[WeekIndex],96))</f>
        <v/>
      </c>
      <c r="CT35" s="13">
        <f>IF(COUNTIFS(T_TTAFStock_Log[Part Name],$A35,T_TTAFStock_Log[WeekIndex],97)=0,"",SUMIFS(T_TTAFStock_Log[TTAF_Qty],T_TTAFStock_Log[Part Name],$A35,T_TTAFStock_Log[WeekIndex],97))</f>
        <v/>
      </c>
      <c r="CU35" s="13">
        <f>IF(COUNTIFS(T_TTAFStock_Log[Part Name],$A35,T_TTAFStock_Log[WeekIndex],98)=0,"",SUMIFS(T_TTAFStock_Log[TTAF_Qty],T_TTAFStock_Log[Part Name],$A35,T_TTAFStock_Log[WeekIndex],98))</f>
        <v/>
      </c>
      <c r="CV35" s="13">
        <f>IF(COUNTIFS(T_TTAFStock_Log[Part Name],$A35,T_TTAFStock_Log[WeekIndex],99)=0,"",SUMIFS(T_TTAFStock_Log[TTAF_Qty],T_TTAFStock_Log[Part Name],$A35,T_TTAFStock_Log[WeekIndex],99))</f>
        <v/>
      </c>
      <c r="CW35" s="13">
        <f>IF(COUNTIFS(T_TTAFStock_Log[Part Name],$A35,T_TTAFStock_Log[WeekIndex],100)=0,"",SUMIFS(T_TTAFStock_Log[TTAF_Qty],T_TTAFStock_Log[Part Name],$A35,T_TTAFStock_Log[WeekIndex],100))</f>
        <v/>
      </c>
      <c r="CX35" s="13">
        <f>IF(COUNTIFS(T_TTAFStock_Log[Part Name],$A35,T_TTAFStock_Log[WeekIndex],101)=0,"",SUMIFS(T_TTAFStock_Log[TTAF_Qty],T_TTAFStock_Log[Part Name],$A35,T_TTAFStock_Log[WeekIndex],101))</f>
        <v/>
      </c>
      <c r="CY35" s="13">
        <f>IF(COUNTIFS(T_TTAFStock_Log[Part Name],$A35,T_TTAFStock_Log[WeekIndex],102)=0,"",SUMIFS(T_TTAFStock_Log[TTAF_Qty],T_TTAFStock_Log[Part Name],$A35,T_TTAFStock_Log[WeekIndex],102))</f>
        <v/>
      </c>
      <c r="CZ35" s="13">
        <f>IF(COUNTIFS(T_TTAFStock_Log[Part Name],$A35,T_TTAFStock_Log[WeekIndex],103)=0,"",SUMIFS(T_TTAFStock_Log[TTAF_Qty],T_TTAFStock_Log[Part Name],$A35,T_TTAFStock_Log[WeekIndex],103))</f>
        <v/>
      </c>
      <c r="DA35" s="13">
        <f>IF(COUNTIFS(T_TTAFStock_Log[Part Name],$A35,T_TTAFStock_Log[WeekIndex],104)=0,"",SUMIFS(T_TTAFStock_Log[TTAF_Qty],T_TTAFStock_Log[Part Name],$A35,T_TTAFStock_Log[WeekIndex],104))</f>
        <v/>
      </c>
    </row>
    <row r="36">
      <c r="A36" s="12" t="inlineStr">
        <is>
          <t>CHEM-1430</t>
        </is>
      </c>
      <c r="B36" s="12">
        <f>IF(COUNTIFS(T_TTAFStock_Log[Part Name],$A36,T_TTAFStock_Log[WeekIndex],1)=0,"",SUMIFS(T_TTAFStock_Log[TTAF_Qty],T_TTAFStock_Log[Part Name],$A36,T_TTAFStock_Log[WeekIndex],1))</f>
        <v/>
      </c>
      <c r="C36" s="12">
        <f>IF(COUNTIFS(T_TTAFStock_Log[Part Name],$A36,T_TTAFStock_Log[WeekIndex],2)=0,"",SUMIFS(T_TTAFStock_Log[TTAF_Qty],T_TTAFStock_Log[Part Name],$A36,T_TTAFStock_Log[WeekIndex],2))</f>
        <v/>
      </c>
      <c r="D36" s="12">
        <f>IF(COUNTIFS(T_TTAFStock_Log[Part Name],$A36,T_TTAFStock_Log[WeekIndex],3)=0,"",SUMIFS(T_TTAFStock_Log[TTAF_Qty],T_TTAFStock_Log[Part Name],$A36,T_TTAFStock_Log[WeekIndex],3))</f>
        <v/>
      </c>
      <c r="E36" s="12">
        <f>IF(COUNTIFS(T_TTAFStock_Log[Part Name],$A36,T_TTAFStock_Log[WeekIndex],4)=0,"",SUMIFS(T_TTAFStock_Log[TTAF_Qty],T_TTAFStock_Log[Part Name],$A36,T_TTAFStock_Log[WeekIndex],4))</f>
        <v/>
      </c>
      <c r="F36" s="12">
        <f>IF(COUNTIFS(T_TTAFStock_Log[Part Name],$A36,T_TTAFStock_Log[WeekIndex],5)=0,"",SUMIFS(T_TTAFStock_Log[TTAF_Qty],T_TTAFStock_Log[Part Name],$A36,T_TTAFStock_Log[WeekIndex],5))</f>
        <v/>
      </c>
      <c r="G36" s="12">
        <f>IF(COUNTIFS(T_TTAFStock_Log[Part Name],$A36,T_TTAFStock_Log[WeekIndex],6)=0,"",SUMIFS(T_TTAFStock_Log[TTAF_Qty],T_TTAFStock_Log[Part Name],$A36,T_TTAFStock_Log[WeekIndex],6))</f>
        <v/>
      </c>
      <c r="H36" s="12">
        <f>IF(COUNTIFS(T_TTAFStock_Log[Part Name],$A36,T_TTAFStock_Log[WeekIndex],7)=0,"",SUMIFS(T_TTAFStock_Log[TTAF_Qty],T_TTAFStock_Log[Part Name],$A36,T_TTAFStock_Log[WeekIndex],7))</f>
        <v/>
      </c>
      <c r="I36" s="12">
        <f>IF(COUNTIFS(T_TTAFStock_Log[Part Name],$A36,T_TTAFStock_Log[WeekIndex],8)=0,"",SUMIFS(T_TTAFStock_Log[TTAF_Qty],T_TTAFStock_Log[Part Name],$A36,T_TTAFStock_Log[WeekIndex],8))</f>
        <v/>
      </c>
      <c r="J36" s="12">
        <f>IF(COUNTIFS(T_TTAFStock_Log[Part Name],$A36,T_TTAFStock_Log[WeekIndex],9)=0,"",SUMIFS(T_TTAFStock_Log[TTAF_Qty],T_TTAFStock_Log[Part Name],$A36,T_TTAFStock_Log[WeekIndex],9))</f>
        <v/>
      </c>
      <c r="K36" s="12">
        <f>IF(COUNTIFS(T_TTAFStock_Log[Part Name],$A36,T_TTAFStock_Log[WeekIndex],10)=0,"",SUMIFS(T_TTAFStock_Log[TTAF_Qty],T_TTAFStock_Log[Part Name],$A36,T_TTAFStock_Log[WeekIndex],10))</f>
        <v/>
      </c>
      <c r="L36" s="12">
        <f>IF(COUNTIFS(T_TTAFStock_Log[Part Name],$A36,T_TTAFStock_Log[WeekIndex],11)=0,"",SUMIFS(T_TTAFStock_Log[TTAF_Qty],T_TTAFStock_Log[Part Name],$A36,T_TTAFStock_Log[WeekIndex],11))</f>
        <v/>
      </c>
      <c r="M36" s="12">
        <f>IF(COUNTIFS(T_TTAFStock_Log[Part Name],$A36,T_TTAFStock_Log[WeekIndex],12)=0,"",SUMIFS(T_TTAFStock_Log[TTAF_Qty],T_TTAFStock_Log[Part Name],$A36,T_TTAFStock_Log[WeekIndex],12))</f>
        <v/>
      </c>
      <c r="N36" s="12">
        <f>IF(COUNTIFS(T_TTAFStock_Log[Part Name],$A36,T_TTAFStock_Log[WeekIndex],13)=0,"",SUMIFS(T_TTAFStock_Log[TTAF_Qty],T_TTAFStock_Log[Part Name],$A36,T_TTAFStock_Log[WeekIndex],13))</f>
        <v/>
      </c>
      <c r="O36" s="12">
        <f>IF(COUNTIFS(T_TTAFStock_Log[Part Name],$A36,T_TTAFStock_Log[WeekIndex],14)=0,"",SUMIFS(T_TTAFStock_Log[TTAF_Qty],T_TTAFStock_Log[Part Name],$A36,T_TTAFStock_Log[WeekIndex],14))</f>
        <v/>
      </c>
      <c r="P36" s="12">
        <f>IF(COUNTIFS(T_TTAFStock_Log[Part Name],$A36,T_TTAFStock_Log[WeekIndex],15)=0,"",SUMIFS(T_TTAFStock_Log[TTAF_Qty],T_TTAFStock_Log[Part Name],$A36,T_TTAFStock_Log[WeekIndex],15))</f>
        <v/>
      </c>
      <c r="Q36" s="12">
        <f>IF(COUNTIFS(T_TTAFStock_Log[Part Name],$A36,T_TTAFStock_Log[WeekIndex],16)=0,"",SUMIFS(T_TTAFStock_Log[TTAF_Qty],T_TTAFStock_Log[Part Name],$A36,T_TTAFStock_Log[WeekIndex],16))</f>
        <v/>
      </c>
      <c r="R36" s="12">
        <f>IF(COUNTIFS(T_TTAFStock_Log[Part Name],$A36,T_TTAFStock_Log[WeekIndex],17)=0,"",SUMIFS(T_TTAFStock_Log[TTAF_Qty],T_TTAFStock_Log[Part Name],$A36,T_TTAFStock_Log[WeekIndex],17))</f>
        <v/>
      </c>
      <c r="S36" s="12">
        <f>IF(COUNTIFS(T_TTAFStock_Log[Part Name],$A36,T_TTAFStock_Log[WeekIndex],18)=0,"",SUMIFS(T_TTAFStock_Log[TTAF_Qty],T_TTAFStock_Log[Part Name],$A36,T_TTAFStock_Log[WeekIndex],18))</f>
        <v/>
      </c>
      <c r="T36" s="12">
        <f>IF(COUNTIFS(T_TTAFStock_Log[Part Name],$A36,T_TTAFStock_Log[WeekIndex],19)=0,"",SUMIFS(T_TTAFStock_Log[TTAF_Qty],T_TTAFStock_Log[Part Name],$A36,T_TTAFStock_Log[WeekIndex],19))</f>
        <v/>
      </c>
      <c r="U36" s="12">
        <f>IF(COUNTIFS(T_TTAFStock_Log[Part Name],$A36,T_TTAFStock_Log[WeekIndex],20)=0,"",SUMIFS(T_TTAFStock_Log[TTAF_Qty],T_TTAFStock_Log[Part Name],$A36,T_TTAFStock_Log[WeekIndex],20))</f>
        <v/>
      </c>
      <c r="V36" s="12">
        <f>IF(COUNTIFS(T_TTAFStock_Log[Part Name],$A36,T_TTAFStock_Log[WeekIndex],21)=0,"",SUMIFS(T_TTAFStock_Log[TTAF_Qty],T_TTAFStock_Log[Part Name],$A36,T_TTAFStock_Log[WeekIndex],21))</f>
        <v/>
      </c>
      <c r="W36" s="12">
        <f>IF(COUNTIFS(T_TTAFStock_Log[Part Name],$A36,T_TTAFStock_Log[WeekIndex],22)=0,"",SUMIFS(T_TTAFStock_Log[TTAF_Qty],T_TTAFStock_Log[Part Name],$A36,T_TTAFStock_Log[WeekIndex],22))</f>
        <v/>
      </c>
      <c r="X36" s="12">
        <f>IF(COUNTIFS(T_TTAFStock_Log[Part Name],$A36,T_TTAFStock_Log[WeekIndex],23)=0,"",SUMIFS(T_TTAFStock_Log[TTAF_Qty],T_TTAFStock_Log[Part Name],$A36,T_TTAFStock_Log[WeekIndex],23))</f>
        <v/>
      </c>
      <c r="Y36" s="12">
        <f>IF(COUNTIFS(T_TTAFStock_Log[Part Name],$A36,T_TTAFStock_Log[WeekIndex],24)=0,"",SUMIFS(T_TTAFStock_Log[TTAF_Qty],T_TTAFStock_Log[Part Name],$A36,T_TTAFStock_Log[WeekIndex],24))</f>
        <v/>
      </c>
      <c r="Z36" s="12">
        <f>IF(COUNTIFS(T_TTAFStock_Log[Part Name],$A36,T_TTAFStock_Log[WeekIndex],25)=0,"",SUMIFS(T_TTAFStock_Log[TTAF_Qty],T_TTAFStock_Log[Part Name],$A36,T_TTAFStock_Log[WeekIndex],25))</f>
        <v/>
      </c>
      <c r="AA36" s="12">
        <f>IF(COUNTIFS(T_TTAFStock_Log[Part Name],$A36,T_TTAFStock_Log[WeekIndex],26)=0,"",SUMIFS(T_TTAFStock_Log[TTAF_Qty],T_TTAFStock_Log[Part Name],$A36,T_TTAFStock_Log[WeekIndex],26))</f>
        <v/>
      </c>
      <c r="AB36" s="12">
        <f>IF(COUNTIFS(T_TTAFStock_Log[Part Name],$A36,T_TTAFStock_Log[WeekIndex],27)=0,"",SUMIFS(T_TTAFStock_Log[TTAF_Qty],T_TTAFStock_Log[Part Name],$A36,T_TTAFStock_Log[WeekIndex],27))</f>
        <v/>
      </c>
      <c r="AC36" s="12">
        <f>IF(COUNTIFS(T_TTAFStock_Log[Part Name],$A36,T_TTAFStock_Log[WeekIndex],28)=0,"",SUMIFS(T_TTAFStock_Log[TTAF_Qty],T_TTAFStock_Log[Part Name],$A36,T_TTAFStock_Log[WeekIndex],28))</f>
        <v/>
      </c>
      <c r="AD36" s="12">
        <f>IF(COUNTIFS(T_TTAFStock_Log[Part Name],$A36,T_TTAFStock_Log[WeekIndex],29)=0,"",SUMIFS(T_TTAFStock_Log[TTAF_Qty],T_TTAFStock_Log[Part Name],$A36,T_TTAFStock_Log[WeekIndex],29))</f>
        <v/>
      </c>
      <c r="AE36" s="12">
        <f>IF(COUNTIFS(T_TTAFStock_Log[Part Name],$A36,T_TTAFStock_Log[WeekIndex],30)=0,"",SUMIFS(T_TTAFStock_Log[TTAF_Qty],T_TTAFStock_Log[Part Name],$A36,T_TTAFStock_Log[WeekIndex],30))</f>
        <v/>
      </c>
      <c r="AF36" s="12">
        <f>IF(COUNTIFS(T_TTAFStock_Log[Part Name],$A36,T_TTAFStock_Log[WeekIndex],31)=0,"",SUMIFS(T_TTAFStock_Log[TTAF_Qty],T_TTAFStock_Log[Part Name],$A36,T_TTAFStock_Log[WeekIndex],31))</f>
        <v/>
      </c>
      <c r="AG36" s="12">
        <f>IF(COUNTIFS(T_TTAFStock_Log[Part Name],$A36,T_TTAFStock_Log[WeekIndex],32)=0,"",SUMIFS(T_TTAFStock_Log[TTAF_Qty],T_TTAFStock_Log[Part Name],$A36,T_TTAFStock_Log[WeekIndex],32))</f>
        <v/>
      </c>
      <c r="AH36" s="12">
        <f>IF(COUNTIFS(T_TTAFStock_Log[Part Name],$A36,T_TTAFStock_Log[WeekIndex],33)=0,"",SUMIFS(T_TTAFStock_Log[TTAF_Qty],T_TTAFStock_Log[Part Name],$A36,T_TTAFStock_Log[WeekIndex],33))</f>
        <v/>
      </c>
      <c r="AI36" s="12">
        <f>IF(COUNTIFS(T_TTAFStock_Log[Part Name],$A36,T_TTAFStock_Log[WeekIndex],34)=0,"",SUMIFS(T_TTAFStock_Log[TTAF_Qty],T_TTAFStock_Log[Part Name],$A36,T_TTAFStock_Log[WeekIndex],34))</f>
        <v/>
      </c>
      <c r="AJ36" s="12">
        <f>IF(COUNTIFS(T_TTAFStock_Log[Part Name],$A36,T_TTAFStock_Log[WeekIndex],35)=0,"",SUMIFS(T_TTAFStock_Log[TTAF_Qty],T_TTAFStock_Log[Part Name],$A36,T_TTAFStock_Log[WeekIndex],35))</f>
        <v/>
      </c>
      <c r="AK36" s="12">
        <f>IF(COUNTIFS(T_TTAFStock_Log[Part Name],$A36,T_TTAFStock_Log[WeekIndex],36)=0,"",SUMIFS(T_TTAFStock_Log[TTAF_Qty],T_TTAFStock_Log[Part Name],$A36,T_TTAFStock_Log[WeekIndex],36))</f>
        <v/>
      </c>
      <c r="AL36" s="12">
        <f>IF(COUNTIFS(T_TTAFStock_Log[Part Name],$A36,T_TTAFStock_Log[WeekIndex],37)=0,"",SUMIFS(T_TTAFStock_Log[TTAF_Qty],T_TTAFStock_Log[Part Name],$A36,T_TTAFStock_Log[WeekIndex],37))</f>
        <v/>
      </c>
      <c r="AM36" s="12">
        <f>IF(COUNTIFS(T_TTAFStock_Log[Part Name],$A36,T_TTAFStock_Log[WeekIndex],38)=0,"",SUMIFS(T_TTAFStock_Log[TTAF_Qty],T_TTAFStock_Log[Part Name],$A36,T_TTAFStock_Log[WeekIndex],38))</f>
        <v/>
      </c>
      <c r="AN36" s="12">
        <f>IF(COUNTIFS(T_TTAFStock_Log[Part Name],$A36,T_TTAFStock_Log[WeekIndex],39)=0,"",SUMIFS(T_TTAFStock_Log[TTAF_Qty],T_TTAFStock_Log[Part Name],$A36,T_TTAFStock_Log[WeekIndex],39))</f>
        <v/>
      </c>
      <c r="AO36" s="12">
        <f>IF(COUNTIFS(T_TTAFStock_Log[Part Name],$A36,T_TTAFStock_Log[WeekIndex],40)=0,"",SUMIFS(T_TTAFStock_Log[TTAF_Qty],T_TTAFStock_Log[Part Name],$A36,T_TTAFStock_Log[WeekIndex],40))</f>
        <v/>
      </c>
      <c r="AP36" s="12">
        <f>IF(COUNTIFS(T_TTAFStock_Log[Part Name],$A36,T_TTAFStock_Log[WeekIndex],41)=0,"",SUMIFS(T_TTAFStock_Log[TTAF_Qty],T_TTAFStock_Log[Part Name],$A36,T_TTAFStock_Log[WeekIndex],41))</f>
        <v/>
      </c>
      <c r="AQ36" s="12">
        <f>IF(COUNTIFS(T_TTAFStock_Log[Part Name],$A36,T_TTAFStock_Log[WeekIndex],42)=0,"",SUMIFS(T_TTAFStock_Log[TTAF_Qty],T_TTAFStock_Log[Part Name],$A36,T_TTAFStock_Log[WeekIndex],42))</f>
        <v/>
      </c>
      <c r="AR36" s="12">
        <f>IF(COUNTIFS(T_TTAFStock_Log[Part Name],$A36,T_TTAFStock_Log[WeekIndex],43)=0,"",SUMIFS(T_TTAFStock_Log[TTAF_Qty],T_TTAFStock_Log[Part Name],$A36,T_TTAFStock_Log[WeekIndex],43))</f>
        <v/>
      </c>
      <c r="AS36" s="12">
        <f>IF(COUNTIFS(T_TTAFStock_Log[Part Name],$A36,T_TTAFStock_Log[WeekIndex],44)=0,"",SUMIFS(T_TTAFStock_Log[TTAF_Qty],T_TTAFStock_Log[Part Name],$A36,T_TTAFStock_Log[WeekIndex],44))</f>
        <v/>
      </c>
      <c r="AT36" s="12">
        <f>IF(COUNTIFS(T_TTAFStock_Log[Part Name],$A36,T_TTAFStock_Log[WeekIndex],45)=0,"",SUMIFS(T_TTAFStock_Log[TTAF_Qty],T_TTAFStock_Log[Part Name],$A36,T_TTAFStock_Log[WeekIndex],45))</f>
        <v/>
      </c>
      <c r="AU36" s="12">
        <f>IF(COUNTIFS(T_TTAFStock_Log[Part Name],$A36,T_TTAFStock_Log[WeekIndex],46)=0,"",SUMIFS(T_TTAFStock_Log[TTAF_Qty],T_TTAFStock_Log[Part Name],$A36,T_TTAFStock_Log[WeekIndex],46))</f>
        <v/>
      </c>
      <c r="AV36" s="12">
        <f>IF(COUNTIFS(T_TTAFStock_Log[Part Name],$A36,T_TTAFStock_Log[WeekIndex],47)=0,"",SUMIFS(T_TTAFStock_Log[TTAF_Qty],T_TTAFStock_Log[Part Name],$A36,T_TTAFStock_Log[WeekIndex],47))</f>
        <v/>
      </c>
      <c r="AW36" s="12">
        <f>IF(COUNTIFS(T_TTAFStock_Log[Part Name],$A36,T_TTAFStock_Log[WeekIndex],48)=0,"",SUMIFS(T_TTAFStock_Log[TTAF_Qty],T_TTAFStock_Log[Part Name],$A36,T_TTAFStock_Log[WeekIndex],48))</f>
        <v/>
      </c>
      <c r="AX36" s="12">
        <f>IF(COUNTIFS(T_TTAFStock_Log[Part Name],$A36,T_TTAFStock_Log[WeekIndex],49)=0,"",SUMIFS(T_TTAFStock_Log[TTAF_Qty],T_TTAFStock_Log[Part Name],$A36,T_TTAFStock_Log[WeekIndex],49))</f>
        <v/>
      </c>
      <c r="AY36" s="12">
        <f>IF(COUNTIFS(T_TTAFStock_Log[Part Name],$A36,T_TTAFStock_Log[WeekIndex],50)=0,"",SUMIFS(T_TTAFStock_Log[TTAF_Qty],T_TTAFStock_Log[Part Name],$A36,T_TTAFStock_Log[WeekIndex],50))</f>
        <v/>
      </c>
      <c r="AZ36" s="12">
        <f>IF(COUNTIFS(T_TTAFStock_Log[Part Name],$A36,T_TTAFStock_Log[WeekIndex],51)=0,"",SUMIFS(T_TTAFStock_Log[TTAF_Qty],T_TTAFStock_Log[Part Name],$A36,T_TTAFStock_Log[WeekIndex],51))</f>
        <v/>
      </c>
      <c r="BA36" s="12">
        <f>IF(COUNTIFS(T_TTAFStock_Log[Part Name],$A36,T_TTAFStock_Log[WeekIndex],52)=0,"",SUMIFS(T_TTAFStock_Log[TTAF_Qty],T_TTAFStock_Log[Part Name],$A36,T_TTAFStock_Log[WeekIndex],52))</f>
        <v/>
      </c>
      <c r="BB36" s="12">
        <f>IF(COUNTIFS(T_TTAFStock_Log[Part Name],$A36,T_TTAFStock_Log[WeekIndex],53)=0,"",SUMIFS(T_TTAFStock_Log[TTAF_Qty],T_TTAFStock_Log[Part Name],$A36,T_TTAFStock_Log[WeekIndex],53))</f>
        <v/>
      </c>
      <c r="BC36" s="12">
        <f>IF(COUNTIFS(T_TTAFStock_Log[Part Name],$A36,T_TTAFStock_Log[WeekIndex],54)=0,"",SUMIFS(T_TTAFStock_Log[TTAF_Qty],T_TTAFStock_Log[Part Name],$A36,T_TTAFStock_Log[WeekIndex],54))</f>
        <v/>
      </c>
      <c r="BD36" s="12">
        <f>IF(COUNTIFS(T_TTAFStock_Log[Part Name],$A36,T_TTAFStock_Log[WeekIndex],55)=0,"",SUMIFS(T_TTAFStock_Log[TTAF_Qty],T_TTAFStock_Log[Part Name],$A36,T_TTAFStock_Log[WeekIndex],55))</f>
        <v/>
      </c>
      <c r="BE36" s="12">
        <f>IF(COUNTIFS(T_TTAFStock_Log[Part Name],$A36,T_TTAFStock_Log[WeekIndex],56)=0,"",SUMIFS(T_TTAFStock_Log[TTAF_Qty],T_TTAFStock_Log[Part Name],$A36,T_TTAFStock_Log[WeekIndex],56))</f>
        <v/>
      </c>
      <c r="BF36" s="12">
        <f>IF(COUNTIFS(T_TTAFStock_Log[Part Name],$A36,T_TTAFStock_Log[WeekIndex],57)=0,"",SUMIFS(T_TTAFStock_Log[TTAF_Qty],T_TTAFStock_Log[Part Name],$A36,T_TTAFStock_Log[WeekIndex],57))</f>
        <v/>
      </c>
      <c r="BG36" s="12">
        <f>IF(COUNTIFS(T_TTAFStock_Log[Part Name],$A36,T_TTAFStock_Log[WeekIndex],58)=0,"",SUMIFS(T_TTAFStock_Log[TTAF_Qty],T_TTAFStock_Log[Part Name],$A36,T_TTAFStock_Log[WeekIndex],58))</f>
        <v/>
      </c>
      <c r="BH36" s="12">
        <f>IF(COUNTIFS(T_TTAFStock_Log[Part Name],$A36,T_TTAFStock_Log[WeekIndex],59)=0,"",SUMIFS(T_TTAFStock_Log[TTAF_Qty],T_TTAFStock_Log[Part Name],$A36,T_TTAFStock_Log[WeekIndex],59))</f>
        <v/>
      </c>
      <c r="BI36" s="12">
        <f>IF(COUNTIFS(T_TTAFStock_Log[Part Name],$A36,T_TTAFStock_Log[WeekIndex],60)=0,"",SUMIFS(T_TTAFStock_Log[TTAF_Qty],T_TTAFStock_Log[Part Name],$A36,T_TTAFStock_Log[WeekIndex],60))</f>
        <v/>
      </c>
      <c r="BJ36" s="12">
        <f>IF(COUNTIFS(T_TTAFStock_Log[Part Name],$A36,T_TTAFStock_Log[WeekIndex],61)=0,"",SUMIFS(T_TTAFStock_Log[TTAF_Qty],T_TTAFStock_Log[Part Name],$A36,T_TTAFStock_Log[WeekIndex],61))</f>
        <v/>
      </c>
      <c r="BK36" s="12">
        <f>IF(COUNTIFS(T_TTAFStock_Log[Part Name],$A36,T_TTAFStock_Log[WeekIndex],62)=0,"",SUMIFS(T_TTAFStock_Log[TTAF_Qty],T_TTAFStock_Log[Part Name],$A36,T_TTAFStock_Log[WeekIndex],62))</f>
        <v/>
      </c>
      <c r="BL36" s="12">
        <f>IF(COUNTIFS(T_TTAFStock_Log[Part Name],$A36,T_TTAFStock_Log[WeekIndex],63)=0,"",SUMIFS(T_TTAFStock_Log[TTAF_Qty],T_TTAFStock_Log[Part Name],$A36,T_TTAFStock_Log[WeekIndex],63))</f>
        <v/>
      </c>
      <c r="BM36" s="12">
        <f>IF(COUNTIFS(T_TTAFStock_Log[Part Name],$A36,T_TTAFStock_Log[WeekIndex],64)=0,"",SUMIFS(T_TTAFStock_Log[TTAF_Qty],T_TTAFStock_Log[Part Name],$A36,T_TTAFStock_Log[WeekIndex],64))</f>
        <v/>
      </c>
      <c r="BN36" s="12">
        <f>IF(COUNTIFS(T_TTAFStock_Log[Part Name],$A36,T_TTAFStock_Log[WeekIndex],65)=0,"",SUMIFS(T_TTAFStock_Log[TTAF_Qty],T_TTAFStock_Log[Part Name],$A36,T_TTAFStock_Log[WeekIndex],65))</f>
        <v/>
      </c>
      <c r="BO36" s="12">
        <f>IF(COUNTIFS(T_TTAFStock_Log[Part Name],$A36,T_TTAFStock_Log[WeekIndex],66)=0,"",SUMIFS(T_TTAFStock_Log[TTAF_Qty],T_TTAFStock_Log[Part Name],$A36,T_TTAFStock_Log[WeekIndex],66))</f>
        <v/>
      </c>
      <c r="BP36" s="12">
        <f>IF(COUNTIFS(T_TTAFStock_Log[Part Name],$A36,T_TTAFStock_Log[WeekIndex],67)=0,"",SUMIFS(T_TTAFStock_Log[TTAF_Qty],T_TTAFStock_Log[Part Name],$A36,T_TTAFStock_Log[WeekIndex],67))</f>
        <v/>
      </c>
      <c r="BQ36" s="12">
        <f>IF(COUNTIFS(T_TTAFStock_Log[Part Name],$A36,T_TTAFStock_Log[WeekIndex],68)=0,"",SUMIFS(T_TTAFStock_Log[TTAF_Qty],T_TTAFStock_Log[Part Name],$A36,T_TTAFStock_Log[WeekIndex],68))</f>
        <v/>
      </c>
      <c r="BR36" s="12">
        <f>IF(COUNTIFS(T_TTAFStock_Log[Part Name],$A36,T_TTAFStock_Log[WeekIndex],69)=0,"",SUMIFS(T_TTAFStock_Log[TTAF_Qty],T_TTAFStock_Log[Part Name],$A36,T_TTAFStock_Log[WeekIndex],69))</f>
        <v/>
      </c>
      <c r="BS36" s="12">
        <f>IF(COUNTIFS(T_TTAFStock_Log[Part Name],$A36,T_TTAFStock_Log[WeekIndex],70)=0,"",SUMIFS(T_TTAFStock_Log[TTAF_Qty],T_TTAFStock_Log[Part Name],$A36,T_TTAFStock_Log[WeekIndex],70))</f>
        <v/>
      </c>
      <c r="BT36" s="12">
        <f>IF(COUNTIFS(T_TTAFStock_Log[Part Name],$A36,T_TTAFStock_Log[WeekIndex],71)=0,"",SUMIFS(T_TTAFStock_Log[TTAF_Qty],T_TTAFStock_Log[Part Name],$A36,T_TTAFStock_Log[WeekIndex],71))</f>
        <v/>
      </c>
      <c r="BU36" s="12">
        <f>IF(COUNTIFS(T_TTAFStock_Log[Part Name],$A36,T_TTAFStock_Log[WeekIndex],72)=0,"",SUMIFS(T_TTAFStock_Log[TTAF_Qty],T_TTAFStock_Log[Part Name],$A36,T_TTAFStock_Log[WeekIndex],72))</f>
        <v/>
      </c>
      <c r="BV36" s="12">
        <f>IF(COUNTIFS(T_TTAFStock_Log[Part Name],$A36,T_TTAFStock_Log[WeekIndex],73)=0,"",SUMIFS(T_TTAFStock_Log[TTAF_Qty],T_TTAFStock_Log[Part Name],$A36,T_TTAFStock_Log[WeekIndex],73))</f>
        <v/>
      </c>
      <c r="BW36" s="12">
        <f>IF(COUNTIFS(T_TTAFStock_Log[Part Name],$A36,T_TTAFStock_Log[WeekIndex],74)=0,"",SUMIFS(T_TTAFStock_Log[TTAF_Qty],T_TTAFStock_Log[Part Name],$A36,T_TTAFStock_Log[WeekIndex],74))</f>
        <v/>
      </c>
      <c r="BX36" s="12">
        <f>IF(COUNTIFS(T_TTAFStock_Log[Part Name],$A36,T_TTAFStock_Log[WeekIndex],75)=0,"",SUMIFS(T_TTAFStock_Log[TTAF_Qty],T_TTAFStock_Log[Part Name],$A36,T_TTAFStock_Log[WeekIndex],75))</f>
        <v/>
      </c>
      <c r="BY36" s="12">
        <f>IF(COUNTIFS(T_TTAFStock_Log[Part Name],$A36,T_TTAFStock_Log[WeekIndex],76)=0,"",SUMIFS(T_TTAFStock_Log[TTAF_Qty],T_TTAFStock_Log[Part Name],$A36,T_TTAFStock_Log[WeekIndex],76))</f>
        <v/>
      </c>
      <c r="BZ36" s="12">
        <f>IF(COUNTIFS(T_TTAFStock_Log[Part Name],$A36,T_TTAFStock_Log[WeekIndex],77)=0,"",SUMIFS(T_TTAFStock_Log[TTAF_Qty],T_TTAFStock_Log[Part Name],$A36,T_TTAFStock_Log[WeekIndex],77))</f>
        <v/>
      </c>
      <c r="CA36" s="12">
        <f>IF(COUNTIFS(T_TTAFStock_Log[Part Name],$A36,T_TTAFStock_Log[WeekIndex],78)=0,"",SUMIFS(T_TTAFStock_Log[TTAF_Qty],T_TTAFStock_Log[Part Name],$A36,T_TTAFStock_Log[WeekIndex],78))</f>
        <v/>
      </c>
      <c r="CB36" s="12">
        <f>IF(COUNTIFS(T_TTAFStock_Log[Part Name],$A36,T_TTAFStock_Log[WeekIndex],79)=0,"",SUMIFS(T_TTAFStock_Log[TTAF_Qty],T_TTAFStock_Log[Part Name],$A36,T_TTAFStock_Log[WeekIndex],79))</f>
        <v/>
      </c>
      <c r="CC36" s="12">
        <f>IF(COUNTIFS(T_TTAFStock_Log[Part Name],$A36,T_TTAFStock_Log[WeekIndex],80)=0,"",SUMIFS(T_TTAFStock_Log[TTAF_Qty],T_TTAFStock_Log[Part Name],$A36,T_TTAFStock_Log[WeekIndex],80))</f>
        <v/>
      </c>
      <c r="CD36" s="12">
        <f>IF(COUNTIFS(T_TTAFStock_Log[Part Name],$A36,T_TTAFStock_Log[WeekIndex],81)=0,"",SUMIFS(T_TTAFStock_Log[TTAF_Qty],T_TTAFStock_Log[Part Name],$A36,T_TTAFStock_Log[WeekIndex],81))</f>
        <v/>
      </c>
      <c r="CE36" s="12">
        <f>IF(COUNTIFS(T_TTAFStock_Log[Part Name],$A36,T_TTAFStock_Log[WeekIndex],82)=0,"",SUMIFS(T_TTAFStock_Log[TTAF_Qty],T_TTAFStock_Log[Part Name],$A36,T_TTAFStock_Log[WeekIndex],82))</f>
        <v/>
      </c>
      <c r="CF36" s="12">
        <f>IF(COUNTIFS(T_TTAFStock_Log[Part Name],$A36,T_TTAFStock_Log[WeekIndex],83)=0,"",SUMIFS(T_TTAFStock_Log[TTAF_Qty],T_TTAFStock_Log[Part Name],$A36,T_TTAFStock_Log[WeekIndex],83))</f>
        <v/>
      </c>
      <c r="CG36" s="12">
        <f>IF(COUNTIFS(T_TTAFStock_Log[Part Name],$A36,T_TTAFStock_Log[WeekIndex],84)=0,"",SUMIFS(T_TTAFStock_Log[TTAF_Qty],T_TTAFStock_Log[Part Name],$A36,T_TTAFStock_Log[WeekIndex],84))</f>
        <v/>
      </c>
      <c r="CH36" s="12">
        <f>IF(COUNTIFS(T_TTAFStock_Log[Part Name],$A36,T_TTAFStock_Log[WeekIndex],85)=0,"",SUMIFS(T_TTAFStock_Log[TTAF_Qty],T_TTAFStock_Log[Part Name],$A36,T_TTAFStock_Log[WeekIndex],85))</f>
        <v/>
      </c>
      <c r="CI36" s="12">
        <f>IF(COUNTIFS(T_TTAFStock_Log[Part Name],$A36,T_TTAFStock_Log[WeekIndex],86)=0,"",SUMIFS(T_TTAFStock_Log[TTAF_Qty],T_TTAFStock_Log[Part Name],$A36,T_TTAFStock_Log[WeekIndex],86))</f>
        <v/>
      </c>
      <c r="CJ36" s="12">
        <f>IF(COUNTIFS(T_TTAFStock_Log[Part Name],$A36,T_TTAFStock_Log[WeekIndex],87)=0,"",SUMIFS(T_TTAFStock_Log[TTAF_Qty],T_TTAFStock_Log[Part Name],$A36,T_TTAFStock_Log[WeekIndex],87))</f>
        <v/>
      </c>
      <c r="CK36" s="12">
        <f>IF(COUNTIFS(T_TTAFStock_Log[Part Name],$A36,T_TTAFStock_Log[WeekIndex],88)=0,"",SUMIFS(T_TTAFStock_Log[TTAF_Qty],T_TTAFStock_Log[Part Name],$A36,T_TTAFStock_Log[WeekIndex],88))</f>
        <v/>
      </c>
      <c r="CL36" s="12">
        <f>IF(COUNTIFS(T_TTAFStock_Log[Part Name],$A36,T_TTAFStock_Log[WeekIndex],89)=0,"",SUMIFS(T_TTAFStock_Log[TTAF_Qty],T_TTAFStock_Log[Part Name],$A36,T_TTAFStock_Log[WeekIndex],89))</f>
        <v/>
      </c>
      <c r="CM36" s="12">
        <f>IF(COUNTIFS(T_TTAFStock_Log[Part Name],$A36,T_TTAFStock_Log[WeekIndex],90)=0,"",SUMIFS(T_TTAFStock_Log[TTAF_Qty],T_TTAFStock_Log[Part Name],$A36,T_TTAFStock_Log[WeekIndex],90))</f>
        <v/>
      </c>
      <c r="CN36" s="12">
        <f>IF(COUNTIFS(T_TTAFStock_Log[Part Name],$A36,T_TTAFStock_Log[WeekIndex],91)=0,"",SUMIFS(T_TTAFStock_Log[TTAF_Qty],T_TTAFStock_Log[Part Name],$A36,T_TTAFStock_Log[WeekIndex],91))</f>
        <v/>
      </c>
      <c r="CO36" s="12">
        <f>IF(COUNTIFS(T_TTAFStock_Log[Part Name],$A36,T_TTAFStock_Log[WeekIndex],92)=0,"",SUMIFS(T_TTAFStock_Log[TTAF_Qty],T_TTAFStock_Log[Part Name],$A36,T_TTAFStock_Log[WeekIndex],92))</f>
        <v/>
      </c>
      <c r="CP36" s="12">
        <f>IF(COUNTIFS(T_TTAFStock_Log[Part Name],$A36,T_TTAFStock_Log[WeekIndex],93)=0,"",SUMIFS(T_TTAFStock_Log[TTAF_Qty],T_TTAFStock_Log[Part Name],$A36,T_TTAFStock_Log[WeekIndex],93))</f>
        <v/>
      </c>
      <c r="CQ36" s="12">
        <f>IF(COUNTIFS(T_TTAFStock_Log[Part Name],$A36,T_TTAFStock_Log[WeekIndex],94)=0,"",SUMIFS(T_TTAFStock_Log[TTAF_Qty],T_TTAFStock_Log[Part Name],$A36,T_TTAFStock_Log[WeekIndex],94))</f>
        <v/>
      </c>
      <c r="CR36" s="12">
        <f>IF(COUNTIFS(T_TTAFStock_Log[Part Name],$A36,T_TTAFStock_Log[WeekIndex],95)=0,"",SUMIFS(T_TTAFStock_Log[TTAF_Qty],T_TTAFStock_Log[Part Name],$A36,T_TTAFStock_Log[WeekIndex],95))</f>
        <v/>
      </c>
      <c r="CS36" s="12">
        <f>IF(COUNTIFS(T_TTAFStock_Log[Part Name],$A36,T_TTAFStock_Log[WeekIndex],96)=0,"",SUMIFS(T_TTAFStock_Log[TTAF_Qty],T_TTAFStock_Log[Part Name],$A36,T_TTAFStock_Log[WeekIndex],96))</f>
        <v/>
      </c>
      <c r="CT36" s="12">
        <f>IF(COUNTIFS(T_TTAFStock_Log[Part Name],$A36,T_TTAFStock_Log[WeekIndex],97)=0,"",SUMIFS(T_TTAFStock_Log[TTAF_Qty],T_TTAFStock_Log[Part Name],$A36,T_TTAFStock_Log[WeekIndex],97))</f>
        <v/>
      </c>
      <c r="CU36" s="12">
        <f>IF(COUNTIFS(T_TTAFStock_Log[Part Name],$A36,T_TTAFStock_Log[WeekIndex],98)=0,"",SUMIFS(T_TTAFStock_Log[TTAF_Qty],T_TTAFStock_Log[Part Name],$A36,T_TTAFStock_Log[WeekIndex],98))</f>
        <v/>
      </c>
      <c r="CV36" s="12">
        <f>IF(COUNTIFS(T_TTAFStock_Log[Part Name],$A36,T_TTAFStock_Log[WeekIndex],99)=0,"",SUMIFS(T_TTAFStock_Log[TTAF_Qty],T_TTAFStock_Log[Part Name],$A36,T_TTAFStock_Log[WeekIndex],99))</f>
        <v/>
      </c>
      <c r="CW36" s="12">
        <f>IF(COUNTIFS(T_TTAFStock_Log[Part Name],$A36,T_TTAFStock_Log[WeekIndex],100)=0,"",SUMIFS(T_TTAFStock_Log[TTAF_Qty],T_TTAFStock_Log[Part Name],$A36,T_TTAFStock_Log[WeekIndex],100))</f>
        <v/>
      </c>
      <c r="CX36" s="12">
        <f>IF(COUNTIFS(T_TTAFStock_Log[Part Name],$A36,T_TTAFStock_Log[WeekIndex],101)=0,"",SUMIFS(T_TTAFStock_Log[TTAF_Qty],T_TTAFStock_Log[Part Name],$A36,T_TTAFStock_Log[WeekIndex],101))</f>
        <v/>
      </c>
      <c r="CY36" s="12">
        <f>IF(COUNTIFS(T_TTAFStock_Log[Part Name],$A36,T_TTAFStock_Log[WeekIndex],102)=0,"",SUMIFS(T_TTAFStock_Log[TTAF_Qty],T_TTAFStock_Log[Part Name],$A36,T_TTAFStock_Log[WeekIndex],102))</f>
        <v/>
      </c>
      <c r="CZ36" s="12">
        <f>IF(COUNTIFS(T_TTAFStock_Log[Part Name],$A36,T_TTAFStock_Log[WeekIndex],103)=0,"",SUMIFS(T_TTAFStock_Log[TTAF_Qty],T_TTAFStock_Log[Part Name],$A36,T_TTAFStock_Log[WeekIndex],103))</f>
        <v/>
      </c>
      <c r="DA36" s="12">
        <f>IF(COUNTIFS(T_TTAFStock_Log[Part Name],$A36,T_TTAFStock_Log[WeekIndex],104)=0,"",SUMIFS(T_TTAFStock_Log[TTAF_Qty],T_TTAFStock_Log[Part Name],$A36,T_TTAFStock_Log[WeekIndex],104))</f>
        <v/>
      </c>
    </row>
    <row r="37">
      <c r="A37" s="13" t="inlineStr">
        <is>
          <t>CHEM-1480</t>
        </is>
      </c>
      <c r="B37" s="13">
        <f>IF(COUNTIFS(T_TTAFStock_Log[Part Name],$A37,T_TTAFStock_Log[WeekIndex],1)=0,"",SUMIFS(T_TTAFStock_Log[TTAF_Qty],T_TTAFStock_Log[Part Name],$A37,T_TTAFStock_Log[WeekIndex],1))</f>
        <v/>
      </c>
      <c r="C37" s="13">
        <f>IF(COUNTIFS(T_TTAFStock_Log[Part Name],$A37,T_TTAFStock_Log[WeekIndex],2)=0,"",SUMIFS(T_TTAFStock_Log[TTAF_Qty],T_TTAFStock_Log[Part Name],$A37,T_TTAFStock_Log[WeekIndex],2))</f>
        <v/>
      </c>
      <c r="D37" s="13">
        <f>IF(COUNTIFS(T_TTAFStock_Log[Part Name],$A37,T_TTAFStock_Log[WeekIndex],3)=0,"",SUMIFS(T_TTAFStock_Log[TTAF_Qty],T_TTAFStock_Log[Part Name],$A37,T_TTAFStock_Log[WeekIndex],3))</f>
        <v/>
      </c>
      <c r="E37" s="13">
        <f>IF(COUNTIFS(T_TTAFStock_Log[Part Name],$A37,T_TTAFStock_Log[WeekIndex],4)=0,"",SUMIFS(T_TTAFStock_Log[TTAF_Qty],T_TTAFStock_Log[Part Name],$A37,T_TTAFStock_Log[WeekIndex],4))</f>
        <v/>
      </c>
      <c r="F37" s="13">
        <f>IF(COUNTIFS(T_TTAFStock_Log[Part Name],$A37,T_TTAFStock_Log[WeekIndex],5)=0,"",SUMIFS(T_TTAFStock_Log[TTAF_Qty],T_TTAFStock_Log[Part Name],$A37,T_TTAFStock_Log[WeekIndex],5))</f>
        <v/>
      </c>
      <c r="G37" s="13">
        <f>IF(COUNTIFS(T_TTAFStock_Log[Part Name],$A37,T_TTAFStock_Log[WeekIndex],6)=0,"",SUMIFS(T_TTAFStock_Log[TTAF_Qty],T_TTAFStock_Log[Part Name],$A37,T_TTAFStock_Log[WeekIndex],6))</f>
        <v/>
      </c>
      <c r="H37" s="13">
        <f>IF(COUNTIFS(T_TTAFStock_Log[Part Name],$A37,T_TTAFStock_Log[WeekIndex],7)=0,"",SUMIFS(T_TTAFStock_Log[TTAF_Qty],T_TTAFStock_Log[Part Name],$A37,T_TTAFStock_Log[WeekIndex],7))</f>
        <v/>
      </c>
      <c r="I37" s="13">
        <f>IF(COUNTIFS(T_TTAFStock_Log[Part Name],$A37,T_TTAFStock_Log[WeekIndex],8)=0,"",SUMIFS(T_TTAFStock_Log[TTAF_Qty],T_TTAFStock_Log[Part Name],$A37,T_TTAFStock_Log[WeekIndex],8))</f>
        <v/>
      </c>
      <c r="J37" s="13">
        <f>IF(COUNTIFS(T_TTAFStock_Log[Part Name],$A37,T_TTAFStock_Log[WeekIndex],9)=0,"",SUMIFS(T_TTAFStock_Log[TTAF_Qty],T_TTAFStock_Log[Part Name],$A37,T_TTAFStock_Log[WeekIndex],9))</f>
        <v/>
      </c>
      <c r="K37" s="13">
        <f>IF(COUNTIFS(T_TTAFStock_Log[Part Name],$A37,T_TTAFStock_Log[WeekIndex],10)=0,"",SUMIFS(T_TTAFStock_Log[TTAF_Qty],T_TTAFStock_Log[Part Name],$A37,T_TTAFStock_Log[WeekIndex],10))</f>
        <v/>
      </c>
      <c r="L37" s="13">
        <f>IF(COUNTIFS(T_TTAFStock_Log[Part Name],$A37,T_TTAFStock_Log[WeekIndex],11)=0,"",SUMIFS(T_TTAFStock_Log[TTAF_Qty],T_TTAFStock_Log[Part Name],$A37,T_TTAFStock_Log[WeekIndex],11))</f>
        <v/>
      </c>
      <c r="M37" s="13">
        <f>IF(COUNTIFS(T_TTAFStock_Log[Part Name],$A37,T_TTAFStock_Log[WeekIndex],12)=0,"",SUMIFS(T_TTAFStock_Log[TTAF_Qty],T_TTAFStock_Log[Part Name],$A37,T_TTAFStock_Log[WeekIndex],12))</f>
        <v/>
      </c>
      <c r="N37" s="13">
        <f>IF(COUNTIFS(T_TTAFStock_Log[Part Name],$A37,T_TTAFStock_Log[WeekIndex],13)=0,"",SUMIFS(T_TTAFStock_Log[TTAF_Qty],T_TTAFStock_Log[Part Name],$A37,T_TTAFStock_Log[WeekIndex],13))</f>
        <v/>
      </c>
      <c r="O37" s="13">
        <f>IF(COUNTIFS(T_TTAFStock_Log[Part Name],$A37,T_TTAFStock_Log[WeekIndex],14)=0,"",SUMIFS(T_TTAFStock_Log[TTAF_Qty],T_TTAFStock_Log[Part Name],$A37,T_TTAFStock_Log[WeekIndex],14))</f>
        <v/>
      </c>
      <c r="P37" s="13">
        <f>IF(COUNTIFS(T_TTAFStock_Log[Part Name],$A37,T_TTAFStock_Log[WeekIndex],15)=0,"",SUMIFS(T_TTAFStock_Log[TTAF_Qty],T_TTAFStock_Log[Part Name],$A37,T_TTAFStock_Log[WeekIndex],15))</f>
        <v/>
      </c>
      <c r="Q37" s="13">
        <f>IF(COUNTIFS(T_TTAFStock_Log[Part Name],$A37,T_TTAFStock_Log[WeekIndex],16)=0,"",SUMIFS(T_TTAFStock_Log[TTAF_Qty],T_TTAFStock_Log[Part Name],$A37,T_TTAFStock_Log[WeekIndex],16))</f>
        <v/>
      </c>
      <c r="R37" s="13">
        <f>IF(COUNTIFS(T_TTAFStock_Log[Part Name],$A37,T_TTAFStock_Log[WeekIndex],17)=0,"",SUMIFS(T_TTAFStock_Log[TTAF_Qty],T_TTAFStock_Log[Part Name],$A37,T_TTAFStock_Log[WeekIndex],17))</f>
        <v/>
      </c>
      <c r="S37" s="13">
        <f>IF(COUNTIFS(T_TTAFStock_Log[Part Name],$A37,T_TTAFStock_Log[WeekIndex],18)=0,"",SUMIFS(T_TTAFStock_Log[TTAF_Qty],T_TTAFStock_Log[Part Name],$A37,T_TTAFStock_Log[WeekIndex],18))</f>
        <v/>
      </c>
      <c r="T37" s="13">
        <f>IF(COUNTIFS(T_TTAFStock_Log[Part Name],$A37,T_TTAFStock_Log[WeekIndex],19)=0,"",SUMIFS(T_TTAFStock_Log[TTAF_Qty],T_TTAFStock_Log[Part Name],$A37,T_TTAFStock_Log[WeekIndex],19))</f>
        <v/>
      </c>
      <c r="U37" s="13">
        <f>IF(COUNTIFS(T_TTAFStock_Log[Part Name],$A37,T_TTAFStock_Log[WeekIndex],20)=0,"",SUMIFS(T_TTAFStock_Log[TTAF_Qty],T_TTAFStock_Log[Part Name],$A37,T_TTAFStock_Log[WeekIndex],20))</f>
        <v/>
      </c>
      <c r="V37" s="13">
        <f>IF(COUNTIFS(T_TTAFStock_Log[Part Name],$A37,T_TTAFStock_Log[WeekIndex],21)=0,"",SUMIFS(T_TTAFStock_Log[TTAF_Qty],T_TTAFStock_Log[Part Name],$A37,T_TTAFStock_Log[WeekIndex],21))</f>
        <v/>
      </c>
      <c r="W37" s="13">
        <f>IF(COUNTIFS(T_TTAFStock_Log[Part Name],$A37,T_TTAFStock_Log[WeekIndex],22)=0,"",SUMIFS(T_TTAFStock_Log[TTAF_Qty],T_TTAFStock_Log[Part Name],$A37,T_TTAFStock_Log[WeekIndex],22))</f>
        <v/>
      </c>
      <c r="X37" s="13">
        <f>IF(COUNTIFS(T_TTAFStock_Log[Part Name],$A37,T_TTAFStock_Log[WeekIndex],23)=0,"",SUMIFS(T_TTAFStock_Log[TTAF_Qty],T_TTAFStock_Log[Part Name],$A37,T_TTAFStock_Log[WeekIndex],23))</f>
        <v/>
      </c>
      <c r="Y37" s="13">
        <f>IF(COUNTIFS(T_TTAFStock_Log[Part Name],$A37,T_TTAFStock_Log[WeekIndex],24)=0,"",SUMIFS(T_TTAFStock_Log[TTAF_Qty],T_TTAFStock_Log[Part Name],$A37,T_TTAFStock_Log[WeekIndex],24))</f>
        <v/>
      </c>
      <c r="Z37" s="13">
        <f>IF(COUNTIFS(T_TTAFStock_Log[Part Name],$A37,T_TTAFStock_Log[WeekIndex],25)=0,"",SUMIFS(T_TTAFStock_Log[TTAF_Qty],T_TTAFStock_Log[Part Name],$A37,T_TTAFStock_Log[WeekIndex],25))</f>
        <v/>
      </c>
      <c r="AA37" s="13">
        <f>IF(COUNTIFS(T_TTAFStock_Log[Part Name],$A37,T_TTAFStock_Log[WeekIndex],26)=0,"",SUMIFS(T_TTAFStock_Log[TTAF_Qty],T_TTAFStock_Log[Part Name],$A37,T_TTAFStock_Log[WeekIndex],26))</f>
        <v/>
      </c>
      <c r="AB37" s="13">
        <f>IF(COUNTIFS(T_TTAFStock_Log[Part Name],$A37,T_TTAFStock_Log[WeekIndex],27)=0,"",SUMIFS(T_TTAFStock_Log[TTAF_Qty],T_TTAFStock_Log[Part Name],$A37,T_TTAFStock_Log[WeekIndex],27))</f>
        <v/>
      </c>
      <c r="AC37" s="13">
        <f>IF(COUNTIFS(T_TTAFStock_Log[Part Name],$A37,T_TTAFStock_Log[WeekIndex],28)=0,"",SUMIFS(T_TTAFStock_Log[TTAF_Qty],T_TTAFStock_Log[Part Name],$A37,T_TTAFStock_Log[WeekIndex],28))</f>
        <v/>
      </c>
      <c r="AD37" s="13">
        <f>IF(COUNTIFS(T_TTAFStock_Log[Part Name],$A37,T_TTAFStock_Log[WeekIndex],29)=0,"",SUMIFS(T_TTAFStock_Log[TTAF_Qty],T_TTAFStock_Log[Part Name],$A37,T_TTAFStock_Log[WeekIndex],29))</f>
        <v/>
      </c>
      <c r="AE37" s="13">
        <f>IF(COUNTIFS(T_TTAFStock_Log[Part Name],$A37,T_TTAFStock_Log[WeekIndex],30)=0,"",SUMIFS(T_TTAFStock_Log[TTAF_Qty],T_TTAFStock_Log[Part Name],$A37,T_TTAFStock_Log[WeekIndex],30))</f>
        <v/>
      </c>
      <c r="AF37" s="13">
        <f>IF(COUNTIFS(T_TTAFStock_Log[Part Name],$A37,T_TTAFStock_Log[WeekIndex],31)=0,"",SUMIFS(T_TTAFStock_Log[TTAF_Qty],T_TTAFStock_Log[Part Name],$A37,T_TTAFStock_Log[WeekIndex],31))</f>
        <v/>
      </c>
      <c r="AG37" s="13">
        <f>IF(COUNTIFS(T_TTAFStock_Log[Part Name],$A37,T_TTAFStock_Log[WeekIndex],32)=0,"",SUMIFS(T_TTAFStock_Log[TTAF_Qty],T_TTAFStock_Log[Part Name],$A37,T_TTAFStock_Log[WeekIndex],32))</f>
        <v/>
      </c>
      <c r="AH37" s="13">
        <f>IF(COUNTIFS(T_TTAFStock_Log[Part Name],$A37,T_TTAFStock_Log[WeekIndex],33)=0,"",SUMIFS(T_TTAFStock_Log[TTAF_Qty],T_TTAFStock_Log[Part Name],$A37,T_TTAFStock_Log[WeekIndex],33))</f>
        <v/>
      </c>
      <c r="AI37" s="13">
        <f>IF(COUNTIFS(T_TTAFStock_Log[Part Name],$A37,T_TTAFStock_Log[WeekIndex],34)=0,"",SUMIFS(T_TTAFStock_Log[TTAF_Qty],T_TTAFStock_Log[Part Name],$A37,T_TTAFStock_Log[WeekIndex],34))</f>
        <v/>
      </c>
      <c r="AJ37" s="13">
        <f>IF(COUNTIFS(T_TTAFStock_Log[Part Name],$A37,T_TTAFStock_Log[WeekIndex],35)=0,"",SUMIFS(T_TTAFStock_Log[TTAF_Qty],T_TTAFStock_Log[Part Name],$A37,T_TTAFStock_Log[WeekIndex],35))</f>
        <v/>
      </c>
      <c r="AK37" s="13">
        <f>IF(COUNTIFS(T_TTAFStock_Log[Part Name],$A37,T_TTAFStock_Log[WeekIndex],36)=0,"",SUMIFS(T_TTAFStock_Log[TTAF_Qty],T_TTAFStock_Log[Part Name],$A37,T_TTAFStock_Log[WeekIndex],36))</f>
        <v/>
      </c>
      <c r="AL37" s="13">
        <f>IF(COUNTIFS(T_TTAFStock_Log[Part Name],$A37,T_TTAFStock_Log[WeekIndex],37)=0,"",SUMIFS(T_TTAFStock_Log[TTAF_Qty],T_TTAFStock_Log[Part Name],$A37,T_TTAFStock_Log[WeekIndex],37))</f>
        <v/>
      </c>
      <c r="AM37" s="13">
        <f>IF(COUNTIFS(T_TTAFStock_Log[Part Name],$A37,T_TTAFStock_Log[WeekIndex],38)=0,"",SUMIFS(T_TTAFStock_Log[TTAF_Qty],T_TTAFStock_Log[Part Name],$A37,T_TTAFStock_Log[WeekIndex],38))</f>
        <v/>
      </c>
      <c r="AN37" s="13">
        <f>IF(COUNTIFS(T_TTAFStock_Log[Part Name],$A37,T_TTAFStock_Log[WeekIndex],39)=0,"",SUMIFS(T_TTAFStock_Log[TTAF_Qty],T_TTAFStock_Log[Part Name],$A37,T_TTAFStock_Log[WeekIndex],39))</f>
        <v/>
      </c>
      <c r="AO37" s="13">
        <f>IF(COUNTIFS(T_TTAFStock_Log[Part Name],$A37,T_TTAFStock_Log[WeekIndex],40)=0,"",SUMIFS(T_TTAFStock_Log[TTAF_Qty],T_TTAFStock_Log[Part Name],$A37,T_TTAFStock_Log[WeekIndex],40))</f>
        <v/>
      </c>
      <c r="AP37" s="13">
        <f>IF(COUNTIFS(T_TTAFStock_Log[Part Name],$A37,T_TTAFStock_Log[WeekIndex],41)=0,"",SUMIFS(T_TTAFStock_Log[TTAF_Qty],T_TTAFStock_Log[Part Name],$A37,T_TTAFStock_Log[WeekIndex],41))</f>
        <v/>
      </c>
      <c r="AQ37" s="13">
        <f>IF(COUNTIFS(T_TTAFStock_Log[Part Name],$A37,T_TTAFStock_Log[WeekIndex],42)=0,"",SUMIFS(T_TTAFStock_Log[TTAF_Qty],T_TTAFStock_Log[Part Name],$A37,T_TTAFStock_Log[WeekIndex],42))</f>
        <v/>
      </c>
      <c r="AR37" s="13">
        <f>IF(COUNTIFS(T_TTAFStock_Log[Part Name],$A37,T_TTAFStock_Log[WeekIndex],43)=0,"",SUMIFS(T_TTAFStock_Log[TTAF_Qty],T_TTAFStock_Log[Part Name],$A37,T_TTAFStock_Log[WeekIndex],43))</f>
        <v/>
      </c>
      <c r="AS37" s="13">
        <f>IF(COUNTIFS(T_TTAFStock_Log[Part Name],$A37,T_TTAFStock_Log[WeekIndex],44)=0,"",SUMIFS(T_TTAFStock_Log[TTAF_Qty],T_TTAFStock_Log[Part Name],$A37,T_TTAFStock_Log[WeekIndex],44))</f>
        <v/>
      </c>
      <c r="AT37" s="13">
        <f>IF(COUNTIFS(T_TTAFStock_Log[Part Name],$A37,T_TTAFStock_Log[WeekIndex],45)=0,"",SUMIFS(T_TTAFStock_Log[TTAF_Qty],T_TTAFStock_Log[Part Name],$A37,T_TTAFStock_Log[WeekIndex],45))</f>
        <v/>
      </c>
      <c r="AU37" s="13">
        <f>IF(COUNTIFS(T_TTAFStock_Log[Part Name],$A37,T_TTAFStock_Log[WeekIndex],46)=0,"",SUMIFS(T_TTAFStock_Log[TTAF_Qty],T_TTAFStock_Log[Part Name],$A37,T_TTAFStock_Log[WeekIndex],46))</f>
        <v/>
      </c>
      <c r="AV37" s="13">
        <f>IF(COUNTIFS(T_TTAFStock_Log[Part Name],$A37,T_TTAFStock_Log[WeekIndex],47)=0,"",SUMIFS(T_TTAFStock_Log[TTAF_Qty],T_TTAFStock_Log[Part Name],$A37,T_TTAFStock_Log[WeekIndex],47))</f>
        <v/>
      </c>
      <c r="AW37" s="13">
        <f>IF(COUNTIFS(T_TTAFStock_Log[Part Name],$A37,T_TTAFStock_Log[WeekIndex],48)=0,"",SUMIFS(T_TTAFStock_Log[TTAF_Qty],T_TTAFStock_Log[Part Name],$A37,T_TTAFStock_Log[WeekIndex],48))</f>
        <v/>
      </c>
      <c r="AX37" s="13">
        <f>IF(COUNTIFS(T_TTAFStock_Log[Part Name],$A37,T_TTAFStock_Log[WeekIndex],49)=0,"",SUMIFS(T_TTAFStock_Log[TTAF_Qty],T_TTAFStock_Log[Part Name],$A37,T_TTAFStock_Log[WeekIndex],49))</f>
        <v/>
      </c>
      <c r="AY37" s="13">
        <f>IF(COUNTIFS(T_TTAFStock_Log[Part Name],$A37,T_TTAFStock_Log[WeekIndex],50)=0,"",SUMIFS(T_TTAFStock_Log[TTAF_Qty],T_TTAFStock_Log[Part Name],$A37,T_TTAFStock_Log[WeekIndex],50))</f>
        <v/>
      </c>
      <c r="AZ37" s="13">
        <f>IF(COUNTIFS(T_TTAFStock_Log[Part Name],$A37,T_TTAFStock_Log[WeekIndex],51)=0,"",SUMIFS(T_TTAFStock_Log[TTAF_Qty],T_TTAFStock_Log[Part Name],$A37,T_TTAFStock_Log[WeekIndex],51))</f>
        <v/>
      </c>
      <c r="BA37" s="13">
        <f>IF(COUNTIFS(T_TTAFStock_Log[Part Name],$A37,T_TTAFStock_Log[WeekIndex],52)=0,"",SUMIFS(T_TTAFStock_Log[TTAF_Qty],T_TTAFStock_Log[Part Name],$A37,T_TTAFStock_Log[WeekIndex],52))</f>
        <v/>
      </c>
      <c r="BB37" s="13">
        <f>IF(COUNTIFS(T_TTAFStock_Log[Part Name],$A37,T_TTAFStock_Log[WeekIndex],53)=0,"",SUMIFS(T_TTAFStock_Log[TTAF_Qty],T_TTAFStock_Log[Part Name],$A37,T_TTAFStock_Log[WeekIndex],53))</f>
        <v/>
      </c>
      <c r="BC37" s="13">
        <f>IF(COUNTIFS(T_TTAFStock_Log[Part Name],$A37,T_TTAFStock_Log[WeekIndex],54)=0,"",SUMIFS(T_TTAFStock_Log[TTAF_Qty],T_TTAFStock_Log[Part Name],$A37,T_TTAFStock_Log[WeekIndex],54))</f>
        <v/>
      </c>
      <c r="BD37" s="13">
        <f>IF(COUNTIFS(T_TTAFStock_Log[Part Name],$A37,T_TTAFStock_Log[WeekIndex],55)=0,"",SUMIFS(T_TTAFStock_Log[TTAF_Qty],T_TTAFStock_Log[Part Name],$A37,T_TTAFStock_Log[WeekIndex],55))</f>
        <v/>
      </c>
      <c r="BE37" s="13">
        <f>IF(COUNTIFS(T_TTAFStock_Log[Part Name],$A37,T_TTAFStock_Log[WeekIndex],56)=0,"",SUMIFS(T_TTAFStock_Log[TTAF_Qty],T_TTAFStock_Log[Part Name],$A37,T_TTAFStock_Log[WeekIndex],56))</f>
        <v/>
      </c>
      <c r="BF37" s="13">
        <f>IF(COUNTIFS(T_TTAFStock_Log[Part Name],$A37,T_TTAFStock_Log[WeekIndex],57)=0,"",SUMIFS(T_TTAFStock_Log[TTAF_Qty],T_TTAFStock_Log[Part Name],$A37,T_TTAFStock_Log[WeekIndex],57))</f>
        <v/>
      </c>
      <c r="BG37" s="13">
        <f>IF(COUNTIFS(T_TTAFStock_Log[Part Name],$A37,T_TTAFStock_Log[WeekIndex],58)=0,"",SUMIFS(T_TTAFStock_Log[TTAF_Qty],T_TTAFStock_Log[Part Name],$A37,T_TTAFStock_Log[WeekIndex],58))</f>
        <v/>
      </c>
      <c r="BH37" s="13">
        <f>IF(COUNTIFS(T_TTAFStock_Log[Part Name],$A37,T_TTAFStock_Log[WeekIndex],59)=0,"",SUMIFS(T_TTAFStock_Log[TTAF_Qty],T_TTAFStock_Log[Part Name],$A37,T_TTAFStock_Log[WeekIndex],59))</f>
        <v/>
      </c>
      <c r="BI37" s="13">
        <f>IF(COUNTIFS(T_TTAFStock_Log[Part Name],$A37,T_TTAFStock_Log[WeekIndex],60)=0,"",SUMIFS(T_TTAFStock_Log[TTAF_Qty],T_TTAFStock_Log[Part Name],$A37,T_TTAFStock_Log[WeekIndex],60))</f>
        <v/>
      </c>
      <c r="BJ37" s="13">
        <f>IF(COUNTIFS(T_TTAFStock_Log[Part Name],$A37,T_TTAFStock_Log[WeekIndex],61)=0,"",SUMIFS(T_TTAFStock_Log[TTAF_Qty],T_TTAFStock_Log[Part Name],$A37,T_TTAFStock_Log[WeekIndex],61))</f>
        <v/>
      </c>
      <c r="BK37" s="13">
        <f>IF(COUNTIFS(T_TTAFStock_Log[Part Name],$A37,T_TTAFStock_Log[WeekIndex],62)=0,"",SUMIFS(T_TTAFStock_Log[TTAF_Qty],T_TTAFStock_Log[Part Name],$A37,T_TTAFStock_Log[WeekIndex],62))</f>
        <v/>
      </c>
      <c r="BL37" s="13">
        <f>IF(COUNTIFS(T_TTAFStock_Log[Part Name],$A37,T_TTAFStock_Log[WeekIndex],63)=0,"",SUMIFS(T_TTAFStock_Log[TTAF_Qty],T_TTAFStock_Log[Part Name],$A37,T_TTAFStock_Log[WeekIndex],63))</f>
        <v/>
      </c>
      <c r="BM37" s="13">
        <f>IF(COUNTIFS(T_TTAFStock_Log[Part Name],$A37,T_TTAFStock_Log[WeekIndex],64)=0,"",SUMIFS(T_TTAFStock_Log[TTAF_Qty],T_TTAFStock_Log[Part Name],$A37,T_TTAFStock_Log[WeekIndex],64))</f>
        <v/>
      </c>
      <c r="BN37" s="13">
        <f>IF(COUNTIFS(T_TTAFStock_Log[Part Name],$A37,T_TTAFStock_Log[WeekIndex],65)=0,"",SUMIFS(T_TTAFStock_Log[TTAF_Qty],T_TTAFStock_Log[Part Name],$A37,T_TTAFStock_Log[WeekIndex],65))</f>
        <v/>
      </c>
      <c r="BO37" s="13">
        <f>IF(COUNTIFS(T_TTAFStock_Log[Part Name],$A37,T_TTAFStock_Log[WeekIndex],66)=0,"",SUMIFS(T_TTAFStock_Log[TTAF_Qty],T_TTAFStock_Log[Part Name],$A37,T_TTAFStock_Log[WeekIndex],66))</f>
        <v/>
      </c>
      <c r="BP37" s="13">
        <f>IF(COUNTIFS(T_TTAFStock_Log[Part Name],$A37,T_TTAFStock_Log[WeekIndex],67)=0,"",SUMIFS(T_TTAFStock_Log[TTAF_Qty],T_TTAFStock_Log[Part Name],$A37,T_TTAFStock_Log[WeekIndex],67))</f>
        <v/>
      </c>
      <c r="BQ37" s="13">
        <f>IF(COUNTIFS(T_TTAFStock_Log[Part Name],$A37,T_TTAFStock_Log[WeekIndex],68)=0,"",SUMIFS(T_TTAFStock_Log[TTAF_Qty],T_TTAFStock_Log[Part Name],$A37,T_TTAFStock_Log[WeekIndex],68))</f>
        <v/>
      </c>
      <c r="BR37" s="13">
        <f>IF(COUNTIFS(T_TTAFStock_Log[Part Name],$A37,T_TTAFStock_Log[WeekIndex],69)=0,"",SUMIFS(T_TTAFStock_Log[TTAF_Qty],T_TTAFStock_Log[Part Name],$A37,T_TTAFStock_Log[WeekIndex],69))</f>
        <v/>
      </c>
      <c r="BS37" s="13">
        <f>IF(COUNTIFS(T_TTAFStock_Log[Part Name],$A37,T_TTAFStock_Log[WeekIndex],70)=0,"",SUMIFS(T_TTAFStock_Log[TTAF_Qty],T_TTAFStock_Log[Part Name],$A37,T_TTAFStock_Log[WeekIndex],70))</f>
        <v/>
      </c>
      <c r="BT37" s="13">
        <f>IF(COUNTIFS(T_TTAFStock_Log[Part Name],$A37,T_TTAFStock_Log[WeekIndex],71)=0,"",SUMIFS(T_TTAFStock_Log[TTAF_Qty],T_TTAFStock_Log[Part Name],$A37,T_TTAFStock_Log[WeekIndex],71))</f>
        <v/>
      </c>
      <c r="BU37" s="13">
        <f>IF(COUNTIFS(T_TTAFStock_Log[Part Name],$A37,T_TTAFStock_Log[WeekIndex],72)=0,"",SUMIFS(T_TTAFStock_Log[TTAF_Qty],T_TTAFStock_Log[Part Name],$A37,T_TTAFStock_Log[WeekIndex],72))</f>
        <v/>
      </c>
      <c r="BV37" s="13">
        <f>IF(COUNTIFS(T_TTAFStock_Log[Part Name],$A37,T_TTAFStock_Log[WeekIndex],73)=0,"",SUMIFS(T_TTAFStock_Log[TTAF_Qty],T_TTAFStock_Log[Part Name],$A37,T_TTAFStock_Log[WeekIndex],73))</f>
        <v/>
      </c>
      <c r="BW37" s="13">
        <f>IF(COUNTIFS(T_TTAFStock_Log[Part Name],$A37,T_TTAFStock_Log[WeekIndex],74)=0,"",SUMIFS(T_TTAFStock_Log[TTAF_Qty],T_TTAFStock_Log[Part Name],$A37,T_TTAFStock_Log[WeekIndex],74))</f>
        <v/>
      </c>
      <c r="BX37" s="13">
        <f>IF(COUNTIFS(T_TTAFStock_Log[Part Name],$A37,T_TTAFStock_Log[WeekIndex],75)=0,"",SUMIFS(T_TTAFStock_Log[TTAF_Qty],T_TTAFStock_Log[Part Name],$A37,T_TTAFStock_Log[WeekIndex],75))</f>
        <v/>
      </c>
      <c r="BY37" s="13">
        <f>IF(COUNTIFS(T_TTAFStock_Log[Part Name],$A37,T_TTAFStock_Log[WeekIndex],76)=0,"",SUMIFS(T_TTAFStock_Log[TTAF_Qty],T_TTAFStock_Log[Part Name],$A37,T_TTAFStock_Log[WeekIndex],76))</f>
        <v/>
      </c>
      <c r="BZ37" s="13">
        <f>IF(COUNTIFS(T_TTAFStock_Log[Part Name],$A37,T_TTAFStock_Log[WeekIndex],77)=0,"",SUMIFS(T_TTAFStock_Log[TTAF_Qty],T_TTAFStock_Log[Part Name],$A37,T_TTAFStock_Log[WeekIndex],77))</f>
        <v/>
      </c>
      <c r="CA37" s="13">
        <f>IF(COUNTIFS(T_TTAFStock_Log[Part Name],$A37,T_TTAFStock_Log[WeekIndex],78)=0,"",SUMIFS(T_TTAFStock_Log[TTAF_Qty],T_TTAFStock_Log[Part Name],$A37,T_TTAFStock_Log[WeekIndex],78))</f>
        <v/>
      </c>
      <c r="CB37" s="13">
        <f>IF(COUNTIFS(T_TTAFStock_Log[Part Name],$A37,T_TTAFStock_Log[WeekIndex],79)=0,"",SUMIFS(T_TTAFStock_Log[TTAF_Qty],T_TTAFStock_Log[Part Name],$A37,T_TTAFStock_Log[WeekIndex],79))</f>
        <v/>
      </c>
      <c r="CC37" s="13">
        <f>IF(COUNTIFS(T_TTAFStock_Log[Part Name],$A37,T_TTAFStock_Log[WeekIndex],80)=0,"",SUMIFS(T_TTAFStock_Log[TTAF_Qty],T_TTAFStock_Log[Part Name],$A37,T_TTAFStock_Log[WeekIndex],80))</f>
        <v/>
      </c>
      <c r="CD37" s="13">
        <f>IF(COUNTIFS(T_TTAFStock_Log[Part Name],$A37,T_TTAFStock_Log[WeekIndex],81)=0,"",SUMIFS(T_TTAFStock_Log[TTAF_Qty],T_TTAFStock_Log[Part Name],$A37,T_TTAFStock_Log[WeekIndex],81))</f>
        <v/>
      </c>
      <c r="CE37" s="13">
        <f>IF(COUNTIFS(T_TTAFStock_Log[Part Name],$A37,T_TTAFStock_Log[WeekIndex],82)=0,"",SUMIFS(T_TTAFStock_Log[TTAF_Qty],T_TTAFStock_Log[Part Name],$A37,T_TTAFStock_Log[WeekIndex],82))</f>
        <v/>
      </c>
      <c r="CF37" s="13">
        <f>IF(COUNTIFS(T_TTAFStock_Log[Part Name],$A37,T_TTAFStock_Log[WeekIndex],83)=0,"",SUMIFS(T_TTAFStock_Log[TTAF_Qty],T_TTAFStock_Log[Part Name],$A37,T_TTAFStock_Log[WeekIndex],83))</f>
        <v/>
      </c>
      <c r="CG37" s="13">
        <f>IF(COUNTIFS(T_TTAFStock_Log[Part Name],$A37,T_TTAFStock_Log[WeekIndex],84)=0,"",SUMIFS(T_TTAFStock_Log[TTAF_Qty],T_TTAFStock_Log[Part Name],$A37,T_TTAFStock_Log[WeekIndex],84))</f>
        <v/>
      </c>
      <c r="CH37" s="13">
        <f>IF(COUNTIFS(T_TTAFStock_Log[Part Name],$A37,T_TTAFStock_Log[WeekIndex],85)=0,"",SUMIFS(T_TTAFStock_Log[TTAF_Qty],T_TTAFStock_Log[Part Name],$A37,T_TTAFStock_Log[WeekIndex],85))</f>
        <v/>
      </c>
      <c r="CI37" s="13">
        <f>IF(COUNTIFS(T_TTAFStock_Log[Part Name],$A37,T_TTAFStock_Log[WeekIndex],86)=0,"",SUMIFS(T_TTAFStock_Log[TTAF_Qty],T_TTAFStock_Log[Part Name],$A37,T_TTAFStock_Log[WeekIndex],86))</f>
        <v/>
      </c>
      <c r="CJ37" s="13">
        <f>IF(COUNTIFS(T_TTAFStock_Log[Part Name],$A37,T_TTAFStock_Log[WeekIndex],87)=0,"",SUMIFS(T_TTAFStock_Log[TTAF_Qty],T_TTAFStock_Log[Part Name],$A37,T_TTAFStock_Log[WeekIndex],87))</f>
        <v/>
      </c>
      <c r="CK37" s="13">
        <f>IF(COUNTIFS(T_TTAFStock_Log[Part Name],$A37,T_TTAFStock_Log[WeekIndex],88)=0,"",SUMIFS(T_TTAFStock_Log[TTAF_Qty],T_TTAFStock_Log[Part Name],$A37,T_TTAFStock_Log[WeekIndex],88))</f>
        <v/>
      </c>
      <c r="CL37" s="13">
        <f>IF(COUNTIFS(T_TTAFStock_Log[Part Name],$A37,T_TTAFStock_Log[WeekIndex],89)=0,"",SUMIFS(T_TTAFStock_Log[TTAF_Qty],T_TTAFStock_Log[Part Name],$A37,T_TTAFStock_Log[WeekIndex],89))</f>
        <v/>
      </c>
      <c r="CM37" s="13">
        <f>IF(COUNTIFS(T_TTAFStock_Log[Part Name],$A37,T_TTAFStock_Log[WeekIndex],90)=0,"",SUMIFS(T_TTAFStock_Log[TTAF_Qty],T_TTAFStock_Log[Part Name],$A37,T_TTAFStock_Log[WeekIndex],90))</f>
        <v/>
      </c>
      <c r="CN37" s="13">
        <f>IF(COUNTIFS(T_TTAFStock_Log[Part Name],$A37,T_TTAFStock_Log[WeekIndex],91)=0,"",SUMIFS(T_TTAFStock_Log[TTAF_Qty],T_TTAFStock_Log[Part Name],$A37,T_TTAFStock_Log[WeekIndex],91))</f>
        <v/>
      </c>
      <c r="CO37" s="13">
        <f>IF(COUNTIFS(T_TTAFStock_Log[Part Name],$A37,T_TTAFStock_Log[WeekIndex],92)=0,"",SUMIFS(T_TTAFStock_Log[TTAF_Qty],T_TTAFStock_Log[Part Name],$A37,T_TTAFStock_Log[WeekIndex],92))</f>
        <v/>
      </c>
      <c r="CP37" s="13">
        <f>IF(COUNTIFS(T_TTAFStock_Log[Part Name],$A37,T_TTAFStock_Log[WeekIndex],93)=0,"",SUMIFS(T_TTAFStock_Log[TTAF_Qty],T_TTAFStock_Log[Part Name],$A37,T_TTAFStock_Log[WeekIndex],93))</f>
        <v/>
      </c>
      <c r="CQ37" s="13">
        <f>IF(COUNTIFS(T_TTAFStock_Log[Part Name],$A37,T_TTAFStock_Log[WeekIndex],94)=0,"",SUMIFS(T_TTAFStock_Log[TTAF_Qty],T_TTAFStock_Log[Part Name],$A37,T_TTAFStock_Log[WeekIndex],94))</f>
        <v/>
      </c>
      <c r="CR37" s="13">
        <f>IF(COUNTIFS(T_TTAFStock_Log[Part Name],$A37,T_TTAFStock_Log[WeekIndex],95)=0,"",SUMIFS(T_TTAFStock_Log[TTAF_Qty],T_TTAFStock_Log[Part Name],$A37,T_TTAFStock_Log[WeekIndex],95))</f>
        <v/>
      </c>
      <c r="CS37" s="13">
        <f>IF(COUNTIFS(T_TTAFStock_Log[Part Name],$A37,T_TTAFStock_Log[WeekIndex],96)=0,"",SUMIFS(T_TTAFStock_Log[TTAF_Qty],T_TTAFStock_Log[Part Name],$A37,T_TTAFStock_Log[WeekIndex],96))</f>
        <v/>
      </c>
      <c r="CT37" s="13">
        <f>IF(COUNTIFS(T_TTAFStock_Log[Part Name],$A37,T_TTAFStock_Log[WeekIndex],97)=0,"",SUMIFS(T_TTAFStock_Log[TTAF_Qty],T_TTAFStock_Log[Part Name],$A37,T_TTAFStock_Log[WeekIndex],97))</f>
        <v/>
      </c>
      <c r="CU37" s="13">
        <f>IF(COUNTIFS(T_TTAFStock_Log[Part Name],$A37,T_TTAFStock_Log[WeekIndex],98)=0,"",SUMIFS(T_TTAFStock_Log[TTAF_Qty],T_TTAFStock_Log[Part Name],$A37,T_TTAFStock_Log[WeekIndex],98))</f>
        <v/>
      </c>
      <c r="CV37" s="13">
        <f>IF(COUNTIFS(T_TTAFStock_Log[Part Name],$A37,T_TTAFStock_Log[WeekIndex],99)=0,"",SUMIFS(T_TTAFStock_Log[TTAF_Qty],T_TTAFStock_Log[Part Name],$A37,T_TTAFStock_Log[WeekIndex],99))</f>
        <v/>
      </c>
      <c r="CW37" s="13">
        <f>IF(COUNTIFS(T_TTAFStock_Log[Part Name],$A37,T_TTAFStock_Log[WeekIndex],100)=0,"",SUMIFS(T_TTAFStock_Log[TTAF_Qty],T_TTAFStock_Log[Part Name],$A37,T_TTAFStock_Log[WeekIndex],100))</f>
        <v/>
      </c>
      <c r="CX37" s="13">
        <f>IF(COUNTIFS(T_TTAFStock_Log[Part Name],$A37,T_TTAFStock_Log[WeekIndex],101)=0,"",SUMIFS(T_TTAFStock_Log[TTAF_Qty],T_TTAFStock_Log[Part Name],$A37,T_TTAFStock_Log[WeekIndex],101))</f>
        <v/>
      </c>
      <c r="CY37" s="13">
        <f>IF(COUNTIFS(T_TTAFStock_Log[Part Name],$A37,T_TTAFStock_Log[WeekIndex],102)=0,"",SUMIFS(T_TTAFStock_Log[TTAF_Qty],T_TTAFStock_Log[Part Name],$A37,T_TTAFStock_Log[WeekIndex],102))</f>
        <v/>
      </c>
      <c r="CZ37" s="13">
        <f>IF(COUNTIFS(T_TTAFStock_Log[Part Name],$A37,T_TTAFStock_Log[WeekIndex],103)=0,"",SUMIFS(T_TTAFStock_Log[TTAF_Qty],T_TTAFStock_Log[Part Name],$A37,T_TTAFStock_Log[WeekIndex],103))</f>
        <v/>
      </c>
      <c r="DA37" s="13">
        <f>IF(COUNTIFS(T_TTAFStock_Log[Part Name],$A37,T_TTAFStock_Log[WeekIndex],104)=0,"",SUMIFS(T_TTAFStock_Log[TTAF_Qty],T_TTAFStock_Log[Part Name],$A37,T_TTAFStock_Log[WeekIndex],104))</f>
        <v/>
      </c>
    </row>
    <row r="38">
      <c r="A38" s="12" t="inlineStr">
        <is>
          <t>CHEM-1560</t>
        </is>
      </c>
      <c r="B38" s="12">
        <f>IF(COUNTIFS(T_TTAFStock_Log[Part Name],$A38,T_TTAFStock_Log[WeekIndex],1)=0,"",SUMIFS(T_TTAFStock_Log[TTAF_Qty],T_TTAFStock_Log[Part Name],$A38,T_TTAFStock_Log[WeekIndex],1))</f>
        <v/>
      </c>
      <c r="C38" s="12">
        <f>IF(COUNTIFS(T_TTAFStock_Log[Part Name],$A38,T_TTAFStock_Log[WeekIndex],2)=0,"",SUMIFS(T_TTAFStock_Log[TTAF_Qty],T_TTAFStock_Log[Part Name],$A38,T_TTAFStock_Log[WeekIndex],2))</f>
        <v/>
      </c>
      <c r="D38" s="12">
        <f>IF(COUNTIFS(T_TTAFStock_Log[Part Name],$A38,T_TTAFStock_Log[WeekIndex],3)=0,"",SUMIFS(T_TTAFStock_Log[TTAF_Qty],T_TTAFStock_Log[Part Name],$A38,T_TTAFStock_Log[WeekIndex],3))</f>
        <v/>
      </c>
      <c r="E38" s="12">
        <f>IF(COUNTIFS(T_TTAFStock_Log[Part Name],$A38,T_TTAFStock_Log[WeekIndex],4)=0,"",SUMIFS(T_TTAFStock_Log[TTAF_Qty],T_TTAFStock_Log[Part Name],$A38,T_TTAFStock_Log[WeekIndex],4))</f>
        <v/>
      </c>
      <c r="F38" s="12">
        <f>IF(COUNTIFS(T_TTAFStock_Log[Part Name],$A38,T_TTAFStock_Log[WeekIndex],5)=0,"",SUMIFS(T_TTAFStock_Log[TTAF_Qty],T_TTAFStock_Log[Part Name],$A38,T_TTAFStock_Log[WeekIndex],5))</f>
        <v/>
      </c>
      <c r="G38" s="12">
        <f>IF(COUNTIFS(T_TTAFStock_Log[Part Name],$A38,T_TTAFStock_Log[WeekIndex],6)=0,"",SUMIFS(T_TTAFStock_Log[TTAF_Qty],T_TTAFStock_Log[Part Name],$A38,T_TTAFStock_Log[WeekIndex],6))</f>
        <v/>
      </c>
      <c r="H38" s="12">
        <f>IF(COUNTIFS(T_TTAFStock_Log[Part Name],$A38,T_TTAFStock_Log[WeekIndex],7)=0,"",SUMIFS(T_TTAFStock_Log[TTAF_Qty],T_TTAFStock_Log[Part Name],$A38,T_TTAFStock_Log[WeekIndex],7))</f>
        <v/>
      </c>
      <c r="I38" s="12">
        <f>IF(COUNTIFS(T_TTAFStock_Log[Part Name],$A38,T_TTAFStock_Log[WeekIndex],8)=0,"",SUMIFS(T_TTAFStock_Log[TTAF_Qty],T_TTAFStock_Log[Part Name],$A38,T_TTAFStock_Log[WeekIndex],8))</f>
        <v/>
      </c>
      <c r="J38" s="12">
        <f>IF(COUNTIFS(T_TTAFStock_Log[Part Name],$A38,T_TTAFStock_Log[WeekIndex],9)=0,"",SUMIFS(T_TTAFStock_Log[TTAF_Qty],T_TTAFStock_Log[Part Name],$A38,T_TTAFStock_Log[WeekIndex],9))</f>
        <v/>
      </c>
      <c r="K38" s="12">
        <f>IF(COUNTIFS(T_TTAFStock_Log[Part Name],$A38,T_TTAFStock_Log[WeekIndex],10)=0,"",SUMIFS(T_TTAFStock_Log[TTAF_Qty],T_TTAFStock_Log[Part Name],$A38,T_TTAFStock_Log[WeekIndex],10))</f>
        <v/>
      </c>
      <c r="L38" s="12">
        <f>IF(COUNTIFS(T_TTAFStock_Log[Part Name],$A38,T_TTAFStock_Log[WeekIndex],11)=0,"",SUMIFS(T_TTAFStock_Log[TTAF_Qty],T_TTAFStock_Log[Part Name],$A38,T_TTAFStock_Log[WeekIndex],11))</f>
        <v/>
      </c>
      <c r="M38" s="12">
        <f>IF(COUNTIFS(T_TTAFStock_Log[Part Name],$A38,T_TTAFStock_Log[WeekIndex],12)=0,"",SUMIFS(T_TTAFStock_Log[TTAF_Qty],T_TTAFStock_Log[Part Name],$A38,T_TTAFStock_Log[WeekIndex],12))</f>
        <v/>
      </c>
      <c r="N38" s="12">
        <f>IF(COUNTIFS(T_TTAFStock_Log[Part Name],$A38,T_TTAFStock_Log[WeekIndex],13)=0,"",SUMIFS(T_TTAFStock_Log[TTAF_Qty],T_TTAFStock_Log[Part Name],$A38,T_TTAFStock_Log[WeekIndex],13))</f>
        <v/>
      </c>
      <c r="O38" s="12">
        <f>IF(COUNTIFS(T_TTAFStock_Log[Part Name],$A38,T_TTAFStock_Log[WeekIndex],14)=0,"",SUMIFS(T_TTAFStock_Log[TTAF_Qty],T_TTAFStock_Log[Part Name],$A38,T_TTAFStock_Log[WeekIndex],14))</f>
        <v/>
      </c>
      <c r="P38" s="12">
        <f>IF(COUNTIFS(T_TTAFStock_Log[Part Name],$A38,T_TTAFStock_Log[WeekIndex],15)=0,"",SUMIFS(T_TTAFStock_Log[TTAF_Qty],T_TTAFStock_Log[Part Name],$A38,T_TTAFStock_Log[WeekIndex],15))</f>
        <v/>
      </c>
      <c r="Q38" s="12">
        <f>IF(COUNTIFS(T_TTAFStock_Log[Part Name],$A38,T_TTAFStock_Log[WeekIndex],16)=0,"",SUMIFS(T_TTAFStock_Log[TTAF_Qty],T_TTAFStock_Log[Part Name],$A38,T_TTAFStock_Log[WeekIndex],16))</f>
        <v/>
      </c>
      <c r="R38" s="12">
        <f>IF(COUNTIFS(T_TTAFStock_Log[Part Name],$A38,T_TTAFStock_Log[WeekIndex],17)=0,"",SUMIFS(T_TTAFStock_Log[TTAF_Qty],T_TTAFStock_Log[Part Name],$A38,T_TTAFStock_Log[WeekIndex],17))</f>
        <v/>
      </c>
      <c r="S38" s="12">
        <f>IF(COUNTIFS(T_TTAFStock_Log[Part Name],$A38,T_TTAFStock_Log[WeekIndex],18)=0,"",SUMIFS(T_TTAFStock_Log[TTAF_Qty],T_TTAFStock_Log[Part Name],$A38,T_TTAFStock_Log[WeekIndex],18))</f>
        <v/>
      </c>
      <c r="T38" s="12">
        <f>IF(COUNTIFS(T_TTAFStock_Log[Part Name],$A38,T_TTAFStock_Log[WeekIndex],19)=0,"",SUMIFS(T_TTAFStock_Log[TTAF_Qty],T_TTAFStock_Log[Part Name],$A38,T_TTAFStock_Log[WeekIndex],19))</f>
        <v/>
      </c>
      <c r="U38" s="12">
        <f>IF(COUNTIFS(T_TTAFStock_Log[Part Name],$A38,T_TTAFStock_Log[WeekIndex],20)=0,"",SUMIFS(T_TTAFStock_Log[TTAF_Qty],T_TTAFStock_Log[Part Name],$A38,T_TTAFStock_Log[WeekIndex],20))</f>
        <v/>
      </c>
      <c r="V38" s="12">
        <f>IF(COUNTIFS(T_TTAFStock_Log[Part Name],$A38,T_TTAFStock_Log[WeekIndex],21)=0,"",SUMIFS(T_TTAFStock_Log[TTAF_Qty],T_TTAFStock_Log[Part Name],$A38,T_TTAFStock_Log[WeekIndex],21))</f>
        <v/>
      </c>
      <c r="W38" s="12">
        <f>IF(COUNTIFS(T_TTAFStock_Log[Part Name],$A38,T_TTAFStock_Log[WeekIndex],22)=0,"",SUMIFS(T_TTAFStock_Log[TTAF_Qty],T_TTAFStock_Log[Part Name],$A38,T_TTAFStock_Log[WeekIndex],22))</f>
        <v/>
      </c>
      <c r="X38" s="12">
        <f>IF(COUNTIFS(T_TTAFStock_Log[Part Name],$A38,T_TTAFStock_Log[WeekIndex],23)=0,"",SUMIFS(T_TTAFStock_Log[TTAF_Qty],T_TTAFStock_Log[Part Name],$A38,T_TTAFStock_Log[WeekIndex],23))</f>
        <v/>
      </c>
      <c r="Y38" s="12">
        <f>IF(COUNTIFS(T_TTAFStock_Log[Part Name],$A38,T_TTAFStock_Log[WeekIndex],24)=0,"",SUMIFS(T_TTAFStock_Log[TTAF_Qty],T_TTAFStock_Log[Part Name],$A38,T_TTAFStock_Log[WeekIndex],24))</f>
        <v/>
      </c>
      <c r="Z38" s="12">
        <f>IF(COUNTIFS(T_TTAFStock_Log[Part Name],$A38,T_TTAFStock_Log[WeekIndex],25)=0,"",SUMIFS(T_TTAFStock_Log[TTAF_Qty],T_TTAFStock_Log[Part Name],$A38,T_TTAFStock_Log[WeekIndex],25))</f>
        <v/>
      </c>
      <c r="AA38" s="12">
        <f>IF(COUNTIFS(T_TTAFStock_Log[Part Name],$A38,T_TTAFStock_Log[WeekIndex],26)=0,"",SUMIFS(T_TTAFStock_Log[TTAF_Qty],T_TTAFStock_Log[Part Name],$A38,T_TTAFStock_Log[WeekIndex],26))</f>
        <v/>
      </c>
      <c r="AB38" s="12">
        <f>IF(COUNTIFS(T_TTAFStock_Log[Part Name],$A38,T_TTAFStock_Log[WeekIndex],27)=0,"",SUMIFS(T_TTAFStock_Log[TTAF_Qty],T_TTAFStock_Log[Part Name],$A38,T_TTAFStock_Log[WeekIndex],27))</f>
        <v/>
      </c>
      <c r="AC38" s="12">
        <f>IF(COUNTIFS(T_TTAFStock_Log[Part Name],$A38,T_TTAFStock_Log[WeekIndex],28)=0,"",SUMIFS(T_TTAFStock_Log[TTAF_Qty],T_TTAFStock_Log[Part Name],$A38,T_TTAFStock_Log[WeekIndex],28))</f>
        <v/>
      </c>
      <c r="AD38" s="12">
        <f>IF(COUNTIFS(T_TTAFStock_Log[Part Name],$A38,T_TTAFStock_Log[WeekIndex],29)=0,"",SUMIFS(T_TTAFStock_Log[TTAF_Qty],T_TTAFStock_Log[Part Name],$A38,T_TTAFStock_Log[WeekIndex],29))</f>
        <v/>
      </c>
      <c r="AE38" s="12">
        <f>IF(COUNTIFS(T_TTAFStock_Log[Part Name],$A38,T_TTAFStock_Log[WeekIndex],30)=0,"",SUMIFS(T_TTAFStock_Log[TTAF_Qty],T_TTAFStock_Log[Part Name],$A38,T_TTAFStock_Log[WeekIndex],30))</f>
        <v/>
      </c>
      <c r="AF38" s="12">
        <f>IF(COUNTIFS(T_TTAFStock_Log[Part Name],$A38,T_TTAFStock_Log[WeekIndex],31)=0,"",SUMIFS(T_TTAFStock_Log[TTAF_Qty],T_TTAFStock_Log[Part Name],$A38,T_TTAFStock_Log[WeekIndex],31))</f>
        <v/>
      </c>
      <c r="AG38" s="12">
        <f>IF(COUNTIFS(T_TTAFStock_Log[Part Name],$A38,T_TTAFStock_Log[WeekIndex],32)=0,"",SUMIFS(T_TTAFStock_Log[TTAF_Qty],T_TTAFStock_Log[Part Name],$A38,T_TTAFStock_Log[WeekIndex],32))</f>
        <v/>
      </c>
      <c r="AH38" s="12">
        <f>IF(COUNTIFS(T_TTAFStock_Log[Part Name],$A38,T_TTAFStock_Log[WeekIndex],33)=0,"",SUMIFS(T_TTAFStock_Log[TTAF_Qty],T_TTAFStock_Log[Part Name],$A38,T_TTAFStock_Log[WeekIndex],33))</f>
        <v/>
      </c>
      <c r="AI38" s="12">
        <f>IF(COUNTIFS(T_TTAFStock_Log[Part Name],$A38,T_TTAFStock_Log[WeekIndex],34)=0,"",SUMIFS(T_TTAFStock_Log[TTAF_Qty],T_TTAFStock_Log[Part Name],$A38,T_TTAFStock_Log[WeekIndex],34))</f>
        <v/>
      </c>
      <c r="AJ38" s="12">
        <f>IF(COUNTIFS(T_TTAFStock_Log[Part Name],$A38,T_TTAFStock_Log[WeekIndex],35)=0,"",SUMIFS(T_TTAFStock_Log[TTAF_Qty],T_TTAFStock_Log[Part Name],$A38,T_TTAFStock_Log[WeekIndex],35))</f>
        <v/>
      </c>
      <c r="AK38" s="12">
        <f>IF(COUNTIFS(T_TTAFStock_Log[Part Name],$A38,T_TTAFStock_Log[WeekIndex],36)=0,"",SUMIFS(T_TTAFStock_Log[TTAF_Qty],T_TTAFStock_Log[Part Name],$A38,T_TTAFStock_Log[WeekIndex],36))</f>
        <v/>
      </c>
      <c r="AL38" s="12">
        <f>IF(COUNTIFS(T_TTAFStock_Log[Part Name],$A38,T_TTAFStock_Log[WeekIndex],37)=0,"",SUMIFS(T_TTAFStock_Log[TTAF_Qty],T_TTAFStock_Log[Part Name],$A38,T_TTAFStock_Log[WeekIndex],37))</f>
        <v/>
      </c>
      <c r="AM38" s="12">
        <f>IF(COUNTIFS(T_TTAFStock_Log[Part Name],$A38,T_TTAFStock_Log[WeekIndex],38)=0,"",SUMIFS(T_TTAFStock_Log[TTAF_Qty],T_TTAFStock_Log[Part Name],$A38,T_TTAFStock_Log[WeekIndex],38))</f>
        <v/>
      </c>
      <c r="AN38" s="12">
        <f>IF(COUNTIFS(T_TTAFStock_Log[Part Name],$A38,T_TTAFStock_Log[WeekIndex],39)=0,"",SUMIFS(T_TTAFStock_Log[TTAF_Qty],T_TTAFStock_Log[Part Name],$A38,T_TTAFStock_Log[WeekIndex],39))</f>
        <v/>
      </c>
      <c r="AO38" s="12">
        <f>IF(COUNTIFS(T_TTAFStock_Log[Part Name],$A38,T_TTAFStock_Log[WeekIndex],40)=0,"",SUMIFS(T_TTAFStock_Log[TTAF_Qty],T_TTAFStock_Log[Part Name],$A38,T_TTAFStock_Log[WeekIndex],40))</f>
        <v/>
      </c>
      <c r="AP38" s="12">
        <f>IF(COUNTIFS(T_TTAFStock_Log[Part Name],$A38,T_TTAFStock_Log[WeekIndex],41)=0,"",SUMIFS(T_TTAFStock_Log[TTAF_Qty],T_TTAFStock_Log[Part Name],$A38,T_TTAFStock_Log[WeekIndex],41))</f>
        <v/>
      </c>
      <c r="AQ38" s="12">
        <f>IF(COUNTIFS(T_TTAFStock_Log[Part Name],$A38,T_TTAFStock_Log[WeekIndex],42)=0,"",SUMIFS(T_TTAFStock_Log[TTAF_Qty],T_TTAFStock_Log[Part Name],$A38,T_TTAFStock_Log[WeekIndex],42))</f>
        <v/>
      </c>
      <c r="AR38" s="12">
        <f>IF(COUNTIFS(T_TTAFStock_Log[Part Name],$A38,T_TTAFStock_Log[WeekIndex],43)=0,"",SUMIFS(T_TTAFStock_Log[TTAF_Qty],T_TTAFStock_Log[Part Name],$A38,T_TTAFStock_Log[WeekIndex],43))</f>
        <v/>
      </c>
      <c r="AS38" s="12">
        <f>IF(COUNTIFS(T_TTAFStock_Log[Part Name],$A38,T_TTAFStock_Log[WeekIndex],44)=0,"",SUMIFS(T_TTAFStock_Log[TTAF_Qty],T_TTAFStock_Log[Part Name],$A38,T_TTAFStock_Log[WeekIndex],44))</f>
        <v/>
      </c>
      <c r="AT38" s="12">
        <f>IF(COUNTIFS(T_TTAFStock_Log[Part Name],$A38,T_TTAFStock_Log[WeekIndex],45)=0,"",SUMIFS(T_TTAFStock_Log[TTAF_Qty],T_TTAFStock_Log[Part Name],$A38,T_TTAFStock_Log[WeekIndex],45))</f>
        <v/>
      </c>
      <c r="AU38" s="12">
        <f>IF(COUNTIFS(T_TTAFStock_Log[Part Name],$A38,T_TTAFStock_Log[WeekIndex],46)=0,"",SUMIFS(T_TTAFStock_Log[TTAF_Qty],T_TTAFStock_Log[Part Name],$A38,T_TTAFStock_Log[WeekIndex],46))</f>
        <v/>
      </c>
      <c r="AV38" s="12">
        <f>IF(COUNTIFS(T_TTAFStock_Log[Part Name],$A38,T_TTAFStock_Log[WeekIndex],47)=0,"",SUMIFS(T_TTAFStock_Log[TTAF_Qty],T_TTAFStock_Log[Part Name],$A38,T_TTAFStock_Log[WeekIndex],47))</f>
        <v/>
      </c>
      <c r="AW38" s="12">
        <f>IF(COUNTIFS(T_TTAFStock_Log[Part Name],$A38,T_TTAFStock_Log[WeekIndex],48)=0,"",SUMIFS(T_TTAFStock_Log[TTAF_Qty],T_TTAFStock_Log[Part Name],$A38,T_TTAFStock_Log[WeekIndex],48))</f>
        <v/>
      </c>
      <c r="AX38" s="12">
        <f>IF(COUNTIFS(T_TTAFStock_Log[Part Name],$A38,T_TTAFStock_Log[WeekIndex],49)=0,"",SUMIFS(T_TTAFStock_Log[TTAF_Qty],T_TTAFStock_Log[Part Name],$A38,T_TTAFStock_Log[WeekIndex],49))</f>
        <v/>
      </c>
      <c r="AY38" s="12">
        <f>IF(COUNTIFS(T_TTAFStock_Log[Part Name],$A38,T_TTAFStock_Log[WeekIndex],50)=0,"",SUMIFS(T_TTAFStock_Log[TTAF_Qty],T_TTAFStock_Log[Part Name],$A38,T_TTAFStock_Log[WeekIndex],50))</f>
        <v/>
      </c>
      <c r="AZ38" s="12">
        <f>IF(COUNTIFS(T_TTAFStock_Log[Part Name],$A38,T_TTAFStock_Log[WeekIndex],51)=0,"",SUMIFS(T_TTAFStock_Log[TTAF_Qty],T_TTAFStock_Log[Part Name],$A38,T_TTAFStock_Log[WeekIndex],51))</f>
        <v/>
      </c>
      <c r="BA38" s="12">
        <f>IF(COUNTIFS(T_TTAFStock_Log[Part Name],$A38,T_TTAFStock_Log[WeekIndex],52)=0,"",SUMIFS(T_TTAFStock_Log[TTAF_Qty],T_TTAFStock_Log[Part Name],$A38,T_TTAFStock_Log[WeekIndex],52))</f>
        <v/>
      </c>
      <c r="BB38" s="12">
        <f>IF(COUNTIFS(T_TTAFStock_Log[Part Name],$A38,T_TTAFStock_Log[WeekIndex],53)=0,"",SUMIFS(T_TTAFStock_Log[TTAF_Qty],T_TTAFStock_Log[Part Name],$A38,T_TTAFStock_Log[WeekIndex],53))</f>
        <v/>
      </c>
      <c r="BC38" s="12">
        <f>IF(COUNTIFS(T_TTAFStock_Log[Part Name],$A38,T_TTAFStock_Log[WeekIndex],54)=0,"",SUMIFS(T_TTAFStock_Log[TTAF_Qty],T_TTAFStock_Log[Part Name],$A38,T_TTAFStock_Log[WeekIndex],54))</f>
        <v/>
      </c>
      <c r="BD38" s="12">
        <f>IF(COUNTIFS(T_TTAFStock_Log[Part Name],$A38,T_TTAFStock_Log[WeekIndex],55)=0,"",SUMIFS(T_TTAFStock_Log[TTAF_Qty],T_TTAFStock_Log[Part Name],$A38,T_TTAFStock_Log[WeekIndex],55))</f>
        <v/>
      </c>
      <c r="BE38" s="12">
        <f>IF(COUNTIFS(T_TTAFStock_Log[Part Name],$A38,T_TTAFStock_Log[WeekIndex],56)=0,"",SUMIFS(T_TTAFStock_Log[TTAF_Qty],T_TTAFStock_Log[Part Name],$A38,T_TTAFStock_Log[WeekIndex],56))</f>
        <v/>
      </c>
      <c r="BF38" s="12">
        <f>IF(COUNTIFS(T_TTAFStock_Log[Part Name],$A38,T_TTAFStock_Log[WeekIndex],57)=0,"",SUMIFS(T_TTAFStock_Log[TTAF_Qty],T_TTAFStock_Log[Part Name],$A38,T_TTAFStock_Log[WeekIndex],57))</f>
        <v/>
      </c>
      <c r="BG38" s="12">
        <f>IF(COUNTIFS(T_TTAFStock_Log[Part Name],$A38,T_TTAFStock_Log[WeekIndex],58)=0,"",SUMIFS(T_TTAFStock_Log[TTAF_Qty],T_TTAFStock_Log[Part Name],$A38,T_TTAFStock_Log[WeekIndex],58))</f>
        <v/>
      </c>
      <c r="BH38" s="12">
        <f>IF(COUNTIFS(T_TTAFStock_Log[Part Name],$A38,T_TTAFStock_Log[WeekIndex],59)=0,"",SUMIFS(T_TTAFStock_Log[TTAF_Qty],T_TTAFStock_Log[Part Name],$A38,T_TTAFStock_Log[WeekIndex],59))</f>
        <v/>
      </c>
      <c r="BI38" s="12">
        <f>IF(COUNTIFS(T_TTAFStock_Log[Part Name],$A38,T_TTAFStock_Log[WeekIndex],60)=0,"",SUMIFS(T_TTAFStock_Log[TTAF_Qty],T_TTAFStock_Log[Part Name],$A38,T_TTAFStock_Log[WeekIndex],60))</f>
        <v/>
      </c>
      <c r="BJ38" s="12">
        <f>IF(COUNTIFS(T_TTAFStock_Log[Part Name],$A38,T_TTAFStock_Log[WeekIndex],61)=0,"",SUMIFS(T_TTAFStock_Log[TTAF_Qty],T_TTAFStock_Log[Part Name],$A38,T_TTAFStock_Log[WeekIndex],61))</f>
        <v/>
      </c>
      <c r="BK38" s="12">
        <f>IF(COUNTIFS(T_TTAFStock_Log[Part Name],$A38,T_TTAFStock_Log[WeekIndex],62)=0,"",SUMIFS(T_TTAFStock_Log[TTAF_Qty],T_TTAFStock_Log[Part Name],$A38,T_TTAFStock_Log[WeekIndex],62))</f>
        <v/>
      </c>
      <c r="BL38" s="12">
        <f>IF(COUNTIFS(T_TTAFStock_Log[Part Name],$A38,T_TTAFStock_Log[WeekIndex],63)=0,"",SUMIFS(T_TTAFStock_Log[TTAF_Qty],T_TTAFStock_Log[Part Name],$A38,T_TTAFStock_Log[WeekIndex],63))</f>
        <v/>
      </c>
      <c r="BM38" s="12">
        <f>IF(COUNTIFS(T_TTAFStock_Log[Part Name],$A38,T_TTAFStock_Log[WeekIndex],64)=0,"",SUMIFS(T_TTAFStock_Log[TTAF_Qty],T_TTAFStock_Log[Part Name],$A38,T_TTAFStock_Log[WeekIndex],64))</f>
        <v/>
      </c>
      <c r="BN38" s="12">
        <f>IF(COUNTIFS(T_TTAFStock_Log[Part Name],$A38,T_TTAFStock_Log[WeekIndex],65)=0,"",SUMIFS(T_TTAFStock_Log[TTAF_Qty],T_TTAFStock_Log[Part Name],$A38,T_TTAFStock_Log[WeekIndex],65))</f>
        <v/>
      </c>
      <c r="BO38" s="12">
        <f>IF(COUNTIFS(T_TTAFStock_Log[Part Name],$A38,T_TTAFStock_Log[WeekIndex],66)=0,"",SUMIFS(T_TTAFStock_Log[TTAF_Qty],T_TTAFStock_Log[Part Name],$A38,T_TTAFStock_Log[WeekIndex],66))</f>
        <v/>
      </c>
      <c r="BP38" s="12">
        <f>IF(COUNTIFS(T_TTAFStock_Log[Part Name],$A38,T_TTAFStock_Log[WeekIndex],67)=0,"",SUMIFS(T_TTAFStock_Log[TTAF_Qty],T_TTAFStock_Log[Part Name],$A38,T_TTAFStock_Log[WeekIndex],67))</f>
        <v/>
      </c>
      <c r="BQ38" s="12">
        <f>IF(COUNTIFS(T_TTAFStock_Log[Part Name],$A38,T_TTAFStock_Log[WeekIndex],68)=0,"",SUMIFS(T_TTAFStock_Log[TTAF_Qty],T_TTAFStock_Log[Part Name],$A38,T_TTAFStock_Log[WeekIndex],68))</f>
        <v/>
      </c>
      <c r="BR38" s="12">
        <f>IF(COUNTIFS(T_TTAFStock_Log[Part Name],$A38,T_TTAFStock_Log[WeekIndex],69)=0,"",SUMIFS(T_TTAFStock_Log[TTAF_Qty],T_TTAFStock_Log[Part Name],$A38,T_TTAFStock_Log[WeekIndex],69))</f>
        <v/>
      </c>
      <c r="BS38" s="12">
        <f>IF(COUNTIFS(T_TTAFStock_Log[Part Name],$A38,T_TTAFStock_Log[WeekIndex],70)=0,"",SUMIFS(T_TTAFStock_Log[TTAF_Qty],T_TTAFStock_Log[Part Name],$A38,T_TTAFStock_Log[WeekIndex],70))</f>
        <v/>
      </c>
      <c r="BT38" s="12">
        <f>IF(COUNTIFS(T_TTAFStock_Log[Part Name],$A38,T_TTAFStock_Log[WeekIndex],71)=0,"",SUMIFS(T_TTAFStock_Log[TTAF_Qty],T_TTAFStock_Log[Part Name],$A38,T_TTAFStock_Log[WeekIndex],71))</f>
        <v/>
      </c>
      <c r="BU38" s="12">
        <f>IF(COUNTIFS(T_TTAFStock_Log[Part Name],$A38,T_TTAFStock_Log[WeekIndex],72)=0,"",SUMIFS(T_TTAFStock_Log[TTAF_Qty],T_TTAFStock_Log[Part Name],$A38,T_TTAFStock_Log[WeekIndex],72))</f>
        <v/>
      </c>
      <c r="BV38" s="12">
        <f>IF(COUNTIFS(T_TTAFStock_Log[Part Name],$A38,T_TTAFStock_Log[WeekIndex],73)=0,"",SUMIFS(T_TTAFStock_Log[TTAF_Qty],T_TTAFStock_Log[Part Name],$A38,T_TTAFStock_Log[WeekIndex],73))</f>
        <v/>
      </c>
      <c r="BW38" s="12">
        <f>IF(COUNTIFS(T_TTAFStock_Log[Part Name],$A38,T_TTAFStock_Log[WeekIndex],74)=0,"",SUMIFS(T_TTAFStock_Log[TTAF_Qty],T_TTAFStock_Log[Part Name],$A38,T_TTAFStock_Log[WeekIndex],74))</f>
        <v/>
      </c>
      <c r="BX38" s="12">
        <f>IF(COUNTIFS(T_TTAFStock_Log[Part Name],$A38,T_TTAFStock_Log[WeekIndex],75)=0,"",SUMIFS(T_TTAFStock_Log[TTAF_Qty],T_TTAFStock_Log[Part Name],$A38,T_TTAFStock_Log[WeekIndex],75))</f>
        <v/>
      </c>
      <c r="BY38" s="12">
        <f>IF(COUNTIFS(T_TTAFStock_Log[Part Name],$A38,T_TTAFStock_Log[WeekIndex],76)=0,"",SUMIFS(T_TTAFStock_Log[TTAF_Qty],T_TTAFStock_Log[Part Name],$A38,T_TTAFStock_Log[WeekIndex],76))</f>
        <v/>
      </c>
      <c r="BZ38" s="12">
        <f>IF(COUNTIFS(T_TTAFStock_Log[Part Name],$A38,T_TTAFStock_Log[WeekIndex],77)=0,"",SUMIFS(T_TTAFStock_Log[TTAF_Qty],T_TTAFStock_Log[Part Name],$A38,T_TTAFStock_Log[WeekIndex],77))</f>
        <v/>
      </c>
      <c r="CA38" s="12">
        <f>IF(COUNTIFS(T_TTAFStock_Log[Part Name],$A38,T_TTAFStock_Log[WeekIndex],78)=0,"",SUMIFS(T_TTAFStock_Log[TTAF_Qty],T_TTAFStock_Log[Part Name],$A38,T_TTAFStock_Log[WeekIndex],78))</f>
        <v/>
      </c>
      <c r="CB38" s="12">
        <f>IF(COUNTIFS(T_TTAFStock_Log[Part Name],$A38,T_TTAFStock_Log[WeekIndex],79)=0,"",SUMIFS(T_TTAFStock_Log[TTAF_Qty],T_TTAFStock_Log[Part Name],$A38,T_TTAFStock_Log[WeekIndex],79))</f>
        <v/>
      </c>
      <c r="CC38" s="12">
        <f>IF(COUNTIFS(T_TTAFStock_Log[Part Name],$A38,T_TTAFStock_Log[WeekIndex],80)=0,"",SUMIFS(T_TTAFStock_Log[TTAF_Qty],T_TTAFStock_Log[Part Name],$A38,T_TTAFStock_Log[WeekIndex],80))</f>
        <v/>
      </c>
      <c r="CD38" s="12">
        <f>IF(COUNTIFS(T_TTAFStock_Log[Part Name],$A38,T_TTAFStock_Log[WeekIndex],81)=0,"",SUMIFS(T_TTAFStock_Log[TTAF_Qty],T_TTAFStock_Log[Part Name],$A38,T_TTAFStock_Log[WeekIndex],81))</f>
        <v/>
      </c>
      <c r="CE38" s="12">
        <f>IF(COUNTIFS(T_TTAFStock_Log[Part Name],$A38,T_TTAFStock_Log[WeekIndex],82)=0,"",SUMIFS(T_TTAFStock_Log[TTAF_Qty],T_TTAFStock_Log[Part Name],$A38,T_TTAFStock_Log[WeekIndex],82))</f>
        <v/>
      </c>
      <c r="CF38" s="12">
        <f>IF(COUNTIFS(T_TTAFStock_Log[Part Name],$A38,T_TTAFStock_Log[WeekIndex],83)=0,"",SUMIFS(T_TTAFStock_Log[TTAF_Qty],T_TTAFStock_Log[Part Name],$A38,T_TTAFStock_Log[WeekIndex],83))</f>
        <v/>
      </c>
      <c r="CG38" s="12">
        <f>IF(COUNTIFS(T_TTAFStock_Log[Part Name],$A38,T_TTAFStock_Log[WeekIndex],84)=0,"",SUMIFS(T_TTAFStock_Log[TTAF_Qty],T_TTAFStock_Log[Part Name],$A38,T_TTAFStock_Log[WeekIndex],84))</f>
        <v/>
      </c>
      <c r="CH38" s="12">
        <f>IF(COUNTIFS(T_TTAFStock_Log[Part Name],$A38,T_TTAFStock_Log[WeekIndex],85)=0,"",SUMIFS(T_TTAFStock_Log[TTAF_Qty],T_TTAFStock_Log[Part Name],$A38,T_TTAFStock_Log[WeekIndex],85))</f>
        <v/>
      </c>
      <c r="CI38" s="12">
        <f>IF(COUNTIFS(T_TTAFStock_Log[Part Name],$A38,T_TTAFStock_Log[WeekIndex],86)=0,"",SUMIFS(T_TTAFStock_Log[TTAF_Qty],T_TTAFStock_Log[Part Name],$A38,T_TTAFStock_Log[WeekIndex],86))</f>
        <v/>
      </c>
      <c r="CJ38" s="12">
        <f>IF(COUNTIFS(T_TTAFStock_Log[Part Name],$A38,T_TTAFStock_Log[WeekIndex],87)=0,"",SUMIFS(T_TTAFStock_Log[TTAF_Qty],T_TTAFStock_Log[Part Name],$A38,T_TTAFStock_Log[WeekIndex],87))</f>
        <v/>
      </c>
      <c r="CK38" s="12">
        <f>IF(COUNTIFS(T_TTAFStock_Log[Part Name],$A38,T_TTAFStock_Log[WeekIndex],88)=0,"",SUMIFS(T_TTAFStock_Log[TTAF_Qty],T_TTAFStock_Log[Part Name],$A38,T_TTAFStock_Log[WeekIndex],88))</f>
        <v/>
      </c>
      <c r="CL38" s="12">
        <f>IF(COUNTIFS(T_TTAFStock_Log[Part Name],$A38,T_TTAFStock_Log[WeekIndex],89)=0,"",SUMIFS(T_TTAFStock_Log[TTAF_Qty],T_TTAFStock_Log[Part Name],$A38,T_TTAFStock_Log[WeekIndex],89))</f>
        <v/>
      </c>
      <c r="CM38" s="12">
        <f>IF(COUNTIFS(T_TTAFStock_Log[Part Name],$A38,T_TTAFStock_Log[WeekIndex],90)=0,"",SUMIFS(T_TTAFStock_Log[TTAF_Qty],T_TTAFStock_Log[Part Name],$A38,T_TTAFStock_Log[WeekIndex],90))</f>
        <v/>
      </c>
      <c r="CN38" s="12">
        <f>IF(COUNTIFS(T_TTAFStock_Log[Part Name],$A38,T_TTAFStock_Log[WeekIndex],91)=0,"",SUMIFS(T_TTAFStock_Log[TTAF_Qty],T_TTAFStock_Log[Part Name],$A38,T_TTAFStock_Log[WeekIndex],91))</f>
        <v/>
      </c>
      <c r="CO38" s="12">
        <f>IF(COUNTIFS(T_TTAFStock_Log[Part Name],$A38,T_TTAFStock_Log[WeekIndex],92)=0,"",SUMIFS(T_TTAFStock_Log[TTAF_Qty],T_TTAFStock_Log[Part Name],$A38,T_TTAFStock_Log[WeekIndex],92))</f>
        <v/>
      </c>
      <c r="CP38" s="12">
        <f>IF(COUNTIFS(T_TTAFStock_Log[Part Name],$A38,T_TTAFStock_Log[WeekIndex],93)=0,"",SUMIFS(T_TTAFStock_Log[TTAF_Qty],T_TTAFStock_Log[Part Name],$A38,T_TTAFStock_Log[WeekIndex],93))</f>
        <v/>
      </c>
      <c r="CQ38" s="12">
        <f>IF(COUNTIFS(T_TTAFStock_Log[Part Name],$A38,T_TTAFStock_Log[WeekIndex],94)=0,"",SUMIFS(T_TTAFStock_Log[TTAF_Qty],T_TTAFStock_Log[Part Name],$A38,T_TTAFStock_Log[WeekIndex],94))</f>
        <v/>
      </c>
      <c r="CR38" s="12">
        <f>IF(COUNTIFS(T_TTAFStock_Log[Part Name],$A38,T_TTAFStock_Log[WeekIndex],95)=0,"",SUMIFS(T_TTAFStock_Log[TTAF_Qty],T_TTAFStock_Log[Part Name],$A38,T_TTAFStock_Log[WeekIndex],95))</f>
        <v/>
      </c>
      <c r="CS38" s="12">
        <f>IF(COUNTIFS(T_TTAFStock_Log[Part Name],$A38,T_TTAFStock_Log[WeekIndex],96)=0,"",SUMIFS(T_TTAFStock_Log[TTAF_Qty],T_TTAFStock_Log[Part Name],$A38,T_TTAFStock_Log[WeekIndex],96))</f>
        <v/>
      </c>
      <c r="CT38" s="12">
        <f>IF(COUNTIFS(T_TTAFStock_Log[Part Name],$A38,T_TTAFStock_Log[WeekIndex],97)=0,"",SUMIFS(T_TTAFStock_Log[TTAF_Qty],T_TTAFStock_Log[Part Name],$A38,T_TTAFStock_Log[WeekIndex],97))</f>
        <v/>
      </c>
      <c r="CU38" s="12">
        <f>IF(COUNTIFS(T_TTAFStock_Log[Part Name],$A38,T_TTAFStock_Log[WeekIndex],98)=0,"",SUMIFS(T_TTAFStock_Log[TTAF_Qty],T_TTAFStock_Log[Part Name],$A38,T_TTAFStock_Log[WeekIndex],98))</f>
        <v/>
      </c>
      <c r="CV38" s="12">
        <f>IF(COUNTIFS(T_TTAFStock_Log[Part Name],$A38,T_TTAFStock_Log[WeekIndex],99)=0,"",SUMIFS(T_TTAFStock_Log[TTAF_Qty],T_TTAFStock_Log[Part Name],$A38,T_TTAFStock_Log[WeekIndex],99))</f>
        <v/>
      </c>
      <c r="CW38" s="12">
        <f>IF(COUNTIFS(T_TTAFStock_Log[Part Name],$A38,T_TTAFStock_Log[WeekIndex],100)=0,"",SUMIFS(T_TTAFStock_Log[TTAF_Qty],T_TTAFStock_Log[Part Name],$A38,T_TTAFStock_Log[WeekIndex],100))</f>
        <v/>
      </c>
      <c r="CX38" s="12">
        <f>IF(COUNTIFS(T_TTAFStock_Log[Part Name],$A38,T_TTAFStock_Log[WeekIndex],101)=0,"",SUMIFS(T_TTAFStock_Log[TTAF_Qty],T_TTAFStock_Log[Part Name],$A38,T_TTAFStock_Log[WeekIndex],101))</f>
        <v/>
      </c>
      <c r="CY38" s="12">
        <f>IF(COUNTIFS(T_TTAFStock_Log[Part Name],$A38,T_TTAFStock_Log[WeekIndex],102)=0,"",SUMIFS(T_TTAFStock_Log[TTAF_Qty],T_TTAFStock_Log[Part Name],$A38,T_TTAFStock_Log[WeekIndex],102))</f>
        <v/>
      </c>
      <c r="CZ38" s="12">
        <f>IF(COUNTIFS(T_TTAFStock_Log[Part Name],$A38,T_TTAFStock_Log[WeekIndex],103)=0,"",SUMIFS(T_TTAFStock_Log[TTAF_Qty],T_TTAFStock_Log[Part Name],$A38,T_TTAFStock_Log[WeekIndex],103))</f>
        <v/>
      </c>
      <c r="DA38" s="12">
        <f>IF(COUNTIFS(T_TTAFStock_Log[Part Name],$A38,T_TTAFStock_Log[WeekIndex],104)=0,"",SUMIFS(T_TTAFStock_Log[TTAF_Qty],T_TTAFStock_Log[Part Name],$A38,T_TTAFStock_Log[WeekIndex],104))</f>
        <v/>
      </c>
    </row>
    <row r="39">
      <c r="A39" s="13" t="inlineStr">
        <is>
          <t>CHEM-1510</t>
        </is>
      </c>
      <c r="B39" s="13">
        <f>IF(COUNTIFS(T_TTAFStock_Log[Part Name],$A39,T_TTAFStock_Log[WeekIndex],1)=0,"",SUMIFS(T_TTAFStock_Log[TTAF_Qty],T_TTAFStock_Log[Part Name],$A39,T_TTAFStock_Log[WeekIndex],1))</f>
        <v/>
      </c>
      <c r="C39" s="13">
        <f>IF(COUNTIFS(T_TTAFStock_Log[Part Name],$A39,T_TTAFStock_Log[WeekIndex],2)=0,"",SUMIFS(T_TTAFStock_Log[TTAF_Qty],T_TTAFStock_Log[Part Name],$A39,T_TTAFStock_Log[WeekIndex],2))</f>
        <v/>
      </c>
      <c r="D39" s="13">
        <f>IF(COUNTIFS(T_TTAFStock_Log[Part Name],$A39,T_TTAFStock_Log[WeekIndex],3)=0,"",SUMIFS(T_TTAFStock_Log[TTAF_Qty],T_TTAFStock_Log[Part Name],$A39,T_TTAFStock_Log[WeekIndex],3))</f>
        <v/>
      </c>
      <c r="E39" s="13">
        <f>IF(COUNTIFS(T_TTAFStock_Log[Part Name],$A39,T_TTAFStock_Log[WeekIndex],4)=0,"",SUMIFS(T_TTAFStock_Log[TTAF_Qty],T_TTAFStock_Log[Part Name],$A39,T_TTAFStock_Log[WeekIndex],4))</f>
        <v/>
      </c>
      <c r="F39" s="13">
        <f>IF(COUNTIFS(T_TTAFStock_Log[Part Name],$A39,T_TTAFStock_Log[WeekIndex],5)=0,"",SUMIFS(T_TTAFStock_Log[TTAF_Qty],T_TTAFStock_Log[Part Name],$A39,T_TTAFStock_Log[WeekIndex],5))</f>
        <v/>
      </c>
      <c r="G39" s="13">
        <f>IF(COUNTIFS(T_TTAFStock_Log[Part Name],$A39,T_TTAFStock_Log[WeekIndex],6)=0,"",SUMIFS(T_TTAFStock_Log[TTAF_Qty],T_TTAFStock_Log[Part Name],$A39,T_TTAFStock_Log[WeekIndex],6))</f>
        <v/>
      </c>
      <c r="H39" s="13">
        <f>IF(COUNTIFS(T_TTAFStock_Log[Part Name],$A39,T_TTAFStock_Log[WeekIndex],7)=0,"",SUMIFS(T_TTAFStock_Log[TTAF_Qty],T_TTAFStock_Log[Part Name],$A39,T_TTAFStock_Log[WeekIndex],7))</f>
        <v/>
      </c>
      <c r="I39" s="13">
        <f>IF(COUNTIFS(T_TTAFStock_Log[Part Name],$A39,T_TTAFStock_Log[WeekIndex],8)=0,"",SUMIFS(T_TTAFStock_Log[TTAF_Qty],T_TTAFStock_Log[Part Name],$A39,T_TTAFStock_Log[WeekIndex],8))</f>
        <v/>
      </c>
      <c r="J39" s="13">
        <f>IF(COUNTIFS(T_TTAFStock_Log[Part Name],$A39,T_TTAFStock_Log[WeekIndex],9)=0,"",SUMIFS(T_TTAFStock_Log[TTAF_Qty],T_TTAFStock_Log[Part Name],$A39,T_TTAFStock_Log[WeekIndex],9))</f>
        <v/>
      </c>
      <c r="K39" s="13">
        <f>IF(COUNTIFS(T_TTAFStock_Log[Part Name],$A39,T_TTAFStock_Log[WeekIndex],10)=0,"",SUMIFS(T_TTAFStock_Log[TTAF_Qty],T_TTAFStock_Log[Part Name],$A39,T_TTAFStock_Log[WeekIndex],10))</f>
        <v/>
      </c>
      <c r="L39" s="13">
        <f>IF(COUNTIFS(T_TTAFStock_Log[Part Name],$A39,T_TTAFStock_Log[WeekIndex],11)=0,"",SUMIFS(T_TTAFStock_Log[TTAF_Qty],T_TTAFStock_Log[Part Name],$A39,T_TTAFStock_Log[WeekIndex],11))</f>
        <v/>
      </c>
      <c r="M39" s="13">
        <f>IF(COUNTIFS(T_TTAFStock_Log[Part Name],$A39,T_TTAFStock_Log[WeekIndex],12)=0,"",SUMIFS(T_TTAFStock_Log[TTAF_Qty],T_TTAFStock_Log[Part Name],$A39,T_TTAFStock_Log[WeekIndex],12))</f>
        <v/>
      </c>
      <c r="N39" s="13">
        <f>IF(COUNTIFS(T_TTAFStock_Log[Part Name],$A39,T_TTAFStock_Log[WeekIndex],13)=0,"",SUMIFS(T_TTAFStock_Log[TTAF_Qty],T_TTAFStock_Log[Part Name],$A39,T_TTAFStock_Log[WeekIndex],13))</f>
        <v/>
      </c>
      <c r="O39" s="13">
        <f>IF(COUNTIFS(T_TTAFStock_Log[Part Name],$A39,T_TTAFStock_Log[WeekIndex],14)=0,"",SUMIFS(T_TTAFStock_Log[TTAF_Qty],T_TTAFStock_Log[Part Name],$A39,T_TTAFStock_Log[WeekIndex],14))</f>
        <v/>
      </c>
      <c r="P39" s="13">
        <f>IF(COUNTIFS(T_TTAFStock_Log[Part Name],$A39,T_TTAFStock_Log[WeekIndex],15)=0,"",SUMIFS(T_TTAFStock_Log[TTAF_Qty],T_TTAFStock_Log[Part Name],$A39,T_TTAFStock_Log[WeekIndex],15))</f>
        <v/>
      </c>
      <c r="Q39" s="13">
        <f>IF(COUNTIFS(T_TTAFStock_Log[Part Name],$A39,T_TTAFStock_Log[WeekIndex],16)=0,"",SUMIFS(T_TTAFStock_Log[TTAF_Qty],T_TTAFStock_Log[Part Name],$A39,T_TTAFStock_Log[WeekIndex],16))</f>
        <v/>
      </c>
      <c r="R39" s="13">
        <f>IF(COUNTIFS(T_TTAFStock_Log[Part Name],$A39,T_TTAFStock_Log[WeekIndex],17)=0,"",SUMIFS(T_TTAFStock_Log[TTAF_Qty],T_TTAFStock_Log[Part Name],$A39,T_TTAFStock_Log[WeekIndex],17))</f>
        <v/>
      </c>
      <c r="S39" s="13">
        <f>IF(COUNTIFS(T_TTAFStock_Log[Part Name],$A39,T_TTAFStock_Log[WeekIndex],18)=0,"",SUMIFS(T_TTAFStock_Log[TTAF_Qty],T_TTAFStock_Log[Part Name],$A39,T_TTAFStock_Log[WeekIndex],18))</f>
        <v/>
      </c>
      <c r="T39" s="13">
        <f>IF(COUNTIFS(T_TTAFStock_Log[Part Name],$A39,T_TTAFStock_Log[WeekIndex],19)=0,"",SUMIFS(T_TTAFStock_Log[TTAF_Qty],T_TTAFStock_Log[Part Name],$A39,T_TTAFStock_Log[WeekIndex],19))</f>
        <v/>
      </c>
      <c r="U39" s="13">
        <f>IF(COUNTIFS(T_TTAFStock_Log[Part Name],$A39,T_TTAFStock_Log[WeekIndex],20)=0,"",SUMIFS(T_TTAFStock_Log[TTAF_Qty],T_TTAFStock_Log[Part Name],$A39,T_TTAFStock_Log[WeekIndex],20))</f>
        <v/>
      </c>
      <c r="V39" s="13">
        <f>IF(COUNTIFS(T_TTAFStock_Log[Part Name],$A39,T_TTAFStock_Log[WeekIndex],21)=0,"",SUMIFS(T_TTAFStock_Log[TTAF_Qty],T_TTAFStock_Log[Part Name],$A39,T_TTAFStock_Log[WeekIndex],21))</f>
        <v/>
      </c>
      <c r="W39" s="13">
        <f>IF(COUNTIFS(T_TTAFStock_Log[Part Name],$A39,T_TTAFStock_Log[WeekIndex],22)=0,"",SUMIFS(T_TTAFStock_Log[TTAF_Qty],T_TTAFStock_Log[Part Name],$A39,T_TTAFStock_Log[WeekIndex],22))</f>
        <v/>
      </c>
      <c r="X39" s="13">
        <f>IF(COUNTIFS(T_TTAFStock_Log[Part Name],$A39,T_TTAFStock_Log[WeekIndex],23)=0,"",SUMIFS(T_TTAFStock_Log[TTAF_Qty],T_TTAFStock_Log[Part Name],$A39,T_TTAFStock_Log[WeekIndex],23))</f>
        <v/>
      </c>
      <c r="Y39" s="13">
        <f>IF(COUNTIFS(T_TTAFStock_Log[Part Name],$A39,T_TTAFStock_Log[WeekIndex],24)=0,"",SUMIFS(T_TTAFStock_Log[TTAF_Qty],T_TTAFStock_Log[Part Name],$A39,T_TTAFStock_Log[WeekIndex],24))</f>
        <v/>
      </c>
      <c r="Z39" s="13">
        <f>IF(COUNTIFS(T_TTAFStock_Log[Part Name],$A39,T_TTAFStock_Log[WeekIndex],25)=0,"",SUMIFS(T_TTAFStock_Log[TTAF_Qty],T_TTAFStock_Log[Part Name],$A39,T_TTAFStock_Log[WeekIndex],25))</f>
        <v/>
      </c>
      <c r="AA39" s="13">
        <f>IF(COUNTIFS(T_TTAFStock_Log[Part Name],$A39,T_TTAFStock_Log[WeekIndex],26)=0,"",SUMIFS(T_TTAFStock_Log[TTAF_Qty],T_TTAFStock_Log[Part Name],$A39,T_TTAFStock_Log[WeekIndex],26))</f>
        <v/>
      </c>
      <c r="AB39" s="13">
        <f>IF(COUNTIFS(T_TTAFStock_Log[Part Name],$A39,T_TTAFStock_Log[WeekIndex],27)=0,"",SUMIFS(T_TTAFStock_Log[TTAF_Qty],T_TTAFStock_Log[Part Name],$A39,T_TTAFStock_Log[WeekIndex],27))</f>
        <v/>
      </c>
      <c r="AC39" s="13">
        <f>IF(COUNTIFS(T_TTAFStock_Log[Part Name],$A39,T_TTAFStock_Log[WeekIndex],28)=0,"",SUMIFS(T_TTAFStock_Log[TTAF_Qty],T_TTAFStock_Log[Part Name],$A39,T_TTAFStock_Log[WeekIndex],28))</f>
        <v/>
      </c>
      <c r="AD39" s="13">
        <f>IF(COUNTIFS(T_TTAFStock_Log[Part Name],$A39,T_TTAFStock_Log[WeekIndex],29)=0,"",SUMIFS(T_TTAFStock_Log[TTAF_Qty],T_TTAFStock_Log[Part Name],$A39,T_TTAFStock_Log[WeekIndex],29))</f>
        <v/>
      </c>
      <c r="AE39" s="13">
        <f>IF(COUNTIFS(T_TTAFStock_Log[Part Name],$A39,T_TTAFStock_Log[WeekIndex],30)=0,"",SUMIFS(T_TTAFStock_Log[TTAF_Qty],T_TTAFStock_Log[Part Name],$A39,T_TTAFStock_Log[WeekIndex],30))</f>
        <v/>
      </c>
      <c r="AF39" s="13">
        <f>IF(COUNTIFS(T_TTAFStock_Log[Part Name],$A39,T_TTAFStock_Log[WeekIndex],31)=0,"",SUMIFS(T_TTAFStock_Log[TTAF_Qty],T_TTAFStock_Log[Part Name],$A39,T_TTAFStock_Log[WeekIndex],31))</f>
        <v/>
      </c>
      <c r="AG39" s="13">
        <f>IF(COUNTIFS(T_TTAFStock_Log[Part Name],$A39,T_TTAFStock_Log[WeekIndex],32)=0,"",SUMIFS(T_TTAFStock_Log[TTAF_Qty],T_TTAFStock_Log[Part Name],$A39,T_TTAFStock_Log[WeekIndex],32))</f>
        <v/>
      </c>
      <c r="AH39" s="13">
        <f>IF(COUNTIFS(T_TTAFStock_Log[Part Name],$A39,T_TTAFStock_Log[WeekIndex],33)=0,"",SUMIFS(T_TTAFStock_Log[TTAF_Qty],T_TTAFStock_Log[Part Name],$A39,T_TTAFStock_Log[WeekIndex],33))</f>
        <v/>
      </c>
      <c r="AI39" s="13">
        <f>IF(COUNTIFS(T_TTAFStock_Log[Part Name],$A39,T_TTAFStock_Log[WeekIndex],34)=0,"",SUMIFS(T_TTAFStock_Log[TTAF_Qty],T_TTAFStock_Log[Part Name],$A39,T_TTAFStock_Log[WeekIndex],34))</f>
        <v/>
      </c>
      <c r="AJ39" s="13">
        <f>IF(COUNTIFS(T_TTAFStock_Log[Part Name],$A39,T_TTAFStock_Log[WeekIndex],35)=0,"",SUMIFS(T_TTAFStock_Log[TTAF_Qty],T_TTAFStock_Log[Part Name],$A39,T_TTAFStock_Log[WeekIndex],35))</f>
        <v/>
      </c>
      <c r="AK39" s="13">
        <f>IF(COUNTIFS(T_TTAFStock_Log[Part Name],$A39,T_TTAFStock_Log[WeekIndex],36)=0,"",SUMIFS(T_TTAFStock_Log[TTAF_Qty],T_TTAFStock_Log[Part Name],$A39,T_TTAFStock_Log[WeekIndex],36))</f>
        <v/>
      </c>
      <c r="AL39" s="13">
        <f>IF(COUNTIFS(T_TTAFStock_Log[Part Name],$A39,T_TTAFStock_Log[WeekIndex],37)=0,"",SUMIFS(T_TTAFStock_Log[TTAF_Qty],T_TTAFStock_Log[Part Name],$A39,T_TTAFStock_Log[WeekIndex],37))</f>
        <v/>
      </c>
      <c r="AM39" s="13">
        <f>IF(COUNTIFS(T_TTAFStock_Log[Part Name],$A39,T_TTAFStock_Log[WeekIndex],38)=0,"",SUMIFS(T_TTAFStock_Log[TTAF_Qty],T_TTAFStock_Log[Part Name],$A39,T_TTAFStock_Log[WeekIndex],38))</f>
        <v/>
      </c>
      <c r="AN39" s="13">
        <f>IF(COUNTIFS(T_TTAFStock_Log[Part Name],$A39,T_TTAFStock_Log[WeekIndex],39)=0,"",SUMIFS(T_TTAFStock_Log[TTAF_Qty],T_TTAFStock_Log[Part Name],$A39,T_TTAFStock_Log[WeekIndex],39))</f>
        <v/>
      </c>
      <c r="AO39" s="13">
        <f>IF(COUNTIFS(T_TTAFStock_Log[Part Name],$A39,T_TTAFStock_Log[WeekIndex],40)=0,"",SUMIFS(T_TTAFStock_Log[TTAF_Qty],T_TTAFStock_Log[Part Name],$A39,T_TTAFStock_Log[WeekIndex],40))</f>
        <v/>
      </c>
      <c r="AP39" s="13">
        <f>IF(COUNTIFS(T_TTAFStock_Log[Part Name],$A39,T_TTAFStock_Log[WeekIndex],41)=0,"",SUMIFS(T_TTAFStock_Log[TTAF_Qty],T_TTAFStock_Log[Part Name],$A39,T_TTAFStock_Log[WeekIndex],41))</f>
        <v/>
      </c>
      <c r="AQ39" s="13">
        <f>IF(COUNTIFS(T_TTAFStock_Log[Part Name],$A39,T_TTAFStock_Log[WeekIndex],42)=0,"",SUMIFS(T_TTAFStock_Log[TTAF_Qty],T_TTAFStock_Log[Part Name],$A39,T_TTAFStock_Log[WeekIndex],42))</f>
        <v/>
      </c>
      <c r="AR39" s="13">
        <f>IF(COUNTIFS(T_TTAFStock_Log[Part Name],$A39,T_TTAFStock_Log[WeekIndex],43)=0,"",SUMIFS(T_TTAFStock_Log[TTAF_Qty],T_TTAFStock_Log[Part Name],$A39,T_TTAFStock_Log[WeekIndex],43))</f>
        <v/>
      </c>
      <c r="AS39" s="13">
        <f>IF(COUNTIFS(T_TTAFStock_Log[Part Name],$A39,T_TTAFStock_Log[WeekIndex],44)=0,"",SUMIFS(T_TTAFStock_Log[TTAF_Qty],T_TTAFStock_Log[Part Name],$A39,T_TTAFStock_Log[WeekIndex],44))</f>
        <v/>
      </c>
      <c r="AT39" s="13">
        <f>IF(COUNTIFS(T_TTAFStock_Log[Part Name],$A39,T_TTAFStock_Log[WeekIndex],45)=0,"",SUMIFS(T_TTAFStock_Log[TTAF_Qty],T_TTAFStock_Log[Part Name],$A39,T_TTAFStock_Log[WeekIndex],45))</f>
        <v/>
      </c>
      <c r="AU39" s="13">
        <f>IF(COUNTIFS(T_TTAFStock_Log[Part Name],$A39,T_TTAFStock_Log[WeekIndex],46)=0,"",SUMIFS(T_TTAFStock_Log[TTAF_Qty],T_TTAFStock_Log[Part Name],$A39,T_TTAFStock_Log[WeekIndex],46))</f>
        <v/>
      </c>
      <c r="AV39" s="13">
        <f>IF(COUNTIFS(T_TTAFStock_Log[Part Name],$A39,T_TTAFStock_Log[WeekIndex],47)=0,"",SUMIFS(T_TTAFStock_Log[TTAF_Qty],T_TTAFStock_Log[Part Name],$A39,T_TTAFStock_Log[WeekIndex],47))</f>
        <v/>
      </c>
      <c r="AW39" s="13">
        <f>IF(COUNTIFS(T_TTAFStock_Log[Part Name],$A39,T_TTAFStock_Log[WeekIndex],48)=0,"",SUMIFS(T_TTAFStock_Log[TTAF_Qty],T_TTAFStock_Log[Part Name],$A39,T_TTAFStock_Log[WeekIndex],48))</f>
        <v/>
      </c>
      <c r="AX39" s="13">
        <f>IF(COUNTIFS(T_TTAFStock_Log[Part Name],$A39,T_TTAFStock_Log[WeekIndex],49)=0,"",SUMIFS(T_TTAFStock_Log[TTAF_Qty],T_TTAFStock_Log[Part Name],$A39,T_TTAFStock_Log[WeekIndex],49))</f>
        <v/>
      </c>
      <c r="AY39" s="13">
        <f>IF(COUNTIFS(T_TTAFStock_Log[Part Name],$A39,T_TTAFStock_Log[WeekIndex],50)=0,"",SUMIFS(T_TTAFStock_Log[TTAF_Qty],T_TTAFStock_Log[Part Name],$A39,T_TTAFStock_Log[WeekIndex],50))</f>
        <v/>
      </c>
      <c r="AZ39" s="13">
        <f>IF(COUNTIFS(T_TTAFStock_Log[Part Name],$A39,T_TTAFStock_Log[WeekIndex],51)=0,"",SUMIFS(T_TTAFStock_Log[TTAF_Qty],T_TTAFStock_Log[Part Name],$A39,T_TTAFStock_Log[WeekIndex],51))</f>
        <v/>
      </c>
      <c r="BA39" s="13">
        <f>IF(COUNTIFS(T_TTAFStock_Log[Part Name],$A39,T_TTAFStock_Log[WeekIndex],52)=0,"",SUMIFS(T_TTAFStock_Log[TTAF_Qty],T_TTAFStock_Log[Part Name],$A39,T_TTAFStock_Log[WeekIndex],52))</f>
        <v/>
      </c>
      <c r="BB39" s="13">
        <f>IF(COUNTIFS(T_TTAFStock_Log[Part Name],$A39,T_TTAFStock_Log[WeekIndex],53)=0,"",SUMIFS(T_TTAFStock_Log[TTAF_Qty],T_TTAFStock_Log[Part Name],$A39,T_TTAFStock_Log[WeekIndex],53))</f>
        <v/>
      </c>
      <c r="BC39" s="13">
        <f>IF(COUNTIFS(T_TTAFStock_Log[Part Name],$A39,T_TTAFStock_Log[WeekIndex],54)=0,"",SUMIFS(T_TTAFStock_Log[TTAF_Qty],T_TTAFStock_Log[Part Name],$A39,T_TTAFStock_Log[WeekIndex],54))</f>
        <v/>
      </c>
      <c r="BD39" s="13">
        <f>IF(COUNTIFS(T_TTAFStock_Log[Part Name],$A39,T_TTAFStock_Log[WeekIndex],55)=0,"",SUMIFS(T_TTAFStock_Log[TTAF_Qty],T_TTAFStock_Log[Part Name],$A39,T_TTAFStock_Log[WeekIndex],55))</f>
        <v/>
      </c>
      <c r="BE39" s="13">
        <f>IF(COUNTIFS(T_TTAFStock_Log[Part Name],$A39,T_TTAFStock_Log[WeekIndex],56)=0,"",SUMIFS(T_TTAFStock_Log[TTAF_Qty],T_TTAFStock_Log[Part Name],$A39,T_TTAFStock_Log[WeekIndex],56))</f>
        <v/>
      </c>
      <c r="BF39" s="13">
        <f>IF(COUNTIFS(T_TTAFStock_Log[Part Name],$A39,T_TTAFStock_Log[WeekIndex],57)=0,"",SUMIFS(T_TTAFStock_Log[TTAF_Qty],T_TTAFStock_Log[Part Name],$A39,T_TTAFStock_Log[WeekIndex],57))</f>
        <v/>
      </c>
      <c r="BG39" s="13">
        <f>IF(COUNTIFS(T_TTAFStock_Log[Part Name],$A39,T_TTAFStock_Log[WeekIndex],58)=0,"",SUMIFS(T_TTAFStock_Log[TTAF_Qty],T_TTAFStock_Log[Part Name],$A39,T_TTAFStock_Log[WeekIndex],58))</f>
        <v/>
      </c>
      <c r="BH39" s="13">
        <f>IF(COUNTIFS(T_TTAFStock_Log[Part Name],$A39,T_TTAFStock_Log[WeekIndex],59)=0,"",SUMIFS(T_TTAFStock_Log[TTAF_Qty],T_TTAFStock_Log[Part Name],$A39,T_TTAFStock_Log[WeekIndex],59))</f>
        <v/>
      </c>
      <c r="BI39" s="13">
        <f>IF(COUNTIFS(T_TTAFStock_Log[Part Name],$A39,T_TTAFStock_Log[WeekIndex],60)=0,"",SUMIFS(T_TTAFStock_Log[TTAF_Qty],T_TTAFStock_Log[Part Name],$A39,T_TTAFStock_Log[WeekIndex],60))</f>
        <v/>
      </c>
      <c r="BJ39" s="13">
        <f>IF(COUNTIFS(T_TTAFStock_Log[Part Name],$A39,T_TTAFStock_Log[WeekIndex],61)=0,"",SUMIFS(T_TTAFStock_Log[TTAF_Qty],T_TTAFStock_Log[Part Name],$A39,T_TTAFStock_Log[WeekIndex],61))</f>
        <v/>
      </c>
      <c r="BK39" s="13">
        <f>IF(COUNTIFS(T_TTAFStock_Log[Part Name],$A39,T_TTAFStock_Log[WeekIndex],62)=0,"",SUMIFS(T_TTAFStock_Log[TTAF_Qty],T_TTAFStock_Log[Part Name],$A39,T_TTAFStock_Log[WeekIndex],62))</f>
        <v/>
      </c>
      <c r="BL39" s="13">
        <f>IF(COUNTIFS(T_TTAFStock_Log[Part Name],$A39,T_TTAFStock_Log[WeekIndex],63)=0,"",SUMIFS(T_TTAFStock_Log[TTAF_Qty],T_TTAFStock_Log[Part Name],$A39,T_TTAFStock_Log[WeekIndex],63))</f>
        <v/>
      </c>
      <c r="BM39" s="13">
        <f>IF(COUNTIFS(T_TTAFStock_Log[Part Name],$A39,T_TTAFStock_Log[WeekIndex],64)=0,"",SUMIFS(T_TTAFStock_Log[TTAF_Qty],T_TTAFStock_Log[Part Name],$A39,T_TTAFStock_Log[WeekIndex],64))</f>
        <v/>
      </c>
      <c r="BN39" s="13">
        <f>IF(COUNTIFS(T_TTAFStock_Log[Part Name],$A39,T_TTAFStock_Log[WeekIndex],65)=0,"",SUMIFS(T_TTAFStock_Log[TTAF_Qty],T_TTAFStock_Log[Part Name],$A39,T_TTAFStock_Log[WeekIndex],65))</f>
        <v/>
      </c>
      <c r="BO39" s="13">
        <f>IF(COUNTIFS(T_TTAFStock_Log[Part Name],$A39,T_TTAFStock_Log[WeekIndex],66)=0,"",SUMIFS(T_TTAFStock_Log[TTAF_Qty],T_TTAFStock_Log[Part Name],$A39,T_TTAFStock_Log[WeekIndex],66))</f>
        <v/>
      </c>
      <c r="BP39" s="13">
        <f>IF(COUNTIFS(T_TTAFStock_Log[Part Name],$A39,T_TTAFStock_Log[WeekIndex],67)=0,"",SUMIFS(T_TTAFStock_Log[TTAF_Qty],T_TTAFStock_Log[Part Name],$A39,T_TTAFStock_Log[WeekIndex],67))</f>
        <v/>
      </c>
      <c r="BQ39" s="13">
        <f>IF(COUNTIFS(T_TTAFStock_Log[Part Name],$A39,T_TTAFStock_Log[WeekIndex],68)=0,"",SUMIFS(T_TTAFStock_Log[TTAF_Qty],T_TTAFStock_Log[Part Name],$A39,T_TTAFStock_Log[WeekIndex],68))</f>
        <v/>
      </c>
      <c r="BR39" s="13">
        <f>IF(COUNTIFS(T_TTAFStock_Log[Part Name],$A39,T_TTAFStock_Log[WeekIndex],69)=0,"",SUMIFS(T_TTAFStock_Log[TTAF_Qty],T_TTAFStock_Log[Part Name],$A39,T_TTAFStock_Log[WeekIndex],69))</f>
        <v/>
      </c>
      <c r="BS39" s="13">
        <f>IF(COUNTIFS(T_TTAFStock_Log[Part Name],$A39,T_TTAFStock_Log[WeekIndex],70)=0,"",SUMIFS(T_TTAFStock_Log[TTAF_Qty],T_TTAFStock_Log[Part Name],$A39,T_TTAFStock_Log[WeekIndex],70))</f>
        <v/>
      </c>
      <c r="BT39" s="13">
        <f>IF(COUNTIFS(T_TTAFStock_Log[Part Name],$A39,T_TTAFStock_Log[WeekIndex],71)=0,"",SUMIFS(T_TTAFStock_Log[TTAF_Qty],T_TTAFStock_Log[Part Name],$A39,T_TTAFStock_Log[WeekIndex],71))</f>
        <v/>
      </c>
      <c r="BU39" s="13">
        <f>IF(COUNTIFS(T_TTAFStock_Log[Part Name],$A39,T_TTAFStock_Log[WeekIndex],72)=0,"",SUMIFS(T_TTAFStock_Log[TTAF_Qty],T_TTAFStock_Log[Part Name],$A39,T_TTAFStock_Log[WeekIndex],72))</f>
        <v/>
      </c>
      <c r="BV39" s="13">
        <f>IF(COUNTIFS(T_TTAFStock_Log[Part Name],$A39,T_TTAFStock_Log[WeekIndex],73)=0,"",SUMIFS(T_TTAFStock_Log[TTAF_Qty],T_TTAFStock_Log[Part Name],$A39,T_TTAFStock_Log[WeekIndex],73))</f>
        <v/>
      </c>
      <c r="BW39" s="13">
        <f>IF(COUNTIFS(T_TTAFStock_Log[Part Name],$A39,T_TTAFStock_Log[WeekIndex],74)=0,"",SUMIFS(T_TTAFStock_Log[TTAF_Qty],T_TTAFStock_Log[Part Name],$A39,T_TTAFStock_Log[WeekIndex],74))</f>
        <v/>
      </c>
      <c r="BX39" s="13">
        <f>IF(COUNTIFS(T_TTAFStock_Log[Part Name],$A39,T_TTAFStock_Log[WeekIndex],75)=0,"",SUMIFS(T_TTAFStock_Log[TTAF_Qty],T_TTAFStock_Log[Part Name],$A39,T_TTAFStock_Log[WeekIndex],75))</f>
        <v/>
      </c>
      <c r="BY39" s="13">
        <f>IF(COUNTIFS(T_TTAFStock_Log[Part Name],$A39,T_TTAFStock_Log[WeekIndex],76)=0,"",SUMIFS(T_TTAFStock_Log[TTAF_Qty],T_TTAFStock_Log[Part Name],$A39,T_TTAFStock_Log[WeekIndex],76))</f>
        <v/>
      </c>
      <c r="BZ39" s="13">
        <f>IF(COUNTIFS(T_TTAFStock_Log[Part Name],$A39,T_TTAFStock_Log[WeekIndex],77)=0,"",SUMIFS(T_TTAFStock_Log[TTAF_Qty],T_TTAFStock_Log[Part Name],$A39,T_TTAFStock_Log[WeekIndex],77))</f>
        <v/>
      </c>
      <c r="CA39" s="13">
        <f>IF(COUNTIFS(T_TTAFStock_Log[Part Name],$A39,T_TTAFStock_Log[WeekIndex],78)=0,"",SUMIFS(T_TTAFStock_Log[TTAF_Qty],T_TTAFStock_Log[Part Name],$A39,T_TTAFStock_Log[WeekIndex],78))</f>
        <v/>
      </c>
      <c r="CB39" s="13">
        <f>IF(COUNTIFS(T_TTAFStock_Log[Part Name],$A39,T_TTAFStock_Log[WeekIndex],79)=0,"",SUMIFS(T_TTAFStock_Log[TTAF_Qty],T_TTAFStock_Log[Part Name],$A39,T_TTAFStock_Log[WeekIndex],79))</f>
        <v/>
      </c>
      <c r="CC39" s="13">
        <f>IF(COUNTIFS(T_TTAFStock_Log[Part Name],$A39,T_TTAFStock_Log[WeekIndex],80)=0,"",SUMIFS(T_TTAFStock_Log[TTAF_Qty],T_TTAFStock_Log[Part Name],$A39,T_TTAFStock_Log[WeekIndex],80))</f>
        <v/>
      </c>
      <c r="CD39" s="13">
        <f>IF(COUNTIFS(T_TTAFStock_Log[Part Name],$A39,T_TTAFStock_Log[WeekIndex],81)=0,"",SUMIFS(T_TTAFStock_Log[TTAF_Qty],T_TTAFStock_Log[Part Name],$A39,T_TTAFStock_Log[WeekIndex],81))</f>
        <v/>
      </c>
      <c r="CE39" s="13">
        <f>IF(COUNTIFS(T_TTAFStock_Log[Part Name],$A39,T_TTAFStock_Log[WeekIndex],82)=0,"",SUMIFS(T_TTAFStock_Log[TTAF_Qty],T_TTAFStock_Log[Part Name],$A39,T_TTAFStock_Log[WeekIndex],82))</f>
        <v/>
      </c>
      <c r="CF39" s="13">
        <f>IF(COUNTIFS(T_TTAFStock_Log[Part Name],$A39,T_TTAFStock_Log[WeekIndex],83)=0,"",SUMIFS(T_TTAFStock_Log[TTAF_Qty],T_TTAFStock_Log[Part Name],$A39,T_TTAFStock_Log[WeekIndex],83))</f>
        <v/>
      </c>
      <c r="CG39" s="13">
        <f>IF(COUNTIFS(T_TTAFStock_Log[Part Name],$A39,T_TTAFStock_Log[WeekIndex],84)=0,"",SUMIFS(T_TTAFStock_Log[TTAF_Qty],T_TTAFStock_Log[Part Name],$A39,T_TTAFStock_Log[WeekIndex],84))</f>
        <v/>
      </c>
      <c r="CH39" s="13">
        <f>IF(COUNTIFS(T_TTAFStock_Log[Part Name],$A39,T_TTAFStock_Log[WeekIndex],85)=0,"",SUMIFS(T_TTAFStock_Log[TTAF_Qty],T_TTAFStock_Log[Part Name],$A39,T_TTAFStock_Log[WeekIndex],85))</f>
        <v/>
      </c>
      <c r="CI39" s="13">
        <f>IF(COUNTIFS(T_TTAFStock_Log[Part Name],$A39,T_TTAFStock_Log[WeekIndex],86)=0,"",SUMIFS(T_TTAFStock_Log[TTAF_Qty],T_TTAFStock_Log[Part Name],$A39,T_TTAFStock_Log[WeekIndex],86))</f>
        <v/>
      </c>
      <c r="CJ39" s="13">
        <f>IF(COUNTIFS(T_TTAFStock_Log[Part Name],$A39,T_TTAFStock_Log[WeekIndex],87)=0,"",SUMIFS(T_TTAFStock_Log[TTAF_Qty],T_TTAFStock_Log[Part Name],$A39,T_TTAFStock_Log[WeekIndex],87))</f>
        <v/>
      </c>
      <c r="CK39" s="13">
        <f>IF(COUNTIFS(T_TTAFStock_Log[Part Name],$A39,T_TTAFStock_Log[WeekIndex],88)=0,"",SUMIFS(T_TTAFStock_Log[TTAF_Qty],T_TTAFStock_Log[Part Name],$A39,T_TTAFStock_Log[WeekIndex],88))</f>
        <v/>
      </c>
      <c r="CL39" s="13">
        <f>IF(COUNTIFS(T_TTAFStock_Log[Part Name],$A39,T_TTAFStock_Log[WeekIndex],89)=0,"",SUMIFS(T_TTAFStock_Log[TTAF_Qty],T_TTAFStock_Log[Part Name],$A39,T_TTAFStock_Log[WeekIndex],89))</f>
        <v/>
      </c>
      <c r="CM39" s="13">
        <f>IF(COUNTIFS(T_TTAFStock_Log[Part Name],$A39,T_TTAFStock_Log[WeekIndex],90)=0,"",SUMIFS(T_TTAFStock_Log[TTAF_Qty],T_TTAFStock_Log[Part Name],$A39,T_TTAFStock_Log[WeekIndex],90))</f>
        <v/>
      </c>
      <c r="CN39" s="13">
        <f>IF(COUNTIFS(T_TTAFStock_Log[Part Name],$A39,T_TTAFStock_Log[WeekIndex],91)=0,"",SUMIFS(T_TTAFStock_Log[TTAF_Qty],T_TTAFStock_Log[Part Name],$A39,T_TTAFStock_Log[WeekIndex],91))</f>
        <v/>
      </c>
      <c r="CO39" s="13">
        <f>IF(COUNTIFS(T_TTAFStock_Log[Part Name],$A39,T_TTAFStock_Log[WeekIndex],92)=0,"",SUMIFS(T_TTAFStock_Log[TTAF_Qty],T_TTAFStock_Log[Part Name],$A39,T_TTAFStock_Log[WeekIndex],92))</f>
        <v/>
      </c>
      <c r="CP39" s="13">
        <f>IF(COUNTIFS(T_TTAFStock_Log[Part Name],$A39,T_TTAFStock_Log[WeekIndex],93)=0,"",SUMIFS(T_TTAFStock_Log[TTAF_Qty],T_TTAFStock_Log[Part Name],$A39,T_TTAFStock_Log[WeekIndex],93))</f>
        <v/>
      </c>
      <c r="CQ39" s="13">
        <f>IF(COUNTIFS(T_TTAFStock_Log[Part Name],$A39,T_TTAFStock_Log[WeekIndex],94)=0,"",SUMIFS(T_TTAFStock_Log[TTAF_Qty],T_TTAFStock_Log[Part Name],$A39,T_TTAFStock_Log[WeekIndex],94))</f>
        <v/>
      </c>
      <c r="CR39" s="13">
        <f>IF(COUNTIFS(T_TTAFStock_Log[Part Name],$A39,T_TTAFStock_Log[WeekIndex],95)=0,"",SUMIFS(T_TTAFStock_Log[TTAF_Qty],T_TTAFStock_Log[Part Name],$A39,T_TTAFStock_Log[WeekIndex],95))</f>
        <v/>
      </c>
      <c r="CS39" s="13">
        <f>IF(COUNTIFS(T_TTAFStock_Log[Part Name],$A39,T_TTAFStock_Log[WeekIndex],96)=0,"",SUMIFS(T_TTAFStock_Log[TTAF_Qty],T_TTAFStock_Log[Part Name],$A39,T_TTAFStock_Log[WeekIndex],96))</f>
        <v/>
      </c>
      <c r="CT39" s="13">
        <f>IF(COUNTIFS(T_TTAFStock_Log[Part Name],$A39,T_TTAFStock_Log[WeekIndex],97)=0,"",SUMIFS(T_TTAFStock_Log[TTAF_Qty],T_TTAFStock_Log[Part Name],$A39,T_TTAFStock_Log[WeekIndex],97))</f>
        <v/>
      </c>
      <c r="CU39" s="13">
        <f>IF(COUNTIFS(T_TTAFStock_Log[Part Name],$A39,T_TTAFStock_Log[WeekIndex],98)=0,"",SUMIFS(T_TTAFStock_Log[TTAF_Qty],T_TTAFStock_Log[Part Name],$A39,T_TTAFStock_Log[WeekIndex],98))</f>
        <v/>
      </c>
      <c r="CV39" s="13">
        <f>IF(COUNTIFS(T_TTAFStock_Log[Part Name],$A39,T_TTAFStock_Log[WeekIndex],99)=0,"",SUMIFS(T_TTAFStock_Log[TTAF_Qty],T_TTAFStock_Log[Part Name],$A39,T_TTAFStock_Log[WeekIndex],99))</f>
        <v/>
      </c>
      <c r="CW39" s="13">
        <f>IF(COUNTIFS(T_TTAFStock_Log[Part Name],$A39,T_TTAFStock_Log[WeekIndex],100)=0,"",SUMIFS(T_TTAFStock_Log[TTAF_Qty],T_TTAFStock_Log[Part Name],$A39,T_TTAFStock_Log[WeekIndex],100))</f>
        <v/>
      </c>
      <c r="CX39" s="13">
        <f>IF(COUNTIFS(T_TTAFStock_Log[Part Name],$A39,T_TTAFStock_Log[WeekIndex],101)=0,"",SUMIFS(T_TTAFStock_Log[TTAF_Qty],T_TTAFStock_Log[Part Name],$A39,T_TTAFStock_Log[WeekIndex],101))</f>
        <v/>
      </c>
      <c r="CY39" s="13">
        <f>IF(COUNTIFS(T_TTAFStock_Log[Part Name],$A39,T_TTAFStock_Log[WeekIndex],102)=0,"",SUMIFS(T_TTAFStock_Log[TTAF_Qty],T_TTAFStock_Log[Part Name],$A39,T_TTAFStock_Log[WeekIndex],102))</f>
        <v/>
      </c>
      <c r="CZ39" s="13">
        <f>IF(COUNTIFS(T_TTAFStock_Log[Part Name],$A39,T_TTAFStock_Log[WeekIndex],103)=0,"",SUMIFS(T_TTAFStock_Log[TTAF_Qty],T_TTAFStock_Log[Part Name],$A39,T_TTAFStock_Log[WeekIndex],103))</f>
        <v/>
      </c>
      <c r="DA39" s="13">
        <f>IF(COUNTIFS(T_TTAFStock_Log[Part Name],$A39,T_TTAFStock_Log[WeekIndex],104)=0,"",SUMIFS(T_TTAFStock_Log[TTAF_Qty],T_TTAFStock_Log[Part Name],$A39,T_TTAFStock_Log[WeekIndex],104))</f>
        <v/>
      </c>
    </row>
    <row r="40">
      <c r="A40" s="12" t="inlineStr">
        <is>
          <t>CHEM-1770</t>
        </is>
      </c>
      <c r="B40" s="12">
        <f>IF(COUNTIFS(T_TTAFStock_Log[Part Name],$A40,T_TTAFStock_Log[WeekIndex],1)=0,"",SUMIFS(T_TTAFStock_Log[TTAF_Qty],T_TTAFStock_Log[Part Name],$A40,T_TTAFStock_Log[WeekIndex],1))</f>
        <v/>
      </c>
      <c r="C40" s="12">
        <f>IF(COUNTIFS(T_TTAFStock_Log[Part Name],$A40,T_TTAFStock_Log[WeekIndex],2)=0,"",SUMIFS(T_TTAFStock_Log[TTAF_Qty],T_TTAFStock_Log[Part Name],$A40,T_TTAFStock_Log[WeekIndex],2))</f>
        <v/>
      </c>
      <c r="D40" s="12">
        <f>IF(COUNTIFS(T_TTAFStock_Log[Part Name],$A40,T_TTAFStock_Log[WeekIndex],3)=0,"",SUMIFS(T_TTAFStock_Log[TTAF_Qty],T_TTAFStock_Log[Part Name],$A40,T_TTAFStock_Log[WeekIndex],3))</f>
        <v/>
      </c>
      <c r="E40" s="12">
        <f>IF(COUNTIFS(T_TTAFStock_Log[Part Name],$A40,T_TTAFStock_Log[WeekIndex],4)=0,"",SUMIFS(T_TTAFStock_Log[TTAF_Qty],T_TTAFStock_Log[Part Name],$A40,T_TTAFStock_Log[WeekIndex],4))</f>
        <v/>
      </c>
      <c r="F40" s="12">
        <f>IF(COUNTIFS(T_TTAFStock_Log[Part Name],$A40,T_TTAFStock_Log[WeekIndex],5)=0,"",SUMIFS(T_TTAFStock_Log[TTAF_Qty],T_TTAFStock_Log[Part Name],$A40,T_TTAFStock_Log[WeekIndex],5))</f>
        <v/>
      </c>
      <c r="G40" s="12">
        <f>IF(COUNTIFS(T_TTAFStock_Log[Part Name],$A40,T_TTAFStock_Log[WeekIndex],6)=0,"",SUMIFS(T_TTAFStock_Log[TTAF_Qty],T_TTAFStock_Log[Part Name],$A40,T_TTAFStock_Log[WeekIndex],6))</f>
        <v/>
      </c>
      <c r="H40" s="12">
        <f>IF(COUNTIFS(T_TTAFStock_Log[Part Name],$A40,T_TTAFStock_Log[WeekIndex],7)=0,"",SUMIFS(T_TTAFStock_Log[TTAF_Qty],T_TTAFStock_Log[Part Name],$A40,T_TTAFStock_Log[WeekIndex],7))</f>
        <v/>
      </c>
      <c r="I40" s="12">
        <f>IF(COUNTIFS(T_TTAFStock_Log[Part Name],$A40,T_TTAFStock_Log[WeekIndex],8)=0,"",SUMIFS(T_TTAFStock_Log[TTAF_Qty],T_TTAFStock_Log[Part Name],$A40,T_TTAFStock_Log[WeekIndex],8))</f>
        <v/>
      </c>
      <c r="J40" s="12">
        <f>IF(COUNTIFS(T_TTAFStock_Log[Part Name],$A40,T_TTAFStock_Log[WeekIndex],9)=0,"",SUMIFS(T_TTAFStock_Log[TTAF_Qty],T_TTAFStock_Log[Part Name],$A40,T_TTAFStock_Log[WeekIndex],9))</f>
        <v/>
      </c>
      <c r="K40" s="12">
        <f>IF(COUNTIFS(T_TTAFStock_Log[Part Name],$A40,T_TTAFStock_Log[WeekIndex],10)=0,"",SUMIFS(T_TTAFStock_Log[TTAF_Qty],T_TTAFStock_Log[Part Name],$A40,T_TTAFStock_Log[WeekIndex],10))</f>
        <v/>
      </c>
      <c r="L40" s="12">
        <f>IF(COUNTIFS(T_TTAFStock_Log[Part Name],$A40,T_TTAFStock_Log[WeekIndex],11)=0,"",SUMIFS(T_TTAFStock_Log[TTAF_Qty],T_TTAFStock_Log[Part Name],$A40,T_TTAFStock_Log[WeekIndex],11))</f>
        <v/>
      </c>
      <c r="M40" s="12">
        <f>IF(COUNTIFS(T_TTAFStock_Log[Part Name],$A40,T_TTAFStock_Log[WeekIndex],12)=0,"",SUMIFS(T_TTAFStock_Log[TTAF_Qty],T_TTAFStock_Log[Part Name],$A40,T_TTAFStock_Log[WeekIndex],12))</f>
        <v/>
      </c>
      <c r="N40" s="12">
        <f>IF(COUNTIFS(T_TTAFStock_Log[Part Name],$A40,T_TTAFStock_Log[WeekIndex],13)=0,"",SUMIFS(T_TTAFStock_Log[TTAF_Qty],T_TTAFStock_Log[Part Name],$A40,T_TTAFStock_Log[WeekIndex],13))</f>
        <v/>
      </c>
      <c r="O40" s="12">
        <f>IF(COUNTIFS(T_TTAFStock_Log[Part Name],$A40,T_TTAFStock_Log[WeekIndex],14)=0,"",SUMIFS(T_TTAFStock_Log[TTAF_Qty],T_TTAFStock_Log[Part Name],$A40,T_TTAFStock_Log[WeekIndex],14))</f>
        <v/>
      </c>
      <c r="P40" s="12">
        <f>IF(COUNTIFS(T_TTAFStock_Log[Part Name],$A40,T_TTAFStock_Log[WeekIndex],15)=0,"",SUMIFS(T_TTAFStock_Log[TTAF_Qty],T_TTAFStock_Log[Part Name],$A40,T_TTAFStock_Log[WeekIndex],15))</f>
        <v/>
      </c>
      <c r="Q40" s="12">
        <f>IF(COUNTIFS(T_TTAFStock_Log[Part Name],$A40,T_TTAFStock_Log[WeekIndex],16)=0,"",SUMIFS(T_TTAFStock_Log[TTAF_Qty],T_TTAFStock_Log[Part Name],$A40,T_TTAFStock_Log[WeekIndex],16))</f>
        <v/>
      </c>
      <c r="R40" s="12">
        <f>IF(COUNTIFS(T_TTAFStock_Log[Part Name],$A40,T_TTAFStock_Log[WeekIndex],17)=0,"",SUMIFS(T_TTAFStock_Log[TTAF_Qty],T_TTAFStock_Log[Part Name],$A40,T_TTAFStock_Log[WeekIndex],17))</f>
        <v/>
      </c>
      <c r="S40" s="12">
        <f>IF(COUNTIFS(T_TTAFStock_Log[Part Name],$A40,T_TTAFStock_Log[WeekIndex],18)=0,"",SUMIFS(T_TTAFStock_Log[TTAF_Qty],T_TTAFStock_Log[Part Name],$A40,T_TTAFStock_Log[WeekIndex],18))</f>
        <v/>
      </c>
      <c r="T40" s="12">
        <f>IF(COUNTIFS(T_TTAFStock_Log[Part Name],$A40,T_TTAFStock_Log[WeekIndex],19)=0,"",SUMIFS(T_TTAFStock_Log[TTAF_Qty],T_TTAFStock_Log[Part Name],$A40,T_TTAFStock_Log[WeekIndex],19))</f>
        <v/>
      </c>
      <c r="U40" s="12">
        <f>IF(COUNTIFS(T_TTAFStock_Log[Part Name],$A40,T_TTAFStock_Log[WeekIndex],20)=0,"",SUMIFS(T_TTAFStock_Log[TTAF_Qty],T_TTAFStock_Log[Part Name],$A40,T_TTAFStock_Log[WeekIndex],20))</f>
        <v/>
      </c>
      <c r="V40" s="12">
        <f>IF(COUNTIFS(T_TTAFStock_Log[Part Name],$A40,T_TTAFStock_Log[WeekIndex],21)=0,"",SUMIFS(T_TTAFStock_Log[TTAF_Qty],T_TTAFStock_Log[Part Name],$A40,T_TTAFStock_Log[WeekIndex],21))</f>
        <v/>
      </c>
      <c r="W40" s="12">
        <f>IF(COUNTIFS(T_TTAFStock_Log[Part Name],$A40,T_TTAFStock_Log[WeekIndex],22)=0,"",SUMIFS(T_TTAFStock_Log[TTAF_Qty],T_TTAFStock_Log[Part Name],$A40,T_TTAFStock_Log[WeekIndex],22))</f>
        <v/>
      </c>
      <c r="X40" s="12">
        <f>IF(COUNTIFS(T_TTAFStock_Log[Part Name],$A40,T_TTAFStock_Log[WeekIndex],23)=0,"",SUMIFS(T_TTAFStock_Log[TTAF_Qty],T_TTAFStock_Log[Part Name],$A40,T_TTAFStock_Log[WeekIndex],23))</f>
        <v/>
      </c>
      <c r="Y40" s="12">
        <f>IF(COUNTIFS(T_TTAFStock_Log[Part Name],$A40,T_TTAFStock_Log[WeekIndex],24)=0,"",SUMIFS(T_TTAFStock_Log[TTAF_Qty],T_TTAFStock_Log[Part Name],$A40,T_TTAFStock_Log[WeekIndex],24))</f>
        <v/>
      </c>
      <c r="Z40" s="12">
        <f>IF(COUNTIFS(T_TTAFStock_Log[Part Name],$A40,T_TTAFStock_Log[WeekIndex],25)=0,"",SUMIFS(T_TTAFStock_Log[TTAF_Qty],T_TTAFStock_Log[Part Name],$A40,T_TTAFStock_Log[WeekIndex],25))</f>
        <v/>
      </c>
      <c r="AA40" s="12">
        <f>IF(COUNTIFS(T_TTAFStock_Log[Part Name],$A40,T_TTAFStock_Log[WeekIndex],26)=0,"",SUMIFS(T_TTAFStock_Log[TTAF_Qty],T_TTAFStock_Log[Part Name],$A40,T_TTAFStock_Log[WeekIndex],26))</f>
        <v/>
      </c>
      <c r="AB40" s="12">
        <f>IF(COUNTIFS(T_TTAFStock_Log[Part Name],$A40,T_TTAFStock_Log[WeekIndex],27)=0,"",SUMIFS(T_TTAFStock_Log[TTAF_Qty],T_TTAFStock_Log[Part Name],$A40,T_TTAFStock_Log[WeekIndex],27))</f>
        <v/>
      </c>
      <c r="AC40" s="12">
        <f>IF(COUNTIFS(T_TTAFStock_Log[Part Name],$A40,T_TTAFStock_Log[WeekIndex],28)=0,"",SUMIFS(T_TTAFStock_Log[TTAF_Qty],T_TTAFStock_Log[Part Name],$A40,T_TTAFStock_Log[WeekIndex],28))</f>
        <v/>
      </c>
      <c r="AD40" s="12">
        <f>IF(COUNTIFS(T_TTAFStock_Log[Part Name],$A40,T_TTAFStock_Log[WeekIndex],29)=0,"",SUMIFS(T_TTAFStock_Log[TTAF_Qty],T_TTAFStock_Log[Part Name],$A40,T_TTAFStock_Log[WeekIndex],29))</f>
        <v/>
      </c>
      <c r="AE40" s="12">
        <f>IF(COUNTIFS(T_TTAFStock_Log[Part Name],$A40,T_TTAFStock_Log[WeekIndex],30)=0,"",SUMIFS(T_TTAFStock_Log[TTAF_Qty],T_TTAFStock_Log[Part Name],$A40,T_TTAFStock_Log[WeekIndex],30))</f>
        <v/>
      </c>
      <c r="AF40" s="12">
        <f>IF(COUNTIFS(T_TTAFStock_Log[Part Name],$A40,T_TTAFStock_Log[WeekIndex],31)=0,"",SUMIFS(T_TTAFStock_Log[TTAF_Qty],T_TTAFStock_Log[Part Name],$A40,T_TTAFStock_Log[WeekIndex],31))</f>
        <v/>
      </c>
      <c r="AG40" s="12">
        <f>IF(COUNTIFS(T_TTAFStock_Log[Part Name],$A40,T_TTAFStock_Log[WeekIndex],32)=0,"",SUMIFS(T_TTAFStock_Log[TTAF_Qty],T_TTAFStock_Log[Part Name],$A40,T_TTAFStock_Log[WeekIndex],32))</f>
        <v/>
      </c>
      <c r="AH40" s="12">
        <f>IF(COUNTIFS(T_TTAFStock_Log[Part Name],$A40,T_TTAFStock_Log[WeekIndex],33)=0,"",SUMIFS(T_TTAFStock_Log[TTAF_Qty],T_TTAFStock_Log[Part Name],$A40,T_TTAFStock_Log[WeekIndex],33))</f>
        <v/>
      </c>
      <c r="AI40" s="12">
        <f>IF(COUNTIFS(T_TTAFStock_Log[Part Name],$A40,T_TTAFStock_Log[WeekIndex],34)=0,"",SUMIFS(T_TTAFStock_Log[TTAF_Qty],T_TTAFStock_Log[Part Name],$A40,T_TTAFStock_Log[WeekIndex],34))</f>
        <v/>
      </c>
      <c r="AJ40" s="12">
        <f>IF(COUNTIFS(T_TTAFStock_Log[Part Name],$A40,T_TTAFStock_Log[WeekIndex],35)=0,"",SUMIFS(T_TTAFStock_Log[TTAF_Qty],T_TTAFStock_Log[Part Name],$A40,T_TTAFStock_Log[WeekIndex],35))</f>
        <v/>
      </c>
      <c r="AK40" s="12">
        <f>IF(COUNTIFS(T_TTAFStock_Log[Part Name],$A40,T_TTAFStock_Log[WeekIndex],36)=0,"",SUMIFS(T_TTAFStock_Log[TTAF_Qty],T_TTAFStock_Log[Part Name],$A40,T_TTAFStock_Log[WeekIndex],36))</f>
        <v/>
      </c>
      <c r="AL40" s="12">
        <f>IF(COUNTIFS(T_TTAFStock_Log[Part Name],$A40,T_TTAFStock_Log[WeekIndex],37)=0,"",SUMIFS(T_TTAFStock_Log[TTAF_Qty],T_TTAFStock_Log[Part Name],$A40,T_TTAFStock_Log[WeekIndex],37))</f>
        <v/>
      </c>
      <c r="AM40" s="12">
        <f>IF(COUNTIFS(T_TTAFStock_Log[Part Name],$A40,T_TTAFStock_Log[WeekIndex],38)=0,"",SUMIFS(T_TTAFStock_Log[TTAF_Qty],T_TTAFStock_Log[Part Name],$A40,T_TTAFStock_Log[WeekIndex],38))</f>
        <v/>
      </c>
      <c r="AN40" s="12">
        <f>IF(COUNTIFS(T_TTAFStock_Log[Part Name],$A40,T_TTAFStock_Log[WeekIndex],39)=0,"",SUMIFS(T_TTAFStock_Log[TTAF_Qty],T_TTAFStock_Log[Part Name],$A40,T_TTAFStock_Log[WeekIndex],39))</f>
        <v/>
      </c>
      <c r="AO40" s="12">
        <f>IF(COUNTIFS(T_TTAFStock_Log[Part Name],$A40,T_TTAFStock_Log[WeekIndex],40)=0,"",SUMIFS(T_TTAFStock_Log[TTAF_Qty],T_TTAFStock_Log[Part Name],$A40,T_TTAFStock_Log[WeekIndex],40))</f>
        <v/>
      </c>
      <c r="AP40" s="12">
        <f>IF(COUNTIFS(T_TTAFStock_Log[Part Name],$A40,T_TTAFStock_Log[WeekIndex],41)=0,"",SUMIFS(T_TTAFStock_Log[TTAF_Qty],T_TTAFStock_Log[Part Name],$A40,T_TTAFStock_Log[WeekIndex],41))</f>
        <v/>
      </c>
      <c r="AQ40" s="12">
        <f>IF(COUNTIFS(T_TTAFStock_Log[Part Name],$A40,T_TTAFStock_Log[WeekIndex],42)=0,"",SUMIFS(T_TTAFStock_Log[TTAF_Qty],T_TTAFStock_Log[Part Name],$A40,T_TTAFStock_Log[WeekIndex],42))</f>
        <v/>
      </c>
      <c r="AR40" s="12">
        <f>IF(COUNTIFS(T_TTAFStock_Log[Part Name],$A40,T_TTAFStock_Log[WeekIndex],43)=0,"",SUMIFS(T_TTAFStock_Log[TTAF_Qty],T_TTAFStock_Log[Part Name],$A40,T_TTAFStock_Log[WeekIndex],43))</f>
        <v/>
      </c>
      <c r="AS40" s="12">
        <f>IF(COUNTIFS(T_TTAFStock_Log[Part Name],$A40,T_TTAFStock_Log[WeekIndex],44)=0,"",SUMIFS(T_TTAFStock_Log[TTAF_Qty],T_TTAFStock_Log[Part Name],$A40,T_TTAFStock_Log[WeekIndex],44))</f>
        <v/>
      </c>
      <c r="AT40" s="12">
        <f>IF(COUNTIFS(T_TTAFStock_Log[Part Name],$A40,T_TTAFStock_Log[WeekIndex],45)=0,"",SUMIFS(T_TTAFStock_Log[TTAF_Qty],T_TTAFStock_Log[Part Name],$A40,T_TTAFStock_Log[WeekIndex],45))</f>
        <v/>
      </c>
      <c r="AU40" s="12">
        <f>IF(COUNTIFS(T_TTAFStock_Log[Part Name],$A40,T_TTAFStock_Log[WeekIndex],46)=0,"",SUMIFS(T_TTAFStock_Log[TTAF_Qty],T_TTAFStock_Log[Part Name],$A40,T_TTAFStock_Log[WeekIndex],46))</f>
        <v/>
      </c>
      <c r="AV40" s="12">
        <f>IF(COUNTIFS(T_TTAFStock_Log[Part Name],$A40,T_TTAFStock_Log[WeekIndex],47)=0,"",SUMIFS(T_TTAFStock_Log[TTAF_Qty],T_TTAFStock_Log[Part Name],$A40,T_TTAFStock_Log[WeekIndex],47))</f>
        <v/>
      </c>
      <c r="AW40" s="12">
        <f>IF(COUNTIFS(T_TTAFStock_Log[Part Name],$A40,T_TTAFStock_Log[WeekIndex],48)=0,"",SUMIFS(T_TTAFStock_Log[TTAF_Qty],T_TTAFStock_Log[Part Name],$A40,T_TTAFStock_Log[WeekIndex],48))</f>
        <v/>
      </c>
      <c r="AX40" s="12">
        <f>IF(COUNTIFS(T_TTAFStock_Log[Part Name],$A40,T_TTAFStock_Log[WeekIndex],49)=0,"",SUMIFS(T_TTAFStock_Log[TTAF_Qty],T_TTAFStock_Log[Part Name],$A40,T_TTAFStock_Log[WeekIndex],49))</f>
        <v/>
      </c>
      <c r="AY40" s="12">
        <f>IF(COUNTIFS(T_TTAFStock_Log[Part Name],$A40,T_TTAFStock_Log[WeekIndex],50)=0,"",SUMIFS(T_TTAFStock_Log[TTAF_Qty],T_TTAFStock_Log[Part Name],$A40,T_TTAFStock_Log[WeekIndex],50))</f>
        <v/>
      </c>
      <c r="AZ40" s="12">
        <f>IF(COUNTIFS(T_TTAFStock_Log[Part Name],$A40,T_TTAFStock_Log[WeekIndex],51)=0,"",SUMIFS(T_TTAFStock_Log[TTAF_Qty],T_TTAFStock_Log[Part Name],$A40,T_TTAFStock_Log[WeekIndex],51))</f>
        <v/>
      </c>
      <c r="BA40" s="12">
        <f>IF(COUNTIFS(T_TTAFStock_Log[Part Name],$A40,T_TTAFStock_Log[WeekIndex],52)=0,"",SUMIFS(T_TTAFStock_Log[TTAF_Qty],T_TTAFStock_Log[Part Name],$A40,T_TTAFStock_Log[WeekIndex],52))</f>
        <v/>
      </c>
      <c r="BB40" s="12">
        <f>IF(COUNTIFS(T_TTAFStock_Log[Part Name],$A40,T_TTAFStock_Log[WeekIndex],53)=0,"",SUMIFS(T_TTAFStock_Log[TTAF_Qty],T_TTAFStock_Log[Part Name],$A40,T_TTAFStock_Log[WeekIndex],53))</f>
        <v/>
      </c>
      <c r="BC40" s="12">
        <f>IF(COUNTIFS(T_TTAFStock_Log[Part Name],$A40,T_TTAFStock_Log[WeekIndex],54)=0,"",SUMIFS(T_TTAFStock_Log[TTAF_Qty],T_TTAFStock_Log[Part Name],$A40,T_TTAFStock_Log[WeekIndex],54))</f>
        <v/>
      </c>
      <c r="BD40" s="12">
        <f>IF(COUNTIFS(T_TTAFStock_Log[Part Name],$A40,T_TTAFStock_Log[WeekIndex],55)=0,"",SUMIFS(T_TTAFStock_Log[TTAF_Qty],T_TTAFStock_Log[Part Name],$A40,T_TTAFStock_Log[WeekIndex],55))</f>
        <v/>
      </c>
      <c r="BE40" s="12">
        <f>IF(COUNTIFS(T_TTAFStock_Log[Part Name],$A40,T_TTAFStock_Log[WeekIndex],56)=0,"",SUMIFS(T_TTAFStock_Log[TTAF_Qty],T_TTAFStock_Log[Part Name],$A40,T_TTAFStock_Log[WeekIndex],56))</f>
        <v/>
      </c>
      <c r="BF40" s="12">
        <f>IF(COUNTIFS(T_TTAFStock_Log[Part Name],$A40,T_TTAFStock_Log[WeekIndex],57)=0,"",SUMIFS(T_TTAFStock_Log[TTAF_Qty],T_TTAFStock_Log[Part Name],$A40,T_TTAFStock_Log[WeekIndex],57))</f>
        <v/>
      </c>
      <c r="BG40" s="12">
        <f>IF(COUNTIFS(T_TTAFStock_Log[Part Name],$A40,T_TTAFStock_Log[WeekIndex],58)=0,"",SUMIFS(T_TTAFStock_Log[TTAF_Qty],T_TTAFStock_Log[Part Name],$A40,T_TTAFStock_Log[WeekIndex],58))</f>
        <v/>
      </c>
      <c r="BH40" s="12">
        <f>IF(COUNTIFS(T_TTAFStock_Log[Part Name],$A40,T_TTAFStock_Log[WeekIndex],59)=0,"",SUMIFS(T_TTAFStock_Log[TTAF_Qty],T_TTAFStock_Log[Part Name],$A40,T_TTAFStock_Log[WeekIndex],59))</f>
        <v/>
      </c>
      <c r="BI40" s="12">
        <f>IF(COUNTIFS(T_TTAFStock_Log[Part Name],$A40,T_TTAFStock_Log[WeekIndex],60)=0,"",SUMIFS(T_TTAFStock_Log[TTAF_Qty],T_TTAFStock_Log[Part Name],$A40,T_TTAFStock_Log[WeekIndex],60))</f>
        <v/>
      </c>
      <c r="BJ40" s="12">
        <f>IF(COUNTIFS(T_TTAFStock_Log[Part Name],$A40,T_TTAFStock_Log[WeekIndex],61)=0,"",SUMIFS(T_TTAFStock_Log[TTAF_Qty],T_TTAFStock_Log[Part Name],$A40,T_TTAFStock_Log[WeekIndex],61))</f>
        <v/>
      </c>
      <c r="BK40" s="12">
        <f>IF(COUNTIFS(T_TTAFStock_Log[Part Name],$A40,T_TTAFStock_Log[WeekIndex],62)=0,"",SUMIFS(T_TTAFStock_Log[TTAF_Qty],T_TTAFStock_Log[Part Name],$A40,T_TTAFStock_Log[WeekIndex],62))</f>
        <v/>
      </c>
      <c r="BL40" s="12">
        <f>IF(COUNTIFS(T_TTAFStock_Log[Part Name],$A40,T_TTAFStock_Log[WeekIndex],63)=0,"",SUMIFS(T_TTAFStock_Log[TTAF_Qty],T_TTAFStock_Log[Part Name],$A40,T_TTAFStock_Log[WeekIndex],63))</f>
        <v/>
      </c>
      <c r="BM40" s="12">
        <f>IF(COUNTIFS(T_TTAFStock_Log[Part Name],$A40,T_TTAFStock_Log[WeekIndex],64)=0,"",SUMIFS(T_TTAFStock_Log[TTAF_Qty],T_TTAFStock_Log[Part Name],$A40,T_TTAFStock_Log[WeekIndex],64))</f>
        <v/>
      </c>
      <c r="BN40" s="12">
        <f>IF(COUNTIFS(T_TTAFStock_Log[Part Name],$A40,T_TTAFStock_Log[WeekIndex],65)=0,"",SUMIFS(T_TTAFStock_Log[TTAF_Qty],T_TTAFStock_Log[Part Name],$A40,T_TTAFStock_Log[WeekIndex],65))</f>
        <v/>
      </c>
      <c r="BO40" s="12">
        <f>IF(COUNTIFS(T_TTAFStock_Log[Part Name],$A40,T_TTAFStock_Log[WeekIndex],66)=0,"",SUMIFS(T_TTAFStock_Log[TTAF_Qty],T_TTAFStock_Log[Part Name],$A40,T_TTAFStock_Log[WeekIndex],66))</f>
        <v/>
      </c>
      <c r="BP40" s="12">
        <f>IF(COUNTIFS(T_TTAFStock_Log[Part Name],$A40,T_TTAFStock_Log[WeekIndex],67)=0,"",SUMIFS(T_TTAFStock_Log[TTAF_Qty],T_TTAFStock_Log[Part Name],$A40,T_TTAFStock_Log[WeekIndex],67))</f>
        <v/>
      </c>
      <c r="BQ40" s="12">
        <f>IF(COUNTIFS(T_TTAFStock_Log[Part Name],$A40,T_TTAFStock_Log[WeekIndex],68)=0,"",SUMIFS(T_TTAFStock_Log[TTAF_Qty],T_TTAFStock_Log[Part Name],$A40,T_TTAFStock_Log[WeekIndex],68))</f>
        <v/>
      </c>
      <c r="BR40" s="12">
        <f>IF(COUNTIFS(T_TTAFStock_Log[Part Name],$A40,T_TTAFStock_Log[WeekIndex],69)=0,"",SUMIFS(T_TTAFStock_Log[TTAF_Qty],T_TTAFStock_Log[Part Name],$A40,T_TTAFStock_Log[WeekIndex],69))</f>
        <v/>
      </c>
      <c r="BS40" s="12">
        <f>IF(COUNTIFS(T_TTAFStock_Log[Part Name],$A40,T_TTAFStock_Log[WeekIndex],70)=0,"",SUMIFS(T_TTAFStock_Log[TTAF_Qty],T_TTAFStock_Log[Part Name],$A40,T_TTAFStock_Log[WeekIndex],70))</f>
        <v/>
      </c>
      <c r="BT40" s="12">
        <f>IF(COUNTIFS(T_TTAFStock_Log[Part Name],$A40,T_TTAFStock_Log[WeekIndex],71)=0,"",SUMIFS(T_TTAFStock_Log[TTAF_Qty],T_TTAFStock_Log[Part Name],$A40,T_TTAFStock_Log[WeekIndex],71))</f>
        <v/>
      </c>
      <c r="BU40" s="12">
        <f>IF(COUNTIFS(T_TTAFStock_Log[Part Name],$A40,T_TTAFStock_Log[WeekIndex],72)=0,"",SUMIFS(T_TTAFStock_Log[TTAF_Qty],T_TTAFStock_Log[Part Name],$A40,T_TTAFStock_Log[WeekIndex],72))</f>
        <v/>
      </c>
      <c r="BV40" s="12">
        <f>IF(COUNTIFS(T_TTAFStock_Log[Part Name],$A40,T_TTAFStock_Log[WeekIndex],73)=0,"",SUMIFS(T_TTAFStock_Log[TTAF_Qty],T_TTAFStock_Log[Part Name],$A40,T_TTAFStock_Log[WeekIndex],73))</f>
        <v/>
      </c>
      <c r="BW40" s="12">
        <f>IF(COUNTIFS(T_TTAFStock_Log[Part Name],$A40,T_TTAFStock_Log[WeekIndex],74)=0,"",SUMIFS(T_TTAFStock_Log[TTAF_Qty],T_TTAFStock_Log[Part Name],$A40,T_TTAFStock_Log[WeekIndex],74))</f>
        <v/>
      </c>
      <c r="BX40" s="12">
        <f>IF(COUNTIFS(T_TTAFStock_Log[Part Name],$A40,T_TTAFStock_Log[WeekIndex],75)=0,"",SUMIFS(T_TTAFStock_Log[TTAF_Qty],T_TTAFStock_Log[Part Name],$A40,T_TTAFStock_Log[WeekIndex],75))</f>
        <v/>
      </c>
      <c r="BY40" s="12">
        <f>IF(COUNTIFS(T_TTAFStock_Log[Part Name],$A40,T_TTAFStock_Log[WeekIndex],76)=0,"",SUMIFS(T_TTAFStock_Log[TTAF_Qty],T_TTAFStock_Log[Part Name],$A40,T_TTAFStock_Log[WeekIndex],76))</f>
        <v/>
      </c>
      <c r="BZ40" s="12">
        <f>IF(COUNTIFS(T_TTAFStock_Log[Part Name],$A40,T_TTAFStock_Log[WeekIndex],77)=0,"",SUMIFS(T_TTAFStock_Log[TTAF_Qty],T_TTAFStock_Log[Part Name],$A40,T_TTAFStock_Log[WeekIndex],77))</f>
        <v/>
      </c>
      <c r="CA40" s="12">
        <f>IF(COUNTIFS(T_TTAFStock_Log[Part Name],$A40,T_TTAFStock_Log[WeekIndex],78)=0,"",SUMIFS(T_TTAFStock_Log[TTAF_Qty],T_TTAFStock_Log[Part Name],$A40,T_TTAFStock_Log[WeekIndex],78))</f>
        <v/>
      </c>
      <c r="CB40" s="12">
        <f>IF(COUNTIFS(T_TTAFStock_Log[Part Name],$A40,T_TTAFStock_Log[WeekIndex],79)=0,"",SUMIFS(T_TTAFStock_Log[TTAF_Qty],T_TTAFStock_Log[Part Name],$A40,T_TTAFStock_Log[WeekIndex],79))</f>
        <v/>
      </c>
      <c r="CC40" s="12">
        <f>IF(COUNTIFS(T_TTAFStock_Log[Part Name],$A40,T_TTAFStock_Log[WeekIndex],80)=0,"",SUMIFS(T_TTAFStock_Log[TTAF_Qty],T_TTAFStock_Log[Part Name],$A40,T_TTAFStock_Log[WeekIndex],80))</f>
        <v/>
      </c>
      <c r="CD40" s="12">
        <f>IF(COUNTIFS(T_TTAFStock_Log[Part Name],$A40,T_TTAFStock_Log[WeekIndex],81)=0,"",SUMIFS(T_TTAFStock_Log[TTAF_Qty],T_TTAFStock_Log[Part Name],$A40,T_TTAFStock_Log[WeekIndex],81))</f>
        <v/>
      </c>
      <c r="CE40" s="12">
        <f>IF(COUNTIFS(T_TTAFStock_Log[Part Name],$A40,T_TTAFStock_Log[WeekIndex],82)=0,"",SUMIFS(T_TTAFStock_Log[TTAF_Qty],T_TTAFStock_Log[Part Name],$A40,T_TTAFStock_Log[WeekIndex],82))</f>
        <v/>
      </c>
      <c r="CF40" s="12">
        <f>IF(COUNTIFS(T_TTAFStock_Log[Part Name],$A40,T_TTAFStock_Log[WeekIndex],83)=0,"",SUMIFS(T_TTAFStock_Log[TTAF_Qty],T_TTAFStock_Log[Part Name],$A40,T_TTAFStock_Log[WeekIndex],83))</f>
        <v/>
      </c>
      <c r="CG40" s="12">
        <f>IF(COUNTIFS(T_TTAFStock_Log[Part Name],$A40,T_TTAFStock_Log[WeekIndex],84)=0,"",SUMIFS(T_TTAFStock_Log[TTAF_Qty],T_TTAFStock_Log[Part Name],$A40,T_TTAFStock_Log[WeekIndex],84))</f>
        <v/>
      </c>
      <c r="CH40" s="12">
        <f>IF(COUNTIFS(T_TTAFStock_Log[Part Name],$A40,T_TTAFStock_Log[WeekIndex],85)=0,"",SUMIFS(T_TTAFStock_Log[TTAF_Qty],T_TTAFStock_Log[Part Name],$A40,T_TTAFStock_Log[WeekIndex],85))</f>
        <v/>
      </c>
      <c r="CI40" s="12">
        <f>IF(COUNTIFS(T_TTAFStock_Log[Part Name],$A40,T_TTAFStock_Log[WeekIndex],86)=0,"",SUMIFS(T_TTAFStock_Log[TTAF_Qty],T_TTAFStock_Log[Part Name],$A40,T_TTAFStock_Log[WeekIndex],86))</f>
        <v/>
      </c>
      <c r="CJ40" s="12">
        <f>IF(COUNTIFS(T_TTAFStock_Log[Part Name],$A40,T_TTAFStock_Log[WeekIndex],87)=0,"",SUMIFS(T_TTAFStock_Log[TTAF_Qty],T_TTAFStock_Log[Part Name],$A40,T_TTAFStock_Log[WeekIndex],87))</f>
        <v/>
      </c>
      <c r="CK40" s="12">
        <f>IF(COUNTIFS(T_TTAFStock_Log[Part Name],$A40,T_TTAFStock_Log[WeekIndex],88)=0,"",SUMIFS(T_TTAFStock_Log[TTAF_Qty],T_TTAFStock_Log[Part Name],$A40,T_TTAFStock_Log[WeekIndex],88))</f>
        <v/>
      </c>
      <c r="CL40" s="12">
        <f>IF(COUNTIFS(T_TTAFStock_Log[Part Name],$A40,T_TTAFStock_Log[WeekIndex],89)=0,"",SUMIFS(T_TTAFStock_Log[TTAF_Qty],T_TTAFStock_Log[Part Name],$A40,T_TTAFStock_Log[WeekIndex],89))</f>
        <v/>
      </c>
      <c r="CM40" s="12">
        <f>IF(COUNTIFS(T_TTAFStock_Log[Part Name],$A40,T_TTAFStock_Log[WeekIndex],90)=0,"",SUMIFS(T_TTAFStock_Log[TTAF_Qty],T_TTAFStock_Log[Part Name],$A40,T_TTAFStock_Log[WeekIndex],90))</f>
        <v/>
      </c>
      <c r="CN40" s="12">
        <f>IF(COUNTIFS(T_TTAFStock_Log[Part Name],$A40,T_TTAFStock_Log[WeekIndex],91)=0,"",SUMIFS(T_TTAFStock_Log[TTAF_Qty],T_TTAFStock_Log[Part Name],$A40,T_TTAFStock_Log[WeekIndex],91))</f>
        <v/>
      </c>
      <c r="CO40" s="12">
        <f>IF(COUNTIFS(T_TTAFStock_Log[Part Name],$A40,T_TTAFStock_Log[WeekIndex],92)=0,"",SUMIFS(T_TTAFStock_Log[TTAF_Qty],T_TTAFStock_Log[Part Name],$A40,T_TTAFStock_Log[WeekIndex],92))</f>
        <v/>
      </c>
      <c r="CP40" s="12">
        <f>IF(COUNTIFS(T_TTAFStock_Log[Part Name],$A40,T_TTAFStock_Log[WeekIndex],93)=0,"",SUMIFS(T_TTAFStock_Log[TTAF_Qty],T_TTAFStock_Log[Part Name],$A40,T_TTAFStock_Log[WeekIndex],93))</f>
        <v/>
      </c>
      <c r="CQ40" s="12">
        <f>IF(COUNTIFS(T_TTAFStock_Log[Part Name],$A40,T_TTAFStock_Log[WeekIndex],94)=0,"",SUMIFS(T_TTAFStock_Log[TTAF_Qty],T_TTAFStock_Log[Part Name],$A40,T_TTAFStock_Log[WeekIndex],94))</f>
        <v/>
      </c>
      <c r="CR40" s="12">
        <f>IF(COUNTIFS(T_TTAFStock_Log[Part Name],$A40,T_TTAFStock_Log[WeekIndex],95)=0,"",SUMIFS(T_TTAFStock_Log[TTAF_Qty],T_TTAFStock_Log[Part Name],$A40,T_TTAFStock_Log[WeekIndex],95))</f>
        <v/>
      </c>
      <c r="CS40" s="12">
        <f>IF(COUNTIFS(T_TTAFStock_Log[Part Name],$A40,T_TTAFStock_Log[WeekIndex],96)=0,"",SUMIFS(T_TTAFStock_Log[TTAF_Qty],T_TTAFStock_Log[Part Name],$A40,T_TTAFStock_Log[WeekIndex],96))</f>
        <v/>
      </c>
      <c r="CT40" s="12">
        <f>IF(COUNTIFS(T_TTAFStock_Log[Part Name],$A40,T_TTAFStock_Log[WeekIndex],97)=0,"",SUMIFS(T_TTAFStock_Log[TTAF_Qty],T_TTAFStock_Log[Part Name],$A40,T_TTAFStock_Log[WeekIndex],97))</f>
        <v/>
      </c>
      <c r="CU40" s="12">
        <f>IF(COUNTIFS(T_TTAFStock_Log[Part Name],$A40,T_TTAFStock_Log[WeekIndex],98)=0,"",SUMIFS(T_TTAFStock_Log[TTAF_Qty],T_TTAFStock_Log[Part Name],$A40,T_TTAFStock_Log[WeekIndex],98))</f>
        <v/>
      </c>
      <c r="CV40" s="12">
        <f>IF(COUNTIFS(T_TTAFStock_Log[Part Name],$A40,T_TTAFStock_Log[WeekIndex],99)=0,"",SUMIFS(T_TTAFStock_Log[TTAF_Qty],T_TTAFStock_Log[Part Name],$A40,T_TTAFStock_Log[WeekIndex],99))</f>
        <v/>
      </c>
      <c r="CW40" s="12">
        <f>IF(COUNTIFS(T_TTAFStock_Log[Part Name],$A40,T_TTAFStock_Log[WeekIndex],100)=0,"",SUMIFS(T_TTAFStock_Log[TTAF_Qty],T_TTAFStock_Log[Part Name],$A40,T_TTAFStock_Log[WeekIndex],100))</f>
        <v/>
      </c>
      <c r="CX40" s="12">
        <f>IF(COUNTIFS(T_TTAFStock_Log[Part Name],$A40,T_TTAFStock_Log[WeekIndex],101)=0,"",SUMIFS(T_TTAFStock_Log[TTAF_Qty],T_TTAFStock_Log[Part Name],$A40,T_TTAFStock_Log[WeekIndex],101))</f>
        <v/>
      </c>
      <c r="CY40" s="12">
        <f>IF(COUNTIFS(T_TTAFStock_Log[Part Name],$A40,T_TTAFStock_Log[WeekIndex],102)=0,"",SUMIFS(T_TTAFStock_Log[TTAF_Qty],T_TTAFStock_Log[Part Name],$A40,T_TTAFStock_Log[WeekIndex],102))</f>
        <v/>
      </c>
      <c r="CZ40" s="12">
        <f>IF(COUNTIFS(T_TTAFStock_Log[Part Name],$A40,T_TTAFStock_Log[WeekIndex],103)=0,"",SUMIFS(T_TTAFStock_Log[TTAF_Qty],T_TTAFStock_Log[Part Name],$A40,T_TTAFStock_Log[WeekIndex],103))</f>
        <v/>
      </c>
      <c r="DA40" s="12">
        <f>IF(COUNTIFS(T_TTAFStock_Log[Part Name],$A40,T_TTAFStock_Log[WeekIndex],104)=0,"",SUMIFS(T_TTAFStock_Log[TTAF_Qty],T_TTAFStock_Log[Part Name],$A40,T_TTAFStock_Log[WeekIndex],104))</f>
        <v/>
      </c>
    </row>
    <row r="41">
      <c r="A41" s="13" t="inlineStr">
        <is>
          <t>CHEM-1020</t>
        </is>
      </c>
      <c r="B41" s="13">
        <f>IF(COUNTIFS(T_TTAFStock_Log[Part Name],$A41,T_TTAFStock_Log[WeekIndex],1)=0,"",SUMIFS(T_TTAFStock_Log[TTAF_Qty],T_TTAFStock_Log[Part Name],$A41,T_TTAFStock_Log[WeekIndex],1))</f>
        <v/>
      </c>
      <c r="C41" s="13">
        <f>IF(COUNTIFS(T_TTAFStock_Log[Part Name],$A41,T_TTAFStock_Log[WeekIndex],2)=0,"",SUMIFS(T_TTAFStock_Log[TTAF_Qty],T_TTAFStock_Log[Part Name],$A41,T_TTAFStock_Log[WeekIndex],2))</f>
        <v/>
      </c>
      <c r="D41" s="13">
        <f>IF(COUNTIFS(T_TTAFStock_Log[Part Name],$A41,T_TTAFStock_Log[WeekIndex],3)=0,"",SUMIFS(T_TTAFStock_Log[TTAF_Qty],T_TTAFStock_Log[Part Name],$A41,T_TTAFStock_Log[WeekIndex],3))</f>
        <v/>
      </c>
      <c r="E41" s="13">
        <f>IF(COUNTIFS(T_TTAFStock_Log[Part Name],$A41,T_TTAFStock_Log[WeekIndex],4)=0,"",SUMIFS(T_TTAFStock_Log[TTAF_Qty],T_TTAFStock_Log[Part Name],$A41,T_TTAFStock_Log[WeekIndex],4))</f>
        <v/>
      </c>
      <c r="F41" s="13">
        <f>IF(COUNTIFS(T_TTAFStock_Log[Part Name],$A41,T_TTAFStock_Log[WeekIndex],5)=0,"",SUMIFS(T_TTAFStock_Log[TTAF_Qty],T_TTAFStock_Log[Part Name],$A41,T_TTAFStock_Log[WeekIndex],5))</f>
        <v/>
      </c>
      <c r="G41" s="13">
        <f>IF(COUNTIFS(T_TTAFStock_Log[Part Name],$A41,T_TTAFStock_Log[WeekIndex],6)=0,"",SUMIFS(T_TTAFStock_Log[TTAF_Qty],T_TTAFStock_Log[Part Name],$A41,T_TTAFStock_Log[WeekIndex],6))</f>
        <v/>
      </c>
      <c r="H41" s="13">
        <f>IF(COUNTIFS(T_TTAFStock_Log[Part Name],$A41,T_TTAFStock_Log[WeekIndex],7)=0,"",SUMIFS(T_TTAFStock_Log[TTAF_Qty],T_TTAFStock_Log[Part Name],$A41,T_TTAFStock_Log[WeekIndex],7))</f>
        <v/>
      </c>
      <c r="I41" s="13">
        <f>IF(COUNTIFS(T_TTAFStock_Log[Part Name],$A41,T_TTAFStock_Log[WeekIndex],8)=0,"",SUMIFS(T_TTAFStock_Log[TTAF_Qty],T_TTAFStock_Log[Part Name],$A41,T_TTAFStock_Log[WeekIndex],8))</f>
        <v/>
      </c>
      <c r="J41" s="13">
        <f>IF(COUNTIFS(T_TTAFStock_Log[Part Name],$A41,T_TTAFStock_Log[WeekIndex],9)=0,"",SUMIFS(T_TTAFStock_Log[TTAF_Qty],T_TTAFStock_Log[Part Name],$A41,T_TTAFStock_Log[WeekIndex],9))</f>
        <v/>
      </c>
      <c r="K41" s="13">
        <f>IF(COUNTIFS(T_TTAFStock_Log[Part Name],$A41,T_TTAFStock_Log[WeekIndex],10)=0,"",SUMIFS(T_TTAFStock_Log[TTAF_Qty],T_TTAFStock_Log[Part Name],$A41,T_TTAFStock_Log[WeekIndex],10))</f>
        <v/>
      </c>
      <c r="L41" s="13">
        <f>IF(COUNTIFS(T_TTAFStock_Log[Part Name],$A41,T_TTAFStock_Log[WeekIndex],11)=0,"",SUMIFS(T_TTAFStock_Log[TTAF_Qty],T_TTAFStock_Log[Part Name],$A41,T_TTAFStock_Log[WeekIndex],11))</f>
        <v/>
      </c>
      <c r="M41" s="13">
        <f>IF(COUNTIFS(T_TTAFStock_Log[Part Name],$A41,T_TTAFStock_Log[WeekIndex],12)=0,"",SUMIFS(T_TTAFStock_Log[TTAF_Qty],T_TTAFStock_Log[Part Name],$A41,T_TTAFStock_Log[WeekIndex],12))</f>
        <v/>
      </c>
      <c r="N41" s="13">
        <f>IF(COUNTIFS(T_TTAFStock_Log[Part Name],$A41,T_TTAFStock_Log[WeekIndex],13)=0,"",SUMIFS(T_TTAFStock_Log[TTAF_Qty],T_TTAFStock_Log[Part Name],$A41,T_TTAFStock_Log[WeekIndex],13))</f>
        <v/>
      </c>
      <c r="O41" s="13">
        <f>IF(COUNTIFS(T_TTAFStock_Log[Part Name],$A41,T_TTAFStock_Log[WeekIndex],14)=0,"",SUMIFS(T_TTAFStock_Log[TTAF_Qty],T_TTAFStock_Log[Part Name],$A41,T_TTAFStock_Log[WeekIndex],14))</f>
        <v/>
      </c>
      <c r="P41" s="13">
        <f>IF(COUNTIFS(T_TTAFStock_Log[Part Name],$A41,T_TTAFStock_Log[WeekIndex],15)=0,"",SUMIFS(T_TTAFStock_Log[TTAF_Qty],T_TTAFStock_Log[Part Name],$A41,T_TTAFStock_Log[WeekIndex],15))</f>
        <v/>
      </c>
      <c r="Q41" s="13">
        <f>IF(COUNTIFS(T_TTAFStock_Log[Part Name],$A41,T_TTAFStock_Log[WeekIndex],16)=0,"",SUMIFS(T_TTAFStock_Log[TTAF_Qty],T_TTAFStock_Log[Part Name],$A41,T_TTAFStock_Log[WeekIndex],16))</f>
        <v/>
      </c>
      <c r="R41" s="13">
        <f>IF(COUNTIFS(T_TTAFStock_Log[Part Name],$A41,T_TTAFStock_Log[WeekIndex],17)=0,"",SUMIFS(T_TTAFStock_Log[TTAF_Qty],T_TTAFStock_Log[Part Name],$A41,T_TTAFStock_Log[WeekIndex],17))</f>
        <v/>
      </c>
      <c r="S41" s="13">
        <f>IF(COUNTIFS(T_TTAFStock_Log[Part Name],$A41,T_TTAFStock_Log[WeekIndex],18)=0,"",SUMIFS(T_TTAFStock_Log[TTAF_Qty],T_TTAFStock_Log[Part Name],$A41,T_TTAFStock_Log[WeekIndex],18))</f>
        <v/>
      </c>
      <c r="T41" s="13">
        <f>IF(COUNTIFS(T_TTAFStock_Log[Part Name],$A41,T_TTAFStock_Log[WeekIndex],19)=0,"",SUMIFS(T_TTAFStock_Log[TTAF_Qty],T_TTAFStock_Log[Part Name],$A41,T_TTAFStock_Log[WeekIndex],19))</f>
        <v/>
      </c>
      <c r="U41" s="13">
        <f>IF(COUNTIFS(T_TTAFStock_Log[Part Name],$A41,T_TTAFStock_Log[WeekIndex],20)=0,"",SUMIFS(T_TTAFStock_Log[TTAF_Qty],T_TTAFStock_Log[Part Name],$A41,T_TTAFStock_Log[WeekIndex],20))</f>
        <v/>
      </c>
      <c r="V41" s="13">
        <f>IF(COUNTIFS(T_TTAFStock_Log[Part Name],$A41,T_TTAFStock_Log[WeekIndex],21)=0,"",SUMIFS(T_TTAFStock_Log[TTAF_Qty],T_TTAFStock_Log[Part Name],$A41,T_TTAFStock_Log[WeekIndex],21))</f>
        <v/>
      </c>
      <c r="W41" s="13">
        <f>IF(COUNTIFS(T_TTAFStock_Log[Part Name],$A41,T_TTAFStock_Log[WeekIndex],22)=0,"",SUMIFS(T_TTAFStock_Log[TTAF_Qty],T_TTAFStock_Log[Part Name],$A41,T_TTAFStock_Log[WeekIndex],22))</f>
        <v/>
      </c>
      <c r="X41" s="13">
        <f>IF(COUNTIFS(T_TTAFStock_Log[Part Name],$A41,T_TTAFStock_Log[WeekIndex],23)=0,"",SUMIFS(T_TTAFStock_Log[TTAF_Qty],T_TTAFStock_Log[Part Name],$A41,T_TTAFStock_Log[WeekIndex],23))</f>
        <v/>
      </c>
      <c r="Y41" s="13">
        <f>IF(COUNTIFS(T_TTAFStock_Log[Part Name],$A41,T_TTAFStock_Log[WeekIndex],24)=0,"",SUMIFS(T_TTAFStock_Log[TTAF_Qty],T_TTAFStock_Log[Part Name],$A41,T_TTAFStock_Log[WeekIndex],24))</f>
        <v/>
      </c>
      <c r="Z41" s="13">
        <f>IF(COUNTIFS(T_TTAFStock_Log[Part Name],$A41,T_TTAFStock_Log[WeekIndex],25)=0,"",SUMIFS(T_TTAFStock_Log[TTAF_Qty],T_TTAFStock_Log[Part Name],$A41,T_TTAFStock_Log[WeekIndex],25))</f>
        <v/>
      </c>
      <c r="AA41" s="13">
        <f>IF(COUNTIFS(T_TTAFStock_Log[Part Name],$A41,T_TTAFStock_Log[WeekIndex],26)=0,"",SUMIFS(T_TTAFStock_Log[TTAF_Qty],T_TTAFStock_Log[Part Name],$A41,T_TTAFStock_Log[WeekIndex],26))</f>
        <v/>
      </c>
      <c r="AB41" s="13">
        <f>IF(COUNTIFS(T_TTAFStock_Log[Part Name],$A41,T_TTAFStock_Log[WeekIndex],27)=0,"",SUMIFS(T_TTAFStock_Log[TTAF_Qty],T_TTAFStock_Log[Part Name],$A41,T_TTAFStock_Log[WeekIndex],27))</f>
        <v/>
      </c>
      <c r="AC41" s="13">
        <f>IF(COUNTIFS(T_TTAFStock_Log[Part Name],$A41,T_TTAFStock_Log[WeekIndex],28)=0,"",SUMIFS(T_TTAFStock_Log[TTAF_Qty],T_TTAFStock_Log[Part Name],$A41,T_TTAFStock_Log[WeekIndex],28))</f>
        <v/>
      </c>
      <c r="AD41" s="13">
        <f>IF(COUNTIFS(T_TTAFStock_Log[Part Name],$A41,T_TTAFStock_Log[WeekIndex],29)=0,"",SUMIFS(T_TTAFStock_Log[TTAF_Qty],T_TTAFStock_Log[Part Name],$A41,T_TTAFStock_Log[WeekIndex],29))</f>
        <v/>
      </c>
      <c r="AE41" s="13">
        <f>IF(COUNTIFS(T_TTAFStock_Log[Part Name],$A41,T_TTAFStock_Log[WeekIndex],30)=0,"",SUMIFS(T_TTAFStock_Log[TTAF_Qty],T_TTAFStock_Log[Part Name],$A41,T_TTAFStock_Log[WeekIndex],30))</f>
        <v/>
      </c>
      <c r="AF41" s="13">
        <f>IF(COUNTIFS(T_TTAFStock_Log[Part Name],$A41,T_TTAFStock_Log[WeekIndex],31)=0,"",SUMIFS(T_TTAFStock_Log[TTAF_Qty],T_TTAFStock_Log[Part Name],$A41,T_TTAFStock_Log[WeekIndex],31))</f>
        <v/>
      </c>
      <c r="AG41" s="13">
        <f>IF(COUNTIFS(T_TTAFStock_Log[Part Name],$A41,T_TTAFStock_Log[WeekIndex],32)=0,"",SUMIFS(T_TTAFStock_Log[TTAF_Qty],T_TTAFStock_Log[Part Name],$A41,T_TTAFStock_Log[WeekIndex],32))</f>
        <v/>
      </c>
      <c r="AH41" s="13">
        <f>IF(COUNTIFS(T_TTAFStock_Log[Part Name],$A41,T_TTAFStock_Log[WeekIndex],33)=0,"",SUMIFS(T_TTAFStock_Log[TTAF_Qty],T_TTAFStock_Log[Part Name],$A41,T_TTAFStock_Log[WeekIndex],33))</f>
        <v/>
      </c>
      <c r="AI41" s="13">
        <f>IF(COUNTIFS(T_TTAFStock_Log[Part Name],$A41,T_TTAFStock_Log[WeekIndex],34)=0,"",SUMIFS(T_TTAFStock_Log[TTAF_Qty],T_TTAFStock_Log[Part Name],$A41,T_TTAFStock_Log[WeekIndex],34))</f>
        <v/>
      </c>
      <c r="AJ41" s="13">
        <f>IF(COUNTIFS(T_TTAFStock_Log[Part Name],$A41,T_TTAFStock_Log[WeekIndex],35)=0,"",SUMIFS(T_TTAFStock_Log[TTAF_Qty],T_TTAFStock_Log[Part Name],$A41,T_TTAFStock_Log[WeekIndex],35))</f>
        <v/>
      </c>
      <c r="AK41" s="13">
        <f>IF(COUNTIFS(T_TTAFStock_Log[Part Name],$A41,T_TTAFStock_Log[WeekIndex],36)=0,"",SUMIFS(T_TTAFStock_Log[TTAF_Qty],T_TTAFStock_Log[Part Name],$A41,T_TTAFStock_Log[WeekIndex],36))</f>
        <v/>
      </c>
      <c r="AL41" s="13">
        <f>IF(COUNTIFS(T_TTAFStock_Log[Part Name],$A41,T_TTAFStock_Log[WeekIndex],37)=0,"",SUMIFS(T_TTAFStock_Log[TTAF_Qty],T_TTAFStock_Log[Part Name],$A41,T_TTAFStock_Log[WeekIndex],37))</f>
        <v/>
      </c>
      <c r="AM41" s="13">
        <f>IF(COUNTIFS(T_TTAFStock_Log[Part Name],$A41,T_TTAFStock_Log[WeekIndex],38)=0,"",SUMIFS(T_TTAFStock_Log[TTAF_Qty],T_TTAFStock_Log[Part Name],$A41,T_TTAFStock_Log[WeekIndex],38))</f>
        <v/>
      </c>
      <c r="AN41" s="13">
        <f>IF(COUNTIFS(T_TTAFStock_Log[Part Name],$A41,T_TTAFStock_Log[WeekIndex],39)=0,"",SUMIFS(T_TTAFStock_Log[TTAF_Qty],T_TTAFStock_Log[Part Name],$A41,T_TTAFStock_Log[WeekIndex],39))</f>
        <v/>
      </c>
      <c r="AO41" s="13">
        <f>IF(COUNTIFS(T_TTAFStock_Log[Part Name],$A41,T_TTAFStock_Log[WeekIndex],40)=0,"",SUMIFS(T_TTAFStock_Log[TTAF_Qty],T_TTAFStock_Log[Part Name],$A41,T_TTAFStock_Log[WeekIndex],40))</f>
        <v/>
      </c>
      <c r="AP41" s="13">
        <f>IF(COUNTIFS(T_TTAFStock_Log[Part Name],$A41,T_TTAFStock_Log[WeekIndex],41)=0,"",SUMIFS(T_TTAFStock_Log[TTAF_Qty],T_TTAFStock_Log[Part Name],$A41,T_TTAFStock_Log[WeekIndex],41))</f>
        <v/>
      </c>
      <c r="AQ41" s="13">
        <f>IF(COUNTIFS(T_TTAFStock_Log[Part Name],$A41,T_TTAFStock_Log[WeekIndex],42)=0,"",SUMIFS(T_TTAFStock_Log[TTAF_Qty],T_TTAFStock_Log[Part Name],$A41,T_TTAFStock_Log[WeekIndex],42))</f>
        <v/>
      </c>
      <c r="AR41" s="13">
        <f>IF(COUNTIFS(T_TTAFStock_Log[Part Name],$A41,T_TTAFStock_Log[WeekIndex],43)=0,"",SUMIFS(T_TTAFStock_Log[TTAF_Qty],T_TTAFStock_Log[Part Name],$A41,T_TTAFStock_Log[WeekIndex],43))</f>
        <v/>
      </c>
      <c r="AS41" s="13">
        <f>IF(COUNTIFS(T_TTAFStock_Log[Part Name],$A41,T_TTAFStock_Log[WeekIndex],44)=0,"",SUMIFS(T_TTAFStock_Log[TTAF_Qty],T_TTAFStock_Log[Part Name],$A41,T_TTAFStock_Log[WeekIndex],44))</f>
        <v/>
      </c>
      <c r="AT41" s="13">
        <f>IF(COUNTIFS(T_TTAFStock_Log[Part Name],$A41,T_TTAFStock_Log[WeekIndex],45)=0,"",SUMIFS(T_TTAFStock_Log[TTAF_Qty],T_TTAFStock_Log[Part Name],$A41,T_TTAFStock_Log[WeekIndex],45))</f>
        <v/>
      </c>
      <c r="AU41" s="13">
        <f>IF(COUNTIFS(T_TTAFStock_Log[Part Name],$A41,T_TTAFStock_Log[WeekIndex],46)=0,"",SUMIFS(T_TTAFStock_Log[TTAF_Qty],T_TTAFStock_Log[Part Name],$A41,T_TTAFStock_Log[WeekIndex],46))</f>
        <v/>
      </c>
      <c r="AV41" s="13">
        <f>IF(COUNTIFS(T_TTAFStock_Log[Part Name],$A41,T_TTAFStock_Log[WeekIndex],47)=0,"",SUMIFS(T_TTAFStock_Log[TTAF_Qty],T_TTAFStock_Log[Part Name],$A41,T_TTAFStock_Log[WeekIndex],47))</f>
        <v/>
      </c>
      <c r="AW41" s="13">
        <f>IF(COUNTIFS(T_TTAFStock_Log[Part Name],$A41,T_TTAFStock_Log[WeekIndex],48)=0,"",SUMIFS(T_TTAFStock_Log[TTAF_Qty],T_TTAFStock_Log[Part Name],$A41,T_TTAFStock_Log[WeekIndex],48))</f>
        <v/>
      </c>
      <c r="AX41" s="13">
        <f>IF(COUNTIFS(T_TTAFStock_Log[Part Name],$A41,T_TTAFStock_Log[WeekIndex],49)=0,"",SUMIFS(T_TTAFStock_Log[TTAF_Qty],T_TTAFStock_Log[Part Name],$A41,T_TTAFStock_Log[WeekIndex],49))</f>
        <v/>
      </c>
      <c r="AY41" s="13">
        <f>IF(COUNTIFS(T_TTAFStock_Log[Part Name],$A41,T_TTAFStock_Log[WeekIndex],50)=0,"",SUMIFS(T_TTAFStock_Log[TTAF_Qty],T_TTAFStock_Log[Part Name],$A41,T_TTAFStock_Log[WeekIndex],50))</f>
        <v/>
      </c>
      <c r="AZ41" s="13">
        <f>IF(COUNTIFS(T_TTAFStock_Log[Part Name],$A41,T_TTAFStock_Log[WeekIndex],51)=0,"",SUMIFS(T_TTAFStock_Log[TTAF_Qty],T_TTAFStock_Log[Part Name],$A41,T_TTAFStock_Log[WeekIndex],51))</f>
        <v/>
      </c>
      <c r="BA41" s="13">
        <f>IF(COUNTIFS(T_TTAFStock_Log[Part Name],$A41,T_TTAFStock_Log[WeekIndex],52)=0,"",SUMIFS(T_TTAFStock_Log[TTAF_Qty],T_TTAFStock_Log[Part Name],$A41,T_TTAFStock_Log[WeekIndex],52))</f>
        <v/>
      </c>
      <c r="BB41" s="13">
        <f>IF(COUNTIFS(T_TTAFStock_Log[Part Name],$A41,T_TTAFStock_Log[WeekIndex],53)=0,"",SUMIFS(T_TTAFStock_Log[TTAF_Qty],T_TTAFStock_Log[Part Name],$A41,T_TTAFStock_Log[WeekIndex],53))</f>
        <v/>
      </c>
      <c r="BC41" s="13">
        <f>IF(COUNTIFS(T_TTAFStock_Log[Part Name],$A41,T_TTAFStock_Log[WeekIndex],54)=0,"",SUMIFS(T_TTAFStock_Log[TTAF_Qty],T_TTAFStock_Log[Part Name],$A41,T_TTAFStock_Log[WeekIndex],54))</f>
        <v/>
      </c>
      <c r="BD41" s="13">
        <f>IF(COUNTIFS(T_TTAFStock_Log[Part Name],$A41,T_TTAFStock_Log[WeekIndex],55)=0,"",SUMIFS(T_TTAFStock_Log[TTAF_Qty],T_TTAFStock_Log[Part Name],$A41,T_TTAFStock_Log[WeekIndex],55))</f>
        <v/>
      </c>
      <c r="BE41" s="13">
        <f>IF(COUNTIFS(T_TTAFStock_Log[Part Name],$A41,T_TTAFStock_Log[WeekIndex],56)=0,"",SUMIFS(T_TTAFStock_Log[TTAF_Qty],T_TTAFStock_Log[Part Name],$A41,T_TTAFStock_Log[WeekIndex],56))</f>
        <v/>
      </c>
      <c r="BF41" s="13">
        <f>IF(COUNTIFS(T_TTAFStock_Log[Part Name],$A41,T_TTAFStock_Log[WeekIndex],57)=0,"",SUMIFS(T_TTAFStock_Log[TTAF_Qty],T_TTAFStock_Log[Part Name],$A41,T_TTAFStock_Log[WeekIndex],57))</f>
        <v/>
      </c>
      <c r="BG41" s="13">
        <f>IF(COUNTIFS(T_TTAFStock_Log[Part Name],$A41,T_TTAFStock_Log[WeekIndex],58)=0,"",SUMIFS(T_TTAFStock_Log[TTAF_Qty],T_TTAFStock_Log[Part Name],$A41,T_TTAFStock_Log[WeekIndex],58))</f>
        <v/>
      </c>
      <c r="BH41" s="13">
        <f>IF(COUNTIFS(T_TTAFStock_Log[Part Name],$A41,T_TTAFStock_Log[WeekIndex],59)=0,"",SUMIFS(T_TTAFStock_Log[TTAF_Qty],T_TTAFStock_Log[Part Name],$A41,T_TTAFStock_Log[WeekIndex],59))</f>
        <v/>
      </c>
      <c r="BI41" s="13">
        <f>IF(COUNTIFS(T_TTAFStock_Log[Part Name],$A41,T_TTAFStock_Log[WeekIndex],60)=0,"",SUMIFS(T_TTAFStock_Log[TTAF_Qty],T_TTAFStock_Log[Part Name],$A41,T_TTAFStock_Log[WeekIndex],60))</f>
        <v/>
      </c>
      <c r="BJ41" s="13">
        <f>IF(COUNTIFS(T_TTAFStock_Log[Part Name],$A41,T_TTAFStock_Log[WeekIndex],61)=0,"",SUMIFS(T_TTAFStock_Log[TTAF_Qty],T_TTAFStock_Log[Part Name],$A41,T_TTAFStock_Log[WeekIndex],61))</f>
        <v/>
      </c>
      <c r="BK41" s="13">
        <f>IF(COUNTIFS(T_TTAFStock_Log[Part Name],$A41,T_TTAFStock_Log[WeekIndex],62)=0,"",SUMIFS(T_TTAFStock_Log[TTAF_Qty],T_TTAFStock_Log[Part Name],$A41,T_TTAFStock_Log[WeekIndex],62))</f>
        <v/>
      </c>
      <c r="BL41" s="13">
        <f>IF(COUNTIFS(T_TTAFStock_Log[Part Name],$A41,T_TTAFStock_Log[WeekIndex],63)=0,"",SUMIFS(T_TTAFStock_Log[TTAF_Qty],T_TTAFStock_Log[Part Name],$A41,T_TTAFStock_Log[WeekIndex],63))</f>
        <v/>
      </c>
      <c r="BM41" s="13">
        <f>IF(COUNTIFS(T_TTAFStock_Log[Part Name],$A41,T_TTAFStock_Log[WeekIndex],64)=0,"",SUMIFS(T_TTAFStock_Log[TTAF_Qty],T_TTAFStock_Log[Part Name],$A41,T_TTAFStock_Log[WeekIndex],64))</f>
        <v/>
      </c>
      <c r="BN41" s="13">
        <f>IF(COUNTIFS(T_TTAFStock_Log[Part Name],$A41,T_TTAFStock_Log[WeekIndex],65)=0,"",SUMIFS(T_TTAFStock_Log[TTAF_Qty],T_TTAFStock_Log[Part Name],$A41,T_TTAFStock_Log[WeekIndex],65))</f>
        <v/>
      </c>
      <c r="BO41" s="13">
        <f>IF(COUNTIFS(T_TTAFStock_Log[Part Name],$A41,T_TTAFStock_Log[WeekIndex],66)=0,"",SUMIFS(T_TTAFStock_Log[TTAF_Qty],T_TTAFStock_Log[Part Name],$A41,T_TTAFStock_Log[WeekIndex],66))</f>
        <v/>
      </c>
      <c r="BP41" s="13">
        <f>IF(COUNTIFS(T_TTAFStock_Log[Part Name],$A41,T_TTAFStock_Log[WeekIndex],67)=0,"",SUMIFS(T_TTAFStock_Log[TTAF_Qty],T_TTAFStock_Log[Part Name],$A41,T_TTAFStock_Log[WeekIndex],67))</f>
        <v/>
      </c>
      <c r="BQ41" s="13">
        <f>IF(COUNTIFS(T_TTAFStock_Log[Part Name],$A41,T_TTAFStock_Log[WeekIndex],68)=0,"",SUMIFS(T_TTAFStock_Log[TTAF_Qty],T_TTAFStock_Log[Part Name],$A41,T_TTAFStock_Log[WeekIndex],68))</f>
        <v/>
      </c>
      <c r="BR41" s="13">
        <f>IF(COUNTIFS(T_TTAFStock_Log[Part Name],$A41,T_TTAFStock_Log[WeekIndex],69)=0,"",SUMIFS(T_TTAFStock_Log[TTAF_Qty],T_TTAFStock_Log[Part Name],$A41,T_TTAFStock_Log[WeekIndex],69))</f>
        <v/>
      </c>
      <c r="BS41" s="13">
        <f>IF(COUNTIFS(T_TTAFStock_Log[Part Name],$A41,T_TTAFStock_Log[WeekIndex],70)=0,"",SUMIFS(T_TTAFStock_Log[TTAF_Qty],T_TTAFStock_Log[Part Name],$A41,T_TTAFStock_Log[WeekIndex],70))</f>
        <v/>
      </c>
      <c r="BT41" s="13">
        <f>IF(COUNTIFS(T_TTAFStock_Log[Part Name],$A41,T_TTAFStock_Log[WeekIndex],71)=0,"",SUMIFS(T_TTAFStock_Log[TTAF_Qty],T_TTAFStock_Log[Part Name],$A41,T_TTAFStock_Log[WeekIndex],71))</f>
        <v/>
      </c>
      <c r="BU41" s="13">
        <f>IF(COUNTIFS(T_TTAFStock_Log[Part Name],$A41,T_TTAFStock_Log[WeekIndex],72)=0,"",SUMIFS(T_TTAFStock_Log[TTAF_Qty],T_TTAFStock_Log[Part Name],$A41,T_TTAFStock_Log[WeekIndex],72))</f>
        <v/>
      </c>
      <c r="BV41" s="13">
        <f>IF(COUNTIFS(T_TTAFStock_Log[Part Name],$A41,T_TTAFStock_Log[WeekIndex],73)=0,"",SUMIFS(T_TTAFStock_Log[TTAF_Qty],T_TTAFStock_Log[Part Name],$A41,T_TTAFStock_Log[WeekIndex],73))</f>
        <v/>
      </c>
      <c r="BW41" s="13">
        <f>IF(COUNTIFS(T_TTAFStock_Log[Part Name],$A41,T_TTAFStock_Log[WeekIndex],74)=0,"",SUMIFS(T_TTAFStock_Log[TTAF_Qty],T_TTAFStock_Log[Part Name],$A41,T_TTAFStock_Log[WeekIndex],74))</f>
        <v/>
      </c>
      <c r="BX41" s="13">
        <f>IF(COUNTIFS(T_TTAFStock_Log[Part Name],$A41,T_TTAFStock_Log[WeekIndex],75)=0,"",SUMIFS(T_TTAFStock_Log[TTAF_Qty],T_TTAFStock_Log[Part Name],$A41,T_TTAFStock_Log[WeekIndex],75))</f>
        <v/>
      </c>
      <c r="BY41" s="13">
        <f>IF(COUNTIFS(T_TTAFStock_Log[Part Name],$A41,T_TTAFStock_Log[WeekIndex],76)=0,"",SUMIFS(T_TTAFStock_Log[TTAF_Qty],T_TTAFStock_Log[Part Name],$A41,T_TTAFStock_Log[WeekIndex],76))</f>
        <v/>
      </c>
      <c r="BZ41" s="13">
        <f>IF(COUNTIFS(T_TTAFStock_Log[Part Name],$A41,T_TTAFStock_Log[WeekIndex],77)=0,"",SUMIFS(T_TTAFStock_Log[TTAF_Qty],T_TTAFStock_Log[Part Name],$A41,T_TTAFStock_Log[WeekIndex],77))</f>
        <v/>
      </c>
      <c r="CA41" s="13">
        <f>IF(COUNTIFS(T_TTAFStock_Log[Part Name],$A41,T_TTAFStock_Log[WeekIndex],78)=0,"",SUMIFS(T_TTAFStock_Log[TTAF_Qty],T_TTAFStock_Log[Part Name],$A41,T_TTAFStock_Log[WeekIndex],78))</f>
        <v/>
      </c>
      <c r="CB41" s="13">
        <f>IF(COUNTIFS(T_TTAFStock_Log[Part Name],$A41,T_TTAFStock_Log[WeekIndex],79)=0,"",SUMIFS(T_TTAFStock_Log[TTAF_Qty],T_TTAFStock_Log[Part Name],$A41,T_TTAFStock_Log[WeekIndex],79))</f>
        <v/>
      </c>
      <c r="CC41" s="13">
        <f>IF(COUNTIFS(T_TTAFStock_Log[Part Name],$A41,T_TTAFStock_Log[WeekIndex],80)=0,"",SUMIFS(T_TTAFStock_Log[TTAF_Qty],T_TTAFStock_Log[Part Name],$A41,T_TTAFStock_Log[WeekIndex],80))</f>
        <v/>
      </c>
      <c r="CD41" s="13">
        <f>IF(COUNTIFS(T_TTAFStock_Log[Part Name],$A41,T_TTAFStock_Log[WeekIndex],81)=0,"",SUMIFS(T_TTAFStock_Log[TTAF_Qty],T_TTAFStock_Log[Part Name],$A41,T_TTAFStock_Log[WeekIndex],81))</f>
        <v/>
      </c>
      <c r="CE41" s="13">
        <f>IF(COUNTIFS(T_TTAFStock_Log[Part Name],$A41,T_TTAFStock_Log[WeekIndex],82)=0,"",SUMIFS(T_TTAFStock_Log[TTAF_Qty],T_TTAFStock_Log[Part Name],$A41,T_TTAFStock_Log[WeekIndex],82))</f>
        <v/>
      </c>
      <c r="CF41" s="13">
        <f>IF(COUNTIFS(T_TTAFStock_Log[Part Name],$A41,T_TTAFStock_Log[WeekIndex],83)=0,"",SUMIFS(T_TTAFStock_Log[TTAF_Qty],T_TTAFStock_Log[Part Name],$A41,T_TTAFStock_Log[WeekIndex],83))</f>
        <v/>
      </c>
      <c r="CG41" s="13">
        <f>IF(COUNTIFS(T_TTAFStock_Log[Part Name],$A41,T_TTAFStock_Log[WeekIndex],84)=0,"",SUMIFS(T_TTAFStock_Log[TTAF_Qty],T_TTAFStock_Log[Part Name],$A41,T_TTAFStock_Log[WeekIndex],84))</f>
        <v/>
      </c>
      <c r="CH41" s="13">
        <f>IF(COUNTIFS(T_TTAFStock_Log[Part Name],$A41,T_TTAFStock_Log[WeekIndex],85)=0,"",SUMIFS(T_TTAFStock_Log[TTAF_Qty],T_TTAFStock_Log[Part Name],$A41,T_TTAFStock_Log[WeekIndex],85))</f>
        <v/>
      </c>
      <c r="CI41" s="13">
        <f>IF(COUNTIFS(T_TTAFStock_Log[Part Name],$A41,T_TTAFStock_Log[WeekIndex],86)=0,"",SUMIFS(T_TTAFStock_Log[TTAF_Qty],T_TTAFStock_Log[Part Name],$A41,T_TTAFStock_Log[WeekIndex],86))</f>
        <v/>
      </c>
      <c r="CJ41" s="13">
        <f>IF(COUNTIFS(T_TTAFStock_Log[Part Name],$A41,T_TTAFStock_Log[WeekIndex],87)=0,"",SUMIFS(T_TTAFStock_Log[TTAF_Qty],T_TTAFStock_Log[Part Name],$A41,T_TTAFStock_Log[WeekIndex],87))</f>
        <v/>
      </c>
      <c r="CK41" s="13">
        <f>IF(COUNTIFS(T_TTAFStock_Log[Part Name],$A41,T_TTAFStock_Log[WeekIndex],88)=0,"",SUMIFS(T_TTAFStock_Log[TTAF_Qty],T_TTAFStock_Log[Part Name],$A41,T_TTAFStock_Log[WeekIndex],88))</f>
        <v/>
      </c>
      <c r="CL41" s="13">
        <f>IF(COUNTIFS(T_TTAFStock_Log[Part Name],$A41,T_TTAFStock_Log[WeekIndex],89)=0,"",SUMIFS(T_TTAFStock_Log[TTAF_Qty],T_TTAFStock_Log[Part Name],$A41,T_TTAFStock_Log[WeekIndex],89))</f>
        <v/>
      </c>
      <c r="CM41" s="13">
        <f>IF(COUNTIFS(T_TTAFStock_Log[Part Name],$A41,T_TTAFStock_Log[WeekIndex],90)=0,"",SUMIFS(T_TTAFStock_Log[TTAF_Qty],T_TTAFStock_Log[Part Name],$A41,T_TTAFStock_Log[WeekIndex],90))</f>
        <v/>
      </c>
      <c r="CN41" s="13">
        <f>IF(COUNTIFS(T_TTAFStock_Log[Part Name],$A41,T_TTAFStock_Log[WeekIndex],91)=0,"",SUMIFS(T_TTAFStock_Log[TTAF_Qty],T_TTAFStock_Log[Part Name],$A41,T_TTAFStock_Log[WeekIndex],91))</f>
        <v/>
      </c>
      <c r="CO41" s="13">
        <f>IF(COUNTIFS(T_TTAFStock_Log[Part Name],$A41,T_TTAFStock_Log[WeekIndex],92)=0,"",SUMIFS(T_TTAFStock_Log[TTAF_Qty],T_TTAFStock_Log[Part Name],$A41,T_TTAFStock_Log[WeekIndex],92))</f>
        <v/>
      </c>
      <c r="CP41" s="13">
        <f>IF(COUNTIFS(T_TTAFStock_Log[Part Name],$A41,T_TTAFStock_Log[WeekIndex],93)=0,"",SUMIFS(T_TTAFStock_Log[TTAF_Qty],T_TTAFStock_Log[Part Name],$A41,T_TTAFStock_Log[WeekIndex],93))</f>
        <v/>
      </c>
      <c r="CQ41" s="13">
        <f>IF(COUNTIFS(T_TTAFStock_Log[Part Name],$A41,T_TTAFStock_Log[WeekIndex],94)=0,"",SUMIFS(T_TTAFStock_Log[TTAF_Qty],T_TTAFStock_Log[Part Name],$A41,T_TTAFStock_Log[WeekIndex],94))</f>
        <v/>
      </c>
      <c r="CR41" s="13">
        <f>IF(COUNTIFS(T_TTAFStock_Log[Part Name],$A41,T_TTAFStock_Log[WeekIndex],95)=0,"",SUMIFS(T_TTAFStock_Log[TTAF_Qty],T_TTAFStock_Log[Part Name],$A41,T_TTAFStock_Log[WeekIndex],95))</f>
        <v/>
      </c>
      <c r="CS41" s="13">
        <f>IF(COUNTIFS(T_TTAFStock_Log[Part Name],$A41,T_TTAFStock_Log[WeekIndex],96)=0,"",SUMIFS(T_TTAFStock_Log[TTAF_Qty],T_TTAFStock_Log[Part Name],$A41,T_TTAFStock_Log[WeekIndex],96))</f>
        <v/>
      </c>
      <c r="CT41" s="13">
        <f>IF(COUNTIFS(T_TTAFStock_Log[Part Name],$A41,T_TTAFStock_Log[WeekIndex],97)=0,"",SUMIFS(T_TTAFStock_Log[TTAF_Qty],T_TTAFStock_Log[Part Name],$A41,T_TTAFStock_Log[WeekIndex],97))</f>
        <v/>
      </c>
      <c r="CU41" s="13">
        <f>IF(COUNTIFS(T_TTAFStock_Log[Part Name],$A41,T_TTAFStock_Log[WeekIndex],98)=0,"",SUMIFS(T_TTAFStock_Log[TTAF_Qty],T_TTAFStock_Log[Part Name],$A41,T_TTAFStock_Log[WeekIndex],98))</f>
        <v/>
      </c>
      <c r="CV41" s="13">
        <f>IF(COUNTIFS(T_TTAFStock_Log[Part Name],$A41,T_TTAFStock_Log[WeekIndex],99)=0,"",SUMIFS(T_TTAFStock_Log[TTAF_Qty],T_TTAFStock_Log[Part Name],$A41,T_TTAFStock_Log[WeekIndex],99))</f>
        <v/>
      </c>
      <c r="CW41" s="13">
        <f>IF(COUNTIFS(T_TTAFStock_Log[Part Name],$A41,T_TTAFStock_Log[WeekIndex],100)=0,"",SUMIFS(T_TTAFStock_Log[TTAF_Qty],T_TTAFStock_Log[Part Name],$A41,T_TTAFStock_Log[WeekIndex],100))</f>
        <v/>
      </c>
      <c r="CX41" s="13">
        <f>IF(COUNTIFS(T_TTAFStock_Log[Part Name],$A41,T_TTAFStock_Log[WeekIndex],101)=0,"",SUMIFS(T_TTAFStock_Log[TTAF_Qty],T_TTAFStock_Log[Part Name],$A41,T_TTAFStock_Log[WeekIndex],101))</f>
        <v/>
      </c>
      <c r="CY41" s="13">
        <f>IF(COUNTIFS(T_TTAFStock_Log[Part Name],$A41,T_TTAFStock_Log[WeekIndex],102)=0,"",SUMIFS(T_TTAFStock_Log[TTAF_Qty],T_TTAFStock_Log[Part Name],$A41,T_TTAFStock_Log[WeekIndex],102))</f>
        <v/>
      </c>
      <c r="CZ41" s="13">
        <f>IF(COUNTIFS(T_TTAFStock_Log[Part Name],$A41,T_TTAFStock_Log[WeekIndex],103)=0,"",SUMIFS(T_TTAFStock_Log[TTAF_Qty],T_TTAFStock_Log[Part Name],$A41,T_TTAFStock_Log[WeekIndex],103))</f>
        <v/>
      </c>
      <c r="DA41" s="13">
        <f>IF(COUNTIFS(T_TTAFStock_Log[Part Name],$A41,T_TTAFStock_Log[WeekIndex],104)=0,"",SUMIFS(T_TTAFStock_Log[TTAF_Qty],T_TTAFStock_Log[Part Name],$A41,T_TTAFStock_Log[WeekIndex],104))</f>
        <v/>
      </c>
    </row>
    <row r="42">
      <c r="A42" s="12" t="inlineStr">
        <is>
          <t>Ester Film</t>
        </is>
      </c>
      <c r="B42" s="12">
        <f>IF(COUNTIFS(T_TTAFStock_Log[Part Name],$A42,T_TTAFStock_Log[WeekIndex],1)=0,"",SUMIFS(T_TTAFStock_Log[TTAF_Qty],T_TTAFStock_Log[Part Name],$A42,T_TTAFStock_Log[WeekIndex],1))</f>
        <v/>
      </c>
      <c r="C42" s="12">
        <f>IF(COUNTIFS(T_TTAFStock_Log[Part Name],$A42,T_TTAFStock_Log[WeekIndex],2)=0,"",SUMIFS(T_TTAFStock_Log[TTAF_Qty],T_TTAFStock_Log[Part Name],$A42,T_TTAFStock_Log[WeekIndex],2))</f>
        <v/>
      </c>
      <c r="D42" s="12">
        <f>IF(COUNTIFS(T_TTAFStock_Log[Part Name],$A42,T_TTAFStock_Log[WeekIndex],3)=0,"",SUMIFS(T_TTAFStock_Log[TTAF_Qty],T_TTAFStock_Log[Part Name],$A42,T_TTAFStock_Log[WeekIndex],3))</f>
        <v/>
      </c>
      <c r="E42" s="12">
        <f>IF(COUNTIFS(T_TTAFStock_Log[Part Name],$A42,T_TTAFStock_Log[WeekIndex],4)=0,"",SUMIFS(T_TTAFStock_Log[TTAF_Qty],T_TTAFStock_Log[Part Name],$A42,T_TTAFStock_Log[WeekIndex],4))</f>
        <v/>
      </c>
      <c r="F42" s="12">
        <f>IF(COUNTIFS(T_TTAFStock_Log[Part Name],$A42,T_TTAFStock_Log[WeekIndex],5)=0,"",SUMIFS(T_TTAFStock_Log[TTAF_Qty],T_TTAFStock_Log[Part Name],$A42,T_TTAFStock_Log[WeekIndex],5))</f>
        <v/>
      </c>
      <c r="G42" s="12">
        <f>IF(COUNTIFS(T_TTAFStock_Log[Part Name],$A42,T_TTAFStock_Log[WeekIndex],6)=0,"",SUMIFS(T_TTAFStock_Log[TTAF_Qty],T_TTAFStock_Log[Part Name],$A42,T_TTAFStock_Log[WeekIndex],6))</f>
        <v/>
      </c>
      <c r="H42" s="12">
        <f>IF(COUNTIFS(T_TTAFStock_Log[Part Name],$A42,T_TTAFStock_Log[WeekIndex],7)=0,"",SUMIFS(T_TTAFStock_Log[TTAF_Qty],T_TTAFStock_Log[Part Name],$A42,T_TTAFStock_Log[WeekIndex],7))</f>
        <v/>
      </c>
      <c r="I42" s="12">
        <f>IF(COUNTIFS(T_TTAFStock_Log[Part Name],$A42,T_TTAFStock_Log[WeekIndex],8)=0,"",SUMIFS(T_TTAFStock_Log[TTAF_Qty],T_TTAFStock_Log[Part Name],$A42,T_TTAFStock_Log[WeekIndex],8))</f>
        <v/>
      </c>
      <c r="J42" s="12">
        <f>IF(COUNTIFS(T_TTAFStock_Log[Part Name],$A42,T_TTAFStock_Log[WeekIndex],9)=0,"",SUMIFS(T_TTAFStock_Log[TTAF_Qty],T_TTAFStock_Log[Part Name],$A42,T_TTAFStock_Log[WeekIndex],9))</f>
        <v/>
      </c>
      <c r="K42" s="12">
        <f>IF(COUNTIFS(T_TTAFStock_Log[Part Name],$A42,T_TTAFStock_Log[WeekIndex],10)=0,"",SUMIFS(T_TTAFStock_Log[TTAF_Qty],T_TTAFStock_Log[Part Name],$A42,T_TTAFStock_Log[WeekIndex],10))</f>
        <v/>
      </c>
      <c r="L42" s="12">
        <f>IF(COUNTIFS(T_TTAFStock_Log[Part Name],$A42,T_TTAFStock_Log[WeekIndex],11)=0,"",SUMIFS(T_TTAFStock_Log[TTAF_Qty],T_TTAFStock_Log[Part Name],$A42,T_TTAFStock_Log[WeekIndex],11))</f>
        <v/>
      </c>
      <c r="M42" s="12">
        <f>IF(COUNTIFS(T_TTAFStock_Log[Part Name],$A42,T_TTAFStock_Log[WeekIndex],12)=0,"",SUMIFS(T_TTAFStock_Log[TTAF_Qty],T_TTAFStock_Log[Part Name],$A42,T_TTAFStock_Log[WeekIndex],12))</f>
        <v/>
      </c>
      <c r="N42" s="12">
        <f>IF(COUNTIFS(T_TTAFStock_Log[Part Name],$A42,T_TTAFStock_Log[WeekIndex],13)=0,"",SUMIFS(T_TTAFStock_Log[TTAF_Qty],T_TTAFStock_Log[Part Name],$A42,T_TTAFStock_Log[WeekIndex],13))</f>
        <v/>
      </c>
      <c r="O42" s="12">
        <f>IF(COUNTIFS(T_TTAFStock_Log[Part Name],$A42,T_TTAFStock_Log[WeekIndex],14)=0,"",SUMIFS(T_TTAFStock_Log[TTAF_Qty],T_TTAFStock_Log[Part Name],$A42,T_TTAFStock_Log[WeekIndex],14))</f>
        <v/>
      </c>
      <c r="P42" s="12">
        <f>IF(COUNTIFS(T_TTAFStock_Log[Part Name],$A42,T_TTAFStock_Log[WeekIndex],15)=0,"",SUMIFS(T_TTAFStock_Log[TTAF_Qty],T_TTAFStock_Log[Part Name],$A42,T_TTAFStock_Log[WeekIndex],15))</f>
        <v/>
      </c>
      <c r="Q42" s="12">
        <f>IF(COUNTIFS(T_TTAFStock_Log[Part Name],$A42,T_TTAFStock_Log[WeekIndex],16)=0,"",SUMIFS(T_TTAFStock_Log[TTAF_Qty],T_TTAFStock_Log[Part Name],$A42,T_TTAFStock_Log[WeekIndex],16))</f>
        <v/>
      </c>
      <c r="R42" s="12">
        <f>IF(COUNTIFS(T_TTAFStock_Log[Part Name],$A42,T_TTAFStock_Log[WeekIndex],17)=0,"",SUMIFS(T_TTAFStock_Log[TTAF_Qty],T_TTAFStock_Log[Part Name],$A42,T_TTAFStock_Log[WeekIndex],17))</f>
        <v/>
      </c>
      <c r="S42" s="12">
        <f>IF(COUNTIFS(T_TTAFStock_Log[Part Name],$A42,T_TTAFStock_Log[WeekIndex],18)=0,"",SUMIFS(T_TTAFStock_Log[TTAF_Qty],T_TTAFStock_Log[Part Name],$A42,T_TTAFStock_Log[WeekIndex],18))</f>
        <v/>
      </c>
      <c r="T42" s="12">
        <f>IF(COUNTIFS(T_TTAFStock_Log[Part Name],$A42,T_TTAFStock_Log[WeekIndex],19)=0,"",SUMIFS(T_TTAFStock_Log[TTAF_Qty],T_TTAFStock_Log[Part Name],$A42,T_TTAFStock_Log[WeekIndex],19))</f>
        <v/>
      </c>
      <c r="U42" s="12">
        <f>IF(COUNTIFS(T_TTAFStock_Log[Part Name],$A42,T_TTAFStock_Log[WeekIndex],20)=0,"",SUMIFS(T_TTAFStock_Log[TTAF_Qty],T_TTAFStock_Log[Part Name],$A42,T_TTAFStock_Log[WeekIndex],20))</f>
        <v/>
      </c>
      <c r="V42" s="12">
        <f>IF(COUNTIFS(T_TTAFStock_Log[Part Name],$A42,T_TTAFStock_Log[WeekIndex],21)=0,"",SUMIFS(T_TTAFStock_Log[TTAF_Qty],T_TTAFStock_Log[Part Name],$A42,T_TTAFStock_Log[WeekIndex],21))</f>
        <v/>
      </c>
      <c r="W42" s="12">
        <f>IF(COUNTIFS(T_TTAFStock_Log[Part Name],$A42,T_TTAFStock_Log[WeekIndex],22)=0,"",SUMIFS(T_TTAFStock_Log[TTAF_Qty],T_TTAFStock_Log[Part Name],$A42,T_TTAFStock_Log[WeekIndex],22))</f>
        <v/>
      </c>
      <c r="X42" s="12">
        <f>IF(COUNTIFS(T_TTAFStock_Log[Part Name],$A42,T_TTAFStock_Log[WeekIndex],23)=0,"",SUMIFS(T_TTAFStock_Log[TTAF_Qty],T_TTAFStock_Log[Part Name],$A42,T_TTAFStock_Log[WeekIndex],23))</f>
        <v/>
      </c>
      <c r="Y42" s="12">
        <f>IF(COUNTIFS(T_TTAFStock_Log[Part Name],$A42,T_TTAFStock_Log[WeekIndex],24)=0,"",SUMIFS(T_TTAFStock_Log[TTAF_Qty],T_TTAFStock_Log[Part Name],$A42,T_TTAFStock_Log[WeekIndex],24))</f>
        <v/>
      </c>
      <c r="Z42" s="12">
        <f>IF(COUNTIFS(T_TTAFStock_Log[Part Name],$A42,T_TTAFStock_Log[WeekIndex],25)=0,"",SUMIFS(T_TTAFStock_Log[TTAF_Qty],T_TTAFStock_Log[Part Name],$A42,T_TTAFStock_Log[WeekIndex],25))</f>
        <v/>
      </c>
      <c r="AA42" s="12">
        <f>IF(COUNTIFS(T_TTAFStock_Log[Part Name],$A42,T_TTAFStock_Log[WeekIndex],26)=0,"",SUMIFS(T_TTAFStock_Log[TTAF_Qty],T_TTAFStock_Log[Part Name],$A42,T_TTAFStock_Log[WeekIndex],26))</f>
        <v/>
      </c>
      <c r="AB42" s="12">
        <f>IF(COUNTIFS(T_TTAFStock_Log[Part Name],$A42,T_TTAFStock_Log[WeekIndex],27)=0,"",SUMIFS(T_TTAFStock_Log[TTAF_Qty],T_TTAFStock_Log[Part Name],$A42,T_TTAFStock_Log[WeekIndex],27))</f>
        <v/>
      </c>
      <c r="AC42" s="12">
        <f>IF(COUNTIFS(T_TTAFStock_Log[Part Name],$A42,T_TTAFStock_Log[WeekIndex],28)=0,"",SUMIFS(T_TTAFStock_Log[TTAF_Qty],T_TTAFStock_Log[Part Name],$A42,T_TTAFStock_Log[WeekIndex],28))</f>
        <v/>
      </c>
      <c r="AD42" s="12">
        <f>IF(COUNTIFS(T_TTAFStock_Log[Part Name],$A42,T_TTAFStock_Log[WeekIndex],29)=0,"",SUMIFS(T_TTAFStock_Log[TTAF_Qty],T_TTAFStock_Log[Part Name],$A42,T_TTAFStock_Log[WeekIndex],29))</f>
        <v/>
      </c>
      <c r="AE42" s="12">
        <f>IF(COUNTIFS(T_TTAFStock_Log[Part Name],$A42,T_TTAFStock_Log[WeekIndex],30)=0,"",SUMIFS(T_TTAFStock_Log[TTAF_Qty],T_TTAFStock_Log[Part Name],$A42,T_TTAFStock_Log[WeekIndex],30))</f>
        <v/>
      </c>
      <c r="AF42" s="12">
        <f>IF(COUNTIFS(T_TTAFStock_Log[Part Name],$A42,T_TTAFStock_Log[WeekIndex],31)=0,"",SUMIFS(T_TTAFStock_Log[TTAF_Qty],T_TTAFStock_Log[Part Name],$A42,T_TTAFStock_Log[WeekIndex],31))</f>
        <v/>
      </c>
      <c r="AG42" s="12">
        <f>IF(COUNTIFS(T_TTAFStock_Log[Part Name],$A42,T_TTAFStock_Log[WeekIndex],32)=0,"",SUMIFS(T_TTAFStock_Log[TTAF_Qty],T_TTAFStock_Log[Part Name],$A42,T_TTAFStock_Log[WeekIndex],32))</f>
        <v/>
      </c>
      <c r="AH42" s="12">
        <f>IF(COUNTIFS(T_TTAFStock_Log[Part Name],$A42,T_TTAFStock_Log[WeekIndex],33)=0,"",SUMIFS(T_TTAFStock_Log[TTAF_Qty],T_TTAFStock_Log[Part Name],$A42,T_TTAFStock_Log[WeekIndex],33))</f>
        <v/>
      </c>
      <c r="AI42" s="12">
        <f>IF(COUNTIFS(T_TTAFStock_Log[Part Name],$A42,T_TTAFStock_Log[WeekIndex],34)=0,"",SUMIFS(T_TTAFStock_Log[TTAF_Qty],T_TTAFStock_Log[Part Name],$A42,T_TTAFStock_Log[WeekIndex],34))</f>
        <v/>
      </c>
      <c r="AJ42" s="12">
        <f>IF(COUNTIFS(T_TTAFStock_Log[Part Name],$A42,T_TTAFStock_Log[WeekIndex],35)=0,"",SUMIFS(T_TTAFStock_Log[TTAF_Qty],T_TTAFStock_Log[Part Name],$A42,T_TTAFStock_Log[WeekIndex],35))</f>
        <v/>
      </c>
      <c r="AK42" s="12">
        <f>IF(COUNTIFS(T_TTAFStock_Log[Part Name],$A42,T_TTAFStock_Log[WeekIndex],36)=0,"",SUMIFS(T_TTAFStock_Log[TTAF_Qty],T_TTAFStock_Log[Part Name],$A42,T_TTAFStock_Log[WeekIndex],36))</f>
        <v/>
      </c>
      <c r="AL42" s="12">
        <f>IF(COUNTIFS(T_TTAFStock_Log[Part Name],$A42,T_TTAFStock_Log[WeekIndex],37)=0,"",SUMIFS(T_TTAFStock_Log[TTAF_Qty],T_TTAFStock_Log[Part Name],$A42,T_TTAFStock_Log[WeekIndex],37))</f>
        <v/>
      </c>
      <c r="AM42" s="12">
        <f>IF(COUNTIFS(T_TTAFStock_Log[Part Name],$A42,T_TTAFStock_Log[WeekIndex],38)=0,"",SUMIFS(T_TTAFStock_Log[TTAF_Qty],T_TTAFStock_Log[Part Name],$A42,T_TTAFStock_Log[WeekIndex],38))</f>
        <v/>
      </c>
      <c r="AN42" s="12">
        <f>IF(COUNTIFS(T_TTAFStock_Log[Part Name],$A42,T_TTAFStock_Log[WeekIndex],39)=0,"",SUMIFS(T_TTAFStock_Log[TTAF_Qty],T_TTAFStock_Log[Part Name],$A42,T_TTAFStock_Log[WeekIndex],39))</f>
        <v/>
      </c>
      <c r="AO42" s="12">
        <f>IF(COUNTIFS(T_TTAFStock_Log[Part Name],$A42,T_TTAFStock_Log[WeekIndex],40)=0,"",SUMIFS(T_TTAFStock_Log[TTAF_Qty],T_TTAFStock_Log[Part Name],$A42,T_TTAFStock_Log[WeekIndex],40))</f>
        <v/>
      </c>
      <c r="AP42" s="12">
        <f>IF(COUNTIFS(T_TTAFStock_Log[Part Name],$A42,T_TTAFStock_Log[WeekIndex],41)=0,"",SUMIFS(T_TTAFStock_Log[TTAF_Qty],T_TTAFStock_Log[Part Name],$A42,T_TTAFStock_Log[WeekIndex],41))</f>
        <v/>
      </c>
      <c r="AQ42" s="12">
        <f>IF(COUNTIFS(T_TTAFStock_Log[Part Name],$A42,T_TTAFStock_Log[WeekIndex],42)=0,"",SUMIFS(T_TTAFStock_Log[TTAF_Qty],T_TTAFStock_Log[Part Name],$A42,T_TTAFStock_Log[WeekIndex],42))</f>
        <v/>
      </c>
      <c r="AR42" s="12">
        <f>IF(COUNTIFS(T_TTAFStock_Log[Part Name],$A42,T_TTAFStock_Log[WeekIndex],43)=0,"",SUMIFS(T_TTAFStock_Log[TTAF_Qty],T_TTAFStock_Log[Part Name],$A42,T_TTAFStock_Log[WeekIndex],43))</f>
        <v/>
      </c>
      <c r="AS42" s="12">
        <f>IF(COUNTIFS(T_TTAFStock_Log[Part Name],$A42,T_TTAFStock_Log[WeekIndex],44)=0,"",SUMIFS(T_TTAFStock_Log[TTAF_Qty],T_TTAFStock_Log[Part Name],$A42,T_TTAFStock_Log[WeekIndex],44))</f>
        <v/>
      </c>
      <c r="AT42" s="12">
        <f>IF(COUNTIFS(T_TTAFStock_Log[Part Name],$A42,T_TTAFStock_Log[WeekIndex],45)=0,"",SUMIFS(T_TTAFStock_Log[TTAF_Qty],T_TTAFStock_Log[Part Name],$A42,T_TTAFStock_Log[WeekIndex],45))</f>
        <v/>
      </c>
      <c r="AU42" s="12">
        <f>IF(COUNTIFS(T_TTAFStock_Log[Part Name],$A42,T_TTAFStock_Log[WeekIndex],46)=0,"",SUMIFS(T_TTAFStock_Log[TTAF_Qty],T_TTAFStock_Log[Part Name],$A42,T_TTAFStock_Log[WeekIndex],46))</f>
        <v/>
      </c>
      <c r="AV42" s="12">
        <f>IF(COUNTIFS(T_TTAFStock_Log[Part Name],$A42,T_TTAFStock_Log[WeekIndex],47)=0,"",SUMIFS(T_TTAFStock_Log[TTAF_Qty],T_TTAFStock_Log[Part Name],$A42,T_TTAFStock_Log[WeekIndex],47))</f>
        <v/>
      </c>
      <c r="AW42" s="12">
        <f>IF(COUNTIFS(T_TTAFStock_Log[Part Name],$A42,T_TTAFStock_Log[WeekIndex],48)=0,"",SUMIFS(T_TTAFStock_Log[TTAF_Qty],T_TTAFStock_Log[Part Name],$A42,T_TTAFStock_Log[WeekIndex],48))</f>
        <v/>
      </c>
      <c r="AX42" s="12">
        <f>IF(COUNTIFS(T_TTAFStock_Log[Part Name],$A42,T_TTAFStock_Log[WeekIndex],49)=0,"",SUMIFS(T_TTAFStock_Log[TTAF_Qty],T_TTAFStock_Log[Part Name],$A42,T_TTAFStock_Log[WeekIndex],49))</f>
        <v/>
      </c>
      <c r="AY42" s="12">
        <f>IF(COUNTIFS(T_TTAFStock_Log[Part Name],$A42,T_TTAFStock_Log[WeekIndex],50)=0,"",SUMIFS(T_TTAFStock_Log[TTAF_Qty],T_TTAFStock_Log[Part Name],$A42,T_TTAFStock_Log[WeekIndex],50))</f>
        <v/>
      </c>
      <c r="AZ42" s="12">
        <f>IF(COUNTIFS(T_TTAFStock_Log[Part Name],$A42,T_TTAFStock_Log[WeekIndex],51)=0,"",SUMIFS(T_TTAFStock_Log[TTAF_Qty],T_TTAFStock_Log[Part Name],$A42,T_TTAFStock_Log[WeekIndex],51))</f>
        <v/>
      </c>
      <c r="BA42" s="12">
        <f>IF(COUNTIFS(T_TTAFStock_Log[Part Name],$A42,T_TTAFStock_Log[WeekIndex],52)=0,"",SUMIFS(T_TTAFStock_Log[TTAF_Qty],T_TTAFStock_Log[Part Name],$A42,T_TTAFStock_Log[WeekIndex],52))</f>
        <v/>
      </c>
      <c r="BB42" s="12">
        <f>IF(COUNTIFS(T_TTAFStock_Log[Part Name],$A42,T_TTAFStock_Log[WeekIndex],53)=0,"",SUMIFS(T_TTAFStock_Log[TTAF_Qty],T_TTAFStock_Log[Part Name],$A42,T_TTAFStock_Log[WeekIndex],53))</f>
        <v/>
      </c>
      <c r="BC42" s="12">
        <f>IF(COUNTIFS(T_TTAFStock_Log[Part Name],$A42,T_TTAFStock_Log[WeekIndex],54)=0,"",SUMIFS(T_TTAFStock_Log[TTAF_Qty],T_TTAFStock_Log[Part Name],$A42,T_TTAFStock_Log[WeekIndex],54))</f>
        <v/>
      </c>
      <c r="BD42" s="12">
        <f>IF(COUNTIFS(T_TTAFStock_Log[Part Name],$A42,T_TTAFStock_Log[WeekIndex],55)=0,"",SUMIFS(T_TTAFStock_Log[TTAF_Qty],T_TTAFStock_Log[Part Name],$A42,T_TTAFStock_Log[WeekIndex],55))</f>
        <v/>
      </c>
      <c r="BE42" s="12">
        <f>IF(COUNTIFS(T_TTAFStock_Log[Part Name],$A42,T_TTAFStock_Log[WeekIndex],56)=0,"",SUMIFS(T_TTAFStock_Log[TTAF_Qty],T_TTAFStock_Log[Part Name],$A42,T_TTAFStock_Log[WeekIndex],56))</f>
        <v/>
      </c>
      <c r="BF42" s="12">
        <f>IF(COUNTIFS(T_TTAFStock_Log[Part Name],$A42,T_TTAFStock_Log[WeekIndex],57)=0,"",SUMIFS(T_TTAFStock_Log[TTAF_Qty],T_TTAFStock_Log[Part Name],$A42,T_TTAFStock_Log[WeekIndex],57))</f>
        <v/>
      </c>
      <c r="BG42" s="12">
        <f>IF(COUNTIFS(T_TTAFStock_Log[Part Name],$A42,T_TTAFStock_Log[WeekIndex],58)=0,"",SUMIFS(T_TTAFStock_Log[TTAF_Qty],T_TTAFStock_Log[Part Name],$A42,T_TTAFStock_Log[WeekIndex],58))</f>
        <v/>
      </c>
      <c r="BH42" s="12">
        <f>IF(COUNTIFS(T_TTAFStock_Log[Part Name],$A42,T_TTAFStock_Log[WeekIndex],59)=0,"",SUMIFS(T_TTAFStock_Log[TTAF_Qty],T_TTAFStock_Log[Part Name],$A42,T_TTAFStock_Log[WeekIndex],59))</f>
        <v/>
      </c>
      <c r="BI42" s="12">
        <f>IF(COUNTIFS(T_TTAFStock_Log[Part Name],$A42,T_TTAFStock_Log[WeekIndex],60)=0,"",SUMIFS(T_TTAFStock_Log[TTAF_Qty],T_TTAFStock_Log[Part Name],$A42,T_TTAFStock_Log[WeekIndex],60))</f>
        <v/>
      </c>
      <c r="BJ42" s="12">
        <f>IF(COUNTIFS(T_TTAFStock_Log[Part Name],$A42,T_TTAFStock_Log[WeekIndex],61)=0,"",SUMIFS(T_TTAFStock_Log[TTAF_Qty],T_TTAFStock_Log[Part Name],$A42,T_TTAFStock_Log[WeekIndex],61))</f>
        <v/>
      </c>
      <c r="BK42" s="12">
        <f>IF(COUNTIFS(T_TTAFStock_Log[Part Name],$A42,T_TTAFStock_Log[WeekIndex],62)=0,"",SUMIFS(T_TTAFStock_Log[TTAF_Qty],T_TTAFStock_Log[Part Name],$A42,T_TTAFStock_Log[WeekIndex],62))</f>
        <v/>
      </c>
      <c r="BL42" s="12">
        <f>IF(COUNTIFS(T_TTAFStock_Log[Part Name],$A42,T_TTAFStock_Log[WeekIndex],63)=0,"",SUMIFS(T_TTAFStock_Log[TTAF_Qty],T_TTAFStock_Log[Part Name],$A42,T_TTAFStock_Log[WeekIndex],63))</f>
        <v/>
      </c>
      <c r="BM42" s="12">
        <f>IF(COUNTIFS(T_TTAFStock_Log[Part Name],$A42,T_TTAFStock_Log[WeekIndex],64)=0,"",SUMIFS(T_TTAFStock_Log[TTAF_Qty],T_TTAFStock_Log[Part Name],$A42,T_TTAFStock_Log[WeekIndex],64))</f>
        <v/>
      </c>
      <c r="BN42" s="12">
        <f>IF(COUNTIFS(T_TTAFStock_Log[Part Name],$A42,T_TTAFStock_Log[WeekIndex],65)=0,"",SUMIFS(T_TTAFStock_Log[TTAF_Qty],T_TTAFStock_Log[Part Name],$A42,T_TTAFStock_Log[WeekIndex],65))</f>
        <v/>
      </c>
      <c r="BO42" s="12">
        <f>IF(COUNTIFS(T_TTAFStock_Log[Part Name],$A42,T_TTAFStock_Log[WeekIndex],66)=0,"",SUMIFS(T_TTAFStock_Log[TTAF_Qty],T_TTAFStock_Log[Part Name],$A42,T_TTAFStock_Log[WeekIndex],66))</f>
        <v/>
      </c>
      <c r="BP42" s="12">
        <f>IF(COUNTIFS(T_TTAFStock_Log[Part Name],$A42,T_TTAFStock_Log[WeekIndex],67)=0,"",SUMIFS(T_TTAFStock_Log[TTAF_Qty],T_TTAFStock_Log[Part Name],$A42,T_TTAFStock_Log[WeekIndex],67))</f>
        <v/>
      </c>
      <c r="BQ42" s="12">
        <f>IF(COUNTIFS(T_TTAFStock_Log[Part Name],$A42,T_TTAFStock_Log[WeekIndex],68)=0,"",SUMIFS(T_TTAFStock_Log[TTAF_Qty],T_TTAFStock_Log[Part Name],$A42,T_TTAFStock_Log[WeekIndex],68))</f>
        <v/>
      </c>
      <c r="BR42" s="12">
        <f>IF(COUNTIFS(T_TTAFStock_Log[Part Name],$A42,T_TTAFStock_Log[WeekIndex],69)=0,"",SUMIFS(T_TTAFStock_Log[TTAF_Qty],T_TTAFStock_Log[Part Name],$A42,T_TTAFStock_Log[WeekIndex],69))</f>
        <v/>
      </c>
      <c r="BS42" s="12">
        <f>IF(COUNTIFS(T_TTAFStock_Log[Part Name],$A42,T_TTAFStock_Log[WeekIndex],70)=0,"",SUMIFS(T_TTAFStock_Log[TTAF_Qty],T_TTAFStock_Log[Part Name],$A42,T_TTAFStock_Log[WeekIndex],70))</f>
        <v/>
      </c>
      <c r="BT42" s="12">
        <f>IF(COUNTIFS(T_TTAFStock_Log[Part Name],$A42,T_TTAFStock_Log[WeekIndex],71)=0,"",SUMIFS(T_TTAFStock_Log[TTAF_Qty],T_TTAFStock_Log[Part Name],$A42,T_TTAFStock_Log[WeekIndex],71))</f>
        <v/>
      </c>
      <c r="BU42" s="12">
        <f>IF(COUNTIFS(T_TTAFStock_Log[Part Name],$A42,T_TTAFStock_Log[WeekIndex],72)=0,"",SUMIFS(T_TTAFStock_Log[TTAF_Qty],T_TTAFStock_Log[Part Name],$A42,T_TTAFStock_Log[WeekIndex],72))</f>
        <v/>
      </c>
      <c r="BV42" s="12">
        <f>IF(COUNTIFS(T_TTAFStock_Log[Part Name],$A42,T_TTAFStock_Log[WeekIndex],73)=0,"",SUMIFS(T_TTAFStock_Log[TTAF_Qty],T_TTAFStock_Log[Part Name],$A42,T_TTAFStock_Log[WeekIndex],73))</f>
        <v/>
      </c>
      <c r="BW42" s="12">
        <f>IF(COUNTIFS(T_TTAFStock_Log[Part Name],$A42,T_TTAFStock_Log[WeekIndex],74)=0,"",SUMIFS(T_TTAFStock_Log[TTAF_Qty],T_TTAFStock_Log[Part Name],$A42,T_TTAFStock_Log[WeekIndex],74))</f>
        <v/>
      </c>
      <c r="BX42" s="12">
        <f>IF(COUNTIFS(T_TTAFStock_Log[Part Name],$A42,T_TTAFStock_Log[WeekIndex],75)=0,"",SUMIFS(T_TTAFStock_Log[TTAF_Qty],T_TTAFStock_Log[Part Name],$A42,T_TTAFStock_Log[WeekIndex],75))</f>
        <v/>
      </c>
      <c r="BY42" s="12">
        <f>IF(COUNTIFS(T_TTAFStock_Log[Part Name],$A42,T_TTAFStock_Log[WeekIndex],76)=0,"",SUMIFS(T_TTAFStock_Log[TTAF_Qty],T_TTAFStock_Log[Part Name],$A42,T_TTAFStock_Log[WeekIndex],76))</f>
        <v/>
      </c>
      <c r="BZ42" s="12">
        <f>IF(COUNTIFS(T_TTAFStock_Log[Part Name],$A42,T_TTAFStock_Log[WeekIndex],77)=0,"",SUMIFS(T_TTAFStock_Log[TTAF_Qty],T_TTAFStock_Log[Part Name],$A42,T_TTAFStock_Log[WeekIndex],77))</f>
        <v/>
      </c>
      <c r="CA42" s="12">
        <f>IF(COUNTIFS(T_TTAFStock_Log[Part Name],$A42,T_TTAFStock_Log[WeekIndex],78)=0,"",SUMIFS(T_TTAFStock_Log[TTAF_Qty],T_TTAFStock_Log[Part Name],$A42,T_TTAFStock_Log[WeekIndex],78))</f>
        <v/>
      </c>
      <c r="CB42" s="12">
        <f>IF(COUNTIFS(T_TTAFStock_Log[Part Name],$A42,T_TTAFStock_Log[WeekIndex],79)=0,"",SUMIFS(T_TTAFStock_Log[TTAF_Qty],T_TTAFStock_Log[Part Name],$A42,T_TTAFStock_Log[WeekIndex],79))</f>
        <v/>
      </c>
      <c r="CC42" s="12">
        <f>IF(COUNTIFS(T_TTAFStock_Log[Part Name],$A42,T_TTAFStock_Log[WeekIndex],80)=0,"",SUMIFS(T_TTAFStock_Log[TTAF_Qty],T_TTAFStock_Log[Part Name],$A42,T_TTAFStock_Log[WeekIndex],80))</f>
        <v/>
      </c>
      <c r="CD42" s="12">
        <f>IF(COUNTIFS(T_TTAFStock_Log[Part Name],$A42,T_TTAFStock_Log[WeekIndex],81)=0,"",SUMIFS(T_TTAFStock_Log[TTAF_Qty],T_TTAFStock_Log[Part Name],$A42,T_TTAFStock_Log[WeekIndex],81))</f>
        <v/>
      </c>
      <c r="CE42" s="12">
        <f>IF(COUNTIFS(T_TTAFStock_Log[Part Name],$A42,T_TTAFStock_Log[WeekIndex],82)=0,"",SUMIFS(T_TTAFStock_Log[TTAF_Qty],T_TTAFStock_Log[Part Name],$A42,T_TTAFStock_Log[WeekIndex],82))</f>
        <v/>
      </c>
      <c r="CF42" s="12">
        <f>IF(COUNTIFS(T_TTAFStock_Log[Part Name],$A42,T_TTAFStock_Log[WeekIndex],83)=0,"",SUMIFS(T_TTAFStock_Log[TTAF_Qty],T_TTAFStock_Log[Part Name],$A42,T_TTAFStock_Log[WeekIndex],83))</f>
        <v/>
      </c>
      <c r="CG42" s="12">
        <f>IF(COUNTIFS(T_TTAFStock_Log[Part Name],$A42,T_TTAFStock_Log[WeekIndex],84)=0,"",SUMIFS(T_TTAFStock_Log[TTAF_Qty],T_TTAFStock_Log[Part Name],$A42,T_TTAFStock_Log[WeekIndex],84))</f>
        <v/>
      </c>
      <c r="CH42" s="12">
        <f>IF(COUNTIFS(T_TTAFStock_Log[Part Name],$A42,T_TTAFStock_Log[WeekIndex],85)=0,"",SUMIFS(T_TTAFStock_Log[TTAF_Qty],T_TTAFStock_Log[Part Name],$A42,T_TTAFStock_Log[WeekIndex],85))</f>
        <v/>
      </c>
      <c r="CI42" s="12">
        <f>IF(COUNTIFS(T_TTAFStock_Log[Part Name],$A42,T_TTAFStock_Log[WeekIndex],86)=0,"",SUMIFS(T_TTAFStock_Log[TTAF_Qty],T_TTAFStock_Log[Part Name],$A42,T_TTAFStock_Log[WeekIndex],86))</f>
        <v/>
      </c>
      <c r="CJ42" s="12">
        <f>IF(COUNTIFS(T_TTAFStock_Log[Part Name],$A42,T_TTAFStock_Log[WeekIndex],87)=0,"",SUMIFS(T_TTAFStock_Log[TTAF_Qty],T_TTAFStock_Log[Part Name],$A42,T_TTAFStock_Log[WeekIndex],87))</f>
        <v/>
      </c>
      <c r="CK42" s="12">
        <f>IF(COUNTIFS(T_TTAFStock_Log[Part Name],$A42,T_TTAFStock_Log[WeekIndex],88)=0,"",SUMIFS(T_TTAFStock_Log[TTAF_Qty],T_TTAFStock_Log[Part Name],$A42,T_TTAFStock_Log[WeekIndex],88))</f>
        <v/>
      </c>
      <c r="CL42" s="12">
        <f>IF(COUNTIFS(T_TTAFStock_Log[Part Name],$A42,T_TTAFStock_Log[WeekIndex],89)=0,"",SUMIFS(T_TTAFStock_Log[TTAF_Qty],T_TTAFStock_Log[Part Name],$A42,T_TTAFStock_Log[WeekIndex],89))</f>
        <v/>
      </c>
      <c r="CM42" s="12">
        <f>IF(COUNTIFS(T_TTAFStock_Log[Part Name],$A42,T_TTAFStock_Log[WeekIndex],90)=0,"",SUMIFS(T_TTAFStock_Log[TTAF_Qty],T_TTAFStock_Log[Part Name],$A42,T_TTAFStock_Log[WeekIndex],90))</f>
        <v/>
      </c>
      <c r="CN42" s="12">
        <f>IF(COUNTIFS(T_TTAFStock_Log[Part Name],$A42,T_TTAFStock_Log[WeekIndex],91)=0,"",SUMIFS(T_TTAFStock_Log[TTAF_Qty],T_TTAFStock_Log[Part Name],$A42,T_TTAFStock_Log[WeekIndex],91))</f>
        <v/>
      </c>
      <c r="CO42" s="12">
        <f>IF(COUNTIFS(T_TTAFStock_Log[Part Name],$A42,T_TTAFStock_Log[WeekIndex],92)=0,"",SUMIFS(T_TTAFStock_Log[TTAF_Qty],T_TTAFStock_Log[Part Name],$A42,T_TTAFStock_Log[WeekIndex],92))</f>
        <v/>
      </c>
      <c r="CP42" s="12">
        <f>IF(COUNTIFS(T_TTAFStock_Log[Part Name],$A42,T_TTAFStock_Log[WeekIndex],93)=0,"",SUMIFS(T_TTAFStock_Log[TTAF_Qty],T_TTAFStock_Log[Part Name],$A42,T_TTAFStock_Log[WeekIndex],93))</f>
        <v/>
      </c>
      <c r="CQ42" s="12">
        <f>IF(COUNTIFS(T_TTAFStock_Log[Part Name],$A42,T_TTAFStock_Log[WeekIndex],94)=0,"",SUMIFS(T_TTAFStock_Log[TTAF_Qty],T_TTAFStock_Log[Part Name],$A42,T_TTAFStock_Log[WeekIndex],94))</f>
        <v/>
      </c>
      <c r="CR42" s="12">
        <f>IF(COUNTIFS(T_TTAFStock_Log[Part Name],$A42,T_TTAFStock_Log[WeekIndex],95)=0,"",SUMIFS(T_TTAFStock_Log[TTAF_Qty],T_TTAFStock_Log[Part Name],$A42,T_TTAFStock_Log[WeekIndex],95))</f>
        <v/>
      </c>
      <c r="CS42" s="12">
        <f>IF(COUNTIFS(T_TTAFStock_Log[Part Name],$A42,T_TTAFStock_Log[WeekIndex],96)=0,"",SUMIFS(T_TTAFStock_Log[TTAF_Qty],T_TTAFStock_Log[Part Name],$A42,T_TTAFStock_Log[WeekIndex],96))</f>
        <v/>
      </c>
      <c r="CT42" s="12">
        <f>IF(COUNTIFS(T_TTAFStock_Log[Part Name],$A42,T_TTAFStock_Log[WeekIndex],97)=0,"",SUMIFS(T_TTAFStock_Log[TTAF_Qty],T_TTAFStock_Log[Part Name],$A42,T_TTAFStock_Log[WeekIndex],97))</f>
        <v/>
      </c>
      <c r="CU42" s="12">
        <f>IF(COUNTIFS(T_TTAFStock_Log[Part Name],$A42,T_TTAFStock_Log[WeekIndex],98)=0,"",SUMIFS(T_TTAFStock_Log[TTAF_Qty],T_TTAFStock_Log[Part Name],$A42,T_TTAFStock_Log[WeekIndex],98))</f>
        <v/>
      </c>
      <c r="CV42" s="12">
        <f>IF(COUNTIFS(T_TTAFStock_Log[Part Name],$A42,T_TTAFStock_Log[WeekIndex],99)=0,"",SUMIFS(T_TTAFStock_Log[TTAF_Qty],T_TTAFStock_Log[Part Name],$A42,T_TTAFStock_Log[WeekIndex],99))</f>
        <v/>
      </c>
      <c r="CW42" s="12">
        <f>IF(COUNTIFS(T_TTAFStock_Log[Part Name],$A42,T_TTAFStock_Log[WeekIndex],100)=0,"",SUMIFS(T_TTAFStock_Log[TTAF_Qty],T_TTAFStock_Log[Part Name],$A42,T_TTAFStock_Log[WeekIndex],100))</f>
        <v/>
      </c>
      <c r="CX42" s="12">
        <f>IF(COUNTIFS(T_TTAFStock_Log[Part Name],$A42,T_TTAFStock_Log[WeekIndex],101)=0,"",SUMIFS(T_TTAFStock_Log[TTAF_Qty],T_TTAFStock_Log[Part Name],$A42,T_TTAFStock_Log[WeekIndex],101))</f>
        <v/>
      </c>
      <c r="CY42" s="12">
        <f>IF(COUNTIFS(T_TTAFStock_Log[Part Name],$A42,T_TTAFStock_Log[WeekIndex],102)=0,"",SUMIFS(T_TTAFStock_Log[TTAF_Qty],T_TTAFStock_Log[Part Name],$A42,T_TTAFStock_Log[WeekIndex],102))</f>
        <v/>
      </c>
      <c r="CZ42" s="12">
        <f>IF(COUNTIFS(T_TTAFStock_Log[Part Name],$A42,T_TTAFStock_Log[WeekIndex],103)=0,"",SUMIFS(T_TTAFStock_Log[TTAF_Qty],T_TTAFStock_Log[Part Name],$A42,T_TTAFStock_Log[WeekIndex],103))</f>
        <v/>
      </c>
      <c r="DA42" s="12">
        <f>IF(COUNTIFS(T_TTAFStock_Log[Part Name],$A42,T_TTAFStock_Log[WeekIndex],104)=0,"",SUMIFS(T_TTAFStock_Log[TTAF_Qty],T_TTAFStock_Log[Part Name],$A42,T_TTAFStock_Log[WeekIndex],104))</f>
        <v/>
      </c>
    </row>
    <row r="43">
      <c r="A43" s="13" t="inlineStr">
        <is>
          <t>PP Film</t>
        </is>
      </c>
      <c r="B43" s="13">
        <f>IF(COUNTIFS(T_TTAFStock_Log[Part Name],$A43,T_TTAFStock_Log[WeekIndex],1)=0,"",SUMIFS(T_TTAFStock_Log[TTAF_Qty],T_TTAFStock_Log[Part Name],$A43,T_TTAFStock_Log[WeekIndex],1))</f>
        <v/>
      </c>
      <c r="C43" s="13">
        <f>IF(COUNTIFS(T_TTAFStock_Log[Part Name],$A43,T_TTAFStock_Log[WeekIndex],2)=0,"",SUMIFS(T_TTAFStock_Log[TTAF_Qty],T_TTAFStock_Log[Part Name],$A43,T_TTAFStock_Log[WeekIndex],2))</f>
        <v/>
      </c>
      <c r="D43" s="13">
        <f>IF(COUNTIFS(T_TTAFStock_Log[Part Name],$A43,T_TTAFStock_Log[WeekIndex],3)=0,"",SUMIFS(T_TTAFStock_Log[TTAF_Qty],T_TTAFStock_Log[Part Name],$A43,T_TTAFStock_Log[WeekIndex],3))</f>
        <v/>
      </c>
      <c r="E43" s="13">
        <f>IF(COUNTIFS(T_TTAFStock_Log[Part Name],$A43,T_TTAFStock_Log[WeekIndex],4)=0,"",SUMIFS(T_TTAFStock_Log[TTAF_Qty],T_TTAFStock_Log[Part Name],$A43,T_TTAFStock_Log[WeekIndex],4))</f>
        <v/>
      </c>
      <c r="F43" s="13">
        <f>IF(COUNTIFS(T_TTAFStock_Log[Part Name],$A43,T_TTAFStock_Log[WeekIndex],5)=0,"",SUMIFS(T_TTAFStock_Log[TTAF_Qty],T_TTAFStock_Log[Part Name],$A43,T_TTAFStock_Log[WeekIndex],5))</f>
        <v/>
      </c>
      <c r="G43" s="13">
        <f>IF(COUNTIFS(T_TTAFStock_Log[Part Name],$A43,T_TTAFStock_Log[WeekIndex],6)=0,"",SUMIFS(T_TTAFStock_Log[TTAF_Qty],T_TTAFStock_Log[Part Name],$A43,T_TTAFStock_Log[WeekIndex],6))</f>
        <v/>
      </c>
      <c r="H43" s="13">
        <f>IF(COUNTIFS(T_TTAFStock_Log[Part Name],$A43,T_TTAFStock_Log[WeekIndex],7)=0,"",SUMIFS(T_TTAFStock_Log[TTAF_Qty],T_TTAFStock_Log[Part Name],$A43,T_TTAFStock_Log[WeekIndex],7))</f>
        <v/>
      </c>
      <c r="I43" s="13">
        <f>IF(COUNTIFS(T_TTAFStock_Log[Part Name],$A43,T_TTAFStock_Log[WeekIndex],8)=0,"",SUMIFS(T_TTAFStock_Log[TTAF_Qty],T_TTAFStock_Log[Part Name],$A43,T_TTAFStock_Log[WeekIndex],8))</f>
        <v/>
      </c>
      <c r="J43" s="13">
        <f>IF(COUNTIFS(T_TTAFStock_Log[Part Name],$A43,T_TTAFStock_Log[WeekIndex],9)=0,"",SUMIFS(T_TTAFStock_Log[TTAF_Qty],T_TTAFStock_Log[Part Name],$A43,T_TTAFStock_Log[WeekIndex],9))</f>
        <v/>
      </c>
      <c r="K43" s="13">
        <f>IF(COUNTIFS(T_TTAFStock_Log[Part Name],$A43,T_TTAFStock_Log[WeekIndex],10)=0,"",SUMIFS(T_TTAFStock_Log[TTAF_Qty],T_TTAFStock_Log[Part Name],$A43,T_TTAFStock_Log[WeekIndex],10))</f>
        <v/>
      </c>
      <c r="L43" s="13">
        <f>IF(COUNTIFS(T_TTAFStock_Log[Part Name],$A43,T_TTAFStock_Log[WeekIndex],11)=0,"",SUMIFS(T_TTAFStock_Log[TTAF_Qty],T_TTAFStock_Log[Part Name],$A43,T_TTAFStock_Log[WeekIndex],11))</f>
        <v/>
      </c>
      <c r="M43" s="13">
        <f>IF(COUNTIFS(T_TTAFStock_Log[Part Name],$A43,T_TTAFStock_Log[WeekIndex],12)=0,"",SUMIFS(T_TTAFStock_Log[TTAF_Qty],T_TTAFStock_Log[Part Name],$A43,T_TTAFStock_Log[WeekIndex],12))</f>
        <v/>
      </c>
      <c r="N43" s="13">
        <f>IF(COUNTIFS(T_TTAFStock_Log[Part Name],$A43,T_TTAFStock_Log[WeekIndex],13)=0,"",SUMIFS(T_TTAFStock_Log[TTAF_Qty],T_TTAFStock_Log[Part Name],$A43,T_TTAFStock_Log[WeekIndex],13))</f>
        <v/>
      </c>
      <c r="O43" s="13">
        <f>IF(COUNTIFS(T_TTAFStock_Log[Part Name],$A43,T_TTAFStock_Log[WeekIndex],14)=0,"",SUMIFS(T_TTAFStock_Log[TTAF_Qty],T_TTAFStock_Log[Part Name],$A43,T_TTAFStock_Log[WeekIndex],14))</f>
        <v/>
      </c>
      <c r="P43" s="13">
        <f>IF(COUNTIFS(T_TTAFStock_Log[Part Name],$A43,T_TTAFStock_Log[WeekIndex],15)=0,"",SUMIFS(T_TTAFStock_Log[TTAF_Qty],T_TTAFStock_Log[Part Name],$A43,T_TTAFStock_Log[WeekIndex],15))</f>
        <v/>
      </c>
      <c r="Q43" s="13">
        <f>IF(COUNTIFS(T_TTAFStock_Log[Part Name],$A43,T_TTAFStock_Log[WeekIndex],16)=0,"",SUMIFS(T_TTAFStock_Log[TTAF_Qty],T_TTAFStock_Log[Part Name],$A43,T_TTAFStock_Log[WeekIndex],16))</f>
        <v/>
      </c>
      <c r="R43" s="13">
        <f>IF(COUNTIFS(T_TTAFStock_Log[Part Name],$A43,T_TTAFStock_Log[WeekIndex],17)=0,"",SUMIFS(T_TTAFStock_Log[TTAF_Qty],T_TTAFStock_Log[Part Name],$A43,T_TTAFStock_Log[WeekIndex],17))</f>
        <v/>
      </c>
      <c r="S43" s="13">
        <f>IF(COUNTIFS(T_TTAFStock_Log[Part Name],$A43,T_TTAFStock_Log[WeekIndex],18)=0,"",SUMIFS(T_TTAFStock_Log[TTAF_Qty],T_TTAFStock_Log[Part Name],$A43,T_TTAFStock_Log[WeekIndex],18))</f>
        <v/>
      </c>
      <c r="T43" s="13">
        <f>IF(COUNTIFS(T_TTAFStock_Log[Part Name],$A43,T_TTAFStock_Log[WeekIndex],19)=0,"",SUMIFS(T_TTAFStock_Log[TTAF_Qty],T_TTAFStock_Log[Part Name],$A43,T_TTAFStock_Log[WeekIndex],19))</f>
        <v/>
      </c>
      <c r="U43" s="13">
        <f>IF(COUNTIFS(T_TTAFStock_Log[Part Name],$A43,T_TTAFStock_Log[WeekIndex],20)=0,"",SUMIFS(T_TTAFStock_Log[TTAF_Qty],T_TTAFStock_Log[Part Name],$A43,T_TTAFStock_Log[WeekIndex],20))</f>
        <v/>
      </c>
      <c r="V43" s="13">
        <f>IF(COUNTIFS(T_TTAFStock_Log[Part Name],$A43,T_TTAFStock_Log[WeekIndex],21)=0,"",SUMIFS(T_TTAFStock_Log[TTAF_Qty],T_TTAFStock_Log[Part Name],$A43,T_TTAFStock_Log[WeekIndex],21))</f>
        <v/>
      </c>
      <c r="W43" s="13">
        <f>IF(COUNTIFS(T_TTAFStock_Log[Part Name],$A43,T_TTAFStock_Log[WeekIndex],22)=0,"",SUMIFS(T_TTAFStock_Log[TTAF_Qty],T_TTAFStock_Log[Part Name],$A43,T_TTAFStock_Log[WeekIndex],22))</f>
        <v/>
      </c>
      <c r="X43" s="13">
        <f>IF(COUNTIFS(T_TTAFStock_Log[Part Name],$A43,T_TTAFStock_Log[WeekIndex],23)=0,"",SUMIFS(T_TTAFStock_Log[TTAF_Qty],T_TTAFStock_Log[Part Name],$A43,T_TTAFStock_Log[WeekIndex],23))</f>
        <v/>
      </c>
      <c r="Y43" s="13">
        <f>IF(COUNTIFS(T_TTAFStock_Log[Part Name],$A43,T_TTAFStock_Log[WeekIndex],24)=0,"",SUMIFS(T_TTAFStock_Log[TTAF_Qty],T_TTAFStock_Log[Part Name],$A43,T_TTAFStock_Log[WeekIndex],24))</f>
        <v/>
      </c>
      <c r="Z43" s="13">
        <f>IF(COUNTIFS(T_TTAFStock_Log[Part Name],$A43,T_TTAFStock_Log[WeekIndex],25)=0,"",SUMIFS(T_TTAFStock_Log[TTAF_Qty],T_TTAFStock_Log[Part Name],$A43,T_TTAFStock_Log[WeekIndex],25))</f>
        <v/>
      </c>
      <c r="AA43" s="13">
        <f>IF(COUNTIFS(T_TTAFStock_Log[Part Name],$A43,T_TTAFStock_Log[WeekIndex],26)=0,"",SUMIFS(T_TTAFStock_Log[TTAF_Qty],T_TTAFStock_Log[Part Name],$A43,T_TTAFStock_Log[WeekIndex],26))</f>
        <v/>
      </c>
      <c r="AB43" s="13">
        <f>IF(COUNTIFS(T_TTAFStock_Log[Part Name],$A43,T_TTAFStock_Log[WeekIndex],27)=0,"",SUMIFS(T_TTAFStock_Log[TTAF_Qty],T_TTAFStock_Log[Part Name],$A43,T_TTAFStock_Log[WeekIndex],27))</f>
        <v/>
      </c>
      <c r="AC43" s="13">
        <f>IF(COUNTIFS(T_TTAFStock_Log[Part Name],$A43,T_TTAFStock_Log[WeekIndex],28)=0,"",SUMIFS(T_TTAFStock_Log[TTAF_Qty],T_TTAFStock_Log[Part Name],$A43,T_TTAFStock_Log[WeekIndex],28))</f>
        <v/>
      </c>
      <c r="AD43" s="13">
        <f>IF(COUNTIFS(T_TTAFStock_Log[Part Name],$A43,T_TTAFStock_Log[WeekIndex],29)=0,"",SUMIFS(T_TTAFStock_Log[TTAF_Qty],T_TTAFStock_Log[Part Name],$A43,T_TTAFStock_Log[WeekIndex],29))</f>
        <v/>
      </c>
      <c r="AE43" s="13">
        <f>IF(COUNTIFS(T_TTAFStock_Log[Part Name],$A43,T_TTAFStock_Log[WeekIndex],30)=0,"",SUMIFS(T_TTAFStock_Log[TTAF_Qty],T_TTAFStock_Log[Part Name],$A43,T_TTAFStock_Log[WeekIndex],30))</f>
        <v/>
      </c>
      <c r="AF43" s="13">
        <f>IF(COUNTIFS(T_TTAFStock_Log[Part Name],$A43,T_TTAFStock_Log[WeekIndex],31)=0,"",SUMIFS(T_TTAFStock_Log[TTAF_Qty],T_TTAFStock_Log[Part Name],$A43,T_TTAFStock_Log[WeekIndex],31))</f>
        <v/>
      </c>
      <c r="AG43" s="13">
        <f>IF(COUNTIFS(T_TTAFStock_Log[Part Name],$A43,T_TTAFStock_Log[WeekIndex],32)=0,"",SUMIFS(T_TTAFStock_Log[TTAF_Qty],T_TTAFStock_Log[Part Name],$A43,T_TTAFStock_Log[WeekIndex],32))</f>
        <v/>
      </c>
      <c r="AH43" s="13">
        <f>IF(COUNTIFS(T_TTAFStock_Log[Part Name],$A43,T_TTAFStock_Log[WeekIndex],33)=0,"",SUMIFS(T_TTAFStock_Log[TTAF_Qty],T_TTAFStock_Log[Part Name],$A43,T_TTAFStock_Log[WeekIndex],33))</f>
        <v/>
      </c>
      <c r="AI43" s="13">
        <f>IF(COUNTIFS(T_TTAFStock_Log[Part Name],$A43,T_TTAFStock_Log[WeekIndex],34)=0,"",SUMIFS(T_TTAFStock_Log[TTAF_Qty],T_TTAFStock_Log[Part Name],$A43,T_TTAFStock_Log[WeekIndex],34))</f>
        <v/>
      </c>
      <c r="AJ43" s="13">
        <f>IF(COUNTIFS(T_TTAFStock_Log[Part Name],$A43,T_TTAFStock_Log[WeekIndex],35)=0,"",SUMIFS(T_TTAFStock_Log[TTAF_Qty],T_TTAFStock_Log[Part Name],$A43,T_TTAFStock_Log[WeekIndex],35))</f>
        <v/>
      </c>
      <c r="AK43" s="13">
        <f>IF(COUNTIFS(T_TTAFStock_Log[Part Name],$A43,T_TTAFStock_Log[WeekIndex],36)=0,"",SUMIFS(T_TTAFStock_Log[TTAF_Qty],T_TTAFStock_Log[Part Name],$A43,T_TTAFStock_Log[WeekIndex],36))</f>
        <v/>
      </c>
      <c r="AL43" s="13">
        <f>IF(COUNTIFS(T_TTAFStock_Log[Part Name],$A43,T_TTAFStock_Log[WeekIndex],37)=0,"",SUMIFS(T_TTAFStock_Log[TTAF_Qty],T_TTAFStock_Log[Part Name],$A43,T_TTAFStock_Log[WeekIndex],37))</f>
        <v/>
      </c>
      <c r="AM43" s="13">
        <f>IF(COUNTIFS(T_TTAFStock_Log[Part Name],$A43,T_TTAFStock_Log[WeekIndex],38)=0,"",SUMIFS(T_TTAFStock_Log[TTAF_Qty],T_TTAFStock_Log[Part Name],$A43,T_TTAFStock_Log[WeekIndex],38))</f>
        <v/>
      </c>
      <c r="AN43" s="13">
        <f>IF(COUNTIFS(T_TTAFStock_Log[Part Name],$A43,T_TTAFStock_Log[WeekIndex],39)=0,"",SUMIFS(T_TTAFStock_Log[TTAF_Qty],T_TTAFStock_Log[Part Name],$A43,T_TTAFStock_Log[WeekIndex],39))</f>
        <v/>
      </c>
      <c r="AO43" s="13">
        <f>IF(COUNTIFS(T_TTAFStock_Log[Part Name],$A43,T_TTAFStock_Log[WeekIndex],40)=0,"",SUMIFS(T_TTAFStock_Log[TTAF_Qty],T_TTAFStock_Log[Part Name],$A43,T_TTAFStock_Log[WeekIndex],40))</f>
        <v/>
      </c>
      <c r="AP43" s="13">
        <f>IF(COUNTIFS(T_TTAFStock_Log[Part Name],$A43,T_TTAFStock_Log[WeekIndex],41)=0,"",SUMIFS(T_TTAFStock_Log[TTAF_Qty],T_TTAFStock_Log[Part Name],$A43,T_TTAFStock_Log[WeekIndex],41))</f>
        <v/>
      </c>
      <c r="AQ43" s="13">
        <f>IF(COUNTIFS(T_TTAFStock_Log[Part Name],$A43,T_TTAFStock_Log[WeekIndex],42)=0,"",SUMIFS(T_TTAFStock_Log[TTAF_Qty],T_TTAFStock_Log[Part Name],$A43,T_TTAFStock_Log[WeekIndex],42))</f>
        <v/>
      </c>
      <c r="AR43" s="13">
        <f>IF(COUNTIFS(T_TTAFStock_Log[Part Name],$A43,T_TTAFStock_Log[WeekIndex],43)=0,"",SUMIFS(T_TTAFStock_Log[TTAF_Qty],T_TTAFStock_Log[Part Name],$A43,T_TTAFStock_Log[WeekIndex],43))</f>
        <v/>
      </c>
      <c r="AS43" s="13">
        <f>IF(COUNTIFS(T_TTAFStock_Log[Part Name],$A43,T_TTAFStock_Log[WeekIndex],44)=0,"",SUMIFS(T_TTAFStock_Log[TTAF_Qty],T_TTAFStock_Log[Part Name],$A43,T_TTAFStock_Log[WeekIndex],44))</f>
        <v/>
      </c>
      <c r="AT43" s="13">
        <f>IF(COUNTIFS(T_TTAFStock_Log[Part Name],$A43,T_TTAFStock_Log[WeekIndex],45)=0,"",SUMIFS(T_TTAFStock_Log[TTAF_Qty],T_TTAFStock_Log[Part Name],$A43,T_TTAFStock_Log[WeekIndex],45))</f>
        <v/>
      </c>
      <c r="AU43" s="13">
        <f>IF(COUNTIFS(T_TTAFStock_Log[Part Name],$A43,T_TTAFStock_Log[WeekIndex],46)=0,"",SUMIFS(T_TTAFStock_Log[TTAF_Qty],T_TTAFStock_Log[Part Name],$A43,T_TTAFStock_Log[WeekIndex],46))</f>
        <v/>
      </c>
      <c r="AV43" s="13">
        <f>IF(COUNTIFS(T_TTAFStock_Log[Part Name],$A43,T_TTAFStock_Log[WeekIndex],47)=0,"",SUMIFS(T_TTAFStock_Log[TTAF_Qty],T_TTAFStock_Log[Part Name],$A43,T_TTAFStock_Log[WeekIndex],47))</f>
        <v/>
      </c>
      <c r="AW43" s="13">
        <f>IF(COUNTIFS(T_TTAFStock_Log[Part Name],$A43,T_TTAFStock_Log[WeekIndex],48)=0,"",SUMIFS(T_TTAFStock_Log[TTAF_Qty],T_TTAFStock_Log[Part Name],$A43,T_TTAFStock_Log[WeekIndex],48))</f>
        <v/>
      </c>
      <c r="AX43" s="13">
        <f>IF(COUNTIFS(T_TTAFStock_Log[Part Name],$A43,T_TTAFStock_Log[WeekIndex],49)=0,"",SUMIFS(T_TTAFStock_Log[TTAF_Qty],T_TTAFStock_Log[Part Name],$A43,T_TTAFStock_Log[WeekIndex],49))</f>
        <v/>
      </c>
      <c r="AY43" s="13">
        <f>IF(COUNTIFS(T_TTAFStock_Log[Part Name],$A43,T_TTAFStock_Log[WeekIndex],50)=0,"",SUMIFS(T_TTAFStock_Log[TTAF_Qty],T_TTAFStock_Log[Part Name],$A43,T_TTAFStock_Log[WeekIndex],50))</f>
        <v/>
      </c>
      <c r="AZ43" s="13">
        <f>IF(COUNTIFS(T_TTAFStock_Log[Part Name],$A43,T_TTAFStock_Log[WeekIndex],51)=0,"",SUMIFS(T_TTAFStock_Log[TTAF_Qty],T_TTAFStock_Log[Part Name],$A43,T_TTAFStock_Log[WeekIndex],51))</f>
        <v/>
      </c>
      <c r="BA43" s="13">
        <f>IF(COUNTIFS(T_TTAFStock_Log[Part Name],$A43,T_TTAFStock_Log[WeekIndex],52)=0,"",SUMIFS(T_TTAFStock_Log[TTAF_Qty],T_TTAFStock_Log[Part Name],$A43,T_TTAFStock_Log[WeekIndex],52))</f>
        <v/>
      </c>
      <c r="BB43" s="13">
        <f>IF(COUNTIFS(T_TTAFStock_Log[Part Name],$A43,T_TTAFStock_Log[WeekIndex],53)=0,"",SUMIFS(T_TTAFStock_Log[TTAF_Qty],T_TTAFStock_Log[Part Name],$A43,T_TTAFStock_Log[WeekIndex],53))</f>
        <v/>
      </c>
      <c r="BC43" s="13">
        <f>IF(COUNTIFS(T_TTAFStock_Log[Part Name],$A43,T_TTAFStock_Log[WeekIndex],54)=0,"",SUMIFS(T_TTAFStock_Log[TTAF_Qty],T_TTAFStock_Log[Part Name],$A43,T_TTAFStock_Log[WeekIndex],54))</f>
        <v/>
      </c>
      <c r="BD43" s="13">
        <f>IF(COUNTIFS(T_TTAFStock_Log[Part Name],$A43,T_TTAFStock_Log[WeekIndex],55)=0,"",SUMIFS(T_TTAFStock_Log[TTAF_Qty],T_TTAFStock_Log[Part Name],$A43,T_TTAFStock_Log[WeekIndex],55))</f>
        <v/>
      </c>
      <c r="BE43" s="13">
        <f>IF(COUNTIFS(T_TTAFStock_Log[Part Name],$A43,T_TTAFStock_Log[WeekIndex],56)=0,"",SUMIFS(T_TTAFStock_Log[TTAF_Qty],T_TTAFStock_Log[Part Name],$A43,T_TTAFStock_Log[WeekIndex],56))</f>
        <v/>
      </c>
      <c r="BF43" s="13">
        <f>IF(COUNTIFS(T_TTAFStock_Log[Part Name],$A43,T_TTAFStock_Log[WeekIndex],57)=0,"",SUMIFS(T_TTAFStock_Log[TTAF_Qty],T_TTAFStock_Log[Part Name],$A43,T_TTAFStock_Log[WeekIndex],57))</f>
        <v/>
      </c>
      <c r="BG43" s="13">
        <f>IF(COUNTIFS(T_TTAFStock_Log[Part Name],$A43,T_TTAFStock_Log[WeekIndex],58)=0,"",SUMIFS(T_TTAFStock_Log[TTAF_Qty],T_TTAFStock_Log[Part Name],$A43,T_TTAFStock_Log[WeekIndex],58))</f>
        <v/>
      </c>
      <c r="BH43" s="13">
        <f>IF(COUNTIFS(T_TTAFStock_Log[Part Name],$A43,T_TTAFStock_Log[WeekIndex],59)=0,"",SUMIFS(T_TTAFStock_Log[TTAF_Qty],T_TTAFStock_Log[Part Name],$A43,T_TTAFStock_Log[WeekIndex],59))</f>
        <v/>
      </c>
      <c r="BI43" s="13">
        <f>IF(COUNTIFS(T_TTAFStock_Log[Part Name],$A43,T_TTAFStock_Log[WeekIndex],60)=0,"",SUMIFS(T_TTAFStock_Log[TTAF_Qty],T_TTAFStock_Log[Part Name],$A43,T_TTAFStock_Log[WeekIndex],60))</f>
        <v/>
      </c>
      <c r="BJ43" s="13">
        <f>IF(COUNTIFS(T_TTAFStock_Log[Part Name],$A43,T_TTAFStock_Log[WeekIndex],61)=0,"",SUMIFS(T_TTAFStock_Log[TTAF_Qty],T_TTAFStock_Log[Part Name],$A43,T_TTAFStock_Log[WeekIndex],61))</f>
        <v/>
      </c>
      <c r="BK43" s="13">
        <f>IF(COUNTIFS(T_TTAFStock_Log[Part Name],$A43,T_TTAFStock_Log[WeekIndex],62)=0,"",SUMIFS(T_TTAFStock_Log[TTAF_Qty],T_TTAFStock_Log[Part Name],$A43,T_TTAFStock_Log[WeekIndex],62))</f>
        <v/>
      </c>
      <c r="BL43" s="13">
        <f>IF(COUNTIFS(T_TTAFStock_Log[Part Name],$A43,T_TTAFStock_Log[WeekIndex],63)=0,"",SUMIFS(T_TTAFStock_Log[TTAF_Qty],T_TTAFStock_Log[Part Name],$A43,T_TTAFStock_Log[WeekIndex],63))</f>
        <v/>
      </c>
      <c r="BM43" s="13">
        <f>IF(COUNTIFS(T_TTAFStock_Log[Part Name],$A43,T_TTAFStock_Log[WeekIndex],64)=0,"",SUMIFS(T_TTAFStock_Log[TTAF_Qty],T_TTAFStock_Log[Part Name],$A43,T_TTAFStock_Log[WeekIndex],64))</f>
        <v/>
      </c>
      <c r="BN43" s="13">
        <f>IF(COUNTIFS(T_TTAFStock_Log[Part Name],$A43,T_TTAFStock_Log[WeekIndex],65)=0,"",SUMIFS(T_TTAFStock_Log[TTAF_Qty],T_TTAFStock_Log[Part Name],$A43,T_TTAFStock_Log[WeekIndex],65))</f>
        <v/>
      </c>
      <c r="BO43" s="13">
        <f>IF(COUNTIFS(T_TTAFStock_Log[Part Name],$A43,T_TTAFStock_Log[WeekIndex],66)=0,"",SUMIFS(T_TTAFStock_Log[TTAF_Qty],T_TTAFStock_Log[Part Name],$A43,T_TTAFStock_Log[WeekIndex],66))</f>
        <v/>
      </c>
      <c r="BP43" s="13">
        <f>IF(COUNTIFS(T_TTAFStock_Log[Part Name],$A43,T_TTAFStock_Log[WeekIndex],67)=0,"",SUMIFS(T_TTAFStock_Log[TTAF_Qty],T_TTAFStock_Log[Part Name],$A43,T_TTAFStock_Log[WeekIndex],67))</f>
        <v/>
      </c>
      <c r="BQ43" s="13">
        <f>IF(COUNTIFS(T_TTAFStock_Log[Part Name],$A43,T_TTAFStock_Log[WeekIndex],68)=0,"",SUMIFS(T_TTAFStock_Log[TTAF_Qty],T_TTAFStock_Log[Part Name],$A43,T_TTAFStock_Log[WeekIndex],68))</f>
        <v/>
      </c>
      <c r="BR43" s="13">
        <f>IF(COUNTIFS(T_TTAFStock_Log[Part Name],$A43,T_TTAFStock_Log[WeekIndex],69)=0,"",SUMIFS(T_TTAFStock_Log[TTAF_Qty],T_TTAFStock_Log[Part Name],$A43,T_TTAFStock_Log[WeekIndex],69))</f>
        <v/>
      </c>
      <c r="BS43" s="13">
        <f>IF(COUNTIFS(T_TTAFStock_Log[Part Name],$A43,T_TTAFStock_Log[WeekIndex],70)=0,"",SUMIFS(T_TTAFStock_Log[TTAF_Qty],T_TTAFStock_Log[Part Name],$A43,T_TTAFStock_Log[WeekIndex],70))</f>
        <v/>
      </c>
      <c r="BT43" s="13">
        <f>IF(COUNTIFS(T_TTAFStock_Log[Part Name],$A43,T_TTAFStock_Log[WeekIndex],71)=0,"",SUMIFS(T_TTAFStock_Log[TTAF_Qty],T_TTAFStock_Log[Part Name],$A43,T_TTAFStock_Log[WeekIndex],71))</f>
        <v/>
      </c>
      <c r="BU43" s="13">
        <f>IF(COUNTIFS(T_TTAFStock_Log[Part Name],$A43,T_TTAFStock_Log[WeekIndex],72)=0,"",SUMIFS(T_TTAFStock_Log[TTAF_Qty],T_TTAFStock_Log[Part Name],$A43,T_TTAFStock_Log[WeekIndex],72))</f>
        <v/>
      </c>
      <c r="BV43" s="13">
        <f>IF(COUNTIFS(T_TTAFStock_Log[Part Name],$A43,T_TTAFStock_Log[WeekIndex],73)=0,"",SUMIFS(T_TTAFStock_Log[TTAF_Qty],T_TTAFStock_Log[Part Name],$A43,T_TTAFStock_Log[WeekIndex],73))</f>
        <v/>
      </c>
      <c r="BW43" s="13">
        <f>IF(COUNTIFS(T_TTAFStock_Log[Part Name],$A43,T_TTAFStock_Log[WeekIndex],74)=0,"",SUMIFS(T_TTAFStock_Log[TTAF_Qty],T_TTAFStock_Log[Part Name],$A43,T_TTAFStock_Log[WeekIndex],74))</f>
        <v/>
      </c>
      <c r="BX43" s="13">
        <f>IF(COUNTIFS(T_TTAFStock_Log[Part Name],$A43,T_TTAFStock_Log[WeekIndex],75)=0,"",SUMIFS(T_TTAFStock_Log[TTAF_Qty],T_TTAFStock_Log[Part Name],$A43,T_TTAFStock_Log[WeekIndex],75))</f>
        <v/>
      </c>
      <c r="BY43" s="13">
        <f>IF(COUNTIFS(T_TTAFStock_Log[Part Name],$A43,T_TTAFStock_Log[WeekIndex],76)=0,"",SUMIFS(T_TTAFStock_Log[TTAF_Qty],T_TTAFStock_Log[Part Name],$A43,T_TTAFStock_Log[WeekIndex],76))</f>
        <v/>
      </c>
      <c r="BZ43" s="13">
        <f>IF(COUNTIFS(T_TTAFStock_Log[Part Name],$A43,T_TTAFStock_Log[WeekIndex],77)=0,"",SUMIFS(T_TTAFStock_Log[TTAF_Qty],T_TTAFStock_Log[Part Name],$A43,T_TTAFStock_Log[WeekIndex],77))</f>
        <v/>
      </c>
      <c r="CA43" s="13">
        <f>IF(COUNTIFS(T_TTAFStock_Log[Part Name],$A43,T_TTAFStock_Log[WeekIndex],78)=0,"",SUMIFS(T_TTAFStock_Log[TTAF_Qty],T_TTAFStock_Log[Part Name],$A43,T_TTAFStock_Log[WeekIndex],78))</f>
        <v/>
      </c>
      <c r="CB43" s="13">
        <f>IF(COUNTIFS(T_TTAFStock_Log[Part Name],$A43,T_TTAFStock_Log[WeekIndex],79)=0,"",SUMIFS(T_TTAFStock_Log[TTAF_Qty],T_TTAFStock_Log[Part Name],$A43,T_TTAFStock_Log[WeekIndex],79))</f>
        <v/>
      </c>
      <c r="CC43" s="13">
        <f>IF(COUNTIFS(T_TTAFStock_Log[Part Name],$A43,T_TTAFStock_Log[WeekIndex],80)=0,"",SUMIFS(T_TTAFStock_Log[TTAF_Qty],T_TTAFStock_Log[Part Name],$A43,T_TTAFStock_Log[WeekIndex],80))</f>
        <v/>
      </c>
      <c r="CD43" s="13">
        <f>IF(COUNTIFS(T_TTAFStock_Log[Part Name],$A43,T_TTAFStock_Log[WeekIndex],81)=0,"",SUMIFS(T_TTAFStock_Log[TTAF_Qty],T_TTAFStock_Log[Part Name],$A43,T_TTAFStock_Log[WeekIndex],81))</f>
        <v/>
      </c>
      <c r="CE43" s="13">
        <f>IF(COUNTIFS(T_TTAFStock_Log[Part Name],$A43,T_TTAFStock_Log[WeekIndex],82)=0,"",SUMIFS(T_TTAFStock_Log[TTAF_Qty],T_TTAFStock_Log[Part Name],$A43,T_TTAFStock_Log[WeekIndex],82))</f>
        <v/>
      </c>
      <c r="CF43" s="13">
        <f>IF(COUNTIFS(T_TTAFStock_Log[Part Name],$A43,T_TTAFStock_Log[WeekIndex],83)=0,"",SUMIFS(T_TTAFStock_Log[TTAF_Qty],T_TTAFStock_Log[Part Name],$A43,T_TTAFStock_Log[WeekIndex],83))</f>
        <v/>
      </c>
      <c r="CG43" s="13">
        <f>IF(COUNTIFS(T_TTAFStock_Log[Part Name],$A43,T_TTAFStock_Log[WeekIndex],84)=0,"",SUMIFS(T_TTAFStock_Log[TTAF_Qty],T_TTAFStock_Log[Part Name],$A43,T_TTAFStock_Log[WeekIndex],84))</f>
        <v/>
      </c>
      <c r="CH43" s="13">
        <f>IF(COUNTIFS(T_TTAFStock_Log[Part Name],$A43,T_TTAFStock_Log[WeekIndex],85)=0,"",SUMIFS(T_TTAFStock_Log[TTAF_Qty],T_TTAFStock_Log[Part Name],$A43,T_TTAFStock_Log[WeekIndex],85))</f>
        <v/>
      </c>
      <c r="CI43" s="13">
        <f>IF(COUNTIFS(T_TTAFStock_Log[Part Name],$A43,T_TTAFStock_Log[WeekIndex],86)=0,"",SUMIFS(T_TTAFStock_Log[TTAF_Qty],T_TTAFStock_Log[Part Name],$A43,T_TTAFStock_Log[WeekIndex],86))</f>
        <v/>
      </c>
      <c r="CJ43" s="13">
        <f>IF(COUNTIFS(T_TTAFStock_Log[Part Name],$A43,T_TTAFStock_Log[WeekIndex],87)=0,"",SUMIFS(T_TTAFStock_Log[TTAF_Qty],T_TTAFStock_Log[Part Name],$A43,T_TTAFStock_Log[WeekIndex],87))</f>
        <v/>
      </c>
      <c r="CK43" s="13">
        <f>IF(COUNTIFS(T_TTAFStock_Log[Part Name],$A43,T_TTAFStock_Log[WeekIndex],88)=0,"",SUMIFS(T_TTAFStock_Log[TTAF_Qty],T_TTAFStock_Log[Part Name],$A43,T_TTAFStock_Log[WeekIndex],88))</f>
        <v/>
      </c>
      <c r="CL43" s="13">
        <f>IF(COUNTIFS(T_TTAFStock_Log[Part Name],$A43,T_TTAFStock_Log[WeekIndex],89)=0,"",SUMIFS(T_TTAFStock_Log[TTAF_Qty],T_TTAFStock_Log[Part Name],$A43,T_TTAFStock_Log[WeekIndex],89))</f>
        <v/>
      </c>
      <c r="CM43" s="13">
        <f>IF(COUNTIFS(T_TTAFStock_Log[Part Name],$A43,T_TTAFStock_Log[WeekIndex],90)=0,"",SUMIFS(T_TTAFStock_Log[TTAF_Qty],T_TTAFStock_Log[Part Name],$A43,T_TTAFStock_Log[WeekIndex],90))</f>
        <v/>
      </c>
      <c r="CN43" s="13">
        <f>IF(COUNTIFS(T_TTAFStock_Log[Part Name],$A43,T_TTAFStock_Log[WeekIndex],91)=0,"",SUMIFS(T_TTAFStock_Log[TTAF_Qty],T_TTAFStock_Log[Part Name],$A43,T_TTAFStock_Log[WeekIndex],91))</f>
        <v/>
      </c>
      <c r="CO43" s="13">
        <f>IF(COUNTIFS(T_TTAFStock_Log[Part Name],$A43,T_TTAFStock_Log[WeekIndex],92)=0,"",SUMIFS(T_TTAFStock_Log[TTAF_Qty],T_TTAFStock_Log[Part Name],$A43,T_TTAFStock_Log[WeekIndex],92))</f>
        <v/>
      </c>
      <c r="CP43" s="13">
        <f>IF(COUNTIFS(T_TTAFStock_Log[Part Name],$A43,T_TTAFStock_Log[WeekIndex],93)=0,"",SUMIFS(T_TTAFStock_Log[TTAF_Qty],T_TTAFStock_Log[Part Name],$A43,T_TTAFStock_Log[WeekIndex],93))</f>
        <v/>
      </c>
      <c r="CQ43" s="13">
        <f>IF(COUNTIFS(T_TTAFStock_Log[Part Name],$A43,T_TTAFStock_Log[WeekIndex],94)=0,"",SUMIFS(T_TTAFStock_Log[TTAF_Qty],T_TTAFStock_Log[Part Name],$A43,T_TTAFStock_Log[WeekIndex],94))</f>
        <v/>
      </c>
      <c r="CR43" s="13">
        <f>IF(COUNTIFS(T_TTAFStock_Log[Part Name],$A43,T_TTAFStock_Log[WeekIndex],95)=0,"",SUMIFS(T_TTAFStock_Log[TTAF_Qty],T_TTAFStock_Log[Part Name],$A43,T_TTAFStock_Log[WeekIndex],95))</f>
        <v/>
      </c>
      <c r="CS43" s="13">
        <f>IF(COUNTIFS(T_TTAFStock_Log[Part Name],$A43,T_TTAFStock_Log[WeekIndex],96)=0,"",SUMIFS(T_TTAFStock_Log[TTAF_Qty],T_TTAFStock_Log[Part Name],$A43,T_TTAFStock_Log[WeekIndex],96))</f>
        <v/>
      </c>
      <c r="CT43" s="13">
        <f>IF(COUNTIFS(T_TTAFStock_Log[Part Name],$A43,T_TTAFStock_Log[WeekIndex],97)=0,"",SUMIFS(T_TTAFStock_Log[TTAF_Qty],T_TTAFStock_Log[Part Name],$A43,T_TTAFStock_Log[WeekIndex],97))</f>
        <v/>
      </c>
      <c r="CU43" s="13">
        <f>IF(COUNTIFS(T_TTAFStock_Log[Part Name],$A43,T_TTAFStock_Log[WeekIndex],98)=0,"",SUMIFS(T_TTAFStock_Log[TTAF_Qty],T_TTAFStock_Log[Part Name],$A43,T_TTAFStock_Log[WeekIndex],98))</f>
        <v/>
      </c>
      <c r="CV43" s="13">
        <f>IF(COUNTIFS(T_TTAFStock_Log[Part Name],$A43,T_TTAFStock_Log[WeekIndex],99)=0,"",SUMIFS(T_TTAFStock_Log[TTAF_Qty],T_TTAFStock_Log[Part Name],$A43,T_TTAFStock_Log[WeekIndex],99))</f>
        <v/>
      </c>
      <c r="CW43" s="13">
        <f>IF(COUNTIFS(T_TTAFStock_Log[Part Name],$A43,T_TTAFStock_Log[WeekIndex],100)=0,"",SUMIFS(T_TTAFStock_Log[TTAF_Qty],T_TTAFStock_Log[Part Name],$A43,T_TTAFStock_Log[WeekIndex],100))</f>
        <v/>
      </c>
      <c r="CX43" s="13">
        <f>IF(COUNTIFS(T_TTAFStock_Log[Part Name],$A43,T_TTAFStock_Log[WeekIndex],101)=0,"",SUMIFS(T_TTAFStock_Log[TTAF_Qty],T_TTAFStock_Log[Part Name],$A43,T_TTAFStock_Log[WeekIndex],101))</f>
        <v/>
      </c>
      <c r="CY43" s="13">
        <f>IF(COUNTIFS(T_TTAFStock_Log[Part Name],$A43,T_TTAFStock_Log[WeekIndex],102)=0,"",SUMIFS(T_TTAFStock_Log[TTAF_Qty],T_TTAFStock_Log[Part Name],$A43,T_TTAFStock_Log[WeekIndex],102))</f>
        <v/>
      </c>
      <c r="CZ43" s="13">
        <f>IF(COUNTIFS(T_TTAFStock_Log[Part Name],$A43,T_TTAFStock_Log[WeekIndex],103)=0,"",SUMIFS(T_TTAFStock_Log[TTAF_Qty],T_TTAFStock_Log[Part Name],$A43,T_TTAFStock_Log[WeekIndex],103))</f>
        <v/>
      </c>
      <c r="DA43" s="13">
        <f>IF(COUNTIFS(T_TTAFStock_Log[Part Name],$A43,T_TTAFStock_Log[WeekIndex],104)=0,"",SUMIFS(T_TTAFStock_Log[TTAF_Qty],T_TTAFStock_Log[Part Name],$A43,T_TTAFStock_Log[WeekIndex],104))</f>
        <v/>
      </c>
    </row>
    <row r="44">
      <c r="A44" s="12" t="inlineStr">
        <is>
          <t>5SN</t>
        </is>
      </c>
      <c r="B44" s="12">
        <f>IF(COUNTIFS(T_TTAFStock_Log[Part Name],$A44,T_TTAFStock_Log[WeekIndex],1)=0,"",SUMIFS(T_TTAFStock_Log[TTAF_Qty],T_TTAFStock_Log[Part Name],$A44,T_TTAFStock_Log[WeekIndex],1))</f>
        <v/>
      </c>
      <c r="C44" s="12">
        <f>IF(COUNTIFS(T_TTAFStock_Log[Part Name],$A44,T_TTAFStock_Log[WeekIndex],2)=0,"",SUMIFS(T_TTAFStock_Log[TTAF_Qty],T_TTAFStock_Log[Part Name],$A44,T_TTAFStock_Log[WeekIndex],2))</f>
        <v/>
      </c>
      <c r="D44" s="12">
        <f>IF(COUNTIFS(T_TTAFStock_Log[Part Name],$A44,T_TTAFStock_Log[WeekIndex],3)=0,"",SUMIFS(T_TTAFStock_Log[TTAF_Qty],T_TTAFStock_Log[Part Name],$A44,T_TTAFStock_Log[WeekIndex],3))</f>
        <v/>
      </c>
      <c r="E44" s="12">
        <f>IF(COUNTIFS(T_TTAFStock_Log[Part Name],$A44,T_TTAFStock_Log[WeekIndex],4)=0,"",SUMIFS(T_TTAFStock_Log[TTAF_Qty],T_TTAFStock_Log[Part Name],$A44,T_TTAFStock_Log[WeekIndex],4))</f>
        <v/>
      </c>
      <c r="F44" s="12">
        <f>IF(COUNTIFS(T_TTAFStock_Log[Part Name],$A44,T_TTAFStock_Log[WeekIndex],5)=0,"",SUMIFS(T_TTAFStock_Log[TTAF_Qty],T_TTAFStock_Log[Part Name],$A44,T_TTAFStock_Log[WeekIndex],5))</f>
        <v/>
      </c>
      <c r="G44" s="12">
        <f>IF(COUNTIFS(T_TTAFStock_Log[Part Name],$A44,T_TTAFStock_Log[WeekIndex],6)=0,"",SUMIFS(T_TTAFStock_Log[TTAF_Qty],T_TTAFStock_Log[Part Name],$A44,T_TTAFStock_Log[WeekIndex],6))</f>
        <v/>
      </c>
      <c r="H44" s="12">
        <f>IF(COUNTIFS(T_TTAFStock_Log[Part Name],$A44,T_TTAFStock_Log[WeekIndex],7)=0,"",SUMIFS(T_TTAFStock_Log[TTAF_Qty],T_TTAFStock_Log[Part Name],$A44,T_TTAFStock_Log[WeekIndex],7))</f>
        <v/>
      </c>
      <c r="I44" s="12">
        <f>IF(COUNTIFS(T_TTAFStock_Log[Part Name],$A44,T_TTAFStock_Log[WeekIndex],8)=0,"",SUMIFS(T_TTAFStock_Log[TTAF_Qty],T_TTAFStock_Log[Part Name],$A44,T_TTAFStock_Log[WeekIndex],8))</f>
        <v/>
      </c>
      <c r="J44" s="12">
        <f>IF(COUNTIFS(T_TTAFStock_Log[Part Name],$A44,T_TTAFStock_Log[WeekIndex],9)=0,"",SUMIFS(T_TTAFStock_Log[TTAF_Qty],T_TTAFStock_Log[Part Name],$A44,T_TTAFStock_Log[WeekIndex],9))</f>
        <v/>
      </c>
      <c r="K44" s="12">
        <f>IF(COUNTIFS(T_TTAFStock_Log[Part Name],$A44,T_TTAFStock_Log[WeekIndex],10)=0,"",SUMIFS(T_TTAFStock_Log[TTAF_Qty],T_TTAFStock_Log[Part Name],$A44,T_TTAFStock_Log[WeekIndex],10))</f>
        <v/>
      </c>
      <c r="L44" s="12">
        <f>IF(COUNTIFS(T_TTAFStock_Log[Part Name],$A44,T_TTAFStock_Log[WeekIndex],11)=0,"",SUMIFS(T_TTAFStock_Log[TTAF_Qty],T_TTAFStock_Log[Part Name],$A44,T_TTAFStock_Log[WeekIndex],11))</f>
        <v/>
      </c>
      <c r="M44" s="12">
        <f>IF(COUNTIFS(T_TTAFStock_Log[Part Name],$A44,T_TTAFStock_Log[WeekIndex],12)=0,"",SUMIFS(T_TTAFStock_Log[TTAF_Qty],T_TTAFStock_Log[Part Name],$A44,T_TTAFStock_Log[WeekIndex],12))</f>
        <v/>
      </c>
      <c r="N44" s="12">
        <f>IF(COUNTIFS(T_TTAFStock_Log[Part Name],$A44,T_TTAFStock_Log[WeekIndex],13)=0,"",SUMIFS(T_TTAFStock_Log[TTAF_Qty],T_TTAFStock_Log[Part Name],$A44,T_TTAFStock_Log[WeekIndex],13))</f>
        <v/>
      </c>
      <c r="O44" s="12">
        <f>IF(COUNTIFS(T_TTAFStock_Log[Part Name],$A44,T_TTAFStock_Log[WeekIndex],14)=0,"",SUMIFS(T_TTAFStock_Log[TTAF_Qty],T_TTAFStock_Log[Part Name],$A44,T_TTAFStock_Log[WeekIndex],14))</f>
        <v/>
      </c>
      <c r="P44" s="12">
        <f>IF(COUNTIFS(T_TTAFStock_Log[Part Name],$A44,T_TTAFStock_Log[WeekIndex],15)=0,"",SUMIFS(T_TTAFStock_Log[TTAF_Qty],T_TTAFStock_Log[Part Name],$A44,T_TTAFStock_Log[WeekIndex],15))</f>
        <v/>
      </c>
      <c r="Q44" s="12">
        <f>IF(COUNTIFS(T_TTAFStock_Log[Part Name],$A44,T_TTAFStock_Log[WeekIndex],16)=0,"",SUMIFS(T_TTAFStock_Log[TTAF_Qty],T_TTAFStock_Log[Part Name],$A44,T_TTAFStock_Log[WeekIndex],16))</f>
        <v/>
      </c>
      <c r="R44" s="12">
        <f>IF(COUNTIFS(T_TTAFStock_Log[Part Name],$A44,T_TTAFStock_Log[WeekIndex],17)=0,"",SUMIFS(T_TTAFStock_Log[TTAF_Qty],T_TTAFStock_Log[Part Name],$A44,T_TTAFStock_Log[WeekIndex],17))</f>
        <v/>
      </c>
      <c r="S44" s="12">
        <f>IF(COUNTIFS(T_TTAFStock_Log[Part Name],$A44,T_TTAFStock_Log[WeekIndex],18)=0,"",SUMIFS(T_TTAFStock_Log[TTAF_Qty],T_TTAFStock_Log[Part Name],$A44,T_TTAFStock_Log[WeekIndex],18))</f>
        <v/>
      </c>
      <c r="T44" s="12">
        <f>IF(COUNTIFS(T_TTAFStock_Log[Part Name],$A44,T_TTAFStock_Log[WeekIndex],19)=0,"",SUMIFS(T_TTAFStock_Log[TTAF_Qty],T_TTAFStock_Log[Part Name],$A44,T_TTAFStock_Log[WeekIndex],19))</f>
        <v/>
      </c>
      <c r="U44" s="12">
        <f>IF(COUNTIFS(T_TTAFStock_Log[Part Name],$A44,T_TTAFStock_Log[WeekIndex],20)=0,"",SUMIFS(T_TTAFStock_Log[TTAF_Qty],T_TTAFStock_Log[Part Name],$A44,T_TTAFStock_Log[WeekIndex],20))</f>
        <v/>
      </c>
      <c r="V44" s="12">
        <f>IF(COUNTIFS(T_TTAFStock_Log[Part Name],$A44,T_TTAFStock_Log[WeekIndex],21)=0,"",SUMIFS(T_TTAFStock_Log[TTAF_Qty],T_TTAFStock_Log[Part Name],$A44,T_TTAFStock_Log[WeekIndex],21))</f>
        <v/>
      </c>
      <c r="W44" s="12">
        <f>IF(COUNTIFS(T_TTAFStock_Log[Part Name],$A44,T_TTAFStock_Log[WeekIndex],22)=0,"",SUMIFS(T_TTAFStock_Log[TTAF_Qty],T_TTAFStock_Log[Part Name],$A44,T_TTAFStock_Log[WeekIndex],22))</f>
        <v/>
      </c>
      <c r="X44" s="12">
        <f>IF(COUNTIFS(T_TTAFStock_Log[Part Name],$A44,T_TTAFStock_Log[WeekIndex],23)=0,"",SUMIFS(T_TTAFStock_Log[TTAF_Qty],T_TTAFStock_Log[Part Name],$A44,T_TTAFStock_Log[WeekIndex],23))</f>
        <v/>
      </c>
      <c r="Y44" s="12">
        <f>IF(COUNTIFS(T_TTAFStock_Log[Part Name],$A44,T_TTAFStock_Log[WeekIndex],24)=0,"",SUMIFS(T_TTAFStock_Log[TTAF_Qty],T_TTAFStock_Log[Part Name],$A44,T_TTAFStock_Log[WeekIndex],24))</f>
        <v/>
      </c>
      <c r="Z44" s="12">
        <f>IF(COUNTIFS(T_TTAFStock_Log[Part Name],$A44,T_TTAFStock_Log[WeekIndex],25)=0,"",SUMIFS(T_TTAFStock_Log[TTAF_Qty],T_TTAFStock_Log[Part Name],$A44,T_TTAFStock_Log[WeekIndex],25))</f>
        <v/>
      </c>
      <c r="AA44" s="12">
        <f>IF(COUNTIFS(T_TTAFStock_Log[Part Name],$A44,T_TTAFStock_Log[WeekIndex],26)=0,"",SUMIFS(T_TTAFStock_Log[TTAF_Qty],T_TTAFStock_Log[Part Name],$A44,T_TTAFStock_Log[WeekIndex],26))</f>
        <v/>
      </c>
      <c r="AB44" s="12">
        <f>IF(COUNTIFS(T_TTAFStock_Log[Part Name],$A44,T_TTAFStock_Log[WeekIndex],27)=0,"",SUMIFS(T_TTAFStock_Log[TTAF_Qty],T_TTAFStock_Log[Part Name],$A44,T_TTAFStock_Log[WeekIndex],27))</f>
        <v/>
      </c>
      <c r="AC44" s="12">
        <f>IF(COUNTIFS(T_TTAFStock_Log[Part Name],$A44,T_TTAFStock_Log[WeekIndex],28)=0,"",SUMIFS(T_TTAFStock_Log[TTAF_Qty],T_TTAFStock_Log[Part Name],$A44,T_TTAFStock_Log[WeekIndex],28))</f>
        <v/>
      </c>
      <c r="AD44" s="12">
        <f>IF(COUNTIFS(T_TTAFStock_Log[Part Name],$A44,T_TTAFStock_Log[WeekIndex],29)=0,"",SUMIFS(T_TTAFStock_Log[TTAF_Qty],T_TTAFStock_Log[Part Name],$A44,T_TTAFStock_Log[WeekIndex],29))</f>
        <v/>
      </c>
      <c r="AE44" s="12">
        <f>IF(COUNTIFS(T_TTAFStock_Log[Part Name],$A44,T_TTAFStock_Log[WeekIndex],30)=0,"",SUMIFS(T_TTAFStock_Log[TTAF_Qty],T_TTAFStock_Log[Part Name],$A44,T_TTAFStock_Log[WeekIndex],30))</f>
        <v/>
      </c>
      <c r="AF44" s="12">
        <f>IF(COUNTIFS(T_TTAFStock_Log[Part Name],$A44,T_TTAFStock_Log[WeekIndex],31)=0,"",SUMIFS(T_TTAFStock_Log[TTAF_Qty],T_TTAFStock_Log[Part Name],$A44,T_TTAFStock_Log[WeekIndex],31))</f>
        <v/>
      </c>
      <c r="AG44" s="12">
        <f>IF(COUNTIFS(T_TTAFStock_Log[Part Name],$A44,T_TTAFStock_Log[WeekIndex],32)=0,"",SUMIFS(T_TTAFStock_Log[TTAF_Qty],T_TTAFStock_Log[Part Name],$A44,T_TTAFStock_Log[WeekIndex],32))</f>
        <v/>
      </c>
      <c r="AH44" s="12">
        <f>IF(COUNTIFS(T_TTAFStock_Log[Part Name],$A44,T_TTAFStock_Log[WeekIndex],33)=0,"",SUMIFS(T_TTAFStock_Log[TTAF_Qty],T_TTAFStock_Log[Part Name],$A44,T_TTAFStock_Log[WeekIndex],33))</f>
        <v/>
      </c>
      <c r="AI44" s="12">
        <f>IF(COUNTIFS(T_TTAFStock_Log[Part Name],$A44,T_TTAFStock_Log[WeekIndex],34)=0,"",SUMIFS(T_TTAFStock_Log[TTAF_Qty],T_TTAFStock_Log[Part Name],$A44,T_TTAFStock_Log[WeekIndex],34))</f>
        <v/>
      </c>
      <c r="AJ44" s="12">
        <f>IF(COUNTIFS(T_TTAFStock_Log[Part Name],$A44,T_TTAFStock_Log[WeekIndex],35)=0,"",SUMIFS(T_TTAFStock_Log[TTAF_Qty],T_TTAFStock_Log[Part Name],$A44,T_TTAFStock_Log[WeekIndex],35))</f>
        <v/>
      </c>
      <c r="AK44" s="12">
        <f>IF(COUNTIFS(T_TTAFStock_Log[Part Name],$A44,T_TTAFStock_Log[WeekIndex],36)=0,"",SUMIFS(T_TTAFStock_Log[TTAF_Qty],T_TTAFStock_Log[Part Name],$A44,T_TTAFStock_Log[WeekIndex],36))</f>
        <v/>
      </c>
      <c r="AL44" s="12">
        <f>IF(COUNTIFS(T_TTAFStock_Log[Part Name],$A44,T_TTAFStock_Log[WeekIndex],37)=0,"",SUMIFS(T_TTAFStock_Log[TTAF_Qty],T_TTAFStock_Log[Part Name],$A44,T_TTAFStock_Log[WeekIndex],37))</f>
        <v/>
      </c>
      <c r="AM44" s="12">
        <f>IF(COUNTIFS(T_TTAFStock_Log[Part Name],$A44,T_TTAFStock_Log[WeekIndex],38)=0,"",SUMIFS(T_TTAFStock_Log[TTAF_Qty],T_TTAFStock_Log[Part Name],$A44,T_TTAFStock_Log[WeekIndex],38))</f>
        <v/>
      </c>
      <c r="AN44" s="12">
        <f>IF(COUNTIFS(T_TTAFStock_Log[Part Name],$A44,T_TTAFStock_Log[WeekIndex],39)=0,"",SUMIFS(T_TTAFStock_Log[TTAF_Qty],T_TTAFStock_Log[Part Name],$A44,T_TTAFStock_Log[WeekIndex],39))</f>
        <v/>
      </c>
      <c r="AO44" s="12">
        <f>IF(COUNTIFS(T_TTAFStock_Log[Part Name],$A44,T_TTAFStock_Log[WeekIndex],40)=0,"",SUMIFS(T_TTAFStock_Log[TTAF_Qty],T_TTAFStock_Log[Part Name],$A44,T_TTAFStock_Log[WeekIndex],40))</f>
        <v/>
      </c>
      <c r="AP44" s="12">
        <f>IF(COUNTIFS(T_TTAFStock_Log[Part Name],$A44,T_TTAFStock_Log[WeekIndex],41)=0,"",SUMIFS(T_TTAFStock_Log[TTAF_Qty],T_TTAFStock_Log[Part Name],$A44,T_TTAFStock_Log[WeekIndex],41))</f>
        <v/>
      </c>
      <c r="AQ44" s="12">
        <f>IF(COUNTIFS(T_TTAFStock_Log[Part Name],$A44,T_TTAFStock_Log[WeekIndex],42)=0,"",SUMIFS(T_TTAFStock_Log[TTAF_Qty],T_TTAFStock_Log[Part Name],$A44,T_TTAFStock_Log[WeekIndex],42))</f>
        <v/>
      </c>
      <c r="AR44" s="12">
        <f>IF(COUNTIFS(T_TTAFStock_Log[Part Name],$A44,T_TTAFStock_Log[WeekIndex],43)=0,"",SUMIFS(T_TTAFStock_Log[TTAF_Qty],T_TTAFStock_Log[Part Name],$A44,T_TTAFStock_Log[WeekIndex],43))</f>
        <v/>
      </c>
      <c r="AS44" s="12">
        <f>IF(COUNTIFS(T_TTAFStock_Log[Part Name],$A44,T_TTAFStock_Log[WeekIndex],44)=0,"",SUMIFS(T_TTAFStock_Log[TTAF_Qty],T_TTAFStock_Log[Part Name],$A44,T_TTAFStock_Log[WeekIndex],44))</f>
        <v/>
      </c>
      <c r="AT44" s="12">
        <f>IF(COUNTIFS(T_TTAFStock_Log[Part Name],$A44,T_TTAFStock_Log[WeekIndex],45)=0,"",SUMIFS(T_TTAFStock_Log[TTAF_Qty],T_TTAFStock_Log[Part Name],$A44,T_TTAFStock_Log[WeekIndex],45))</f>
        <v/>
      </c>
      <c r="AU44" s="12">
        <f>IF(COUNTIFS(T_TTAFStock_Log[Part Name],$A44,T_TTAFStock_Log[WeekIndex],46)=0,"",SUMIFS(T_TTAFStock_Log[TTAF_Qty],T_TTAFStock_Log[Part Name],$A44,T_TTAFStock_Log[WeekIndex],46))</f>
        <v/>
      </c>
      <c r="AV44" s="12">
        <f>IF(COUNTIFS(T_TTAFStock_Log[Part Name],$A44,T_TTAFStock_Log[WeekIndex],47)=0,"",SUMIFS(T_TTAFStock_Log[TTAF_Qty],T_TTAFStock_Log[Part Name],$A44,T_TTAFStock_Log[WeekIndex],47))</f>
        <v/>
      </c>
      <c r="AW44" s="12">
        <f>IF(COUNTIFS(T_TTAFStock_Log[Part Name],$A44,T_TTAFStock_Log[WeekIndex],48)=0,"",SUMIFS(T_TTAFStock_Log[TTAF_Qty],T_TTAFStock_Log[Part Name],$A44,T_TTAFStock_Log[WeekIndex],48))</f>
        <v/>
      </c>
      <c r="AX44" s="12">
        <f>IF(COUNTIFS(T_TTAFStock_Log[Part Name],$A44,T_TTAFStock_Log[WeekIndex],49)=0,"",SUMIFS(T_TTAFStock_Log[TTAF_Qty],T_TTAFStock_Log[Part Name],$A44,T_TTAFStock_Log[WeekIndex],49))</f>
        <v/>
      </c>
      <c r="AY44" s="12">
        <f>IF(COUNTIFS(T_TTAFStock_Log[Part Name],$A44,T_TTAFStock_Log[WeekIndex],50)=0,"",SUMIFS(T_TTAFStock_Log[TTAF_Qty],T_TTAFStock_Log[Part Name],$A44,T_TTAFStock_Log[WeekIndex],50))</f>
        <v/>
      </c>
      <c r="AZ44" s="12">
        <f>IF(COUNTIFS(T_TTAFStock_Log[Part Name],$A44,T_TTAFStock_Log[WeekIndex],51)=0,"",SUMIFS(T_TTAFStock_Log[TTAF_Qty],T_TTAFStock_Log[Part Name],$A44,T_TTAFStock_Log[WeekIndex],51))</f>
        <v/>
      </c>
      <c r="BA44" s="12">
        <f>IF(COUNTIFS(T_TTAFStock_Log[Part Name],$A44,T_TTAFStock_Log[WeekIndex],52)=0,"",SUMIFS(T_TTAFStock_Log[TTAF_Qty],T_TTAFStock_Log[Part Name],$A44,T_TTAFStock_Log[WeekIndex],52))</f>
        <v/>
      </c>
      <c r="BB44" s="12">
        <f>IF(COUNTIFS(T_TTAFStock_Log[Part Name],$A44,T_TTAFStock_Log[WeekIndex],53)=0,"",SUMIFS(T_TTAFStock_Log[TTAF_Qty],T_TTAFStock_Log[Part Name],$A44,T_TTAFStock_Log[WeekIndex],53))</f>
        <v/>
      </c>
      <c r="BC44" s="12">
        <f>IF(COUNTIFS(T_TTAFStock_Log[Part Name],$A44,T_TTAFStock_Log[WeekIndex],54)=0,"",SUMIFS(T_TTAFStock_Log[TTAF_Qty],T_TTAFStock_Log[Part Name],$A44,T_TTAFStock_Log[WeekIndex],54))</f>
        <v/>
      </c>
      <c r="BD44" s="12">
        <f>IF(COUNTIFS(T_TTAFStock_Log[Part Name],$A44,T_TTAFStock_Log[WeekIndex],55)=0,"",SUMIFS(T_TTAFStock_Log[TTAF_Qty],T_TTAFStock_Log[Part Name],$A44,T_TTAFStock_Log[WeekIndex],55))</f>
        <v/>
      </c>
      <c r="BE44" s="12">
        <f>IF(COUNTIFS(T_TTAFStock_Log[Part Name],$A44,T_TTAFStock_Log[WeekIndex],56)=0,"",SUMIFS(T_TTAFStock_Log[TTAF_Qty],T_TTAFStock_Log[Part Name],$A44,T_TTAFStock_Log[WeekIndex],56))</f>
        <v/>
      </c>
      <c r="BF44" s="12">
        <f>IF(COUNTIFS(T_TTAFStock_Log[Part Name],$A44,T_TTAFStock_Log[WeekIndex],57)=0,"",SUMIFS(T_TTAFStock_Log[TTAF_Qty],T_TTAFStock_Log[Part Name],$A44,T_TTAFStock_Log[WeekIndex],57))</f>
        <v/>
      </c>
      <c r="BG44" s="12">
        <f>IF(COUNTIFS(T_TTAFStock_Log[Part Name],$A44,T_TTAFStock_Log[WeekIndex],58)=0,"",SUMIFS(T_TTAFStock_Log[TTAF_Qty],T_TTAFStock_Log[Part Name],$A44,T_TTAFStock_Log[WeekIndex],58))</f>
        <v/>
      </c>
      <c r="BH44" s="12">
        <f>IF(COUNTIFS(T_TTAFStock_Log[Part Name],$A44,T_TTAFStock_Log[WeekIndex],59)=0,"",SUMIFS(T_TTAFStock_Log[TTAF_Qty],T_TTAFStock_Log[Part Name],$A44,T_TTAFStock_Log[WeekIndex],59))</f>
        <v/>
      </c>
      <c r="BI44" s="12">
        <f>IF(COUNTIFS(T_TTAFStock_Log[Part Name],$A44,T_TTAFStock_Log[WeekIndex],60)=0,"",SUMIFS(T_TTAFStock_Log[TTAF_Qty],T_TTAFStock_Log[Part Name],$A44,T_TTAFStock_Log[WeekIndex],60))</f>
        <v/>
      </c>
      <c r="BJ44" s="12">
        <f>IF(COUNTIFS(T_TTAFStock_Log[Part Name],$A44,T_TTAFStock_Log[WeekIndex],61)=0,"",SUMIFS(T_TTAFStock_Log[TTAF_Qty],T_TTAFStock_Log[Part Name],$A44,T_TTAFStock_Log[WeekIndex],61))</f>
        <v/>
      </c>
      <c r="BK44" s="12">
        <f>IF(COUNTIFS(T_TTAFStock_Log[Part Name],$A44,T_TTAFStock_Log[WeekIndex],62)=0,"",SUMIFS(T_TTAFStock_Log[TTAF_Qty],T_TTAFStock_Log[Part Name],$A44,T_TTAFStock_Log[WeekIndex],62))</f>
        <v/>
      </c>
      <c r="BL44" s="12">
        <f>IF(COUNTIFS(T_TTAFStock_Log[Part Name],$A44,T_TTAFStock_Log[WeekIndex],63)=0,"",SUMIFS(T_TTAFStock_Log[TTAF_Qty],T_TTAFStock_Log[Part Name],$A44,T_TTAFStock_Log[WeekIndex],63))</f>
        <v/>
      </c>
      <c r="BM44" s="12">
        <f>IF(COUNTIFS(T_TTAFStock_Log[Part Name],$A44,T_TTAFStock_Log[WeekIndex],64)=0,"",SUMIFS(T_TTAFStock_Log[TTAF_Qty],T_TTAFStock_Log[Part Name],$A44,T_TTAFStock_Log[WeekIndex],64))</f>
        <v/>
      </c>
      <c r="BN44" s="12">
        <f>IF(COUNTIFS(T_TTAFStock_Log[Part Name],$A44,T_TTAFStock_Log[WeekIndex],65)=0,"",SUMIFS(T_TTAFStock_Log[TTAF_Qty],T_TTAFStock_Log[Part Name],$A44,T_TTAFStock_Log[WeekIndex],65))</f>
        <v/>
      </c>
      <c r="BO44" s="12">
        <f>IF(COUNTIFS(T_TTAFStock_Log[Part Name],$A44,T_TTAFStock_Log[WeekIndex],66)=0,"",SUMIFS(T_TTAFStock_Log[TTAF_Qty],T_TTAFStock_Log[Part Name],$A44,T_TTAFStock_Log[WeekIndex],66))</f>
        <v/>
      </c>
      <c r="BP44" s="12">
        <f>IF(COUNTIFS(T_TTAFStock_Log[Part Name],$A44,T_TTAFStock_Log[WeekIndex],67)=0,"",SUMIFS(T_TTAFStock_Log[TTAF_Qty],T_TTAFStock_Log[Part Name],$A44,T_TTAFStock_Log[WeekIndex],67))</f>
        <v/>
      </c>
      <c r="BQ44" s="12">
        <f>IF(COUNTIFS(T_TTAFStock_Log[Part Name],$A44,T_TTAFStock_Log[WeekIndex],68)=0,"",SUMIFS(T_TTAFStock_Log[TTAF_Qty],T_TTAFStock_Log[Part Name],$A44,T_TTAFStock_Log[WeekIndex],68))</f>
        <v/>
      </c>
      <c r="BR44" s="12">
        <f>IF(COUNTIFS(T_TTAFStock_Log[Part Name],$A44,T_TTAFStock_Log[WeekIndex],69)=0,"",SUMIFS(T_TTAFStock_Log[TTAF_Qty],T_TTAFStock_Log[Part Name],$A44,T_TTAFStock_Log[WeekIndex],69))</f>
        <v/>
      </c>
      <c r="BS44" s="12">
        <f>IF(COUNTIFS(T_TTAFStock_Log[Part Name],$A44,T_TTAFStock_Log[WeekIndex],70)=0,"",SUMIFS(T_TTAFStock_Log[TTAF_Qty],T_TTAFStock_Log[Part Name],$A44,T_TTAFStock_Log[WeekIndex],70))</f>
        <v/>
      </c>
      <c r="BT44" s="12">
        <f>IF(COUNTIFS(T_TTAFStock_Log[Part Name],$A44,T_TTAFStock_Log[WeekIndex],71)=0,"",SUMIFS(T_TTAFStock_Log[TTAF_Qty],T_TTAFStock_Log[Part Name],$A44,T_TTAFStock_Log[WeekIndex],71))</f>
        <v/>
      </c>
      <c r="BU44" s="12">
        <f>IF(COUNTIFS(T_TTAFStock_Log[Part Name],$A44,T_TTAFStock_Log[WeekIndex],72)=0,"",SUMIFS(T_TTAFStock_Log[TTAF_Qty],T_TTAFStock_Log[Part Name],$A44,T_TTAFStock_Log[WeekIndex],72))</f>
        <v/>
      </c>
      <c r="BV44" s="12">
        <f>IF(COUNTIFS(T_TTAFStock_Log[Part Name],$A44,T_TTAFStock_Log[WeekIndex],73)=0,"",SUMIFS(T_TTAFStock_Log[TTAF_Qty],T_TTAFStock_Log[Part Name],$A44,T_TTAFStock_Log[WeekIndex],73))</f>
        <v/>
      </c>
      <c r="BW44" s="12">
        <f>IF(COUNTIFS(T_TTAFStock_Log[Part Name],$A44,T_TTAFStock_Log[WeekIndex],74)=0,"",SUMIFS(T_TTAFStock_Log[TTAF_Qty],T_TTAFStock_Log[Part Name],$A44,T_TTAFStock_Log[WeekIndex],74))</f>
        <v/>
      </c>
      <c r="BX44" s="12">
        <f>IF(COUNTIFS(T_TTAFStock_Log[Part Name],$A44,T_TTAFStock_Log[WeekIndex],75)=0,"",SUMIFS(T_TTAFStock_Log[TTAF_Qty],T_TTAFStock_Log[Part Name],$A44,T_TTAFStock_Log[WeekIndex],75))</f>
        <v/>
      </c>
      <c r="BY44" s="12">
        <f>IF(COUNTIFS(T_TTAFStock_Log[Part Name],$A44,T_TTAFStock_Log[WeekIndex],76)=0,"",SUMIFS(T_TTAFStock_Log[TTAF_Qty],T_TTAFStock_Log[Part Name],$A44,T_TTAFStock_Log[WeekIndex],76))</f>
        <v/>
      </c>
      <c r="BZ44" s="12">
        <f>IF(COUNTIFS(T_TTAFStock_Log[Part Name],$A44,T_TTAFStock_Log[WeekIndex],77)=0,"",SUMIFS(T_TTAFStock_Log[TTAF_Qty],T_TTAFStock_Log[Part Name],$A44,T_TTAFStock_Log[WeekIndex],77))</f>
        <v/>
      </c>
      <c r="CA44" s="12">
        <f>IF(COUNTIFS(T_TTAFStock_Log[Part Name],$A44,T_TTAFStock_Log[WeekIndex],78)=0,"",SUMIFS(T_TTAFStock_Log[TTAF_Qty],T_TTAFStock_Log[Part Name],$A44,T_TTAFStock_Log[WeekIndex],78))</f>
        <v/>
      </c>
      <c r="CB44" s="12">
        <f>IF(COUNTIFS(T_TTAFStock_Log[Part Name],$A44,T_TTAFStock_Log[WeekIndex],79)=0,"",SUMIFS(T_TTAFStock_Log[TTAF_Qty],T_TTAFStock_Log[Part Name],$A44,T_TTAFStock_Log[WeekIndex],79))</f>
        <v/>
      </c>
      <c r="CC44" s="12">
        <f>IF(COUNTIFS(T_TTAFStock_Log[Part Name],$A44,T_TTAFStock_Log[WeekIndex],80)=0,"",SUMIFS(T_TTAFStock_Log[TTAF_Qty],T_TTAFStock_Log[Part Name],$A44,T_TTAFStock_Log[WeekIndex],80))</f>
        <v/>
      </c>
      <c r="CD44" s="12">
        <f>IF(COUNTIFS(T_TTAFStock_Log[Part Name],$A44,T_TTAFStock_Log[WeekIndex],81)=0,"",SUMIFS(T_TTAFStock_Log[TTAF_Qty],T_TTAFStock_Log[Part Name],$A44,T_TTAFStock_Log[WeekIndex],81))</f>
        <v/>
      </c>
      <c r="CE44" s="12">
        <f>IF(COUNTIFS(T_TTAFStock_Log[Part Name],$A44,T_TTAFStock_Log[WeekIndex],82)=0,"",SUMIFS(T_TTAFStock_Log[TTAF_Qty],T_TTAFStock_Log[Part Name],$A44,T_TTAFStock_Log[WeekIndex],82))</f>
        <v/>
      </c>
      <c r="CF44" s="12">
        <f>IF(COUNTIFS(T_TTAFStock_Log[Part Name],$A44,T_TTAFStock_Log[WeekIndex],83)=0,"",SUMIFS(T_TTAFStock_Log[TTAF_Qty],T_TTAFStock_Log[Part Name],$A44,T_TTAFStock_Log[WeekIndex],83))</f>
        <v/>
      </c>
      <c r="CG44" s="12">
        <f>IF(COUNTIFS(T_TTAFStock_Log[Part Name],$A44,T_TTAFStock_Log[WeekIndex],84)=0,"",SUMIFS(T_TTAFStock_Log[TTAF_Qty],T_TTAFStock_Log[Part Name],$A44,T_TTAFStock_Log[WeekIndex],84))</f>
        <v/>
      </c>
      <c r="CH44" s="12">
        <f>IF(COUNTIFS(T_TTAFStock_Log[Part Name],$A44,T_TTAFStock_Log[WeekIndex],85)=0,"",SUMIFS(T_TTAFStock_Log[TTAF_Qty],T_TTAFStock_Log[Part Name],$A44,T_TTAFStock_Log[WeekIndex],85))</f>
        <v/>
      </c>
      <c r="CI44" s="12">
        <f>IF(COUNTIFS(T_TTAFStock_Log[Part Name],$A44,T_TTAFStock_Log[WeekIndex],86)=0,"",SUMIFS(T_TTAFStock_Log[TTAF_Qty],T_TTAFStock_Log[Part Name],$A44,T_TTAFStock_Log[WeekIndex],86))</f>
        <v/>
      </c>
      <c r="CJ44" s="12">
        <f>IF(COUNTIFS(T_TTAFStock_Log[Part Name],$A44,T_TTAFStock_Log[WeekIndex],87)=0,"",SUMIFS(T_TTAFStock_Log[TTAF_Qty],T_TTAFStock_Log[Part Name],$A44,T_TTAFStock_Log[WeekIndex],87))</f>
        <v/>
      </c>
      <c r="CK44" s="12">
        <f>IF(COUNTIFS(T_TTAFStock_Log[Part Name],$A44,T_TTAFStock_Log[WeekIndex],88)=0,"",SUMIFS(T_TTAFStock_Log[TTAF_Qty],T_TTAFStock_Log[Part Name],$A44,T_TTAFStock_Log[WeekIndex],88))</f>
        <v/>
      </c>
      <c r="CL44" s="12">
        <f>IF(COUNTIFS(T_TTAFStock_Log[Part Name],$A44,T_TTAFStock_Log[WeekIndex],89)=0,"",SUMIFS(T_TTAFStock_Log[TTAF_Qty],T_TTAFStock_Log[Part Name],$A44,T_TTAFStock_Log[WeekIndex],89))</f>
        <v/>
      </c>
      <c r="CM44" s="12">
        <f>IF(COUNTIFS(T_TTAFStock_Log[Part Name],$A44,T_TTAFStock_Log[WeekIndex],90)=0,"",SUMIFS(T_TTAFStock_Log[TTAF_Qty],T_TTAFStock_Log[Part Name],$A44,T_TTAFStock_Log[WeekIndex],90))</f>
        <v/>
      </c>
      <c r="CN44" s="12">
        <f>IF(COUNTIFS(T_TTAFStock_Log[Part Name],$A44,T_TTAFStock_Log[WeekIndex],91)=0,"",SUMIFS(T_TTAFStock_Log[TTAF_Qty],T_TTAFStock_Log[Part Name],$A44,T_TTAFStock_Log[WeekIndex],91))</f>
        <v/>
      </c>
      <c r="CO44" s="12">
        <f>IF(COUNTIFS(T_TTAFStock_Log[Part Name],$A44,T_TTAFStock_Log[WeekIndex],92)=0,"",SUMIFS(T_TTAFStock_Log[TTAF_Qty],T_TTAFStock_Log[Part Name],$A44,T_TTAFStock_Log[WeekIndex],92))</f>
        <v/>
      </c>
      <c r="CP44" s="12">
        <f>IF(COUNTIFS(T_TTAFStock_Log[Part Name],$A44,T_TTAFStock_Log[WeekIndex],93)=0,"",SUMIFS(T_TTAFStock_Log[TTAF_Qty],T_TTAFStock_Log[Part Name],$A44,T_TTAFStock_Log[WeekIndex],93))</f>
        <v/>
      </c>
      <c r="CQ44" s="12">
        <f>IF(COUNTIFS(T_TTAFStock_Log[Part Name],$A44,T_TTAFStock_Log[WeekIndex],94)=0,"",SUMIFS(T_TTAFStock_Log[TTAF_Qty],T_TTAFStock_Log[Part Name],$A44,T_TTAFStock_Log[WeekIndex],94))</f>
        <v/>
      </c>
      <c r="CR44" s="12">
        <f>IF(COUNTIFS(T_TTAFStock_Log[Part Name],$A44,T_TTAFStock_Log[WeekIndex],95)=0,"",SUMIFS(T_TTAFStock_Log[TTAF_Qty],T_TTAFStock_Log[Part Name],$A44,T_TTAFStock_Log[WeekIndex],95))</f>
        <v/>
      </c>
      <c r="CS44" s="12">
        <f>IF(COUNTIFS(T_TTAFStock_Log[Part Name],$A44,T_TTAFStock_Log[WeekIndex],96)=0,"",SUMIFS(T_TTAFStock_Log[TTAF_Qty],T_TTAFStock_Log[Part Name],$A44,T_TTAFStock_Log[WeekIndex],96))</f>
        <v/>
      </c>
      <c r="CT44" s="12">
        <f>IF(COUNTIFS(T_TTAFStock_Log[Part Name],$A44,T_TTAFStock_Log[WeekIndex],97)=0,"",SUMIFS(T_TTAFStock_Log[TTAF_Qty],T_TTAFStock_Log[Part Name],$A44,T_TTAFStock_Log[WeekIndex],97))</f>
        <v/>
      </c>
      <c r="CU44" s="12">
        <f>IF(COUNTIFS(T_TTAFStock_Log[Part Name],$A44,T_TTAFStock_Log[WeekIndex],98)=0,"",SUMIFS(T_TTAFStock_Log[TTAF_Qty],T_TTAFStock_Log[Part Name],$A44,T_TTAFStock_Log[WeekIndex],98))</f>
        <v/>
      </c>
      <c r="CV44" s="12">
        <f>IF(COUNTIFS(T_TTAFStock_Log[Part Name],$A44,T_TTAFStock_Log[WeekIndex],99)=0,"",SUMIFS(T_TTAFStock_Log[TTAF_Qty],T_TTAFStock_Log[Part Name],$A44,T_TTAFStock_Log[WeekIndex],99))</f>
        <v/>
      </c>
      <c r="CW44" s="12">
        <f>IF(COUNTIFS(T_TTAFStock_Log[Part Name],$A44,T_TTAFStock_Log[WeekIndex],100)=0,"",SUMIFS(T_TTAFStock_Log[TTAF_Qty],T_TTAFStock_Log[Part Name],$A44,T_TTAFStock_Log[WeekIndex],100))</f>
        <v/>
      </c>
      <c r="CX44" s="12">
        <f>IF(COUNTIFS(T_TTAFStock_Log[Part Name],$A44,T_TTAFStock_Log[WeekIndex],101)=0,"",SUMIFS(T_TTAFStock_Log[TTAF_Qty],T_TTAFStock_Log[Part Name],$A44,T_TTAFStock_Log[WeekIndex],101))</f>
        <v/>
      </c>
      <c r="CY44" s="12">
        <f>IF(COUNTIFS(T_TTAFStock_Log[Part Name],$A44,T_TTAFStock_Log[WeekIndex],102)=0,"",SUMIFS(T_TTAFStock_Log[TTAF_Qty],T_TTAFStock_Log[Part Name],$A44,T_TTAFStock_Log[WeekIndex],102))</f>
        <v/>
      </c>
      <c r="CZ44" s="12">
        <f>IF(COUNTIFS(T_TTAFStock_Log[Part Name],$A44,T_TTAFStock_Log[WeekIndex],103)=0,"",SUMIFS(T_TTAFStock_Log[TTAF_Qty],T_TTAFStock_Log[Part Name],$A44,T_TTAFStock_Log[WeekIndex],103))</f>
        <v/>
      </c>
      <c r="DA44" s="12">
        <f>IF(COUNTIFS(T_TTAFStock_Log[Part Name],$A44,T_TTAFStock_Log[WeekIndex],104)=0,"",SUMIFS(T_TTAFStock_Log[TTAF_Qty],T_TTAFStock_Log[Part Name],$A44,T_TTAFStock_Log[WeekIndex],104))</f>
        <v/>
      </c>
    </row>
    <row r="45">
      <c r="A45" s="13" t="inlineStr">
        <is>
          <t>1JN</t>
        </is>
      </c>
      <c r="B45" s="13">
        <f>IF(COUNTIFS(T_TTAFStock_Log[Part Name],$A45,T_TTAFStock_Log[WeekIndex],1)=0,"",SUMIFS(T_TTAFStock_Log[TTAF_Qty],T_TTAFStock_Log[Part Name],$A45,T_TTAFStock_Log[WeekIndex],1))</f>
        <v/>
      </c>
      <c r="C45" s="13">
        <f>IF(COUNTIFS(T_TTAFStock_Log[Part Name],$A45,T_TTAFStock_Log[WeekIndex],2)=0,"",SUMIFS(T_TTAFStock_Log[TTAF_Qty],T_TTAFStock_Log[Part Name],$A45,T_TTAFStock_Log[WeekIndex],2))</f>
        <v/>
      </c>
      <c r="D45" s="13">
        <f>IF(COUNTIFS(T_TTAFStock_Log[Part Name],$A45,T_TTAFStock_Log[WeekIndex],3)=0,"",SUMIFS(T_TTAFStock_Log[TTAF_Qty],T_TTAFStock_Log[Part Name],$A45,T_TTAFStock_Log[WeekIndex],3))</f>
        <v/>
      </c>
      <c r="E45" s="13">
        <f>IF(COUNTIFS(T_TTAFStock_Log[Part Name],$A45,T_TTAFStock_Log[WeekIndex],4)=0,"",SUMIFS(T_TTAFStock_Log[TTAF_Qty],T_TTAFStock_Log[Part Name],$A45,T_TTAFStock_Log[WeekIndex],4))</f>
        <v/>
      </c>
      <c r="F45" s="13">
        <f>IF(COUNTIFS(T_TTAFStock_Log[Part Name],$A45,T_TTAFStock_Log[WeekIndex],5)=0,"",SUMIFS(T_TTAFStock_Log[TTAF_Qty],T_TTAFStock_Log[Part Name],$A45,T_TTAFStock_Log[WeekIndex],5))</f>
        <v/>
      </c>
      <c r="G45" s="13">
        <f>IF(COUNTIFS(T_TTAFStock_Log[Part Name],$A45,T_TTAFStock_Log[WeekIndex],6)=0,"",SUMIFS(T_TTAFStock_Log[TTAF_Qty],T_TTAFStock_Log[Part Name],$A45,T_TTAFStock_Log[WeekIndex],6))</f>
        <v/>
      </c>
      <c r="H45" s="13">
        <f>IF(COUNTIFS(T_TTAFStock_Log[Part Name],$A45,T_TTAFStock_Log[WeekIndex],7)=0,"",SUMIFS(T_TTAFStock_Log[TTAF_Qty],T_TTAFStock_Log[Part Name],$A45,T_TTAFStock_Log[WeekIndex],7))</f>
        <v/>
      </c>
      <c r="I45" s="13">
        <f>IF(COUNTIFS(T_TTAFStock_Log[Part Name],$A45,T_TTAFStock_Log[WeekIndex],8)=0,"",SUMIFS(T_TTAFStock_Log[TTAF_Qty],T_TTAFStock_Log[Part Name],$A45,T_TTAFStock_Log[WeekIndex],8))</f>
        <v/>
      </c>
      <c r="J45" s="13">
        <f>IF(COUNTIFS(T_TTAFStock_Log[Part Name],$A45,T_TTAFStock_Log[WeekIndex],9)=0,"",SUMIFS(T_TTAFStock_Log[TTAF_Qty],T_TTAFStock_Log[Part Name],$A45,T_TTAFStock_Log[WeekIndex],9))</f>
        <v/>
      </c>
      <c r="K45" s="13">
        <f>IF(COUNTIFS(T_TTAFStock_Log[Part Name],$A45,T_TTAFStock_Log[WeekIndex],10)=0,"",SUMIFS(T_TTAFStock_Log[TTAF_Qty],T_TTAFStock_Log[Part Name],$A45,T_TTAFStock_Log[WeekIndex],10))</f>
        <v/>
      </c>
      <c r="L45" s="13">
        <f>IF(COUNTIFS(T_TTAFStock_Log[Part Name],$A45,T_TTAFStock_Log[WeekIndex],11)=0,"",SUMIFS(T_TTAFStock_Log[TTAF_Qty],T_TTAFStock_Log[Part Name],$A45,T_TTAFStock_Log[WeekIndex],11))</f>
        <v/>
      </c>
      <c r="M45" s="13">
        <f>IF(COUNTIFS(T_TTAFStock_Log[Part Name],$A45,T_TTAFStock_Log[WeekIndex],12)=0,"",SUMIFS(T_TTAFStock_Log[TTAF_Qty],T_TTAFStock_Log[Part Name],$A45,T_TTAFStock_Log[WeekIndex],12))</f>
        <v/>
      </c>
      <c r="N45" s="13">
        <f>IF(COUNTIFS(T_TTAFStock_Log[Part Name],$A45,T_TTAFStock_Log[WeekIndex],13)=0,"",SUMIFS(T_TTAFStock_Log[TTAF_Qty],T_TTAFStock_Log[Part Name],$A45,T_TTAFStock_Log[WeekIndex],13))</f>
        <v/>
      </c>
      <c r="O45" s="13">
        <f>IF(COUNTIFS(T_TTAFStock_Log[Part Name],$A45,T_TTAFStock_Log[WeekIndex],14)=0,"",SUMIFS(T_TTAFStock_Log[TTAF_Qty],T_TTAFStock_Log[Part Name],$A45,T_TTAFStock_Log[WeekIndex],14))</f>
        <v/>
      </c>
      <c r="P45" s="13">
        <f>IF(COUNTIFS(T_TTAFStock_Log[Part Name],$A45,T_TTAFStock_Log[WeekIndex],15)=0,"",SUMIFS(T_TTAFStock_Log[TTAF_Qty],T_TTAFStock_Log[Part Name],$A45,T_TTAFStock_Log[WeekIndex],15))</f>
        <v/>
      </c>
      <c r="Q45" s="13">
        <f>IF(COUNTIFS(T_TTAFStock_Log[Part Name],$A45,T_TTAFStock_Log[WeekIndex],16)=0,"",SUMIFS(T_TTAFStock_Log[TTAF_Qty],T_TTAFStock_Log[Part Name],$A45,T_TTAFStock_Log[WeekIndex],16))</f>
        <v/>
      </c>
      <c r="R45" s="13">
        <f>IF(COUNTIFS(T_TTAFStock_Log[Part Name],$A45,T_TTAFStock_Log[WeekIndex],17)=0,"",SUMIFS(T_TTAFStock_Log[TTAF_Qty],T_TTAFStock_Log[Part Name],$A45,T_TTAFStock_Log[WeekIndex],17))</f>
        <v/>
      </c>
      <c r="S45" s="13">
        <f>IF(COUNTIFS(T_TTAFStock_Log[Part Name],$A45,T_TTAFStock_Log[WeekIndex],18)=0,"",SUMIFS(T_TTAFStock_Log[TTAF_Qty],T_TTAFStock_Log[Part Name],$A45,T_TTAFStock_Log[WeekIndex],18))</f>
        <v/>
      </c>
      <c r="T45" s="13">
        <f>IF(COUNTIFS(T_TTAFStock_Log[Part Name],$A45,T_TTAFStock_Log[WeekIndex],19)=0,"",SUMIFS(T_TTAFStock_Log[TTAF_Qty],T_TTAFStock_Log[Part Name],$A45,T_TTAFStock_Log[WeekIndex],19))</f>
        <v/>
      </c>
      <c r="U45" s="13">
        <f>IF(COUNTIFS(T_TTAFStock_Log[Part Name],$A45,T_TTAFStock_Log[WeekIndex],20)=0,"",SUMIFS(T_TTAFStock_Log[TTAF_Qty],T_TTAFStock_Log[Part Name],$A45,T_TTAFStock_Log[WeekIndex],20))</f>
        <v/>
      </c>
      <c r="V45" s="13">
        <f>IF(COUNTIFS(T_TTAFStock_Log[Part Name],$A45,T_TTAFStock_Log[WeekIndex],21)=0,"",SUMIFS(T_TTAFStock_Log[TTAF_Qty],T_TTAFStock_Log[Part Name],$A45,T_TTAFStock_Log[WeekIndex],21))</f>
        <v/>
      </c>
      <c r="W45" s="13">
        <f>IF(COUNTIFS(T_TTAFStock_Log[Part Name],$A45,T_TTAFStock_Log[WeekIndex],22)=0,"",SUMIFS(T_TTAFStock_Log[TTAF_Qty],T_TTAFStock_Log[Part Name],$A45,T_TTAFStock_Log[WeekIndex],22))</f>
        <v/>
      </c>
      <c r="X45" s="13">
        <f>IF(COUNTIFS(T_TTAFStock_Log[Part Name],$A45,T_TTAFStock_Log[WeekIndex],23)=0,"",SUMIFS(T_TTAFStock_Log[TTAF_Qty],T_TTAFStock_Log[Part Name],$A45,T_TTAFStock_Log[WeekIndex],23))</f>
        <v/>
      </c>
      <c r="Y45" s="13">
        <f>IF(COUNTIFS(T_TTAFStock_Log[Part Name],$A45,T_TTAFStock_Log[WeekIndex],24)=0,"",SUMIFS(T_TTAFStock_Log[TTAF_Qty],T_TTAFStock_Log[Part Name],$A45,T_TTAFStock_Log[WeekIndex],24))</f>
        <v/>
      </c>
      <c r="Z45" s="13">
        <f>IF(COUNTIFS(T_TTAFStock_Log[Part Name],$A45,T_TTAFStock_Log[WeekIndex],25)=0,"",SUMIFS(T_TTAFStock_Log[TTAF_Qty],T_TTAFStock_Log[Part Name],$A45,T_TTAFStock_Log[WeekIndex],25))</f>
        <v/>
      </c>
      <c r="AA45" s="13">
        <f>IF(COUNTIFS(T_TTAFStock_Log[Part Name],$A45,T_TTAFStock_Log[WeekIndex],26)=0,"",SUMIFS(T_TTAFStock_Log[TTAF_Qty],T_TTAFStock_Log[Part Name],$A45,T_TTAFStock_Log[WeekIndex],26))</f>
        <v/>
      </c>
      <c r="AB45" s="13">
        <f>IF(COUNTIFS(T_TTAFStock_Log[Part Name],$A45,T_TTAFStock_Log[WeekIndex],27)=0,"",SUMIFS(T_TTAFStock_Log[TTAF_Qty],T_TTAFStock_Log[Part Name],$A45,T_TTAFStock_Log[WeekIndex],27))</f>
        <v/>
      </c>
      <c r="AC45" s="13">
        <f>IF(COUNTIFS(T_TTAFStock_Log[Part Name],$A45,T_TTAFStock_Log[WeekIndex],28)=0,"",SUMIFS(T_TTAFStock_Log[TTAF_Qty],T_TTAFStock_Log[Part Name],$A45,T_TTAFStock_Log[WeekIndex],28))</f>
        <v/>
      </c>
      <c r="AD45" s="13">
        <f>IF(COUNTIFS(T_TTAFStock_Log[Part Name],$A45,T_TTAFStock_Log[WeekIndex],29)=0,"",SUMIFS(T_TTAFStock_Log[TTAF_Qty],T_TTAFStock_Log[Part Name],$A45,T_TTAFStock_Log[WeekIndex],29))</f>
        <v/>
      </c>
      <c r="AE45" s="13">
        <f>IF(COUNTIFS(T_TTAFStock_Log[Part Name],$A45,T_TTAFStock_Log[WeekIndex],30)=0,"",SUMIFS(T_TTAFStock_Log[TTAF_Qty],T_TTAFStock_Log[Part Name],$A45,T_TTAFStock_Log[WeekIndex],30))</f>
        <v/>
      </c>
      <c r="AF45" s="13">
        <f>IF(COUNTIFS(T_TTAFStock_Log[Part Name],$A45,T_TTAFStock_Log[WeekIndex],31)=0,"",SUMIFS(T_TTAFStock_Log[TTAF_Qty],T_TTAFStock_Log[Part Name],$A45,T_TTAFStock_Log[WeekIndex],31))</f>
        <v/>
      </c>
      <c r="AG45" s="13">
        <f>IF(COUNTIFS(T_TTAFStock_Log[Part Name],$A45,T_TTAFStock_Log[WeekIndex],32)=0,"",SUMIFS(T_TTAFStock_Log[TTAF_Qty],T_TTAFStock_Log[Part Name],$A45,T_TTAFStock_Log[WeekIndex],32))</f>
        <v/>
      </c>
      <c r="AH45" s="13">
        <f>IF(COUNTIFS(T_TTAFStock_Log[Part Name],$A45,T_TTAFStock_Log[WeekIndex],33)=0,"",SUMIFS(T_TTAFStock_Log[TTAF_Qty],T_TTAFStock_Log[Part Name],$A45,T_TTAFStock_Log[WeekIndex],33))</f>
        <v/>
      </c>
      <c r="AI45" s="13">
        <f>IF(COUNTIFS(T_TTAFStock_Log[Part Name],$A45,T_TTAFStock_Log[WeekIndex],34)=0,"",SUMIFS(T_TTAFStock_Log[TTAF_Qty],T_TTAFStock_Log[Part Name],$A45,T_TTAFStock_Log[WeekIndex],34))</f>
        <v/>
      </c>
      <c r="AJ45" s="13">
        <f>IF(COUNTIFS(T_TTAFStock_Log[Part Name],$A45,T_TTAFStock_Log[WeekIndex],35)=0,"",SUMIFS(T_TTAFStock_Log[TTAF_Qty],T_TTAFStock_Log[Part Name],$A45,T_TTAFStock_Log[WeekIndex],35))</f>
        <v/>
      </c>
      <c r="AK45" s="13">
        <f>IF(COUNTIFS(T_TTAFStock_Log[Part Name],$A45,T_TTAFStock_Log[WeekIndex],36)=0,"",SUMIFS(T_TTAFStock_Log[TTAF_Qty],T_TTAFStock_Log[Part Name],$A45,T_TTAFStock_Log[WeekIndex],36))</f>
        <v/>
      </c>
      <c r="AL45" s="13">
        <f>IF(COUNTIFS(T_TTAFStock_Log[Part Name],$A45,T_TTAFStock_Log[WeekIndex],37)=0,"",SUMIFS(T_TTAFStock_Log[TTAF_Qty],T_TTAFStock_Log[Part Name],$A45,T_TTAFStock_Log[WeekIndex],37))</f>
        <v/>
      </c>
      <c r="AM45" s="13">
        <f>IF(COUNTIFS(T_TTAFStock_Log[Part Name],$A45,T_TTAFStock_Log[WeekIndex],38)=0,"",SUMIFS(T_TTAFStock_Log[TTAF_Qty],T_TTAFStock_Log[Part Name],$A45,T_TTAFStock_Log[WeekIndex],38))</f>
        <v/>
      </c>
      <c r="AN45" s="13">
        <f>IF(COUNTIFS(T_TTAFStock_Log[Part Name],$A45,T_TTAFStock_Log[WeekIndex],39)=0,"",SUMIFS(T_TTAFStock_Log[TTAF_Qty],T_TTAFStock_Log[Part Name],$A45,T_TTAFStock_Log[WeekIndex],39))</f>
        <v/>
      </c>
      <c r="AO45" s="13">
        <f>IF(COUNTIFS(T_TTAFStock_Log[Part Name],$A45,T_TTAFStock_Log[WeekIndex],40)=0,"",SUMIFS(T_TTAFStock_Log[TTAF_Qty],T_TTAFStock_Log[Part Name],$A45,T_TTAFStock_Log[WeekIndex],40))</f>
        <v/>
      </c>
      <c r="AP45" s="13">
        <f>IF(COUNTIFS(T_TTAFStock_Log[Part Name],$A45,T_TTAFStock_Log[WeekIndex],41)=0,"",SUMIFS(T_TTAFStock_Log[TTAF_Qty],T_TTAFStock_Log[Part Name],$A45,T_TTAFStock_Log[WeekIndex],41))</f>
        <v/>
      </c>
      <c r="AQ45" s="13">
        <f>IF(COUNTIFS(T_TTAFStock_Log[Part Name],$A45,T_TTAFStock_Log[WeekIndex],42)=0,"",SUMIFS(T_TTAFStock_Log[TTAF_Qty],T_TTAFStock_Log[Part Name],$A45,T_TTAFStock_Log[WeekIndex],42))</f>
        <v/>
      </c>
      <c r="AR45" s="13">
        <f>IF(COUNTIFS(T_TTAFStock_Log[Part Name],$A45,T_TTAFStock_Log[WeekIndex],43)=0,"",SUMIFS(T_TTAFStock_Log[TTAF_Qty],T_TTAFStock_Log[Part Name],$A45,T_TTAFStock_Log[WeekIndex],43))</f>
        <v/>
      </c>
      <c r="AS45" s="13">
        <f>IF(COUNTIFS(T_TTAFStock_Log[Part Name],$A45,T_TTAFStock_Log[WeekIndex],44)=0,"",SUMIFS(T_TTAFStock_Log[TTAF_Qty],T_TTAFStock_Log[Part Name],$A45,T_TTAFStock_Log[WeekIndex],44))</f>
        <v/>
      </c>
      <c r="AT45" s="13">
        <f>IF(COUNTIFS(T_TTAFStock_Log[Part Name],$A45,T_TTAFStock_Log[WeekIndex],45)=0,"",SUMIFS(T_TTAFStock_Log[TTAF_Qty],T_TTAFStock_Log[Part Name],$A45,T_TTAFStock_Log[WeekIndex],45))</f>
        <v/>
      </c>
      <c r="AU45" s="13">
        <f>IF(COUNTIFS(T_TTAFStock_Log[Part Name],$A45,T_TTAFStock_Log[WeekIndex],46)=0,"",SUMIFS(T_TTAFStock_Log[TTAF_Qty],T_TTAFStock_Log[Part Name],$A45,T_TTAFStock_Log[WeekIndex],46))</f>
        <v/>
      </c>
      <c r="AV45" s="13">
        <f>IF(COUNTIFS(T_TTAFStock_Log[Part Name],$A45,T_TTAFStock_Log[WeekIndex],47)=0,"",SUMIFS(T_TTAFStock_Log[TTAF_Qty],T_TTAFStock_Log[Part Name],$A45,T_TTAFStock_Log[WeekIndex],47))</f>
        <v/>
      </c>
      <c r="AW45" s="13">
        <f>IF(COUNTIFS(T_TTAFStock_Log[Part Name],$A45,T_TTAFStock_Log[WeekIndex],48)=0,"",SUMIFS(T_TTAFStock_Log[TTAF_Qty],T_TTAFStock_Log[Part Name],$A45,T_TTAFStock_Log[WeekIndex],48))</f>
        <v/>
      </c>
      <c r="AX45" s="13">
        <f>IF(COUNTIFS(T_TTAFStock_Log[Part Name],$A45,T_TTAFStock_Log[WeekIndex],49)=0,"",SUMIFS(T_TTAFStock_Log[TTAF_Qty],T_TTAFStock_Log[Part Name],$A45,T_TTAFStock_Log[WeekIndex],49))</f>
        <v/>
      </c>
      <c r="AY45" s="13">
        <f>IF(COUNTIFS(T_TTAFStock_Log[Part Name],$A45,T_TTAFStock_Log[WeekIndex],50)=0,"",SUMIFS(T_TTAFStock_Log[TTAF_Qty],T_TTAFStock_Log[Part Name],$A45,T_TTAFStock_Log[WeekIndex],50))</f>
        <v/>
      </c>
      <c r="AZ45" s="13">
        <f>IF(COUNTIFS(T_TTAFStock_Log[Part Name],$A45,T_TTAFStock_Log[WeekIndex],51)=0,"",SUMIFS(T_TTAFStock_Log[TTAF_Qty],T_TTAFStock_Log[Part Name],$A45,T_TTAFStock_Log[WeekIndex],51))</f>
        <v/>
      </c>
      <c r="BA45" s="13">
        <f>IF(COUNTIFS(T_TTAFStock_Log[Part Name],$A45,T_TTAFStock_Log[WeekIndex],52)=0,"",SUMIFS(T_TTAFStock_Log[TTAF_Qty],T_TTAFStock_Log[Part Name],$A45,T_TTAFStock_Log[WeekIndex],52))</f>
        <v/>
      </c>
      <c r="BB45" s="13">
        <f>IF(COUNTIFS(T_TTAFStock_Log[Part Name],$A45,T_TTAFStock_Log[WeekIndex],53)=0,"",SUMIFS(T_TTAFStock_Log[TTAF_Qty],T_TTAFStock_Log[Part Name],$A45,T_TTAFStock_Log[WeekIndex],53))</f>
        <v/>
      </c>
      <c r="BC45" s="13">
        <f>IF(COUNTIFS(T_TTAFStock_Log[Part Name],$A45,T_TTAFStock_Log[WeekIndex],54)=0,"",SUMIFS(T_TTAFStock_Log[TTAF_Qty],T_TTAFStock_Log[Part Name],$A45,T_TTAFStock_Log[WeekIndex],54))</f>
        <v/>
      </c>
      <c r="BD45" s="13">
        <f>IF(COUNTIFS(T_TTAFStock_Log[Part Name],$A45,T_TTAFStock_Log[WeekIndex],55)=0,"",SUMIFS(T_TTAFStock_Log[TTAF_Qty],T_TTAFStock_Log[Part Name],$A45,T_TTAFStock_Log[WeekIndex],55))</f>
        <v/>
      </c>
      <c r="BE45" s="13">
        <f>IF(COUNTIFS(T_TTAFStock_Log[Part Name],$A45,T_TTAFStock_Log[WeekIndex],56)=0,"",SUMIFS(T_TTAFStock_Log[TTAF_Qty],T_TTAFStock_Log[Part Name],$A45,T_TTAFStock_Log[WeekIndex],56))</f>
        <v/>
      </c>
      <c r="BF45" s="13">
        <f>IF(COUNTIFS(T_TTAFStock_Log[Part Name],$A45,T_TTAFStock_Log[WeekIndex],57)=0,"",SUMIFS(T_TTAFStock_Log[TTAF_Qty],T_TTAFStock_Log[Part Name],$A45,T_TTAFStock_Log[WeekIndex],57))</f>
        <v/>
      </c>
      <c r="BG45" s="13">
        <f>IF(COUNTIFS(T_TTAFStock_Log[Part Name],$A45,T_TTAFStock_Log[WeekIndex],58)=0,"",SUMIFS(T_TTAFStock_Log[TTAF_Qty],T_TTAFStock_Log[Part Name],$A45,T_TTAFStock_Log[WeekIndex],58))</f>
        <v/>
      </c>
      <c r="BH45" s="13">
        <f>IF(COUNTIFS(T_TTAFStock_Log[Part Name],$A45,T_TTAFStock_Log[WeekIndex],59)=0,"",SUMIFS(T_TTAFStock_Log[TTAF_Qty],T_TTAFStock_Log[Part Name],$A45,T_TTAFStock_Log[WeekIndex],59))</f>
        <v/>
      </c>
      <c r="BI45" s="13">
        <f>IF(COUNTIFS(T_TTAFStock_Log[Part Name],$A45,T_TTAFStock_Log[WeekIndex],60)=0,"",SUMIFS(T_TTAFStock_Log[TTAF_Qty],T_TTAFStock_Log[Part Name],$A45,T_TTAFStock_Log[WeekIndex],60))</f>
        <v/>
      </c>
      <c r="BJ45" s="13">
        <f>IF(COUNTIFS(T_TTAFStock_Log[Part Name],$A45,T_TTAFStock_Log[WeekIndex],61)=0,"",SUMIFS(T_TTAFStock_Log[TTAF_Qty],T_TTAFStock_Log[Part Name],$A45,T_TTAFStock_Log[WeekIndex],61))</f>
        <v/>
      </c>
      <c r="BK45" s="13">
        <f>IF(COUNTIFS(T_TTAFStock_Log[Part Name],$A45,T_TTAFStock_Log[WeekIndex],62)=0,"",SUMIFS(T_TTAFStock_Log[TTAF_Qty],T_TTAFStock_Log[Part Name],$A45,T_TTAFStock_Log[WeekIndex],62))</f>
        <v/>
      </c>
      <c r="BL45" s="13">
        <f>IF(COUNTIFS(T_TTAFStock_Log[Part Name],$A45,T_TTAFStock_Log[WeekIndex],63)=0,"",SUMIFS(T_TTAFStock_Log[TTAF_Qty],T_TTAFStock_Log[Part Name],$A45,T_TTAFStock_Log[WeekIndex],63))</f>
        <v/>
      </c>
      <c r="BM45" s="13">
        <f>IF(COUNTIFS(T_TTAFStock_Log[Part Name],$A45,T_TTAFStock_Log[WeekIndex],64)=0,"",SUMIFS(T_TTAFStock_Log[TTAF_Qty],T_TTAFStock_Log[Part Name],$A45,T_TTAFStock_Log[WeekIndex],64))</f>
        <v/>
      </c>
      <c r="BN45" s="13">
        <f>IF(COUNTIFS(T_TTAFStock_Log[Part Name],$A45,T_TTAFStock_Log[WeekIndex],65)=0,"",SUMIFS(T_TTAFStock_Log[TTAF_Qty],T_TTAFStock_Log[Part Name],$A45,T_TTAFStock_Log[WeekIndex],65))</f>
        <v/>
      </c>
      <c r="BO45" s="13">
        <f>IF(COUNTIFS(T_TTAFStock_Log[Part Name],$A45,T_TTAFStock_Log[WeekIndex],66)=0,"",SUMIFS(T_TTAFStock_Log[TTAF_Qty],T_TTAFStock_Log[Part Name],$A45,T_TTAFStock_Log[WeekIndex],66))</f>
        <v/>
      </c>
      <c r="BP45" s="13">
        <f>IF(COUNTIFS(T_TTAFStock_Log[Part Name],$A45,T_TTAFStock_Log[WeekIndex],67)=0,"",SUMIFS(T_TTAFStock_Log[TTAF_Qty],T_TTAFStock_Log[Part Name],$A45,T_TTAFStock_Log[WeekIndex],67))</f>
        <v/>
      </c>
      <c r="BQ45" s="13">
        <f>IF(COUNTIFS(T_TTAFStock_Log[Part Name],$A45,T_TTAFStock_Log[WeekIndex],68)=0,"",SUMIFS(T_TTAFStock_Log[TTAF_Qty],T_TTAFStock_Log[Part Name],$A45,T_TTAFStock_Log[WeekIndex],68))</f>
        <v/>
      </c>
      <c r="BR45" s="13">
        <f>IF(COUNTIFS(T_TTAFStock_Log[Part Name],$A45,T_TTAFStock_Log[WeekIndex],69)=0,"",SUMIFS(T_TTAFStock_Log[TTAF_Qty],T_TTAFStock_Log[Part Name],$A45,T_TTAFStock_Log[WeekIndex],69))</f>
        <v/>
      </c>
      <c r="BS45" s="13">
        <f>IF(COUNTIFS(T_TTAFStock_Log[Part Name],$A45,T_TTAFStock_Log[WeekIndex],70)=0,"",SUMIFS(T_TTAFStock_Log[TTAF_Qty],T_TTAFStock_Log[Part Name],$A45,T_TTAFStock_Log[WeekIndex],70))</f>
        <v/>
      </c>
      <c r="BT45" s="13">
        <f>IF(COUNTIFS(T_TTAFStock_Log[Part Name],$A45,T_TTAFStock_Log[WeekIndex],71)=0,"",SUMIFS(T_TTAFStock_Log[TTAF_Qty],T_TTAFStock_Log[Part Name],$A45,T_TTAFStock_Log[WeekIndex],71))</f>
        <v/>
      </c>
      <c r="BU45" s="13">
        <f>IF(COUNTIFS(T_TTAFStock_Log[Part Name],$A45,T_TTAFStock_Log[WeekIndex],72)=0,"",SUMIFS(T_TTAFStock_Log[TTAF_Qty],T_TTAFStock_Log[Part Name],$A45,T_TTAFStock_Log[WeekIndex],72))</f>
        <v/>
      </c>
      <c r="BV45" s="13">
        <f>IF(COUNTIFS(T_TTAFStock_Log[Part Name],$A45,T_TTAFStock_Log[WeekIndex],73)=0,"",SUMIFS(T_TTAFStock_Log[TTAF_Qty],T_TTAFStock_Log[Part Name],$A45,T_TTAFStock_Log[WeekIndex],73))</f>
        <v/>
      </c>
      <c r="BW45" s="13">
        <f>IF(COUNTIFS(T_TTAFStock_Log[Part Name],$A45,T_TTAFStock_Log[WeekIndex],74)=0,"",SUMIFS(T_TTAFStock_Log[TTAF_Qty],T_TTAFStock_Log[Part Name],$A45,T_TTAFStock_Log[WeekIndex],74))</f>
        <v/>
      </c>
      <c r="BX45" s="13">
        <f>IF(COUNTIFS(T_TTAFStock_Log[Part Name],$A45,T_TTAFStock_Log[WeekIndex],75)=0,"",SUMIFS(T_TTAFStock_Log[TTAF_Qty],T_TTAFStock_Log[Part Name],$A45,T_TTAFStock_Log[WeekIndex],75))</f>
        <v/>
      </c>
      <c r="BY45" s="13">
        <f>IF(COUNTIFS(T_TTAFStock_Log[Part Name],$A45,T_TTAFStock_Log[WeekIndex],76)=0,"",SUMIFS(T_TTAFStock_Log[TTAF_Qty],T_TTAFStock_Log[Part Name],$A45,T_TTAFStock_Log[WeekIndex],76))</f>
        <v/>
      </c>
      <c r="BZ45" s="13">
        <f>IF(COUNTIFS(T_TTAFStock_Log[Part Name],$A45,T_TTAFStock_Log[WeekIndex],77)=0,"",SUMIFS(T_TTAFStock_Log[TTAF_Qty],T_TTAFStock_Log[Part Name],$A45,T_TTAFStock_Log[WeekIndex],77))</f>
        <v/>
      </c>
      <c r="CA45" s="13">
        <f>IF(COUNTIFS(T_TTAFStock_Log[Part Name],$A45,T_TTAFStock_Log[WeekIndex],78)=0,"",SUMIFS(T_TTAFStock_Log[TTAF_Qty],T_TTAFStock_Log[Part Name],$A45,T_TTAFStock_Log[WeekIndex],78))</f>
        <v/>
      </c>
      <c r="CB45" s="13">
        <f>IF(COUNTIFS(T_TTAFStock_Log[Part Name],$A45,T_TTAFStock_Log[WeekIndex],79)=0,"",SUMIFS(T_TTAFStock_Log[TTAF_Qty],T_TTAFStock_Log[Part Name],$A45,T_TTAFStock_Log[WeekIndex],79))</f>
        <v/>
      </c>
      <c r="CC45" s="13">
        <f>IF(COUNTIFS(T_TTAFStock_Log[Part Name],$A45,T_TTAFStock_Log[WeekIndex],80)=0,"",SUMIFS(T_TTAFStock_Log[TTAF_Qty],T_TTAFStock_Log[Part Name],$A45,T_TTAFStock_Log[WeekIndex],80))</f>
        <v/>
      </c>
      <c r="CD45" s="13">
        <f>IF(COUNTIFS(T_TTAFStock_Log[Part Name],$A45,T_TTAFStock_Log[WeekIndex],81)=0,"",SUMIFS(T_TTAFStock_Log[TTAF_Qty],T_TTAFStock_Log[Part Name],$A45,T_TTAFStock_Log[WeekIndex],81))</f>
        <v/>
      </c>
      <c r="CE45" s="13">
        <f>IF(COUNTIFS(T_TTAFStock_Log[Part Name],$A45,T_TTAFStock_Log[WeekIndex],82)=0,"",SUMIFS(T_TTAFStock_Log[TTAF_Qty],T_TTAFStock_Log[Part Name],$A45,T_TTAFStock_Log[WeekIndex],82))</f>
        <v/>
      </c>
      <c r="CF45" s="13">
        <f>IF(COUNTIFS(T_TTAFStock_Log[Part Name],$A45,T_TTAFStock_Log[WeekIndex],83)=0,"",SUMIFS(T_TTAFStock_Log[TTAF_Qty],T_TTAFStock_Log[Part Name],$A45,T_TTAFStock_Log[WeekIndex],83))</f>
        <v/>
      </c>
      <c r="CG45" s="13">
        <f>IF(COUNTIFS(T_TTAFStock_Log[Part Name],$A45,T_TTAFStock_Log[WeekIndex],84)=0,"",SUMIFS(T_TTAFStock_Log[TTAF_Qty],T_TTAFStock_Log[Part Name],$A45,T_TTAFStock_Log[WeekIndex],84))</f>
        <v/>
      </c>
      <c r="CH45" s="13">
        <f>IF(COUNTIFS(T_TTAFStock_Log[Part Name],$A45,T_TTAFStock_Log[WeekIndex],85)=0,"",SUMIFS(T_TTAFStock_Log[TTAF_Qty],T_TTAFStock_Log[Part Name],$A45,T_TTAFStock_Log[WeekIndex],85))</f>
        <v/>
      </c>
      <c r="CI45" s="13">
        <f>IF(COUNTIFS(T_TTAFStock_Log[Part Name],$A45,T_TTAFStock_Log[WeekIndex],86)=0,"",SUMIFS(T_TTAFStock_Log[TTAF_Qty],T_TTAFStock_Log[Part Name],$A45,T_TTAFStock_Log[WeekIndex],86))</f>
        <v/>
      </c>
      <c r="CJ45" s="13">
        <f>IF(COUNTIFS(T_TTAFStock_Log[Part Name],$A45,T_TTAFStock_Log[WeekIndex],87)=0,"",SUMIFS(T_TTAFStock_Log[TTAF_Qty],T_TTAFStock_Log[Part Name],$A45,T_TTAFStock_Log[WeekIndex],87))</f>
        <v/>
      </c>
      <c r="CK45" s="13">
        <f>IF(COUNTIFS(T_TTAFStock_Log[Part Name],$A45,T_TTAFStock_Log[WeekIndex],88)=0,"",SUMIFS(T_TTAFStock_Log[TTAF_Qty],T_TTAFStock_Log[Part Name],$A45,T_TTAFStock_Log[WeekIndex],88))</f>
        <v/>
      </c>
      <c r="CL45" s="13">
        <f>IF(COUNTIFS(T_TTAFStock_Log[Part Name],$A45,T_TTAFStock_Log[WeekIndex],89)=0,"",SUMIFS(T_TTAFStock_Log[TTAF_Qty],T_TTAFStock_Log[Part Name],$A45,T_TTAFStock_Log[WeekIndex],89))</f>
        <v/>
      </c>
      <c r="CM45" s="13">
        <f>IF(COUNTIFS(T_TTAFStock_Log[Part Name],$A45,T_TTAFStock_Log[WeekIndex],90)=0,"",SUMIFS(T_TTAFStock_Log[TTAF_Qty],T_TTAFStock_Log[Part Name],$A45,T_TTAFStock_Log[WeekIndex],90))</f>
        <v/>
      </c>
      <c r="CN45" s="13">
        <f>IF(COUNTIFS(T_TTAFStock_Log[Part Name],$A45,T_TTAFStock_Log[WeekIndex],91)=0,"",SUMIFS(T_TTAFStock_Log[TTAF_Qty],T_TTAFStock_Log[Part Name],$A45,T_TTAFStock_Log[WeekIndex],91))</f>
        <v/>
      </c>
      <c r="CO45" s="13">
        <f>IF(COUNTIFS(T_TTAFStock_Log[Part Name],$A45,T_TTAFStock_Log[WeekIndex],92)=0,"",SUMIFS(T_TTAFStock_Log[TTAF_Qty],T_TTAFStock_Log[Part Name],$A45,T_TTAFStock_Log[WeekIndex],92))</f>
        <v/>
      </c>
      <c r="CP45" s="13">
        <f>IF(COUNTIFS(T_TTAFStock_Log[Part Name],$A45,T_TTAFStock_Log[WeekIndex],93)=0,"",SUMIFS(T_TTAFStock_Log[TTAF_Qty],T_TTAFStock_Log[Part Name],$A45,T_TTAFStock_Log[WeekIndex],93))</f>
        <v/>
      </c>
      <c r="CQ45" s="13">
        <f>IF(COUNTIFS(T_TTAFStock_Log[Part Name],$A45,T_TTAFStock_Log[WeekIndex],94)=0,"",SUMIFS(T_TTAFStock_Log[TTAF_Qty],T_TTAFStock_Log[Part Name],$A45,T_TTAFStock_Log[WeekIndex],94))</f>
        <v/>
      </c>
      <c r="CR45" s="13">
        <f>IF(COUNTIFS(T_TTAFStock_Log[Part Name],$A45,T_TTAFStock_Log[WeekIndex],95)=0,"",SUMIFS(T_TTAFStock_Log[TTAF_Qty],T_TTAFStock_Log[Part Name],$A45,T_TTAFStock_Log[WeekIndex],95))</f>
        <v/>
      </c>
      <c r="CS45" s="13">
        <f>IF(COUNTIFS(T_TTAFStock_Log[Part Name],$A45,T_TTAFStock_Log[WeekIndex],96)=0,"",SUMIFS(T_TTAFStock_Log[TTAF_Qty],T_TTAFStock_Log[Part Name],$A45,T_TTAFStock_Log[WeekIndex],96))</f>
        <v/>
      </c>
      <c r="CT45" s="13">
        <f>IF(COUNTIFS(T_TTAFStock_Log[Part Name],$A45,T_TTAFStock_Log[WeekIndex],97)=0,"",SUMIFS(T_TTAFStock_Log[TTAF_Qty],T_TTAFStock_Log[Part Name],$A45,T_TTAFStock_Log[WeekIndex],97))</f>
        <v/>
      </c>
      <c r="CU45" s="13">
        <f>IF(COUNTIFS(T_TTAFStock_Log[Part Name],$A45,T_TTAFStock_Log[WeekIndex],98)=0,"",SUMIFS(T_TTAFStock_Log[TTAF_Qty],T_TTAFStock_Log[Part Name],$A45,T_TTAFStock_Log[WeekIndex],98))</f>
        <v/>
      </c>
      <c r="CV45" s="13">
        <f>IF(COUNTIFS(T_TTAFStock_Log[Part Name],$A45,T_TTAFStock_Log[WeekIndex],99)=0,"",SUMIFS(T_TTAFStock_Log[TTAF_Qty],T_TTAFStock_Log[Part Name],$A45,T_TTAFStock_Log[WeekIndex],99))</f>
        <v/>
      </c>
      <c r="CW45" s="13">
        <f>IF(COUNTIFS(T_TTAFStock_Log[Part Name],$A45,T_TTAFStock_Log[WeekIndex],100)=0,"",SUMIFS(T_TTAFStock_Log[TTAF_Qty],T_TTAFStock_Log[Part Name],$A45,T_TTAFStock_Log[WeekIndex],100))</f>
        <v/>
      </c>
      <c r="CX45" s="13">
        <f>IF(COUNTIFS(T_TTAFStock_Log[Part Name],$A45,T_TTAFStock_Log[WeekIndex],101)=0,"",SUMIFS(T_TTAFStock_Log[TTAF_Qty],T_TTAFStock_Log[Part Name],$A45,T_TTAFStock_Log[WeekIndex],101))</f>
        <v/>
      </c>
      <c r="CY45" s="13">
        <f>IF(COUNTIFS(T_TTAFStock_Log[Part Name],$A45,T_TTAFStock_Log[WeekIndex],102)=0,"",SUMIFS(T_TTAFStock_Log[TTAF_Qty],T_TTAFStock_Log[Part Name],$A45,T_TTAFStock_Log[WeekIndex],102))</f>
        <v/>
      </c>
      <c r="CZ45" s="13">
        <f>IF(COUNTIFS(T_TTAFStock_Log[Part Name],$A45,T_TTAFStock_Log[WeekIndex],103)=0,"",SUMIFS(T_TTAFStock_Log[TTAF_Qty],T_TTAFStock_Log[Part Name],$A45,T_TTAFStock_Log[WeekIndex],103))</f>
        <v/>
      </c>
      <c r="DA45" s="13">
        <f>IF(COUNTIFS(T_TTAFStock_Log[Part Name],$A45,T_TTAFStock_Log[WeekIndex],104)=0,"",SUMIFS(T_TTAFStock_Log[TTAF_Qty],T_TTAFStock_Log[Part Name],$A45,T_TTAFStock_Log[WeekIndex],104))</f>
        <v/>
      </c>
    </row>
    <row r="46">
      <c r="A46" s="12" t="inlineStr">
        <is>
          <t>V03</t>
        </is>
      </c>
      <c r="B46" s="12">
        <f>IF(COUNTIFS(T_TTAFStock_Log[Part Name],$A46,T_TTAFStock_Log[WeekIndex],1)=0,"",SUMIFS(T_TTAFStock_Log[TTAF_Qty],T_TTAFStock_Log[Part Name],$A46,T_TTAFStock_Log[WeekIndex],1))</f>
        <v/>
      </c>
      <c r="C46" s="12">
        <f>IF(COUNTIFS(T_TTAFStock_Log[Part Name],$A46,T_TTAFStock_Log[WeekIndex],2)=0,"",SUMIFS(T_TTAFStock_Log[TTAF_Qty],T_TTAFStock_Log[Part Name],$A46,T_TTAFStock_Log[WeekIndex],2))</f>
        <v/>
      </c>
      <c r="D46" s="12">
        <f>IF(COUNTIFS(T_TTAFStock_Log[Part Name],$A46,T_TTAFStock_Log[WeekIndex],3)=0,"",SUMIFS(T_TTAFStock_Log[TTAF_Qty],T_TTAFStock_Log[Part Name],$A46,T_TTAFStock_Log[WeekIndex],3))</f>
        <v/>
      </c>
      <c r="E46" s="12">
        <f>IF(COUNTIFS(T_TTAFStock_Log[Part Name],$A46,T_TTAFStock_Log[WeekIndex],4)=0,"",SUMIFS(T_TTAFStock_Log[TTAF_Qty],T_TTAFStock_Log[Part Name],$A46,T_TTAFStock_Log[WeekIndex],4))</f>
        <v/>
      </c>
      <c r="F46" s="12">
        <f>IF(COUNTIFS(T_TTAFStock_Log[Part Name],$A46,T_TTAFStock_Log[WeekIndex],5)=0,"",SUMIFS(T_TTAFStock_Log[TTAF_Qty],T_TTAFStock_Log[Part Name],$A46,T_TTAFStock_Log[WeekIndex],5))</f>
        <v/>
      </c>
      <c r="G46" s="12">
        <f>IF(COUNTIFS(T_TTAFStock_Log[Part Name],$A46,T_TTAFStock_Log[WeekIndex],6)=0,"",SUMIFS(T_TTAFStock_Log[TTAF_Qty],T_TTAFStock_Log[Part Name],$A46,T_TTAFStock_Log[WeekIndex],6))</f>
        <v/>
      </c>
      <c r="H46" s="12">
        <f>IF(COUNTIFS(T_TTAFStock_Log[Part Name],$A46,T_TTAFStock_Log[WeekIndex],7)=0,"",SUMIFS(T_TTAFStock_Log[TTAF_Qty],T_TTAFStock_Log[Part Name],$A46,T_TTAFStock_Log[WeekIndex],7))</f>
        <v/>
      </c>
      <c r="I46" s="12">
        <f>IF(COUNTIFS(T_TTAFStock_Log[Part Name],$A46,T_TTAFStock_Log[WeekIndex],8)=0,"",SUMIFS(T_TTAFStock_Log[TTAF_Qty],T_TTAFStock_Log[Part Name],$A46,T_TTAFStock_Log[WeekIndex],8))</f>
        <v/>
      </c>
      <c r="J46" s="12">
        <f>IF(COUNTIFS(T_TTAFStock_Log[Part Name],$A46,T_TTAFStock_Log[WeekIndex],9)=0,"",SUMIFS(T_TTAFStock_Log[TTAF_Qty],T_TTAFStock_Log[Part Name],$A46,T_TTAFStock_Log[WeekIndex],9))</f>
        <v/>
      </c>
      <c r="K46" s="12">
        <f>IF(COUNTIFS(T_TTAFStock_Log[Part Name],$A46,T_TTAFStock_Log[WeekIndex],10)=0,"",SUMIFS(T_TTAFStock_Log[TTAF_Qty],T_TTAFStock_Log[Part Name],$A46,T_TTAFStock_Log[WeekIndex],10))</f>
        <v/>
      </c>
      <c r="L46" s="12">
        <f>IF(COUNTIFS(T_TTAFStock_Log[Part Name],$A46,T_TTAFStock_Log[WeekIndex],11)=0,"",SUMIFS(T_TTAFStock_Log[TTAF_Qty],T_TTAFStock_Log[Part Name],$A46,T_TTAFStock_Log[WeekIndex],11))</f>
        <v/>
      </c>
      <c r="M46" s="12">
        <f>IF(COUNTIFS(T_TTAFStock_Log[Part Name],$A46,T_TTAFStock_Log[WeekIndex],12)=0,"",SUMIFS(T_TTAFStock_Log[TTAF_Qty],T_TTAFStock_Log[Part Name],$A46,T_TTAFStock_Log[WeekIndex],12))</f>
        <v/>
      </c>
      <c r="N46" s="12">
        <f>IF(COUNTIFS(T_TTAFStock_Log[Part Name],$A46,T_TTAFStock_Log[WeekIndex],13)=0,"",SUMIFS(T_TTAFStock_Log[TTAF_Qty],T_TTAFStock_Log[Part Name],$A46,T_TTAFStock_Log[WeekIndex],13))</f>
        <v/>
      </c>
      <c r="O46" s="12">
        <f>IF(COUNTIFS(T_TTAFStock_Log[Part Name],$A46,T_TTAFStock_Log[WeekIndex],14)=0,"",SUMIFS(T_TTAFStock_Log[TTAF_Qty],T_TTAFStock_Log[Part Name],$A46,T_TTAFStock_Log[WeekIndex],14))</f>
        <v/>
      </c>
      <c r="P46" s="12">
        <f>IF(COUNTIFS(T_TTAFStock_Log[Part Name],$A46,T_TTAFStock_Log[WeekIndex],15)=0,"",SUMIFS(T_TTAFStock_Log[TTAF_Qty],T_TTAFStock_Log[Part Name],$A46,T_TTAFStock_Log[WeekIndex],15))</f>
        <v/>
      </c>
      <c r="Q46" s="12">
        <f>IF(COUNTIFS(T_TTAFStock_Log[Part Name],$A46,T_TTAFStock_Log[WeekIndex],16)=0,"",SUMIFS(T_TTAFStock_Log[TTAF_Qty],T_TTAFStock_Log[Part Name],$A46,T_TTAFStock_Log[WeekIndex],16))</f>
        <v/>
      </c>
      <c r="R46" s="12">
        <f>IF(COUNTIFS(T_TTAFStock_Log[Part Name],$A46,T_TTAFStock_Log[WeekIndex],17)=0,"",SUMIFS(T_TTAFStock_Log[TTAF_Qty],T_TTAFStock_Log[Part Name],$A46,T_TTAFStock_Log[WeekIndex],17))</f>
        <v/>
      </c>
      <c r="S46" s="12">
        <f>IF(COUNTIFS(T_TTAFStock_Log[Part Name],$A46,T_TTAFStock_Log[WeekIndex],18)=0,"",SUMIFS(T_TTAFStock_Log[TTAF_Qty],T_TTAFStock_Log[Part Name],$A46,T_TTAFStock_Log[WeekIndex],18))</f>
        <v/>
      </c>
      <c r="T46" s="12">
        <f>IF(COUNTIFS(T_TTAFStock_Log[Part Name],$A46,T_TTAFStock_Log[WeekIndex],19)=0,"",SUMIFS(T_TTAFStock_Log[TTAF_Qty],T_TTAFStock_Log[Part Name],$A46,T_TTAFStock_Log[WeekIndex],19))</f>
        <v/>
      </c>
      <c r="U46" s="12">
        <f>IF(COUNTIFS(T_TTAFStock_Log[Part Name],$A46,T_TTAFStock_Log[WeekIndex],20)=0,"",SUMIFS(T_TTAFStock_Log[TTAF_Qty],T_TTAFStock_Log[Part Name],$A46,T_TTAFStock_Log[WeekIndex],20))</f>
        <v/>
      </c>
      <c r="V46" s="12">
        <f>IF(COUNTIFS(T_TTAFStock_Log[Part Name],$A46,T_TTAFStock_Log[WeekIndex],21)=0,"",SUMIFS(T_TTAFStock_Log[TTAF_Qty],T_TTAFStock_Log[Part Name],$A46,T_TTAFStock_Log[WeekIndex],21))</f>
        <v/>
      </c>
      <c r="W46" s="12">
        <f>IF(COUNTIFS(T_TTAFStock_Log[Part Name],$A46,T_TTAFStock_Log[WeekIndex],22)=0,"",SUMIFS(T_TTAFStock_Log[TTAF_Qty],T_TTAFStock_Log[Part Name],$A46,T_TTAFStock_Log[WeekIndex],22))</f>
        <v/>
      </c>
      <c r="X46" s="12">
        <f>IF(COUNTIFS(T_TTAFStock_Log[Part Name],$A46,T_TTAFStock_Log[WeekIndex],23)=0,"",SUMIFS(T_TTAFStock_Log[TTAF_Qty],T_TTAFStock_Log[Part Name],$A46,T_TTAFStock_Log[WeekIndex],23))</f>
        <v/>
      </c>
      <c r="Y46" s="12">
        <f>IF(COUNTIFS(T_TTAFStock_Log[Part Name],$A46,T_TTAFStock_Log[WeekIndex],24)=0,"",SUMIFS(T_TTAFStock_Log[TTAF_Qty],T_TTAFStock_Log[Part Name],$A46,T_TTAFStock_Log[WeekIndex],24))</f>
        <v/>
      </c>
      <c r="Z46" s="12">
        <f>IF(COUNTIFS(T_TTAFStock_Log[Part Name],$A46,T_TTAFStock_Log[WeekIndex],25)=0,"",SUMIFS(T_TTAFStock_Log[TTAF_Qty],T_TTAFStock_Log[Part Name],$A46,T_TTAFStock_Log[WeekIndex],25))</f>
        <v/>
      </c>
      <c r="AA46" s="12">
        <f>IF(COUNTIFS(T_TTAFStock_Log[Part Name],$A46,T_TTAFStock_Log[WeekIndex],26)=0,"",SUMIFS(T_TTAFStock_Log[TTAF_Qty],T_TTAFStock_Log[Part Name],$A46,T_TTAFStock_Log[WeekIndex],26))</f>
        <v/>
      </c>
      <c r="AB46" s="12">
        <f>IF(COUNTIFS(T_TTAFStock_Log[Part Name],$A46,T_TTAFStock_Log[WeekIndex],27)=0,"",SUMIFS(T_TTAFStock_Log[TTAF_Qty],T_TTAFStock_Log[Part Name],$A46,T_TTAFStock_Log[WeekIndex],27))</f>
        <v/>
      </c>
      <c r="AC46" s="12">
        <f>IF(COUNTIFS(T_TTAFStock_Log[Part Name],$A46,T_TTAFStock_Log[WeekIndex],28)=0,"",SUMIFS(T_TTAFStock_Log[TTAF_Qty],T_TTAFStock_Log[Part Name],$A46,T_TTAFStock_Log[WeekIndex],28))</f>
        <v/>
      </c>
      <c r="AD46" s="12">
        <f>IF(COUNTIFS(T_TTAFStock_Log[Part Name],$A46,T_TTAFStock_Log[WeekIndex],29)=0,"",SUMIFS(T_TTAFStock_Log[TTAF_Qty],T_TTAFStock_Log[Part Name],$A46,T_TTAFStock_Log[WeekIndex],29))</f>
        <v/>
      </c>
      <c r="AE46" s="12">
        <f>IF(COUNTIFS(T_TTAFStock_Log[Part Name],$A46,T_TTAFStock_Log[WeekIndex],30)=0,"",SUMIFS(T_TTAFStock_Log[TTAF_Qty],T_TTAFStock_Log[Part Name],$A46,T_TTAFStock_Log[WeekIndex],30))</f>
        <v/>
      </c>
      <c r="AF46" s="12">
        <f>IF(COUNTIFS(T_TTAFStock_Log[Part Name],$A46,T_TTAFStock_Log[WeekIndex],31)=0,"",SUMIFS(T_TTAFStock_Log[TTAF_Qty],T_TTAFStock_Log[Part Name],$A46,T_TTAFStock_Log[WeekIndex],31))</f>
        <v/>
      </c>
      <c r="AG46" s="12">
        <f>IF(COUNTIFS(T_TTAFStock_Log[Part Name],$A46,T_TTAFStock_Log[WeekIndex],32)=0,"",SUMIFS(T_TTAFStock_Log[TTAF_Qty],T_TTAFStock_Log[Part Name],$A46,T_TTAFStock_Log[WeekIndex],32))</f>
        <v/>
      </c>
      <c r="AH46" s="12">
        <f>IF(COUNTIFS(T_TTAFStock_Log[Part Name],$A46,T_TTAFStock_Log[WeekIndex],33)=0,"",SUMIFS(T_TTAFStock_Log[TTAF_Qty],T_TTAFStock_Log[Part Name],$A46,T_TTAFStock_Log[WeekIndex],33))</f>
        <v/>
      </c>
      <c r="AI46" s="12">
        <f>IF(COUNTIFS(T_TTAFStock_Log[Part Name],$A46,T_TTAFStock_Log[WeekIndex],34)=0,"",SUMIFS(T_TTAFStock_Log[TTAF_Qty],T_TTAFStock_Log[Part Name],$A46,T_TTAFStock_Log[WeekIndex],34))</f>
        <v/>
      </c>
      <c r="AJ46" s="12">
        <f>IF(COUNTIFS(T_TTAFStock_Log[Part Name],$A46,T_TTAFStock_Log[WeekIndex],35)=0,"",SUMIFS(T_TTAFStock_Log[TTAF_Qty],T_TTAFStock_Log[Part Name],$A46,T_TTAFStock_Log[WeekIndex],35))</f>
        <v/>
      </c>
      <c r="AK46" s="12">
        <f>IF(COUNTIFS(T_TTAFStock_Log[Part Name],$A46,T_TTAFStock_Log[WeekIndex],36)=0,"",SUMIFS(T_TTAFStock_Log[TTAF_Qty],T_TTAFStock_Log[Part Name],$A46,T_TTAFStock_Log[WeekIndex],36))</f>
        <v/>
      </c>
      <c r="AL46" s="12">
        <f>IF(COUNTIFS(T_TTAFStock_Log[Part Name],$A46,T_TTAFStock_Log[WeekIndex],37)=0,"",SUMIFS(T_TTAFStock_Log[TTAF_Qty],T_TTAFStock_Log[Part Name],$A46,T_TTAFStock_Log[WeekIndex],37))</f>
        <v/>
      </c>
      <c r="AM46" s="12">
        <f>IF(COUNTIFS(T_TTAFStock_Log[Part Name],$A46,T_TTAFStock_Log[WeekIndex],38)=0,"",SUMIFS(T_TTAFStock_Log[TTAF_Qty],T_TTAFStock_Log[Part Name],$A46,T_TTAFStock_Log[WeekIndex],38))</f>
        <v/>
      </c>
      <c r="AN46" s="12">
        <f>IF(COUNTIFS(T_TTAFStock_Log[Part Name],$A46,T_TTAFStock_Log[WeekIndex],39)=0,"",SUMIFS(T_TTAFStock_Log[TTAF_Qty],T_TTAFStock_Log[Part Name],$A46,T_TTAFStock_Log[WeekIndex],39))</f>
        <v/>
      </c>
      <c r="AO46" s="12">
        <f>IF(COUNTIFS(T_TTAFStock_Log[Part Name],$A46,T_TTAFStock_Log[WeekIndex],40)=0,"",SUMIFS(T_TTAFStock_Log[TTAF_Qty],T_TTAFStock_Log[Part Name],$A46,T_TTAFStock_Log[WeekIndex],40))</f>
        <v/>
      </c>
      <c r="AP46" s="12">
        <f>IF(COUNTIFS(T_TTAFStock_Log[Part Name],$A46,T_TTAFStock_Log[WeekIndex],41)=0,"",SUMIFS(T_TTAFStock_Log[TTAF_Qty],T_TTAFStock_Log[Part Name],$A46,T_TTAFStock_Log[WeekIndex],41))</f>
        <v/>
      </c>
      <c r="AQ46" s="12">
        <f>IF(COUNTIFS(T_TTAFStock_Log[Part Name],$A46,T_TTAFStock_Log[WeekIndex],42)=0,"",SUMIFS(T_TTAFStock_Log[TTAF_Qty],T_TTAFStock_Log[Part Name],$A46,T_TTAFStock_Log[WeekIndex],42))</f>
        <v/>
      </c>
      <c r="AR46" s="12">
        <f>IF(COUNTIFS(T_TTAFStock_Log[Part Name],$A46,T_TTAFStock_Log[WeekIndex],43)=0,"",SUMIFS(T_TTAFStock_Log[TTAF_Qty],T_TTAFStock_Log[Part Name],$A46,T_TTAFStock_Log[WeekIndex],43))</f>
        <v/>
      </c>
      <c r="AS46" s="12">
        <f>IF(COUNTIFS(T_TTAFStock_Log[Part Name],$A46,T_TTAFStock_Log[WeekIndex],44)=0,"",SUMIFS(T_TTAFStock_Log[TTAF_Qty],T_TTAFStock_Log[Part Name],$A46,T_TTAFStock_Log[WeekIndex],44))</f>
        <v/>
      </c>
      <c r="AT46" s="12">
        <f>IF(COUNTIFS(T_TTAFStock_Log[Part Name],$A46,T_TTAFStock_Log[WeekIndex],45)=0,"",SUMIFS(T_TTAFStock_Log[TTAF_Qty],T_TTAFStock_Log[Part Name],$A46,T_TTAFStock_Log[WeekIndex],45))</f>
        <v/>
      </c>
      <c r="AU46" s="12">
        <f>IF(COUNTIFS(T_TTAFStock_Log[Part Name],$A46,T_TTAFStock_Log[WeekIndex],46)=0,"",SUMIFS(T_TTAFStock_Log[TTAF_Qty],T_TTAFStock_Log[Part Name],$A46,T_TTAFStock_Log[WeekIndex],46))</f>
        <v/>
      </c>
      <c r="AV46" s="12">
        <f>IF(COUNTIFS(T_TTAFStock_Log[Part Name],$A46,T_TTAFStock_Log[WeekIndex],47)=0,"",SUMIFS(T_TTAFStock_Log[TTAF_Qty],T_TTAFStock_Log[Part Name],$A46,T_TTAFStock_Log[WeekIndex],47))</f>
        <v/>
      </c>
      <c r="AW46" s="12">
        <f>IF(COUNTIFS(T_TTAFStock_Log[Part Name],$A46,T_TTAFStock_Log[WeekIndex],48)=0,"",SUMIFS(T_TTAFStock_Log[TTAF_Qty],T_TTAFStock_Log[Part Name],$A46,T_TTAFStock_Log[WeekIndex],48))</f>
        <v/>
      </c>
      <c r="AX46" s="12">
        <f>IF(COUNTIFS(T_TTAFStock_Log[Part Name],$A46,T_TTAFStock_Log[WeekIndex],49)=0,"",SUMIFS(T_TTAFStock_Log[TTAF_Qty],T_TTAFStock_Log[Part Name],$A46,T_TTAFStock_Log[WeekIndex],49))</f>
        <v/>
      </c>
      <c r="AY46" s="12">
        <f>IF(COUNTIFS(T_TTAFStock_Log[Part Name],$A46,T_TTAFStock_Log[WeekIndex],50)=0,"",SUMIFS(T_TTAFStock_Log[TTAF_Qty],T_TTAFStock_Log[Part Name],$A46,T_TTAFStock_Log[WeekIndex],50))</f>
        <v/>
      </c>
      <c r="AZ46" s="12">
        <f>IF(COUNTIFS(T_TTAFStock_Log[Part Name],$A46,T_TTAFStock_Log[WeekIndex],51)=0,"",SUMIFS(T_TTAFStock_Log[TTAF_Qty],T_TTAFStock_Log[Part Name],$A46,T_TTAFStock_Log[WeekIndex],51))</f>
        <v/>
      </c>
      <c r="BA46" s="12">
        <f>IF(COUNTIFS(T_TTAFStock_Log[Part Name],$A46,T_TTAFStock_Log[WeekIndex],52)=0,"",SUMIFS(T_TTAFStock_Log[TTAF_Qty],T_TTAFStock_Log[Part Name],$A46,T_TTAFStock_Log[WeekIndex],52))</f>
        <v/>
      </c>
      <c r="BB46" s="12">
        <f>IF(COUNTIFS(T_TTAFStock_Log[Part Name],$A46,T_TTAFStock_Log[WeekIndex],53)=0,"",SUMIFS(T_TTAFStock_Log[TTAF_Qty],T_TTAFStock_Log[Part Name],$A46,T_TTAFStock_Log[WeekIndex],53))</f>
        <v/>
      </c>
      <c r="BC46" s="12">
        <f>IF(COUNTIFS(T_TTAFStock_Log[Part Name],$A46,T_TTAFStock_Log[WeekIndex],54)=0,"",SUMIFS(T_TTAFStock_Log[TTAF_Qty],T_TTAFStock_Log[Part Name],$A46,T_TTAFStock_Log[WeekIndex],54))</f>
        <v/>
      </c>
      <c r="BD46" s="12">
        <f>IF(COUNTIFS(T_TTAFStock_Log[Part Name],$A46,T_TTAFStock_Log[WeekIndex],55)=0,"",SUMIFS(T_TTAFStock_Log[TTAF_Qty],T_TTAFStock_Log[Part Name],$A46,T_TTAFStock_Log[WeekIndex],55))</f>
        <v/>
      </c>
      <c r="BE46" s="12">
        <f>IF(COUNTIFS(T_TTAFStock_Log[Part Name],$A46,T_TTAFStock_Log[WeekIndex],56)=0,"",SUMIFS(T_TTAFStock_Log[TTAF_Qty],T_TTAFStock_Log[Part Name],$A46,T_TTAFStock_Log[WeekIndex],56))</f>
        <v/>
      </c>
      <c r="BF46" s="12">
        <f>IF(COUNTIFS(T_TTAFStock_Log[Part Name],$A46,T_TTAFStock_Log[WeekIndex],57)=0,"",SUMIFS(T_TTAFStock_Log[TTAF_Qty],T_TTAFStock_Log[Part Name],$A46,T_TTAFStock_Log[WeekIndex],57))</f>
        <v/>
      </c>
      <c r="BG46" s="12">
        <f>IF(COUNTIFS(T_TTAFStock_Log[Part Name],$A46,T_TTAFStock_Log[WeekIndex],58)=0,"",SUMIFS(T_TTAFStock_Log[TTAF_Qty],T_TTAFStock_Log[Part Name],$A46,T_TTAFStock_Log[WeekIndex],58))</f>
        <v/>
      </c>
      <c r="BH46" s="12">
        <f>IF(COUNTIFS(T_TTAFStock_Log[Part Name],$A46,T_TTAFStock_Log[WeekIndex],59)=0,"",SUMIFS(T_TTAFStock_Log[TTAF_Qty],T_TTAFStock_Log[Part Name],$A46,T_TTAFStock_Log[WeekIndex],59))</f>
        <v/>
      </c>
      <c r="BI46" s="12">
        <f>IF(COUNTIFS(T_TTAFStock_Log[Part Name],$A46,T_TTAFStock_Log[WeekIndex],60)=0,"",SUMIFS(T_TTAFStock_Log[TTAF_Qty],T_TTAFStock_Log[Part Name],$A46,T_TTAFStock_Log[WeekIndex],60))</f>
        <v/>
      </c>
      <c r="BJ46" s="12">
        <f>IF(COUNTIFS(T_TTAFStock_Log[Part Name],$A46,T_TTAFStock_Log[WeekIndex],61)=0,"",SUMIFS(T_TTAFStock_Log[TTAF_Qty],T_TTAFStock_Log[Part Name],$A46,T_TTAFStock_Log[WeekIndex],61))</f>
        <v/>
      </c>
      <c r="BK46" s="12">
        <f>IF(COUNTIFS(T_TTAFStock_Log[Part Name],$A46,T_TTAFStock_Log[WeekIndex],62)=0,"",SUMIFS(T_TTAFStock_Log[TTAF_Qty],T_TTAFStock_Log[Part Name],$A46,T_TTAFStock_Log[WeekIndex],62))</f>
        <v/>
      </c>
      <c r="BL46" s="12">
        <f>IF(COUNTIFS(T_TTAFStock_Log[Part Name],$A46,T_TTAFStock_Log[WeekIndex],63)=0,"",SUMIFS(T_TTAFStock_Log[TTAF_Qty],T_TTAFStock_Log[Part Name],$A46,T_TTAFStock_Log[WeekIndex],63))</f>
        <v/>
      </c>
      <c r="BM46" s="12">
        <f>IF(COUNTIFS(T_TTAFStock_Log[Part Name],$A46,T_TTAFStock_Log[WeekIndex],64)=0,"",SUMIFS(T_TTAFStock_Log[TTAF_Qty],T_TTAFStock_Log[Part Name],$A46,T_TTAFStock_Log[WeekIndex],64))</f>
        <v/>
      </c>
      <c r="BN46" s="12">
        <f>IF(COUNTIFS(T_TTAFStock_Log[Part Name],$A46,T_TTAFStock_Log[WeekIndex],65)=0,"",SUMIFS(T_TTAFStock_Log[TTAF_Qty],T_TTAFStock_Log[Part Name],$A46,T_TTAFStock_Log[WeekIndex],65))</f>
        <v/>
      </c>
      <c r="BO46" s="12">
        <f>IF(COUNTIFS(T_TTAFStock_Log[Part Name],$A46,T_TTAFStock_Log[WeekIndex],66)=0,"",SUMIFS(T_TTAFStock_Log[TTAF_Qty],T_TTAFStock_Log[Part Name],$A46,T_TTAFStock_Log[WeekIndex],66))</f>
        <v/>
      </c>
      <c r="BP46" s="12">
        <f>IF(COUNTIFS(T_TTAFStock_Log[Part Name],$A46,T_TTAFStock_Log[WeekIndex],67)=0,"",SUMIFS(T_TTAFStock_Log[TTAF_Qty],T_TTAFStock_Log[Part Name],$A46,T_TTAFStock_Log[WeekIndex],67))</f>
        <v/>
      </c>
      <c r="BQ46" s="12">
        <f>IF(COUNTIFS(T_TTAFStock_Log[Part Name],$A46,T_TTAFStock_Log[WeekIndex],68)=0,"",SUMIFS(T_TTAFStock_Log[TTAF_Qty],T_TTAFStock_Log[Part Name],$A46,T_TTAFStock_Log[WeekIndex],68))</f>
        <v/>
      </c>
      <c r="BR46" s="12">
        <f>IF(COUNTIFS(T_TTAFStock_Log[Part Name],$A46,T_TTAFStock_Log[WeekIndex],69)=0,"",SUMIFS(T_TTAFStock_Log[TTAF_Qty],T_TTAFStock_Log[Part Name],$A46,T_TTAFStock_Log[WeekIndex],69))</f>
        <v/>
      </c>
      <c r="BS46" s="12">
        <f>IF(COUNTIFS(T_TTAFStock_Log[Part Name],$A46,T_TTAFStock_Log[WeekIndex],70)=0,"",SUMIFS(T_TTAFStock_Log[TTAF_Qty],T_TTAFStock_Log[Part Name],$A46,T_TTAFStock_Log[WeekIndex],70))</f>
        <v/>
      </c>
      <c r="BT46" s="12">
        <f>IF(COUNTIFS(T_TTAFStock_Log[Part Name],$A46,T_TTAFStock_Log[WeekIndex],71)=0,"",SUMIFS(T_TTAFStock_Log[TTAF_Qty],T_TTAFStock_Log[Part Name],$A46,T_TTAFStock_Log[WeekIndex],71))</f>
        <v/>
      </c>
      <c r="BU46" s="12">
        <f>IF(COUNTIFS(T_TTAFStock_Log[Part Name],$A46,T_TTAFStock_Log[WeekIndex],72)=0,"",SUMIFS(T_TTAFStock_Log[TTAF_Qty],T_TTAFStock_Log[Part Name],$A46,T_TTAFStock_Log[WeekIndex],72))</f>
        <v/>
      </c>
      <c r="BV46" s="12">
        <f>IF(COUNTIFS(T_TTAFStock_Log[Part Name],$A46,T_TTAFStock_Log[WeekIndex],73)=0,"",SUMIFS(T_TTAFStock_Log[TTAF_Qty],T_TTAFStock_Log[Part Name],$A46,T_TTAFStock_Log[WeekIndex],73))</f>
        <v/>
      </c>
      <c r="BW46" s="12">
        <f>IF(COUNTIFS(T_TTAFStock_Log[Part Name],$A46,T_TTAFStock_Log[WeekIndex],74)=0,"",SUMIFS(T_TTAFStock_Log[TTAF_Qty],T_TTAFStock_Log[Part Name],$A46,T_TTAFStock_Log[WeekIndex],74))</f>
        <v/>
      </c>
      <c r="BX46" s="12">
        <f>IF(COUNTIFS(T_TTAFStock_Log[Part Name],$A46,T_TTAFStock_Log[WeekIndex],75)=0,"",SUMIFS(T_TTAFStock_Log[TTAF_Qty],T_TTAFStock_Log[Part Name],$A46,T_TTAFStock_Log[WeekIndex],75))</f>
        <v/>
      </c>
      <c r="BY46" s="12">
        <f>IF(COUNTIFS(T_TTAFStock_Log[Part Name],$A46,T_TTAFStock_Log[WeekIndex],76)=0,"",SUMIFS(T_TTAFStock_Log[TTAF_Qty],T_TTAFStock_Log[Part Name],$A46,T_TTAFStock_Log[WeekIndex],76))</f>
        <v/>
      </c>
      <c r="BZ46" s="12">
        <f>IF(COUNTIFS(T_TTAFStock_Log[Part Name],$A46,T_TTAFStock_Log[WeekIndex],77)=0,"",SUMIFS(T_TTAFStock_Log[TTAF_Qty],T_TTAFStock_Log[Part Name],$A46,T_TTAFStock_Log[WeekIndex],77))</f>
        <v/>
      </c>
      <c r="CA46" s="12">
        <f>IF(COUNTIFS(T_TTAFStock_Log[Part Name],$A46,T_TTAFStock_Log[WeekIndex],78)=0,"",SUMIFS(T_TTAFStock_Log[TTAF_Qty],T_TTAFStock_Log[Part Name],$A46,T_TTAFStock_Log[WeekIndex],78))</f>
        <v/>
      </c>
      <c r="CB46" s="12">
        <f>IF(COUNTIFS(T_TTAFStock_Log[Part Name],$A46,T_TTAFStock_Log[WeekIndex],79)=0,"",SUMIFS(T_TTAFStock_Log[TTAF_Qty],T_TTAFStock_Log[Part Name],$A46,T_TTAFStock_Log[WeekIndex],79))</f>
        <v/>
      </c>
      <c r="CC46" s="12">
        <f>IF(COUNTIFS(T_TTAFStock_Log[Part Name],$A46,T_TTAFStock_Log[WeekIndex],80)=0,"",SUMIFS(T_TTAFStock_Log[TTAF_Qty],T_TTAFStock_Log[Part Name],$A46,T_TTAFStock_Log[WeekIndex],80))</f>
        <v/>
      </c>
      <c r="CD46" s="12">
        <f>IF(COUNTIFS(T_TTAFStock_Log[Part Name],$A46,T_TTAFStock_Log[WeekIndex],81)=0,"",SUMIFS(T_TTAFStock_Log[TTAF_Qty],T_TTAFStock_Log[Part Name],$A46,T_TTAFStock_Log[WeekIndex],81))</f>
        <v/>
      </c>
      <c r="CE46" s="12">
        <f>IF(COUNTIFS(T_TTAFStock_Log[Part Name],$A46,T_TTAFStock_Log[WeekIndex],82)=0,"",SUMIFS(T_TTAFStock_Log[TTAF_Qty],T_TTAFStock_Log[Part Name],$A46,T_TTAFStock_Log[WeekIndex],82))</f>
        <v/>
      </c>
      <c r="CF46" s="12">
        <f>IF(COUNTIFS(T_TTAFStock_Log[Part Name],$A46,T_TTAFStock_Log[WeekIndex],83)=0,"",SUMIFS(T_TTAFStock_Log[TTAF_Qty],T_TTAFStock_Log[Part Name],$A46,T_TTAFStock_Log[WeekIndex],83))</f>
        <v/>
      </c>
      <c r="CG46" s="12">
        <f>IF(COUNTIFS(T_TTAFStock_Log[Part Name],$A46,T_TTAFStock_Log[WeekIndex],84)=0,"",SUMIFS(T_TTAFStock_Log[TTAF_Qty],T_TTAFStock_Log[Part Name],$A46,T_TTAFStock_Log[WeekIndex],84))</f>
        <v/>
      </c>
      <c r="CH46" s="12">
        <f>IF(COUNTIFS(T_TTAFStock_Log[Part Name],$A46,T_TTAFStock_Log[WeekIndex],85)=0,"",SUMIFS(T_TTAFStock_Log[TTAF_Qty],T_TTAFStock_Log[Part Name],$A46,T_TTAFStock_Log[WeekIndex],85))</f>
        <v/>
      </c>
      <c r="CI46" s="12">
        <f>IF(COUNTIFS(T_TTAFStock_Log[Part Name],$A46,T_TTAFStock_Log[WeekIndex],86)=0,"",SUMIFS(T_TTAFStock_Log[TTAF_Qty],T_TTAFStock_Log[Part Name],$A46,T_TTAFStock_Log[WeekIndex],86))</f>
        <v/>
      </c>
      <c r="CJ46" s="12">
        <f>IF(COUNTIFS(T_TTAFStock_Log[Part Name],$A46,T_TTAFStock_Log[WeekIndex],87)=0,"",SUMIFS(T_TTAFStock_Log[TTAF_Qty],T_TTAFStock_Log[Part Name],$A46,T_TTAFStock_Log[WeekIndex],87))</f>
        <v/>
      </c>
      <c r="CK46" s="12">
        <f>IF(COUNTIFS(T_TTAFStock_Log[Part Name],$A46,T_TTAFStock_Log[WeekIndex],88)=0,"",SUMIFS(T_TTAFStock_Log[TTAF_Qty],T_TTAFStock_Log[Part Name],$A46,T_TTAFStock_Log[WeekIndex],88))</f>
        <v/>
      </c>
      <c r="CL46" s="12">
        <f>IF(COUNTIFS(T_TTAFStock_Log[Part Name],$A46,T_TTAFStock_Log[WeekIndex],89)=0,"",SUMIFS(T_TTAFStock_Log[TTAF_Qty],T_TTAFStock_Log[Part Name],$A46,T_TTAFStock_Log[WeekIndex],89))</f>
        <v/>
      </c>
      <c r="CM46" s="12">
        <f>IF(COUNTIFS(T_TTAFStock_Log[Part Name],$A46,T_TTAFStock_Log[WeekIndex],90)=0,"",SUMIFS(T_TTAFStock_Log[TTAF_Qty],T_TTAFStock_Log[Part Name],$A46,T_TTAFStock_Log[WeekIndex],90))</f>
        <v/>
      </c>
      <c r="CN46" s="12">
        <f>IF(COUNTIFS(T_TTAFStock_Log[Part Name],$A46,T_TTAFStock_Log[WeekIndex],91)=0,"",SUMIFS(T_TTAFStock_Log[TTAF_Qty],T_TTAFStock_Log[Part Name],$A46,T_TTAFStock_Log[WeekIndex],91))</f>
        <v/>
      </c>
      <c r="CO46" s="12">
        <f>IF(COUNTIFS(T_TTAFStock_Log[Part Name],$A46,T_TTAFStock_Log[WeekIndex],92)=0,"",SUMIFS(T_TTAFStock_Log[TTAF_Qty],T_TTAFStock_Log[Part Name],$A46,T_TTAFStock_Log[WeekIndex],92))</f>
        <v/>
      </c>
      <c r="CP46" s="12">
        <f>IF(COUNTIFS(T_TTAFStock_Log[Part Name],$A46,T_TTAFStock_Log[WeekIndex],93)=0,"",SUMIFS(T_TTAFStock_Log[TTAF_Qty],T_TTAFStock_Log[Part Name],$A46,T_TTAFStock_Log[WeekIndex],93))</f>
        <v/>
      </c>
      <c r="CQ46" s="12">
        <f>IF(COUNTIFS(T_TTAFStock_Log[Part Name],$A46,T_TTAFStock_Log[WeekIndex],94)=0,"",SUMIFS(T_TTAFStock_Log[TTAF_Qty],T_TTAFStock_Log[Part Name],$A46,T_TTAFStock_Log[WeekIndex],94))</f>
        <v/>
      </c>
      <c r="CR46" s="12">
        <f>IF(COUNTIFS(T_TTAFStock_Log[Part Name],$A46,T_TTAFStock_Log[WeekIndex],95)=0,"",SUMIFS(T_TTAFStock_Log[TTAF_Qty],T_TTAFStock_Log[Part Name],$A46,T_TTAFStock_Log[WeekIndex],95))</f>
        <v/>
      </c>
      <c r="CS46" s="12">
        <f>IF(COUNTIFS(T_TTAFStock_Log[Part Name],$A46,T_TTAFStock_Log[WeekIndex],96)=0,"",SUMIFS(T_TTAFStock_Log[TTAF_Qty],T_TTAFStock_Log[Part Name],$A46,T_TTAFStock_Log[WeekIndex],96))</f>
        <v/>
      </c>
      <c r="CT46" s="12">
        <f>IF(COUNTIFS(T_TTAFStock_Log[Part Name],$A46,T_TTAFStock_Log[WeekIndex],97)=0,"",SUMIFS(T_TTAFStock_Log[TTAF_Qty],T_TTAFStock_Log[Part Name],$A46,T_TTAFStock_Log[WeekIndex],97))</f>
        <v/>
      </c>
      <c r="CU46" s="12">
        <f>IF(COUNTIFS(T_TTAFStock_Log[Part Name],$A46,T_TTAFStock_Log[WeekIndex],98)=0,"",SUMIFS(T_TTAFStock_Log[TTAF_Qty],T_TTAFStock_Log[Part Name],$A46,T_TTAFStock_Log[WeekIndex],98))</f>
        <v/>
      </c>
      <c r="CV46" s="12">
        <f>IF(COUNTIFS(T_TTAFStock_Log[Part Name],$A46,T_TTAFStock_Log[WeekIndex],99)=0,"",SUMIFS(T_TTAFStock_Log[TTAF_Qty],T_TTAFStock_Log[Part Name],$A46,T_TTAFStock_Log[WeekIndex],99))</f>
        <v/>
      </c>
      <c r="CW46" s="12">
        <f>IF(COUNTIFS(T_TTAFStock_Log[Part Name],$A46,T_TTAFStock_Log[WeekIndex],100)=0,"",SUMIFS(T_TTAFStock_Log[TTAF_Qty],T_TTAFStock_Log[Part Name],$A46,T_TTAFStock_Log[WeekIndex],100))</f>
        <v/>
      </c>
      <c r="CX46" s="12">
        <f>IF(COUNTIFS(T_TTAFStock_Log[Part Name],$A46,T_TTAFStock_Log[WeekIndex],101)=0,"",SUMIFS(T_TTAFStock_Log[TTAF_Qty],T_TTAFStock_Log[Part Name],$A46,T_TTAFStock_Log[WeekIndex],101))</f>
        <v/>
      </c>
      <c r="CY46" s="12">
        <f>IF(COUNTIFS(T_TTAFStock_Log[Part Name],$A46,T_TTAFStock_Log[WeekIndex],102)=0,"",SUMIFS(T_TTAFStock_Log[TTAF_Qty],T_TTAFStock_Log[Part Name],$A46,T_TTAFStock_Log[WeekIndex],102))</f>
        <v/>
      </c>
      <c r="CZ46" s="12">
        <f>IF(COUNTIFS(T_TTAFStock_Log[Part Name],$A46,T_TTAFStock_Log[WeekIndex],103)=0,"",SUMIFS(T_TTAFStock_Log[TTAF_Qty],T_TTAFStock_Log[Part Name],$A46,T_TTAFStock_Log[WeekIndex],103))</f>
        <v/>
      </c>
      <c r="DA46" s="12">
        <f>IF(COUNTIFS(T_TTAFStock_Log[Part Name],$A46,T_TTAFStock_Log[WeekIndex],104)=0,"",SUMIFS(T_TTAFStock_Log[TTAF_Qty],T_TTAFStock_Log[Part Name],$A46,T_TTAFStock_Log[WeekIndex],104))</f>
        <v/>
      </c>
    </row>
    <row r="47">
      <c r="A47" s="13" t="inlineStr">
        <is>
          <t>V19</t>
        </is>
      </c>
      <c r="B47" s="13">
        <f>IF(COUNTIFS(T_TTAFStock_Log[Part Name],$A47,T_TTAFStock_Log[WeekIndex],1)=0,"",SUMIFS(T_TTAFStock_Log[TTAF_Qty],T_TTAFStock_Log[Part Name],$A47,T_TTAFStock_Log[WeekIndex],1))</f>
        <v/>
      </c>
      <c r="C47" s="13">
        <f>IF(COUNTIFS(T_TTAFStock_Log[Part Name],$A47,T_TTAFStock_Log[WeekIndex],2)=0,"",SUMIFS(T_TTAFStock_Log[TTAF_Qty],T_TTAFStock_Log[Part Name],$A47,T_TTAFStock_Log[WeekIndex],2))</f>
        <v/>
      </c>
      <c r="D47" s="13">
        <f>IF(COUNTIFS(T_TTAFStock_Log[Part Name],$A47,T_TTAFStock_Log[WeekIndex],3)=0,"",SUMIFS(T_TTAFStock_Log[TTAF_Qty],T_TTAFStock_Log[Part Name],$A47,T_TTAFStock_Log[WeekIndex],3))</f>
        <v/>
      </c>
      <c r="E47" s="13">
        <f>IF(COUNTIFS(T_TTAFStock_Log[Part Name],$A47,T_TTAFStock_Log[WeekIndex],4)=0,"",SUMIFS(T_TTAFStock_Log[TTAF_Qty],T_TTAFStock_Log[Part Name],$A47,T_TTAFStock_Log[WeekIndex],4))</f>
        <v/>
      </c>
      <c r="F47" s="13">
        <f>IF(COUNTIFS(T_TTAFStock_Log[Part Name],$A47,T_TTAFStock_Log[WeekIndex],5)=0,"",SUMIFS(T_TTAFStock_Log[TTAF_Qty],T_TTAFStock_Log[Part Name],$A47,T_TTAFStock_Log[WeekIndex],5))</f>
        <v/>
      </c>
      <c r="G47" s="13">
        <f>IF(COUNTIFS(T_TTAFStock_Log[Part Name],$A47,T_TTAFStock_Log[WeekIndex],6)=0,"",SUMIFS(T_TTAFStock_Log[TTAF_Qty],T_TTAFStock_Log[Part Name],$A47,T_TTAFStock_Log[WeekIndex],6))</f>
        <v/>
      </c>
      <c r="H47" s="13">
        <f>IF(COUNTIFS(T_TTAFStock_Log[Part Name],$A47,T_TTAFStock_Log[WeekIndex],7)=0,"",SUMIFS(T_TTAFStock_Log[TTAF_Qty],T_TTAFStock_Log[Part Name],$A47,T_TTAFStock_Log[WeekIndex],7))</f>
        <v/>
      </c>
      <c r="I47" s="13">
        <f>IF(COUNTIFS(T_TTAFStock_Log[Part Name],$A47,T_TTAFStock_Log[WeekIndex],8)=0,"",SUMIFS(T_TTAFStock_Log[TTAF_Qty],T_TTAFStock_Log[Part Name],$A47,T_TTAFStock_Log[WeekIndex],8))</f>
        <v/>
      </c>
      <c r="J47" s="13">
        <f>IF(COUNTIFS(T_TTAFStock_Log[Part Name],$A47,T_TTAFStock_Log[WeekIndex],9)=0,"",SUMIFS(T_TTAFStock_Log[TTAF_Qty],T_TTAFStock_Log[Part Name],$A47,T_TTAFStock_Log[WeekIndex],9))</f>
        <v/>
      </c>
      <c r="K47" s="13">
        <f>IF(COUNTIFS(T_TTAFStock_Log[Part Name],$A47,T_TTAFStock_Log[WeekIndex],10)=0,"",SUMIFS(T_TTAFStock_Log[TTAF_Qty],T_TTAFStock_Log[Part Name],$A47,T_TTAFStock_Log[WeekIndex],10))</f>
        <v/>
      </c>
      <c r="L47" s="13">
        <f>IF(COUNTIFS(T_TTAFStock_Log[Part Name],$A47,T_TTAFStock_Log[WeekIndex],11)=0,"",SUMIFS(T_TTAFStock_Log[TTAF_Qty],T_TTAFStock_Log[Part Name],$A47,T_TTAFStock_Log[WeekIndex],11))</f>
        <v/>
      </c>
      <c r="M47" s="13">
        <f>IF(COUNTIFS(T_TTAFStock_Log[Part Name],$A47,T_TTAFStock_Log[WeekIndex],12)=0,"",SUMIFS(T_TTAFStock_Log[TTAF_Qty],T_TTAFStock_Log[Part Name],$A47,T_TTAFStock_Log[WeekIndex],12))</f>
        <v/>
      </c>
      <c r="N47" s="13">
        <f>IF(COUNTIFS(T_TTAFStock_Log[Part Name],$A47,T_TTAFStock_Log[WeekIndex],13)=0,"",SUMIFS(T_TTAFStock_Log[TTAF_Qty],T_TTAFStock_Log[Part Name],$A47,T_TTAFStock_Log[WeekIndex],13))</f>
        <v/>
      </c>
      <c r="O47" s="13">
        <f>IF(COUNTIFS(T_TTAFStock_Log[Part Name],$A47,T_TTAFStock_Log[WeekIndex],14)=0,"",SUMIFS(T_TTAFStock_Log[TTAF_Qty],T_TTAFStock_Log[Part Name],$A47,T_TTAFStock_Log[WeekIndex],14))</f>
        <v/>
      </c>
      <c r="P47" s="13">
        <f>IF(COUNTIFS(T_TTAFStock_Log[Part Name],$A47,T_TTAFStock_Log[WeekIndex],15)=0,"",SUMIFS(T_TTAFStock_Log[TTAF_Qty],T_TTAFStock_Log[Part Name],$A47,T_TTAFStock_Log[WeekIndex],15))</f>
        <v/>
      </c>
      <c r="Q47" s="13">
        <f>IF(COUNTIFS(T_TTAFStock_Log[Part Name],$A47,T_TTAFStock_Log[WeekIndex],16)=0,"",SUMIFS(T_TTAFStock_Log[TTAF_Qty],T_TTAFStock_Log[Part Name],$A47,T_TTAFStock_Log[WeekIndex],16))</f>
        <v/>
      </c>
      <c r="R47" s="13">
        <f>IF(COUNTIFS(T_TTAFStock_Log[Part Name],$A47,T_TTAFStock_Log[WeekIndex],17)=0,"",SUMIFS(T_TTAFStock_Log[TTAF_Qty],T_TTAFStock_Log[Part Name],$A47,T_TTAFStock_Log[WeekIndex],17))</f>
        <v/>
      </c>
      <c r="S47" s="13">
        <f>IF(COUNTIFS(T_TTAFStock_Log[Part Name],$A47,T_TTAFStock_Log[WeekIndex],18)=0,"",SUMIFS(T_TTAFStock_Log[TTAF_Qty],T_TTAFStock_Log[Part Name],$A47,T_TTAFStock_Log[WeekIndex],18))</f>
        <v/>
      </c>
      <c r="T47" s="13">
        <f>IF(COUNTIFS(T_TTAFStock_Log[Part Name],$A47,T_TTAFStock_Log[WeekIndex],19)=0,"",SUMIFS(T_TTAFStock_Log[TTAF_Qty],T_TTAFStock_Log[Part Name],$A47,T_TTAFStock_Log[WeekIndex],19))</f>
        <v/>
      </c>
      <c r="U47" s="13">
        <f>IF(COUNTIFS(T_TTAFStock_Log[Part Name],$A47,T_TTAFStock_Log[WeekIndex],20)=0,"",SUMIFS(T_TTAFStock_Log[TTAF_Qty],T_TTAFStock_Log[Part Name],$A47,T_TTAFStock_Log[WeekIndex],20))</f>
        <v/>
      </c>
      <c r="V47" s="13">
        <f>IF(COUNTIFS(T_TTAFStock_Log[Part Name],$A47,T_TTAFStock_Log[WeekIndex],21)=0,"",SUMIFS(T_TTAFStock_Log[TTAF_Qty],T_TTAFStock_Log[Part Name],$A47,T_TTAFStock_Log[WeekIndex],21))</f>
        <v/>
      </c>
      <c r="W47" s="13">
        <f>IF(COUNTIFS(T_TTAFStock_Log[Part Name],$A47,T_TTAFStock_Log[WeekIndex],22)=0,"",SUMIFS(T_TTAFStock_Log[TTAF_Qty],T_TTAFStock_Log[Part Name],$A47,T_TTAFStock_Log[WeekIndex],22))</f>
        <v/>
      </c>
      <c r="X47" s="13">
        <f>IF(COUNTIFS(T_TTAFStock_Log[Part Name],$A47,T_TTAFStock_Log[WeekIndex],23)=0,"",SUMIFS(T_TTAFStock_Log[TTAF_Qty],T_TTAFStock_Log[Part Name],$A47,T_TTAFStock_Log[WeekIndex],23))</f>
        <v/>
      </c>
      <c r="Y47" s="13">
        <f>IF(COUNTIFS(T_TTAFStock_Log[Part Name],$A47,T_TTAFStock_Log[WeekIndex],24)=0,"",SUMIFS(T_TTAFStock_Log[TTAF_Qty],T_TTAFStock_Log[Part Name],$A47,T_TTAFStock_Log[WeekIndex],24))</f>
        <v/>
      </c>
      <c r="Z47" s="13">
        <f>IF(COUNTIFS(T_TTAFStock_Log[Part Name],$A47,T_TTAFStock_Log[WeekIndex],25)=0,"",SUMIFS(T_TTAFStock_Log[TTAF_Qty],T_TTAFStock_Log[Part Name],$A47,T_TTAFStock_Log[WeekIndex],25))</f>
        <v/>
      </c>
      <c r="AA47" s="13">
        <f>IF(COUNTIFS(T_TTAFStock_Log[Part Name],$A47,T_TTAFStock_Log[WeekIndex],26)=0,"",SUMIFS(T_TTAFStock_Log[TTAF_Qty],T_TTAFStock_Log[Part Name],$A47,T_TTAFStock_Log[WeekIndex],26))</f>
        <v/>
      </c>
      <c r="AB47" s="13">
        <f>IF(COUNTIFS(T_TTAFStock_Log[Part Name],$A47,T_TTAFStock_Log[WeekIndex],27)=0,"",SUMIFS(T_TTAFStock_Log[TTAF_Qty],T_TTAFStock_Log[Part Name],$A47,T_TTAFStock_Log[WeekIndex],27))</f>
        <v/>
      </c>
      <c r="AC47" s="13">
        <f>IF(COUNTIFS(T_TTAFStock_Log[Part Name],$A47,T_TTAFStock_Log[WeekIndex],28)=0,"",SUMIFS(T_TTAFStock_Log[TTAF_Qty],T_TTAFStock_Log[Part Name],$A47,T_TTAFStock_Log[WeekIndex],28))</f>
        <v/>
      </c>
      <c r="AD47" s="13">
        <f>IF(COUNTIFS(T_TTAFStock_Log[Part Name],$A47,T_TTAFStock_Log[WeekIndex],29)=0,"",SUMIFS(T_TTAFStock_Log[TTAF_Qty],T_TTAFStock_Log[Part Name],$A47,T_TTAFStock_Log[WeekIndex],29))</f>
        <v/>
      </c>
      <c r="AE47" s="13">
        <f>IF(COUNTIFS(T_TTAFStock_Log[Part Name],$A47,T_TTAFStock_Log[WeekIndex],30)=0,"",SUMIFS(T_TTAFStock_Log[TTAF_Qty],T_TTAFStock_Log[Part Name],$A47,T_TTAFStock_Log[WeekIndex],30))</f>
        <v/>
      </c>
      <c r="AF47" s="13">
        <f>IF(COUNTIFS(T_TTAFStock_Log[Part Name],$A47,T_TTAFStock_Log[WeekIndex],31)=0,"",SUMIFS(T_TTAFStock_Log[TTAF_Qty],T_TTAFStock_Log[Part Name],$A47,T_TTAFStock_Log[WeekIndex],31))</f>
        <v/>
      </c>
      <c r="AG47" s="13">
        <f>IF(COUNTIFS(T_TTAFStock_Log[Part Name],$A47,T_TTAFStock_Log[WeekIndex],32)=0,"",SUMIFS(T_TTAFStock_Log[TTAF_Qty],T_TTAFStock_Log[Part Name],$A47,T_TTAFStock_Log[WeekIndex],32))</f>
        <v/>
      </c>
      <c r="AH47" s="13">
        <f>IF(COUNTIFS(T_TTAFStock_Log[Part Name],$A47,T_TTAFStock_Log[WeekIndex],33)=0,"",SUMIFS(T_TTAFStock_Log[TTAF_Qty],T_TTAFStock_Log[Part Name],$A47,T_TTAFStock_Log[WeekIndex],33))</f>
        <v/>
      </c>
      <c r="AI47" s="13">
        <f>IF(COUNTIFS(T_TTAFStock_Log[Part Name],$A47,T_TTAFStock_Log[WeekIndex],34)=0,"",SUMIFS(T_TTAFStock_Log[TTAF_Qty],T_TTAFStock_Log[Part Name],$A47,T_TTAFStock_Log[WeekIndex],34))</f>
        <v/>
      </c>
      <c r="AJ47" s="13">
        <f>IF(COUNTIFS(T_TTAFStock_Log[Part Name],$A47,T_TTAFStock_Log[WeekIndex],35)=0,"",SUMIFS(T_TTAFStock_Log[TTAF_Qty],T_TTAFStock_Log[Part Name],$A47,T_TTAFStock_Log[WeekIndex],35))</f>
        <v/>
      </c>
      <c r="AK47" s="13">
        <f>IF(COUNTIFS(T_TTAFStock_Log[Part Name],$A47,T_TTAFStock_Log[WeekIndex],36)=0,"",SUMIFS(T_TTAFStock_Log[TTAF_Qty],T_TTAFStock_Log[Part Name],$A47,T_TTAFStock_Log[WeekIndex],36))</f>
        <v/>
      </c>
      <c r="AL47" s="13">
        <f>IF(COUNTIFS(T_TTAFStock_Log[Part Name],$A47,T_TTAFStock_Log[WeekIndex],37)=0,"",SUMIFS(T_TTAFStock_Log[TTAF_Qty],T_TTAFStock_Log[Part Name],$A47,T_TTAFStock_Log[WeekIndex],37))</f>
        <v/>
      </c>
      <c r="AM47" s="13">
        <f>IF(COUNTIFS(T_TTAFStock_Log[Part Name],$A47,T_TTAFStock_Log[WeekIndex],38)=0,"",SUMIFS(T_TTAFStock_Log[TTAF_Qty],T_TTAFStock_Log[Part Name],$A47,T_TTAFStock_Log[WeekIndex],38))</f>
        <v/>
      </c>
      <c r="AN47" s="13">
        <f>IF(COUNTIFS(T_TTAFStock_Log[Part Name],$A47,T_TTAFStock_Log[WeekIndex],39)=0,"",SUMIFS(T_TTAFStock_Log[TTAF_Qty],T_TTAFStock_Log[Part Name],$A47,T_TTAFStock_Log[WeekIndex],39))</f>
        <v/>
      </c>
      <c r="AO47" s="13">
        <f>IF(COUNTIFS(T_TTAFStock_Log[Part Name],$A47,T_TTAFStock_Log[WeekIndex],40)=0,"",SUMIFS(T_TTAFStock_Log[TTAF_Qty],T_TTAFStock_Log[Part Name],$A47,T_TTAFStock_Log[WeekIndex],40))</f>
        <v/>
      </c>
      <c r="AP47" s="13">
        <f>IF(COUNTIFS(T_TTAFStock_Log[Part Name],$A47,T_TTAFStock_Log[WeekIndex],41)=0,"",SUMIFS(T_TTAFStock_Log[TTAF_Qty],T_TTAFStock_Log[Part Name],$A47,T_TTAFStock_Log[WeekIndex],41))</f>
        <v/>
      </c>
      <c r="AQ47" s="13">
        <f>IF(COUNTIFS(T_TTAFStock_Log[Part Name],$A47,T_TTAFStock_Log[WeekIndex],42)=0,"",SUMIFS(T_TTAFStock_Log[TTAF_Qty],T_TTAFStock_Log[Part Name],$A47,T_TTAFStock_Log[WeekIndex],42))</f>
        <v/>
      </c>
      <c r="AR47" s="13">
        <f>IF(COUNTIFS(T_TTAFStock_Log[Part Name],$A47,T_TTAFStock_Log[WeekIndex],43)=0,"",SUMIFS(T_TTAFStock_Log[TTAF_Qty],T_TTAFStock_Log[Part Name],$A47,T_TTAFStock_Log[WeekIndex],43))</f>
        <v/>
      </c>
      <c r="AS47" s="13">
        <f>IF(COUNTIFS(T_TTAFStock_Log[Part Name],$A47,T_TTAFStock_Log[WeekIndex],44)=0,"",SUMIFS(T_TTAFStock_Log[TTAF_Qty],T_TTAFStock_Log[Part Name],$A47,T_TTAFStock_Log[WeekIndex],44))</f>
        <v/>
      </c>
      <c r="AT47" s="13">
        <f>IF(COUNTIFS(T_TTAFStock_Log[Part Name],$A47,T_TTAFStock_Log[WeekIndex],45)=0,"",SUMIFS(T_TTAFStock_Log[TTAF_Qty],T_TTAFStock_Log[Part Name],$A47,T_TTAFStock_Log[WeekIndex],45))</f>
        <v/>
      </c>
      <c r="AU47" s="13">
        <f>IF(COUNTIFS(T_TTAFStock_Log[Part Name],$A47,T_TTAFStock_Log[WeekIndex],46)=0,"",SUMIFS(T_TTAFStock_Log[TTAF_Qty],T_TTAFStock_Log[Part Name],$A47,T_TTAFStock_Log[WeekIndex],46))</f>
        <v/>
      </c>
      <c r="AV47" s="13">
        <f>IF(COUNTIFS(T_TTAFStock_Log[Part Name],$A47,T_TTAFStock_Log[WeekIndex],47)=0,"",SUMIFS(T_TTAFStock_Log[TTAF_Qty],T_TTAFStock_Log[Part Name],$A47,T_TTAFStock_Log[WeekIndex],47))</f>
        <v/>
      </c>
      <c r="AW47" s="13">
        <f>IF(COUNTIFS(T_TTAFStock_Log[Part Name],$A47,T_TTAFStock_Log[WeekIndex],48)=0,"",SUMIFS(T_TTAFStock_Log[TTAF_Qty],T_TTAFStock_Log[Part Name],$A47,T_TTAFStock_Log[WeekIndex],48))</f>
        <v/>
      </c>
      <c r="AX47" s="13">
        <f>IF(COUNTIFS(T_TTAFStock_Log[Part Name],$A47,T_TTAFStock_Log[WeekIndex],49)=0,"",SUMIFS(T_TTAFStock_Log[TTAF_Qty],T_TTAFStock_Log[Part Name],$A47,T_TTAFStock_Log[WeekIndex],49))</f>
        <v/>
      </c>
      <c r="AY47" s="13">
        <f>IF(COUNTIFS(T_TTAFStock_Log[Part Name],$A47,T_TTAFStock_Log[WeekIndex],50)=0,"",SUMIFS(T_TTAFStock_Log[TTAF_Qty],T_TTAFStock_Log[Part Name],$A47,T_TTAFStock_Log[WeekIndex],50))</f>
        <v/>
      </c>
      <c r="AZ47" s="13">
        <f>IF(COUNTIFS(T_TTAFStock_Log[Part Name],$A47,T_TTAFStock_Log[WeekIndex],51)=0,"",SUMIFS(T_TTAFStock_Log[TTAF_Qty],T_TTAFStock_Log[Part Name],$A47,T_TTAFStock_Log[WeekIndex],51))</f>
        <v/>
      </c>
      <c r="BA47" s="13">
        <f>IF(COUNTIFS(T_TTAFStock_Log[Part Name],$A47,T_TTAFStock_Log[WeekIndex],52)=0,"",SUMIFS(T_TTAFStock_Log[TTAF_Qty],T_TTAFStock_Log[Part Name],$A47,T_TTAFStock_Log[WeekIndex],52))</f>
        <v/>
      </c>
      <c r="BB47" s="13">
        <f>IF(COUNTIFS(T_TTAFStock_Log[Part Name],$A47,T_TTAFStock_Log[WeekIndex],53)=0,"",SUMIFS(T_TTAFStock_Log[TTAF_Qty],T_TTAFStock_Log[Part Name],$A47,T_TTAFStock_Log[WeekIndex],53))</f>
        <v/>
      </c>
      <c r="BC47" s="13">
        <f>IF(COUNTIFS(T_TTAFStock_Log[Part Name],$A47,T_TTAFStock_Log[WeekIndex],54)=0,"",SUMIFS(T_TTAFStock_Log[TTAF_Qty],T_TTAFStock_Log[Part Name],$A47,T_TTAFStock_Log[WeekIndex],54))</f>
        <v/>
      </c>
      <c r="BD47" s="13">
        <f>IF(COUNTIFS(T_TTAFStock_Log[Part Name],$A47,T_TTAFStock_Log[WeekIndex],55)=0,"",SUMIFS(T_TTAFStock_Log[TTAF_Qty],T_TTAFStock_Log[Part Name],$A47,T_TTAFStock_Log[WeekIndex],55))</f>
        <v/>
      </c>
      <c r="BE47" s="13">
        <f>IF(COUNTIFS(T_TTAFStock_Log[Part Name],$A47,T_TTAFStock_Log[WeekIndex],56)=0,"",SUMIFS(T_TTAFStock_Log[TTAF_Qty],T_TTAFStock_Log[Part Name],$A47,T_TTAFStock_Log[WeekIndex],56))</f>
        <v/>
      </c>
      <c r="BF47" s="13">
        <f>IF(COUNTIFS(T_TTAFStock_Log[Part Name],$A47,T_TTAFStock_Log[WeekIndex],57)=0,"",SUMIFS(T_TTAFStock_Log[TTAF_Qty],T_TTAFStock_Log[Part Name],$A47,T_TTAFStock_Log[WeekIndex],57))</f>
        <v/>
      </c>
      <c r="BG47" s="13">
        <f>IF(COUNTIFS(T_TTAFStock_Log[Part Name],$A47,T_TTAFStock_Log[WeekIndex],58)=0,"",SUMIFS(T_TTAFStock_Log[TTAF_Qty],T_TTAFStock_Log[Part Name],$A47,T_TTAFStock_Log[WeekIndex],58))</f>
        <v/>
      </c>
      <c r="BH47" s="13">
        <f>IF(COUNTIFS(T_TTAFStock_Log[Part Name],$A47,T_TTAFStock_Log[WeekIndex],59)=0,"",SUMIFS(T_TTAFStock_Log[TTAF_Qty],T_TTAFStock_Log[Part Name],$A47,T_TTAFStock_Log[WeekIndex],59))</f>
        <v/>
      </c>
      <c r="BI47" s="13">
        <f>IF(COUNTIFS(T_TTAFStock_Log[Part Name],$A47,T_TTAFStock_Log[WeekIndex],60)=0,"",SUMIFS(T_TTAFStock_Log[TTAF_Qty],T_TTAFStock_Log[Part Name],$A47,T_TTAFStock_Log[WeekIndex],60))</f>
        <v/>
      </c>
      <c r="BJ47" s="13">
        <f>IF(COUNTIFS(T_TTAFStock_Log[Part Name],$A47,T_TTAFStock_Log[WeekIndex],61)=0,"",SUMIFS(T_TTAFStock_Log[TTAF_Qty],T_TTAFStock_Log[Part Name],$A47,T_TTAFStock_Log[WeekIndex],61))</f>
        <v/>
      </c>
      <c r="BK47" s="13">
        <f>IF(COUNTIFS(T_TTAFStock_Log[Part Name],$A47,T_TTAFStock_Log[WeekIndex],62)=0,"",SUMIFS(T_TTAFStock_Log[TTAF_Qty],T_TTAFStock_Log[Part Name],$A47,T_TTAFStock_Log[WeekIndex],62))</f>
        <v/>
      </c>
      <c r="BL47" s="13">
        <f>IF(COUNTIFS(T_TTAFStock_Log[Part Name],$A47,T_TTAFStock_Log[WeekIndex],63)=0,"",SUMIFS(T_TTAFStock_Log[TTAF_Qty],T_TTAFStock_Log[Part Name],$A47,T_TTAFStock_Log[WeekIndex],63))</f>
        <v/>
      </c>
      <c r="BM47" s="13">
        <f>IF(COUNTIFS(T_TTAFStock_Log[Part Name],$A47,T_TTAFStock_Log[WeekIndex],64)=0,"",SUMIFS(T_TTAFStock_Log[TTAF_Qty],T_TTAFStock_Log[Part Name],$A47,T_TTAFStock_Log[WeekIndex],64))</f>
        <v/>
      </c>
      <c r="BN47" s="13">
        <f>IF(COUNTIFS(T_TTAFStock_Log[Part Name],$A47,T_TTAFStock_Log[WeekIndex],65)=0,"",SUMIFS(T_TTAFStock_Log[TTAF_Qty],T_TTAFStock_Log[Part Name],$A47,T_TTAFStock_Log[WeekIndex],65))</f>
        <v/>
      </c>
      <c r="BO47" s="13">
        <f>IF(COUNTIFS(T_TTAFStock_Log[Part Name],$A47,T_TTAFStock_Log[WeekIndex],66)=0,"",SUMIFS(T_TTAFStock_Log[TTAF_Qty],T_TTAFStock_Log[Part Name],$A47,T_TTAFStock_Log[WeekIndex],66))</f>
        <v/>
      </c>
      <c r="BP47" s="13">
        <f>IF(COUNTIFS(T_TTAFStock_Log[Part Name],$A47,T_TTAFStock_Log[WeekIndex],67)=0,"",SUMIFS(T_TTAFStock_Log[TTAF_Qty],T_TTAFStock_Log[Part Name],$A47,T_TTAFStock_Log[WeekIndex],67))</f>
        <v/>
      </c>
      <c r="BQ47" s="13">
        <f>IF(COUNTIFS(T_TTAFStock_Log[Part Name],$A47,T_TTAFStock_Log[WeekIndex],68)=0,"",SUMIFS(T_TTAFStock_Log[TTAF_Qty],T_TTAFStock_Log[Part Name],$A47,T_TTAFStock_Log[WeekIndex],68))</f>
        <v/>
      </c>
      <c r="BR47" s="13">
        <f>IF(COUNTIFS(T_TTAFStock_Log[Part Name],$A47,T_TTAFStock_Log[WeekIndex],69)=0,"",SUMIFS(T_TTAFStock_Log[TTAF_Qty],T_TTAFStock_Log[Part Name],$A47,T_TTAFStock_Log[WeekIndex],69))</f>
        <v/>
      </c>
      <c r="BS47" s="13">
        <f>IF(COUNTIFS(T_TTAFStock_Log[Part Name],$A47,T_TTAFStock_Log[WeekIndex],70)=0,"",SUMIFS(T_TTAFStock_Log[TTAF_Qty],T_TTAFStock_Log[Part Name],$A47,T_TTAFStock_Log[WeekIndex],70))</f>
        <v/>
      </c>
      <c r="BT47" s="13">
        <f>IF(COUNTIFS(T_TTAFStock_Log[Part Name],$A47,T_TTAFStock_Log[WeekIndex],71)=0,"",SUMIFS(T_TTAFStock_Log[TTAF_Qty],T_TTAFStock_Log[Part Name],$A47,T_TTAFStock_Log[WeekIndex],71))</f>
        <v/>
      </c>
      <c r="BU47" s="13">
        <f>IF(COUNTIFS(T_TTAFStock_Log[Part Name],$A47,T_TTAFStock_Log[WeekIndex],72)=0,"",SUMIFS(T_TTAFStock_Log[TTAF_Qty],T_TTAFStock_Log[Part Name],$A47,T_TTAFStock_Log[WeekIndex],72))</f>
        <v/>
      </c>
      <c r="BV47" s="13">
        <f>IF(COUNTIFS(T_TTAFStock_Log[Part Name],$A47,T_TTAFStock_Log[WeekIndex],73)=0,"",SUMIFS(T_TTAFStock_Log[TTAF_Qty],T_TTAFStock_Log[Part Name],$A47,T_TTAFStock_Log[WeekIndex],73))</f>
        <v/>
      </c>
      <c r="BW47" s="13">
        <f>IF(COUNTIFS(T_TTAFStock_Log[Part Name],$A47,T_TTAFStock_Log[WeekIndex],74)=0,"",SUMIFS(T_TTAFStock_Log[TTAF_Qty],T_TTAFStock_Log[Part Name],$A47,T_TTAFStock_Log[WeekIndex],74))</f>
        <v/>
      </c>
      <c r="BX47" s="13">
        <f>IF(COUNTIFS(T_TTAFStock_Log[Part Name],$A47,T_TTAFStock_Log[WeekIndex],75)=0,"",SUMIFS(T_TTAFStock_Log[TTAF_Qty],T_TTAFStock_Log[Part Name],$A47,T_TTAFStock_Log[WeekIndex],75))</f>
        <v/>
      </c>
      <c r="BY47" s="13">
        <f>IF(COUNTIFS(T_TTAFStock_Log[Part Name],$A47,T_TTAFStock_Log[WeekIndex],76)=0,"",SUMIFS(T_TTAFStock_Log[TTAF_Qty],T_TTAFStock_Log[Part Name],$A47,T_TTAFStock_Log[WeekIndex],76))</f>
        <v/>
      </c>
      <c r="BZ47" s="13">
        <f>IF(COUNTIFS(T_TTAFStock_Log[Part Name],$A47,T_TTAFStock_Log[WeekIndex],77)=0,"",SUMIFS(T_TTAFStock_Log[TTAF_Qty],T_TTAFStock_Log[Part Name],$A47,T_TTAFStock_Log[WeekIndex],77))</f>
        <v/>
      </c>
      <c r="CA47" s="13">
        <f>IF(COUNTIFS(T_TTAFStock_Log[Part Name],$A47,T_TTAFStock_Log[WeekIndex],78)=0,"",SUMIFS(T_TTAFStock_Log[TTAF_Qty],T_TTAFStock_Log[Part Name],$A47,T_TTAFStock_Log[WeekIndex],78))</f>
        <v/>
      </c>
      <c r="CB47" s="13">
        <f>IF(COUNTIFS(T_TTAFStock_Log[Part Name],$A47,T_TTAFStock_Log[WeekIndex],79)=0,"",SUMIFS(T_TTAFStock_Log[TTAF_Qty],T_TTAFStock_Log[Part Name],$A47,T_TTAFStock_Log[WeekIndex],79))</f>
        <v/>
      </c>
      <c r="CC47" s="13">
        <f>IF(COUNTIFS(T_TTAFStock_Log[Part Name],$A47,T_TTAFStock_Log[WeekIndex],80)=0,"",SUMIFS(T_TTAFStock_Log[TTAF_Qty],T_TTAFStock_Log[Part Name],$A47,T_TTAFStock_Log[WeekIndex],80))</f>
        <v/>
      </c>
      <c r="CD47" s="13">
        <f>IF(COUNTIFS(T_TTAFStock_Log[Part Name],$A47,T_TTAFStock_Log[WeekIndex],81)=0,"",SUMIFS(T_TTAFStock_Log[TTAF_Qty],T_TTAFStock_Log[Part Name],$A47,T_TTAFStock_Log[WeekIndex],81))</f>
        <v/>
      </c>
      <c r="CE47" s="13">
        <f>IF(COUNTIFS(T_TTAFStock_Log[Part Name],$A47,T_TTAFStock_Log[WeekIndex],82)=0,"",SUMIFS(T_TTAFStock_Log[TTAF_Qty],T_TTAFStock_Log[Part Name],$A47,T_TTAFStock_Log[WeekIndex],82))</f>
        <v/>
      </c>
      <c r="CF47" s="13">
        <f>IF(COUNTIFS(T_TTAFStock_Log[Part Name],$A47,T_TTAFStock_Log[WeekIndex],83)=0,"",SUMIFS(T_TTAFStock_Log[TTAF_Qty],T_TTAFStock_Log[Part Name],$A47,T_TTAFStock_Log[WeekIndex],83))</f>
        <v/>
      </c>
      <c r="CG47" s="13">
        <f>IF(COUNTIFS(T_TTAFStock_Log[Part Name],$A47,T_TTAFStock_Log[WeekIndex],84)=0,"",SUMIFS(T_TTAFStock_Log[TTAF_Qty],T_TTAFStock_Log[Part Name],$A47,T_TTAFStock_Log[WeekIndex],84))</f>
        <v/>
      </c>
      <c r="CH47" s="13">
        <f>IF(COUNTIFS(T_TTAFStock_Log[Part Name],$A47,T_TTAFStock_Log[WeekIndex],85)=0,"",SUMIFS(T_TTAFStock_Log[TTAF_Qty],T_TTAFStock_Log[Part Name],$A47,T_TTAFStock_Log[WeekIndex],85))</f>
        <v/>
      </c>
      <c r="CI47" s="13">
        <f>IF(COUNTIFS(T_TTAFStock_Log[Part Name],$A47,T_TTAFStock_Log[WeekIndex],86)=0,"",SUMIFS(T_TTAFStock_Log[TTAF_Qty],T_TTAFStock_Log[Part Name],$A47,T_TTAFStock_Log[WeekIndex],86))</f>
        <v/>
      </c>
      <c r="CJ47" s="13">
        <f>IF(COUNTIFS(T_TTAFStock_Log[Part Name],$A47,T_TTAFStock_Log[WeekIndex],87)=0,"",SUMIFS(T_TTAFStock_Log[TTAF_Qty],T_TTAFStock_Log[Part Name],$A47,T_TTAFStock_Log[WeekIndex],87))</f>
        <v/>
      </c>
      <c r="CK47" s="13">
        <f>IF(COUNTIFS(T_TTAFStock_Log[Part Name],$A47,T_TTAFStock_Log[WeekIndex],88)=0,"",SUMIFS(T_TTAFStock_Log[TTAF_Qty],T_TTAFStock_Log[Part Name],$A47,T_TTAFStock_Log[WeekIndex],88))</f>
        <v/>
      </c>
      <c r="CL47" s="13">
        <f>IF(COUNTIFS(T_TTAFStock_Log[Part Name],$A47,T_TTAFStock_Log[WeekIndex],89)=0,"",SUMIFS(T_TTAFStock_Log[TTAF_Qty],T_TTAFStock_Log[Part Name],$A47,T_TTAFStock_Log[WeekIndex],89))</f>
        <v/>
      </c>
      <c r="CM47" s="13">
        <f>IF(COUNTIFS(T_TTAFStock_Log[Part Name],$A47,T_TTAFStock_Log[WeekIndex],90)=0,"",SUMIFS(T_TTAFStock_Log[TTAF_Qty],T_TTAFStock_Log[Part Name],$A47,T_TTAFStock_Log[WeekIndex],90))</f>
        <v/>
      </c>
      <c r="CN47" s="13">
        <f>IF(COUNTIFS(T_TTAFStock_Log[Part Name],$A47,T_TTAFStock_Log[WeekIndex],91)=0,"",SUMIFS(T_TTAFStock_Log[TTAF_Qty],T_TTAFStock_Log[Part Name],$A47,T_TTAFStock_Log[WeekIndex],91))</f>
        <v/>
      </c>
      <c r="CO47" s="13">
        <f>IF(COUNTIFS(T_TTAFStock_Log[Part Name],$A47,T_TTAFStock_Log[WeekIndex],92)=0,"",SUMIFS(T_TTAFStock_Log[TTAF_Qty],T_TTAFStock_Log[Part Name],$A47,T_TTAFStock_Log[WeekIndex],92))</f>
        <v/>
      </c>
      <c r="CP47" s="13">
        <f>IF(COUNTIFS(T_TTAFStock_Log[Part Name],$A47,T_TTAFStock_Log[WeekIndex],93)=0,"",SUMIFS(T_TTAFStock_Log[TTAF_Qty],T_TTAFStock_Log[Part Name],$A47,T_TTAFStock_Log[WeekIndex],93))</f>
        <v/>
      </c>
      <c r="CQ47" s="13">
        <f>IF(COUNTIFS(T_TTAFStock_Log[Part Name],$A47,T_TTAFStock_Log[WeekIndex],94)=0,"",SUMIFS(T_TTAFStock_Log[TTAF_Qty],T_TTAFStock_Log[Part Name],$A47,T_TTAFStock_Log[WeekIndex],94))</f>
        <v/>
      </c>
      <c r="CR47" s="13">
        <f>IF(COUNTIFS(T_TTAFStock_Log[Part Name],$A47,T_TTAFStock_Log[WeekIndex],95)=0,"",SUMIFS(T_TTAFStock_Log[TTAF_Qty],T_TTAFStock_Log[Part Name],$A47,T_TTAFStock_Log[WeekIndex],95))</f>
        <v/>
      </c>
      <c r="CS47" s="13">
        <f>IF(COUNTIFS(T_TTAFStock_Log[Part Name],$A47,T_TTAFStock_Log[WeekIndex],96)=0,"",SUMIFS(T_TTAFStock_Log[TTAF_Qty],T_TTAFStock_Log[Part Name],$A47,T_TTAFStock_Log[WeekIndex],96))</f>
        <v/>
      </c>
      <c r="CT47" s="13">
        <f>IF(COUNTIFS(T_TTAFStock_Log[Part Name],$A47,T_TTAFStock_Log[WeekIndex],97)=0,"",SUMIFS(T_TTAFStock_Log[TTAF_Qty],T_TTAFStock_Log[Part Name],$A47,T_TTAFStock_Log[WeekIndex],97))</f>
        <v/>
      </c>
      <c r="CU47" s="13">
        <f>IF(COUNTIFS(T_TTAFStock_Log[Part Name],$A47,T_TTAFStock_Log[WeekIndex],98)=0,"",SUMIFS(T_TTAFStock_Log[TTAF_Qty],T_TTAFStock_Log[Part Name],$A47,T_TTAFStock_Log[WeekIndex],98))</f>
        <v/>
      </c>
      <c r="CV47" s="13">
        <f>IF(COUNTIFS(T_TTAFStock_Log[Part Name],$A47,T_TTAFStock_Log[WeekIndex],99)=0,"",SUMIFS(T_TTAFStock_Log[TTAF_Qty],T_TTAFStock_Log[Part Name],$A47,T_TTAFStock_Log[WeekIndex],99))</f>
        <v/>
      </c>
      <c r="CW47" s="13">
        <f>IF(COUNTIFS(T_TTAFStock_Log[Part Name],$A47,T_TTAFStock_Log[WeekIndex],100)=0,"",SUMIFS(T_TTAFStock_Log[TTAF_Qty],T_TTAFStock_Log[Part Name],$A47,T_TTAFStock_Log[WeekIndex],100))</f>
        <v/>
      </c>
      <c r="CX47" s="13">
        <f>IF(COUNTIFS(T_TTAFStock_Log[Part Name],$A47,T_TTAFStock_Log[WeekIndex],101)=0,"",SUMIFS(T_TTAFStock_Log[TTAF_Qty],T_TTAFStock_Log[Part Name],$A47,T_TTAFStock_Log[WeekIndex],101))</f>
        <v/>
      </c>
      <c r="CY47" s="13">
        <f>IF(COUNTIFS(T_TTAFStock_Log[Part Name],$A47,T_TTAFStock_Log[WeekIndex],102)=0,"",SUMIFS(T_TTAFStock_Log[TTAF_Qty],T_TTAFStock_Log[Part Name],$A47,T_TTAFStock_Log[WeekIndex],102))</f>
        <v/>
      </c>
      <c r="CZ47" s="13">
        <f>IF(COUNTIFS(T_TTAFStock_Log[Part Name],$A47,T_TTAFStock_Log[WeekIndex],103)=0,"",SUMIFS(T_TTAFStock_Log[TTAF_Qty],T_TTAFStock_Log[Part Name],$A47,T_TTAFStock_Log[WeekIndex],103))</f>
        <v/>
      </c>
      <c r="DA47" s="13">
        <f>IF(COUNTIFS(T_TTAFStock_Log[Part Name],$A47,T_TTAFStock_Log[WeekIndex],104)=0,"",SUMIFS(T_TTAFStock_Log[TTAF_Qty],T_TTAFStock_Log[Part Name],$A47,T_TTAFStock_Log[WeekIndex],104))</f>
        <v/>
      </c>
    </row>
    <row r="48">
      <c r="A48" s="12" t="inlineStr">
        <is>
          <t>3TP</t>
        </is>
      </c>
      <c r="B48" s="12">
        <f>IF(COUNTIFS(T_TTAFStock_Log[Part Name],$A48,T_TTAFStock_Log[WeekIndex],1)=0,"",SUMIFS(T_TTAFStock_Log[TTAF_Qty],T_TTAFStock_Log[Part Name],$A48,T_TTAFStock_Log[WeekIndex],1))</f>
        <v/>
      </c>
      <c r="C48" s="12">
        <f>IF(COUNTIFS(T_TTAFStock_Log[Part Name],$A48,T_TTAFStock_Log[WeekIndex],2)=0,"",SUMIFS(T_TTAFStock_Log[TTAF_Qty],T_TTAFStock_Log[Part Name],$A48,T_TTAFStock_Log[WeekIndex],2))</f>
        <v/>
      </c>
      <c r="D48" s="12">
        <f>IF(COUNTIFS(T_TTAFStock_Log[Part Name],$A48,T_TTAFStock_Log[WeekIndex],3)=0,"",SUMIFS(T_TTAFStock_Log[TTAF_Qty],T_TTAFStock_Log[Part Name],$A48,T_TTAFStock_Log[WeekIndex],3))</f>
        <v/>
      </c>
      <c r="E48" s="12">
        <f>IF(COUNTIFS(T_TTAFStock_Log[Part Name],$A48,T_TTAFStock_Log[WeekIndex],4)=0,"",SUMIFS(T_TTAFStock_Log[TTAF_Qty],T_TTAFStock_Log[Part Name],$A48,T_TTAFStock_Log[WeekIndex],4))</f>
        <v/>
      </c>
      <c r="F48" s="12">
        <f>IF(COUNTIFS(T_TTAFStock_Log[Part Name],$A48,T_TTAFStock_Log[WeekIndex],5)=0,"",SUMIFS(T_TTAFStock_Log[TTAF_Qty],T_TTAFStock_Log[Part Name],$A48,T_TTAFStock_Log[WeekIndex],5))</f>
        <v/>
      </c>
      <c r="G48" s="12">
        <f>IF(COUNTIFS(T_TTAFStock_Log[Part Name],$A48,T_TTAFStock_Log[WeekIndex],6)=0,"",SUMIFS(T_TTAFStock_Log[TTAF_Qty],T_TTAFStock_Log[Part Name],$A48,T_TTAFStock_Log[WeekIndex],6))</f>
        <v/>
      </c>
      <c r="H48" s="12">
        <f>IF(COUNTIFS(T_TTAFStock_Log[Part Name],$A48,T_TTAFStock_Log[WeekIndex],7)=0,"",SUMIFS(T_TTAFStock_Log[TTAF_Qty],T_TTAFStock_Log[Part Name],$A48,T_TTAFStock_Log[WeekIndex],7))</f>
        <v/>
      </c>
      <c r="I48" s="12">
        <f>IF(COUNTIFS(T_TTAFStock_Log[Part Name],$A48,T_TTAFStock_Log[WeekIndex],8)=0,"",SUMIFS(T_TTAFStock_Log[TTAF_Qty],T_TTAFStock_Log[Part Name],$A48,T_TTAFStock_Log[WeekIndex],8))</f>
        <v/>
      </c>
      <c r="J48" s="12">
        <f>IF(COUNTIFS(T_TTAFStock_Log[Part Name],$A48,T_TTAFStock_Log[WeekIndex],9)=0,"",SUMIFS(T_TTAFStock_Log[TTAF_Qty],T_TTAFStock_Log[Part Name],$A48,T_TTAFStock_Log[WeekIndex],9))</f>
        <v/>
      </c>
      <c r="K48" s="12">
        <f>IF(COUNTIFS(T_TTAFStock_Log[Part Name],$A48,T_TTAFStock_Log[WeekIndex],10)=0,"",SUMIFS(T_TTAFStock_Log[TTAF_Qty],T_TTAFStock_Log[Part Name],$A48,T_TTAFStock_Log[WeekIndex],10))</f>
        <v/>
      </c>
      <c r="L48" s="12">
        <f>IF(COUNTIFS(T_TTAFStock_Log[Part Name],$A48,T_TTAFStock_Log[WeekIndex],11)=0,"",SUMIFS(T_TTAFStock_Log[TTAF_Qty],T_TTAFStock_Log[Part Name],$A48,T_TTAFStock_Log[WeekIndex],11))</f>
        <v/>
      </c>
      <c r="M48" s="12">
        <f>IF(COUNTIFS(T_TTAFStock_Log[Part Name],$A48,T_TTAFStock_Log[WeekIndex],12)=0,"",SUMIFS(T_TTAFStock_Log[TTAF_Qty],T_TTAFStock_Log[Part Name],$A48,T_TTAFStock_Log[WeekIndex],12))</f>
        <v/>
      </c>
      <c r="N48" s="12">
        <f>IF(COUNTIFS(T_TTAFStock_Log[Part Name],$A48,T_TTAFStock_Log[WeekIndex],13)=0,"",SUMIFS(T_TTAFStock_Log[TTAF_Qty],T_TTAFStock_Log[Part Name],$A48,T_TTAFStock_Log[WeekIndex],13))</f>
        <v/>
      </c>
      <c r="O48" s="12">
        <f>IF(COUNTIFS(T_TTAFStock_Log[Part Name],$A48,T_TTAFStock_Log[WeekIndex],14)=0,"",SUMIFS(T_TTAFStock_Log[TTAF_Qty],T_TTAFStock_Log[Part Name],$A48,T_TTAFStock_Log[WeekIndex],14))</f>
        <v/>
      </c>
      <c r="P48" s="12">
        <f>IF(COUNTIFS(T_TTAFStock_Log[Part Name],$A48,T_TTAFStock_Log[WeekIndex],15)=0,"",SUMIFS(T_TTAFStock_Log[TTAF_Qty],T_TTAFStock_Log[Part Name],$A48,T_TTAFStock_Log[WeekIndex],15))</f>
        <v/>
      </c>
      <c r="Q48" s="12">
        <f>IF(COUNTIFS(T_TTAFStock_Log[Part Name],$A48,T_TTAFStock_Log[WeekIndex],16)=0,"",SUMIFS(T_TTAFStock_Log[TTAF_Qty],T_TTAFStock_Log[Part Name],$A48,T_TTAFStock_Log[WeekIndex],16))</f>
        <v/>
      </c>
      <c r="R48" s="12">
        <f>IF(COUNTIFS(T_TTAFStock_Log[Part Name],$A48,T_TTAFStock_Log[WeekIndex],17)=0,"",SUMIFS(T_TTAFStock_Log[TTAF_Qty],T_TTAFStock_Log[Part Name],$A48,T_TTAFStock_Log[WeekIndex],17))</f>
        <v/>
      </c>
      <c r="S48" s="12">
        <f>IF(COUNTIFS(T_TTAFStock_Log[Part Name],$A48,T_TTAFStock_Log[WeekIndex],18)=0,"",SUMIFS(T_TTAFStock_Log[TTAF_Qty],T_TTAFStock_Log[Part Name],$A48,T_TTAFStock_Log[WeekIndex],18))</f>
        <v/>
      </c>
      <c r="T48" s="12">
        <f>IF(COUNTIFS(T_TTAFStock_Log[Part Name],$A48,T_TTAFStock_Log[WeekIndex],19)=0,"",SUMIFS(T_TTAFStock_Log[TTAF_Qty],T_TTAFStock_Log[Part Name],$A48,T_TTAFStock_Log[WeekIndex],19))</f>
        <v/>
      </c>
      <c r="U48" s="12">
        <f>IF(COUNTIFS(T_TTAFStock_Log[Part Name],$A48,T_TTAFStock_Log[WeekIndex],20)=0,"",SUMIFS(T_TTAFStock_Log[TTAF_Qty],T_TTAFStock_Log[Part Name],$A48,T_TTAFStock_Log[WeekIndex],20))</f>
        <v/>
      </c>
      <c r="V48" s="12">
        <f>IF(COUNTIFS(T_TTAFStock_Log[Part Name],$A48,T_TTAFStock_Log[WeekIndex],21)=0,"",SUMIFS(T_TTAFStock_Log[TTAF_Qty],T_TTAFStock_Log[Part Name],$A48,T_TTAFStock_Log[WeekIndex],21))</f>
        <v/>
      </c>
      <c r="W48" s="12">
        <f>IF(COUNTIFS(T_TTAFStock_Log[Part Name],$A48,T_TTAFStock_Log[WeekIndex],22)=0,"",SUMIFS(T_TTAFStock_Log[TTAF_Qty],T_TTAFStock_Log[Part Name],$A48,T_TTAFStock_Log[WeekIndex],22))</f>
        <v/>
      </c>
      <c r="X48" s="12">
        <f>IF(COUNTIFS(T_TTAFStock_Log[Part Name],$A48,T_TTAFStock_Log[WeekIndex],23)=0,"",SUMIFS(T_TTAFStock_Log[TTAF_Qty],T_TTAFStock_Log[Part Name],$A48,T_TTAFStock_Log[WeekIndex],23))</f>
        <v/>
      </c>
      <c r="Y48" s="12">
        <f>IF(COUNTIFS(T_TTAFStock_Log[Part Name],$A48,T_TTAFStock_Log[WeekIndex],24)=0,"",SUMIFS(T_TTAFStock_Log[TTAF_Qty],T_TTAFStock_Log[Part Name],$A48,T_TTAFStock_Log[WeekIndex],24))</f>
        <v/>
      </c>
      <c r="Z48" s="12">
        <f>IF(COUNTIFS(T_TTAFStock_Log[Part Name],$A48,T_TTAFStock_Log[WeekIndex],25)=0,"",SUMIFS(T_TTAFStock_Log[TTAF_Qty],T_TTAFStock_Log[Part Name],$A48,T_TTAFStock_Log[WeekIndex],25))</f>
        <v/>
      </c>
      <c r="AA48" s="12">
        <f>IF(COUNTIFS(T_TTAFStock_Log[Part Name],$A48,T_TTAFStock_Log[WeekIndex],26)=0,"",SUMIFS(T_TTAFStock_Log[TTAF_Qty],T_TTAFStock_Log[Part Name],$A48,T_TTAFStock_Log[WeekIndex],26))</f>
        <v/>
      </c>
      <c r="AB48" s="12">
        <f>IF(COUNTIFS(T_TTAFStock_Log[Part Name],$A48,T_TTAFStock_Log[WeekIndex],27)=0,"",SUMIFS(T_TTAFStock_Log[TTAF_Qty],T_TTAFStock_Log[Part Name],$A48,T_TTAFStock_Log[WeekIndex],27))</f>
        <v/>
      </c>
      <c r="AC48" s="12">
        <f>IF(COUNTIFS(T_TTAFStock_Log[Part Name],$A48,T_TTAFStock_Log[WeekIndex],28)=0,"",SUMIFS(T_TTAFStock_Log[TTAF_Qty],T_TTAFStock_Log[Part Name],$A48,T_TTAFStock_Log[WeekIndex],28))</f>
        <v/>
      </c>
      <c r="AD48" s="12">
        <f>IF(COUNTIFS(T_TTAFStock_Log[Part Name],$A48,T_TTAFStock_Log[WeekIndex],29)=0,"",SUMIFS(T_TTAFStock_Log[TTAF_Qty],T_TTAFStock_Log[Part Name],$A48,T_TTAFStock_Log[WeekIndex],29))</f>
        <v/>
      </c>
      <c r="AE48" s="12">
        <f>IF(COUNTIFS(T_TTAFStock_Log[Part Name],$A48,T_TTAFStock_Log[WeekIndex],30)=0,"",SUMIFS(T_TTAFStock_Log[TTAF_Qty],T_TTAFStock_Log[Part Name],$A48,T_TTAFStock_Log[WeekIndex],30))</f>
        <v/>
      </c>
      <c r="AF48" s="12">
        <f>IF(COUNTIFS(T_TTAFStock_Log[Part Name],$A48,T_TTAFStock_Log[WeekIndex],31)=0,"",SUMIFS(T_TTAFStock_Log[TTAF_Qty],T_TTAFStock_Log[Part Name],$A48,T_TTAFStock_Log[WeekIndex],31))</f>
        <v/>
      </c>
      <c r="AG48" s="12">
        <f>IF(COUNTIFS(T_TTAFStock_Log[Part Name],$A48,T_TTAFStock_Log[WeekIndex],32)=0,"",SUMIFS(T_TTAFStock_Log[TTAF_Qty],T_TTAFStock_Log[Part Name],$A48,T_TTAFStock_Log[WeekIndex],32))</f>
        <v/>
      </c>
      <c r="AH48" s="12">
        <f>IF(COUNTIFS(T_TTAFStock_Log[Part Name],$A48,T_TTAFStock_Log[WeekIndex],33)=0,"",SUMIFS(T_TTAFStock_Log[TTAF_Qty],T_TTAFStock_Log[Part Name],$A48,T_TTAFStock_Log[WeekIndex],33))</f>
        <v/>
      </c>
      <c r="AI48" s="12">
        <f>IF(COUNTIFS(T_TTAFStock_Log[Part Name],$A48,T_TTAFStock_Log[WeekIndex],34)=0,"",SUMIFS(T_TTAFStock_Log[TTAF_Qty],T_TTAFStock_Log[Part Name],$A48,T_TTAFStock_Log[WeekIndex],34))</f>
        <v/>
      </c>
      <c r="AJ48" s="12">
        <f>IF(COUNTIFS(T_TTAFStock_Log[Part Name],$A48,T_TTAFStock_Log[WeekIndex],35)=0,"",SUMIFS(T_TTAFStock_Log[TTAF_Qty],T_TTAFStock_Log[Part Name],$A48,T_TTAFStock_Log[WeekIndex],35))</f>
        <v/>
      </c>
      <c r="AK48" s="12">
        <f>IF(COUNTIFS(T_TTAFStock_Log[Part Name],$A48,T_TTAFStock_Log[WeekIndex],36)=0,"",SUMIFS(T_TTAFStock_Log[TTAF_Qty],T_TTAFStock_Log[Part Name],$A48,T_TTAFStock_Log[WeekIndex],36))</f>
        <v/>
      </c>
      <c r="AL48" s="12">
        <f>IF(COUNTIFS(T_TTAFStock_Log[Part Name],$A48,T_TTAFStock_Log[WeekIndex],37)=0,"",SUMIFS(T_TTAFStock_Log[TTAF_Qty],T_TTAFStock_Log[Part Name],$A48,T_TTAFStock_Log[WeekIndex],37))</f>
        <v/>
      </c>
      <c r="AM48" s="12">
        <f>IF(COUNTIFS(T_TTAFStock_Log[Part Name],$A48,T_TTAFStock_Log[WeekIndex],38)=0,"",SUMIFS(T_TTAFStock_Log[TTAF_Qty],T_TTAFStock_Log[Part Name],$A48,T_TTAFStock_Log[WeekIndex],38))</f>
        <v/>
      </c>
      <c r="AN48" s="12">
        <f>IF(COUNTIFS(T_TTAFStock_Log[Part Name],$A48,T_TTAFStock_Log[WeekIndex],39)=0,"",SUMIFS(T_TTAFStock_Log[TTAF_Qty],T_TTAFStock_Log[Part Name],$A48,T_TTAFStock_Log[WeekIndex],39))</f>
        <v/>
      </c>
      <c r="AO48" s="12">
        <f>IF(COUNTIFS(T_TTAFStock_Log[Part Name],$A48,T_TTAFStock_Log[WeekIndex],40)=0,"",SUMIFS(T_TTAFStock_Log[TTAF_Qty],T_TTAFStock_Log[Part Name],$A48,T_TTAFStock_Log[WeekIndex],40))</f>
        <v/>
      </c>
      <c r="AP48" s="12">
        <f>IF(COUNTIFS(T_TTAFStock_Log[Part Name],$A48,T_TTAFStock_Log[WeekIndex],41)=0,"",SUMIFS(T_TTAFStock_Log[TTAF_Qty],T_TTAFStock_Log[Part Name],$A48,T_TTAFStock_Log[WeekIndex],41))</f>
        <v/>
      </c>
      <c r="AQ48" s="12">
        <f>IF(COUNTIFS(T_TTAFStock_Log[Part Name],$A48,T_TTAFStock_Log[WeekIndex],42)=0,"",SUMIFS(T_TTAFStock_Log[TTAF_Qty],T_TTAFStock_Log[Part Name],$A48,T_TTAFStock_Log[WeekIndex],42))</f>
        <v/>
      </c>
      <c r="AR48" s="12">
        <f>IF(COUNTIFS(T_TTAFStock_Log[Part Name],$A48,T_TTAFStock_Log[WeekIndex],43)=0,"",SUMIFS(T_TTAFStock_Log[TTAF_Qty],T_TTAFStock_Log[Part Name],$A48,T_TTAFStock_Log[WeekIndex],43))</f>
        <v/>
      </c>
      <c r="AS48" s="12">
        <f>IF(COUNTIFS(T_TTAFStock_Log[Part Name],$A48,T_TTAFStock_Log[WeekIndex],44)=0,"",SUMIFS(T_TTAFStock_Log[TTAF_Qty],T_TTAFStock_Log[Part Name],$A48,T_TTAFStock_Log[WeekIndex],44))</f>
        <v/>
      </c>
      <c r="AT48" s="12">
        <f>IF(COUNTIFS(T_TTAFStock_Log[Part Name],$A48,T_TTAFStock_Log[WeekIndex],45)=0,"",SUMIFS(T_TTAFStock_Log[TTAF_Qty],T_TTAFStock_Log[Part Name],$A48,T_TTAFStock_Log[WeekIndex],45))</f>
        <v/>
      </c>
      <c r="AU48" s="12">
        <f>IF(COUNTIFS(T_TTAFStock_Log[Part Name],$A48,T_TTAFStock_Log[WeekIndex],46)=0,"",SUMIFS(T_TTAFStock_Log[TTAF_Qty],T_TTAFStock_Log[Part Name],$A48,T_TTAFStock_Log[WeekIndex],46))</f>
        <v/>
      </c>
      <c r="AV48" s="12">
        <f>IF(COUNTIFS(T_TTAFStock_Log[Part Name],$A48,T_TTAFStock_Log[WeekIndex],47)=0,"",SUMIFS(T_TTAFStock_Log[TTAF_Qty],T_TTAFStock_Log[Part Name],$A48,T_TTAFStock_Log[WeekIndex],47))</f>
        <v/>
      </c>
      <c r="AW48" s="12">
        <f>IF(COUNTIFS(T_TTAFStock_Log[Part Name],$A48,T_TTAFStock_Log[WeekIndex],48)=0,"",SUMIFS(T_TTAFStock_Log[TTAF_Qty],T_TTAFStock_Log[Part Name],$A48,T_TTAFStock_Log[WeekIndex],48))</f>
        <v/>
      </c>
      <c r="AX48" s="12">
        <f>IF(COUNTIFS(T_TTAFStock_Log[Part Name],$A48,T_TTAFStock_Log[WeekIndex],49)=0,"",SUMIFS(T_TTAFStock_Log[TTAF_Qty],T_TTAFStock_Log[Part Name],$A48,T_TTAFStock_Log[WeekIndex],49))</f>
        <v/>
      </c>
      <c r="AY48" s="12">
        <f>IF(COUNTIFS(T_TTAFStock_Log[Part Name],$A48,T_TTAFStock_Log[WeekIndex],50)=0,"",SUMIFS(T_TTAFStock_Log[TTAF_Qty],T_TTAFStock_Log[Part Name],$A48,T_TTAFStock_Log[WeekIndex],50))</f>
        <v/>
      </c>
      <c r="AZ48" s="12">
        <f>IF(COUNTIFS(T_TTAFStock_Log[Part Name],$A48,T_TTAFStock_Log[WeekIndex],51)=0,"",SUMIFS(T_TTAFStock_Log[TTAF_Qty],T_TTAFStock_Log[Part Name],$A48,T_TTAFStock_Log[WeekIndex],51))</f>
        <v/>
      </c>
      <c r="BA48" s="12">
        <f>IF(COUNTIFS(T_TTAFStock_Log[Part Name],$A48,T_TTAFStock_Log[WeekIndex],52)=0,"",SUMIFS(T_TTAFStock_Log[TTAF_Qty],T_TTAFStock_Log[Part Name],$A48,T_TTAFStock_Log[WeekIndex],52))</f>
        <v/>
      </c>
      <c r="BB48" s="12">
        <f>IF(COUNTIFS(T_TTAFStock_Log[Part Name],$A48,T_TTAFStock_Log[WeekIndex],53)=0,"",SUMIFS(T_TTAFStock_Log[TTAF_Qty],T_TTAFStock_Log[Part Name],$A48,T_TTAFStock_Log[WeekIndex],53))</f>
        <v/>
      </c>
      <c r="BC48" s="12">
        <f>IF(COUNTIFS(T_TTAFStock_Log[Part Name],$A48,T_TTAFStock_Log[WeekIndex],54)=0,"",SUMIFS(T_TTAFStock_Log[TTAF_Qty],T_TTAFStock_Log[Part Name],$A48,T_TTAFStock_Log[WeekIndex],54))</f>
        <v/>
      </c>
      <c r="BD48" s="12">
        <f>IF(COUNTIFS(T_TTAFStock_Log[Part Name],$A48,T_TTAFStock_Log[WeekIndex],55)=0,"",SUMIFS(T_TTAFStock_Log[TTAF_Qty],T_TTAFStock_Log[Part Name],$A48,T_TTAFStock_Log[WeekIndex],55))</f>
        <v/>
      </c>
      <c r="BE48" s="12">
        <f>IF(COUNTIFS(T_TTAFStock_Log[Part Name],$A48,T_TTAFStock_Log[WeekIndex],56)=0,"",SUMIFS(T_TTAFStock_Log[TTAF_Qty],T_TTAFStock_Log[Part Name],$A48,T_TTAFStock_Log[WeekIndex],56))</f>
        <v/>
      </c>
      <c r="BF48" s="12">
        <f>IF(COUNTIFS(T_TTAFStock_Log[Part Name],$A48,T_TTAFStock_Log[WeekIndex],57)=0,"",SUMIFS(T_TTAFStock_Log[TTAF_Qty],T_TTAFStock_Log[Part Name],$A48,T_TTAFStock_Log[WeekIndex],57))</f>
        <v/>
      </c>
      <c r="BG48" s="12">
        <f>IF(COUNTIFS(T_TTAFStock_Log[Part Name],$A48,T_TTAFStock_Log[WeekIndex],58)=0,"",SUMIFS(T_TTAFStock_Log[TTAF_Qty],T_TTAFStock_Log[Part Name],$A48,T_TTAFStock_Log[WeekIndex],58))</f>
        <v/>
      </c>
      <c r="BH48" s="12">
        <f>IF(COUNTIFS(T_TTAFStock_Log[Part Name],$A48,T_TTAFStock_Log[WeekIndex],59)=0,"",SUMIFS(T_TTAFStock_Log[TTAF_Qty],T_TTAFStock_Log[Part Name],$A48,T_TTAFStock_Log[WeekIndex],59))</f>
        <v/>
      </c>
      <c r="BI48" s="12">
        <f>IF(COUNTIFS(T_TTAFStock_Log[Part Name],$A48,T_TTAFStock_Log[WeekIndex],60)=0,"",SUMIFS(T_TTAFStock_Log[TTAF_Qty],T_TTAFStock_Log[Part Name],$A48,T_TTAFStock_Log[WeekIndex],60))</f>
        <v/>
      </c>
      <c r="BJ48" s="12">
        <f>IF(COUNTIFS(T_TTAFStock_Log[Part Name],$A48,T_TTAFStock_Log[WeekIndex],61)=0,"",SUMIFS(T_TTAFStock_Log[TTAF_Qty],T_TTAFStock_Log[Part Name],$A48,T_TTAFStock_Log[WeekIndex],61))</f>
        <v/>
      </c>
      <c r="BK48" s="12">
        <f>IF(COUNTIFS(T_TTAFStock_Log[Part Name],$A48,T_TTAFStock_Log[WeekIndex],62)=0,"",SUMIFS(T_TTAFStock_Log[TTAF_Qty],T_TTAFStock_Log[Part Name],$A48,T_TTAFStock_Log[WeekIndex],62))</f>
        <v/>
      </c>
      <c r="BL48" s="12">
        <f>IF(COUNTIFS(T_TTAFStock_Log[Part Name],$A48,T_TTAFStock_Log[WeekIndex],63)=0,"",SUMIFS(T_TTAFStock_Log[TTAF_Qty],T_TTAFStock_Log[Part Name],$A48,T_TTAFStock_Log[WeekIndex],63))</f>
        <v/>
      </c>
      <c r="BM48" s="12">
        <f>IF(COUNTIFS(T_TTAFStock_Log[Part Name],$A48,T_TTAFStock_Log[WeekIndex],64)=0,"",SUMIFS(T_TTAFStock_Log[TTAF_Qty],T_TTAFStock_Log[Part Name],$A48,T_TTAFStock_Log[WeekIndex],64))</f>
        <v/>
      </c>
      <c r="BN48" s="12">
        <f>IF(COUNTIFS(T_TTAFStock_Log[Part Name],$A48,T_TTAFStock_Log[WeekIndex],65)=0,"",SUMIFS(T_TTAFStock_Log[TTAF_Qty],T_TTAFStock_Log[Part Name],$A48,T_TTAFStock_Log[WeekIndex],65))</f>
        <v/>
      </c>
      <c r="BO48" s="12">
        <f>IF(COUNTIFS(T_TTAFStock_Log[Part Name],$A48,T_TTAFStock_Log[WeekIndex],66)=0,"",SUMIFS(T_TTAFStock_Log[TTAF_Qty],T_TTAFStock_Log[Part Name],$A48,T_TTAFStock_Log[WeekIndex],66))</f>
        <v/>
      </c>
      <c r="BP48" s="12">
        <f>IF(COUNTIFS(T_TTAFStock_Log[Part Name],$A48,T_TTAFStock_Log[WeekIndex],67)=0,"",SUMIFS(T_TTAFStock_Log[TTAF_Qty],T_TTAFStock_Log[Part Name],$A48,T_TTAFStock_Log[WeekIndex],67))</f>
        <v/>
      </c>
      <c r="BQ48" s="12">
        <f>IF(COUNTIFS(T_TTAFStock_Log[Part Name],$A48,T_TTAFStock_Log[WeekIndex],68)=0,"",SUMIFS(T_TTAFStock_Log[TTAF_Qty],T_TTAFStock_Log[Part Name],$A48,T_TTAFStock_Log[WeekIndex],68))</f>
        <v/>
      </c>
      <c r="BR48" s="12">
        <f>IF(COUNTIFS(T_TTAFStock_Log[Part Name],$A48,T_TTAFStock_Log[WeekIndex],69)=0,"",SUMIFS(T_TTAFStock_Log[TTAF_Qty],T_TTAFStock_Log[Part Name],$A48,T_TTAFStock_Log[WeekIndex],69))</f>
        <v/>
      </c>
      <c r="BS48" s="12">
        <f>IF(COUNTIFS(T_TTAFStock_Log[Part Name],$A48,T_TTAFStock_Log[WeekIndex],70)=0,"",SUMIFS(T_TTAFStock_Log[TTAF_Qty],T_TTAFStock_Log[Part Name],$A48,T_TTAFStock_Log[WeekIndex],70))</f>
        <v/>
      </c>
      <c r="BT48" s="12">
        <f>IF(COUNTIFS(T_TTAFStock_Log[Part Name],$A48,T_TTAFStock_Log[WeekIndex],71)=0,"",SUMIFS(T_TTAFStock_Log[TTAF_Qty],T_TTAFStock_Log[Part Name],$A48,T_TTAFStock_Log[WeekIndex],71))</f>
        <v/>
      </c>
      <c r="BU48" s="12">
        <f>IF(COUNTIFS(T_TTAFStock_Log[Part Name],$A48,T_TTAFStock_Log[WeekIndex],72)=0,"",SUMIFS(T_TTAFStock_Log[TTAF_Qty],T_TTAFStock_Log[Part Name],$A48,T_TTAFStock_Log[WeekIndex],72))</f>
        <v/>
      </c>
      <c r="BV48" s="12">
        <f>IF(COUNTIFS(T_TTAFStock_Log[Part Name],$A48,T_TTAFStock_Log[WeekIndex],73)=0,"",SUMIFS(T_TTAFStock_Log[TTAF_Qty],T_TTAFStock_Log[Part Name],$A48,T_TTAFStock_Log[WeekIndex],73))</f>
        <v/>
      </c>
      <c r="BW48" s="12">
        <f>IF(COUNTIFS(T_TTAFStock_Log[Part Name],$A48,T_TTAFStock_Log[WeekIndex],74)=0,"",SUMIFS(T_TTAFStock_Log[TTAF_Qty],T_TTAFStock_Log[Part Name],$A48,T_TTAFStock_Log[WeekIndex],74))</f>
        <v/>
      </c>
      <c r="BX48" s="12">
        <f>IF(COUNTIFS(T_TTAFStock_Log[Part Name],$A48,T_TTAFStock_Log[WeekIndex],75)=0,"",SUMIFS(T_TTAFStock_Log[TTAF_Qty],T_TTAFStock_Log[Part Name],$A48,T_TTAFStock_Log[WeekIndex],75))</f>
        <v/>
      </c>
      <c r="BY48" s="12">
        <f>IF(COUNTIFS(T_TTAFStock_Log[Part Name],$A48,T_TTAFStock_Log[WeekIndex],76)=0,"",SUMIFS(T_TTAFStock_Log[TTAF_Qty],T_TTAFStock_Log[Part Name],$A48,T_TTAFStock_Log[WeekIndex],76))</f>
        <v/>
      </c>
      <c r="BZ48" s="12">
        <f>IF(COUNTIFS(T_TTAFStock_Log[Part Name],$A48,T_TTAFStock_Log[WeekIndex],77)=0,"",SUMIFS(T_TTAFStock_Log[TTAF_Qty],T_TTAFStock_Log[Part Name],$A48,T_TTAFStock_Log[WeekIndex],77))</f>
        <v/>
      </c>
      <c r="CA48" s="12">
        <f>IF(COUNTIFS(T_TTAFStock_Log[Part Name],$A48,T_TTAFStock_Log[WeekIndex],78)=0,"",SUMIFS(T_TTAFStock_Log[TTAF_Qty],T_TTAFStock_Log[Part Name],$A48,T_TTAFStock_Log[WeekIndex],78))</f>
        <v/>
      </c>
      <c r="CB48" s="12">
        <f>IF(COUNTIFS(T_TTAFStock_Log[Part Name],$A48,T_TTAFStock_Log[WeekIndex],79)=0,"",SUMIFS(T_TTAFStock_Log[TTAF_Qty],T_TTAFStock_Log[Part Name],$A48,T_TTAFStock_Log[WeekIndex],79))</f>
        <v/>
      </c>
      <c r="CC48" s="12">
        <f>IF(COUNTIFS(T_TTAFStock_Log[Part Name],$A48,T_TTAFStock_Log[WeekIndex],80)=0,"",SUMIFS(T_TTAFStock_Log[TTAF_Qty],T_TTAFStock_Log[Part Name],$A48,T_TTAFStock_Log[WeekIndex],80))</f>
        <v/>
      </c>
      <c r="CD48" s="12">
        <f>IF(COUNTIFS(T_TTAFStock_Log[Part Name],$A48,T_TTAFStock_Log[WeekIndex],81)=0,"",SUMIFS(T_TTAFStock_Log[TTAF_Qty],T_TTAFStock_Log[Part Name],$A48,T_TTAFStock_Log[WeekIndex],81))</f>
        <v/>
      </c>
      <c r="CE48" s="12">
        <f>IF(COUNTIFS(T_TTAFStock_Log[Part Name],$A48,T_TTAFStock_Log[WeekIndex],82)=0,"",SUMIFS(T_TTAFStock_Log[TTAF_Qty],T_TTAFStock_Log[Part Name],$A48,T_TTAFStock_Log[WeekIndex],82))</f>
        <v/>
      </c>
      <c r="CF48" s="12">
        <f>IF(COUNTIFS(T_TTAFStock_Log[Part Name],$A48,T_TTAFStock_Log[WeekIndex],83)=0,"",SUMIFS(T_TTAFStock_Log[TTAF_Qty],T_TTAFStock_Log[Part Name],$A48,T_TTAFStock_Log[WeekIndex],83))</f>
        <v/>
      </c>
      <c r="CG48" s="12">
        <f>IF(COUNTIFS(T_TTAFStock_Log[Part Name],$A48,T_TTAFStock_Log[WeekIndex],84)=0,"",SUMIFS(T_TTAFStock_Log[TTAF_Qty],T_TTAFStock_Log[Part Name],$A48,T_TTAFStock_Log[WeekIndex],84))</f>
        <v/>
      </c>
      <c r="CH48" s="12">
        <f>IF(COUNTIFS(T_TTAFStock_Log[Part Name],$A48,T_TTAFStock_Log[WeekIndex],85)=0,"",SUMIFS(T_TTAFStock_Log[TTAF_Qty],T_TTAFStock_Log[Part Name],$A48,T_TTAFStock_Log[WeekIndex],85))</f>
        <v/>
      </c>
      <c r="CI48" s="12">
        <f>IF(COUNTIFS(T_TTAFStock_Log[Part Name],$A48,T_TTAFStock_Log[WeekIndex],86)=0,"",SUMIFS(T_TTAFStock_Log[TTAF_Qty],T_TTAFStock_Log[Part Name],$A48,T_TTAFStock_Log[WeekIndex],86))</f>
        <v/>
      </c>
      <c r="CJ48" s="12">
        <f>IF(COUNTIFS(T_TTAFStock_Log[Part Name],$A48,T_TTAFStock_Log[WeekIndex],87)=0,"",SUMIFS(T_TTAFStock_Log[TTAF_Qty],T_TTAFStock_Log[Part Name],$A48,T_TTAFStock_Log[WeekIndex],87))</f>
        <v/>
      </c>
      <c r="CK48" s="12">
        <f>IF(COUNTIFS(T_TTAFStock_Log[Part Name],$A48,T_TTAFStock_Log[WeekIndex],88)=0,"",SUMIFS(T_TTAFStock_Log[TTAF_Qty],T_TTAFStock_Log[Part Name],$A48,T_TTAFStock_Log[WeekIndex],88))</f>
        <v/>
      </c>
      <c r="CL48" s="12">
        <f>IF(COUNTIFS(T_TTAFStock_Log[Part Name],$A48,T_TTAFStock_Log[WeekIndex],89)=0,"",SUMIFS(T_TTAFStock_Log[TTAF_Qty],T_TTAFStock_Log[Part Name],$A48,T_TTAFStock_Log[WeekIndex],89))</f>
        <v/>
      </c>
      <c r="CM48" s="12">
        <f>IF(COUNTIFS(T_TTAFStock_Log[Part Name],$A48,T_TTAFStock_Log[WeekIndex],90)=0,"",SUMIFS(T_TTAFStock_Log[TTAF_Qty],T_TTAFStock_Log[Part Name],$A48,T_TTAFStock_Log[WeekIndex],90))</f>
        <v/>
      </c>
      <c r="CN48" s="12">
        <f>IF(COUNTIFS(T_TTAFStock_Log[Part Name],$A48,T_TTAFStock_Log[WeekIndex],91)=0,"",SUMIFS(T_TTAFStock_Log[TTAF_Qty],T_TTAFStock_Log[Part Name],$A48,T_TTAFStock_Log[WeekIndex],91))</f>
        <v/>
      </c>
      <c r="CO48" s="12">
        <f>IF(COUNTIFS(T_TTAFStock_Log[Part Name],$A48,T_TTAFStock_Log[WeekIndex],92)=0,"",SUMIFS(T_TTAFStock_Log[TTAF_Qty],T_TTAFStock_Log[Part Name],$A48,T_TTAFStock_Log[WeekIndex],92))</f>
        <v/>
      </c>
      <c r="CP48" s="12">
        <f>IF(COUNTIFS(T_TTAFStock_Log[Part Name],$A48,T_TTAFStock_Log[WeekIndex],93)=0,"",SUMIFS(T_TTAFStock_Log[TTAF_Qty],T_TTAFStock_Log[Part Name],$A48,T_TTAFStock_Log[WeekIndex],93))</f>
        <v/>
      </c>
      <c r="CQ48" s="12">
        <f>IF(COUNTIFS(T_TTAFStock_Log[Part Name],$A48,T_TTAFStock_Log[WeekIndex],94)=0,"",SUMIFS(T_TTAFStock_Log[TTAF_Qty],T_TTAFStock_Log[Part Name],$A48,T_TTAFStock_Log[WeekIndex],94))</f>
        <v/>
      </c>
      <c r="CR48" s="12">
        <f>IF(COUNTIFS(T_TTAFStock_Log[Part Name],$A48,T_TTAFStock_Log[WeekIndex],95)=0,"",SUMIFS(T_TTAFStock_Log[TTAF_Qty],T_TTAFStock_Log[Part Name],$A48,T_TTAFStock_Log[WeekIndex],95))</f>
        <v/>
      </c>
      <c r="CS48" s="12">
        <f>IF(COUNTIFS(T_TTAFStock_Log[Part Name],$A48,T_TTAFStock_Log[WeekIndex],96)=0,"",SUMIFS(T_TTAFStock_Log[TTAF_Qty],T_TTAFStock_Log[Part Name],$A48,T_TTAFStock_Log[WeekIndex],96))</f>
        <v/>
      </c>
      <c r="CT48" s="12">
        <f>IF(COUNTIFS(T_TTAFStock_Log[Part Name],$A48,T_TTAFStock_Log[WeekIndex],97)=0,"",SUMIFS(T_TTAFStock_Log[TTAF_Qty],T_TTAFStock_Log[Part Name],$A48,T_TTAFStock_Log[WeekIndex],97))</f>
        <v/>
      </c>
      <c r="CU48" s="12">
        <f>IF(COUNTIFS(T_TTAFStock_Log[Part Name],$A48,T_TTAFStock_Log[WeekIndex],98)=0,"",SUMIFS(T_TTAFStock_Log[TTAF_Qty],T_TTAFStock_Log[Part Name],$A48,T_TTAFStock_Log[WeekIndex],98))</f>
        <v/>
      </c>
      <c r="CV48" s="12">
        <f>IF(COUNTIFS(T_TTAFStock_Log[Part Name],$A48,T_TTAFStock_Log[WeekIndex],99)=0,"",SUMIFS(T_TTAFStock_Log[TTAF_Qty],T_TTAFStock_Log[Part Name],$A48,T_TTAFStock_Log[WeekIndex],99))</f>
        <v/>
      </c>
      <c r="CW48" s="12">
        <f>IF(COUNTIFS(T_TTAFStock_Log[Part Name],$A48,T_TTAFStock_Log[WeekIndex],100)=0,"",SUMIFS(T_TTAFStock_Log[TTAF_Qty],T_TTAFStock_Log[Part Name],$A48,T_TTAFStock_Log[WeekIndex],100))</f>
        <v/>
      </c>
      <c r="CX48" s="12">
        <f>IF(COUNTIFS(T_TTAFStock_Log[Part Name],$A48,T_TTAFStock_Log[WeekIndex],101)=0,"",SUMIFS(T_TTAFStock_Log[TTAF_Qty],T_TTAFStock_Log[Part Name],$A48,T_TTAFStock_Log[WeekIndex],101))</f>
        <v/>
      </c>
      <c r="CY48" s="12">
        <f>IF(COUNTIFS(T_TTAFStock_Log[Part Name],$A48,T_TTAFStock_Log[WeekIndex],102)=0,"",SUMIFS(T_TTAFStock_Log[TTAF_Qty],T_TTAFStock_Log[Part Name],$A48,T_TTAFStock_Log[WeekIndex],102))</f>
        <v/>
      </c>
      <c r="CZ48" s="12">
        <f>IF(COUNTIFS(T_TTAFStock_Log[Part Name],$A48,T_TTAFStock_Log[WeekIndex],103)=0,"",SUMIFS(T_TTAFStock_Log[TTAF_Qty],T_TTAFStock_Log[Part Name],$A48,T_TTAFStock_Log[WeekIndex],103))</f>
        <v/>
      </c>
      <c r="DA48" s="12">
        <f>IF(COUNTIFS(T_TTAFStock_Log[Part Name],$A48,T_TTAFStock_Log[WeekIndex],104)=0,"",SUMIFS(T_TTAFStock_Log[TTAF_Qty],T_TTAFStock_Log[Part Name],$A48,T_TTAFStock_Log[WeekIndex],104))</f>
        <v/>
      </c>
    </row>
    <row r="49">
      <c r="A49" s="13" t="inlineStr">
        <is>
          <t>A043</t>
        </is>
      </c>
      <c r="B49" s="13">
        <f>IF(COUNTIFS(T_TTAFStock_Log[Part Name],$A49,T_TTAFStock_Log[WeekIndex],1)=0,"",SUMIFS(T_TTAFStock_Log[TTAF_Qty],T_TTAFStock_Log[Part Name],$A49,T_TTAFStock_Log[WeekIndex],1))</f>
        <v/>
      </c>
      <c r="C49" s="13">
        <f>IF(COUNTIFS(T_TTAFStock_Log[Part Name],$A49,T_TTAFStock_Log[WeekIndex],2)=0,"",SUMIFS(T_TTAFStock_Log[TTAF_Qty],T_TTAFStock_Log[Part Name],$A49,T_TTAFStock_Log[WeekIndex],2))</f>
        <v/>
      </c>
      <c r="D49" s="13">
        <f>IF(COUNTIFS(T_TTAFStock_Log[Part Name],$A49,T_TTAFStock_Log[WeekIndex],3)=0,"",SUMIFS(T_TTAFStock_Log[TTAF_Qty],T_TTAFStock_Log[Part Name],$A49,T_TTAFStock_Log[WeekIndex],3))</f>
        <v/>
      </c>
      <c r="E49" s="13">
        <f>IF(COUNTIFS(T_TTAFStock_Log[Part Name],$A49,T_TTAFStock_Log[WeekIndex],4)=0,"",SUMIFS(T_TTAFStock_Log[TTAF_Qty],T_TTAFStock_Log[Part Name],$A49,T_TTAFStock_Log[WeekIndex],4))</f>
        <v/>
      </c>
      <c r="F49" s="13">
        <f>IF(COUNTIFS(T_TTAFStock_Log[Part Name],$A49,T_TTAFStock_Log[WeekIndex],5)=0,"",SUMIFS(T_TTAFStock_Log[TTAF_Qty],T_TTAFStock_Log[Part Name],$A49,T_TTAFStock_Log[WeekIndex],5))</f>
        <v/>
      </c>
      <c r="G49" s="13">
        <f>IF(COUNTIFS(T_TTAFStock_Log[Part Name],$A49,T_TTAFStock_Log[WeekIndex],6)=0,"",SUMIFS(T_TTAFStock_Log[TTAF_Qty],T_TTAFStock_Log[Part Name],$A49,T_TTAFStock_Log[WeekIndex],6))</f>
        <v/>
      </c>
      <c r="H49" s="13">
        <f>IF(COUNTIFS(T_TTAFStock_Log[Part Name],$A49,T_TTAFStock_Log[WeekIndex],7)=0,"",SUMIFS(T_TTAFStock_Log[TTAF_Qty],T_TTAFStock_Log[Part Name],$A49,T_TTAFStock_Log[WeekIndex],7))</f>
        <v/>
      </c>
      <c r="I49" s="13">
        <f>IF(COUNTIFS(T_TTAFStock_Log[Part Name],$A49,T_TTAFStock_Log[WeekIndex],8)=0,"",SUMIFS(T_TTAFStock_Log[TTAF_Qty],T_TTAFStock_Log[Part Name],$A49,T_TTAFStock_Log[WeekIndex],8))</f>
        <v/>
      </c>
      <c r="J49" s="13">
        <f>IF(COUNTIFS(T_TTAFStock_Log[Part Name],$A49,T_TTAFStock_Log[WeekIndex],9)=0,"",SUMIFS(T_TTAFStock_Log[TTAF_Qty],T_TTAFStock_Log[Part Name],$A49,T_TTAFStock_Log[WeekIndex],9))</f>
        <v/>
      </c>
      <c r="K49" s="13">
        <f>IF(COUNTIFS(T_TTAFStock_Log[Part Name],$A49,T_TTAFStock_Log[WeekIndex],10)=0,"",SUMIFS(T_TTAFStock_Log[TTAF_Qty],T_TTAFStock_Log[Part Name],$A49,T_TTAFStock_Log[WeekIndex],10))</f>
        <v/>
      </c>
      <c r="L49" s="13">
        <f>IF(COUNTIFS(T_TTAFStock_Log[Part Name],$A49,T_TTAFStock_Log[WeekIndex],11)=0,"",SUMIFS(T_TTAFStock_Log[TTAF_Qty],T_TTAFStock_Log[Part Name],$A49,T_TTAFStock_Log[WeekIndex],11))</f>
        <v/>
      </c>
      <c r="M49" s="13">
        <f>IF(COUNTIFS(T_TTAFStock_Log[Part Name],$A49,T_TTAFStock_Log[WeekIndex],12)=0,"",SUMIFS(T_TTAFStock_Log[TTAF_Qty],T_TTAFStock_Log[Part Name],$A49,T_TTAFStock_Log[WeekIndex],12))</f>
        <v/>
      </c>
      <c r="N49" s="13">
        <f>IF(COUNTIFS(T_TTAFStock_Log[Part Name],$A49,T_TTAFStock_Log[WeekIndex],13)=0,"",SUMIFS(T_TTAFStock_Log[TTAF_Qty],T_TTAFStock_Log[Part Name],$A49,T_TTAFStock_Log[WeekIndex],13))</f>
        <v/>
      </c>
      <c r="O49" s="13">
        <f>IF(COUNTIFS(T_TTAFStock_Log[Part Name],$A49,T_TTAFStock_Log[WeekIndex],14)=0,"",SUMIFS(T_TTAFStock_Log[TTAF_Qty],T_TTAFStock_Log[Part Name],$A49,T_TTAFStock_Log[WeekIndex],14))</f>
        <v/>
      </c>
      <c r="P49" s="13">
        <f>IF(COUNTIFS(T_TTAFStock_Log[Part Name],$A49,T_TTAFStock_Log[WeekIndex],15)=0,"",SUMIFS(T_TTAFStock_Log[TTAF_Qty],T_TTAFStock_Log[Part Name],$A49,T_TTAFStock_Log[WeekIndex],15))</f>
        <v/>
      </c>
      <c r="Q49" s="13">
        <f>IF(COUNTIFS(T_TTAFStock_Log[Part Name],$A49,T_TTAFStock_Log[WeekIndex],16)=0,"",SUMIFS(T_TTAFStock_Log[TTAF_Qty],T_TTAFStock_Log[Part Name],$A49,T_TTAFStock_Log[WeekIndex],16))</f>
        <v/>
      </c>
      <c r="R49" s="13">
        <f>IF(COUNTIFS(T_TTAFStock_Log[Part Name],$A49,T_TTAFStock_Log[WeekIndex],17)=0,"",SUMIFS(T_TTAFStock_Log[TTAF_Qty],T_TTAFStock_Log[Part Name],$A49,T_TTAFStock_Log[WeekIndex],17))</f>
        <v/>
      </c>
      <c r="S49" s="13">
        <f>IF(COUNTIFS(T_TTAFStock_Log[Part Name],$A49,T_TTAFStock_Log[WeekIndex],18)=0,"",SUMIFS(T_TTAFStock_Log[TTAF_Qty],T_TTAFStock_Log[Part Name],$A49,T_TTAFStock_Log[WeekIndex],18))</f>
        <v/>
      </c>
      <c r="T49" s="13">
        <f>IF(COUNTIFS(T_TTAFStock_Log[Part Name],$A49,T_TTAFStock_Log[WeekIndex],19)=0,"",SUMIFS(T_TTAFStock_Log[TTAF_Qty],T_TTAFStock_Log[Part Name],$A49,T_TTAFStock_Log[WeekIndex],19))</f>
        <v/>
      </c>
      <c r="U49" s="13">
        <f>IF(COUNTIFS(T_TTAFStock_Log[Part Name],$A49,T_TTAFStock_Log[WeekIndex],20)=0,"",SUMIFS(T_TTAFStock_Log[TTAF_Qty],T_TTAFStock_Log[Part Name],$A49,T_TTAFStock_Log[WeekIndex],20))</f>
        <v/>
      </c>
      <c r="V49" s="13">
        <f>IF(COUNTIFS(T_TTAFStock_Log[Part Name],$A49,T_TTAFStock_Log[WeekIndex],21)=0,"",SUMIFS(T_TTAFStock_Log[TTAF_Qty],T_TTAFStock_Log[Part Name],$A49,T_TTAFStock_Log[WeekIndex],21))</f>
        <v/>
      </c>
      <c r="W49" s="13">
        <f>IF(COUNTIFS(T_TTAFStock_Log[Part Name],$A49,T_TTAFStock_Log[WeekIndex],22)=0,"",SUMIFS(T_TTAFStock_Log[TTAF_Qty],T_TTAFStock_Log[Part Name],$A49,T_TTAFStock_Log[WeekIndex],22))</f>
        <v/>
      </c>
      <c r="X49" s="13">
        <f>IF(COUNTIFS(T_TTAFStock_Log[Part Name],$A49,T_TTAFStock_Log[WeekIndex],23)=0,"",SUMIFS(T_TTAFStock_Log[TTAF_Qty],T_TTAFStock_Log[Part Name],$A49,T_TTAFStock_Log[WeekIndex],23))</f>
        <v/>
      </c>
      <c r="Y49" s="13">
        <f>IF(COUNTIFS(T_TTAFStock_Log[Part Name],$A49,T_TTAFStock_Log[WeekIndex],24)=0,"",SUMIFS(T_TTAFStock_Log[TTAF_Qty],T_TTAFStock_Log[Part Name],$A49,T_TTAFStock_Log[WeekIndex],24))</f>
        <v/>
      </c>
      <c r="Z49" s="13">
        <f>IF(COUNTIFS(T_TTAFStock_Log[Part Name],$A49,T_TTAFStock_Log[WeekIndex],25)=0,"",SUMIFS(T_TTAFStock_Log[TTAF_Qty],T_TTAFStock_Log[Part Name],$A49,T_TTAFStock_Log[WeekIndex],25))</f>
        <v/>
      </c>
      <c r="AA49" s="13">
        <f>IF(COUNTIFS(T_TTAFStock_Log[Part Name],$A49,T_TTAFStock_Log[WeekIndex],26)=0,"",SUMIFS(T_TTAFStock_Log[TTAF_Qty],T_TTAFStock_Log[Part Name],$A49,T_TTAFStock_Log[WeekIndex],26))</f>
        <v/>
      </c>
      <c r="AB49" s="13">
        <f>IF(COUNTIFS(T_TTAFStock_Log[Part Name],$A49,T_TTAFStock_Log[WeekIndex],27)=0,"",SUMIFS(T_TTAFStock_Log[TTAF_Qty],T_TTAFStock_Log[Part Name],$A49,T_TTAFStock_Log[WeekIndex],27))</f>
        <v/>
      </c>
      <c r="AC49" s="13">
        <f>IF(COUNTIFS(T_TTAFStock_Log[Part Name],$A49,T_TTAFStock_Log[WeekIndex],28)=0,"",SUMIFS(T_TTAFStock_Log[TTAF_Qty],T_TTAFStock_Log[Part Name],$A49,T_TTAFStock_Log[WeekIndex],28))</f>
        <v/>
      </c>
      <c r="AD49" s="13">
        <f>IF(COUNTIFS(T_TTAFStock_Log[Part Name],$A49,T_TTAFStock_Log[WeekIndex],29)=0,"",SUMIFS(T_TTAFStock_Log[TTAF_Qty],T_TTAFStock_Log[Part Name],$A49,T_TTAFStock_Log[WeekIndex],29))</f>
        <v/>
      </c>
      <c r="AE49" s="13">
        <f>IF(COUNTIFS(T_TTAFStock_Log[Part Name],$A49,T_TTAFStock_Log[WeekIndex],30)=0,"",SUMIFS(T_TTAFStock_Log[TTAF_Qty],T_TTAFStock_Log[Part Name],$A49,T_TTAFStock_Log[WeekIndex],30))</f>
        <v/>
      </c>
      <c r="AF49" s="13">
        <f>IF(COUNTIFS(T_TTAFStock_Log[Part Name],$A49,T_TTAFStock_Log[WeekIndex],31)=0,"",SUMIFS(T_TTAFStock_Log[TTAF_Qty],T_TTAFStock_Log[Part Name],$A49,T_TTAFStock_Log[WeekIndex],31))</f>
        <v/>
      </c>
      <c r="AG49" s="13">
        <f>IF(COUNTIFS(T_TTAFStock_Log[Part Name],$A49,T_TTAFStock_Log[WeekIndex],32)=0,"",SUMIFS(T_TTAFStock_Log[TTAF_Qty],T_TTAFStock_Log[Part Name],$A49,T_TTAFStock_Log[WeekIndex],32))</f>
        <v/>
      </c>
      <c r="AH49" s="13">
        <f>IF(COUNTIFS(T_TTAFStock_Log[Part Name],$A49,T_TTAFStock_Log[WeekIndex],33)=0,"",SUMIFS(T_TTAFStock_Log[TTAF_Qty],T_TTAFStock_Log[Part Name],$A49,T_TTAFStock_Log[WeekIndex],33))</f>
        <v/>
      </c>
      <c r="AI49" s="13">
        <f>IF(COUNTIFS(T_TTAFStock_Log[Part Name],$A49,T_TTAFStock_Log[WeekIndex],34)=0,"",SUMIFS(T_TTAFStock_Log[TTAF_Qty],T_TTAFStock_Log[Part Name],$A49,T_TTAFStock_Log[WeekIndex],34))</f>
        <v/>
      </c>
      <c r="AJ49" s="13">
        <f>IF(COUNTIFS(T_TTAFStock_Log[Part Name],$A49,T_TTAFStock_Log[WeekIndex],35)=0,"",SUMIFS(T_TTAFStock_Log[TTAF_Qty],T_TTAFStock_Log[Part Name],$A49,T_TTAFStock_Log[WeekIndex],35))</f>
        <v/>
      </c>
      <c r="AK49" s="13">
        <f>IF(COUNTIFS(T_TTAFStock_Log[Part Name],$A49,T_TTAFStock_Log[WeekIndex],36)=0,"",SUMIFS(T_TTAFStock_Log[TTAF_Qty],T_TTAFStock_Log[Part Name],$A49,T_TTAFStock_Log[WeekIndex],36))</f>
        <v/>
      </c>
      <c r="AL49" s="13">
        <f>IF(COUNTIFS(T_TTAFStock_Log[Part Name],$A49,T_TTAFStock_Log[WeekIndex],37)=0,"",SUMIFS(T_TTAFStock_Log[TTAF_Qty],T_TTAFStock_Log[Part Name],$A49,T_TTAFStock_Log[WeekIndex],37))</f>
        <v/>
      </c>
      <c r="AM49" s="13">
        <f>IF(COUNTIFS(T_TTAFStock_Log[Part Name],$A49,T_TTAFStock_Log[WeekIndex],38)=0,"",SUMIFS(T_TTAFStock_Log[TTAF_Qty],T_TTAFStock_Log[Part Name],$A49,T_TTAFStock_Log[WeekIndex],38))</f>
        <v/>
      </c>
      <c r="AN49" s="13">
        <f>IF(COUNTIFS(T_TTAFStock_Log[Part Name],$A49,T_TTAFStock_Log[WeekIndex],39)=0,"",SUMIFS(T_TTAFStock_Log[TTAF_Qty],T_TTAFStock_Log[Part Name],$A49,T_TTAFStock_Log[WeekIndex],39))</f>
        <v/>
      </c>
      <c r="AO49" s="13">
        <f>IF(COUNTIFS(T_TTAFStock_Log[Part Name],$A49,T_TTAFStock_Log[WeekIndex],40)=0,"",SUMIFS(T_TTAFStock_Log[TTAF_Qty],T_TTAFStock_Log[Part Name],$A49,T_TTAFStock_Log[WeekIndex],40))</f>
        <v/>
      </c>
      <c r="AP49" s="13">
        <f>IF(COUNTIFS(T_TTAFStock_Log[Part Name],$A49,T_TTAFStock_Log[WeekIndex],41)=0,"",SUMIFS(T_TTAFStock_Log[TTAF_Qty],T_TTAFStock_Log[Part Name],$A49,T_TTAFStock_Log[WeekIndex],41))</f>
        <v/>
      </c>
      <c r="AQ49" s="13">
        <f>IF(COUNTIFS(T_TTAFStock_Log[Part Name],$A49,T_TTAFStock_Log[WeekIndex],42)=0,"",SUMIFS(T_TTAFStock_Log[TTAF_Qty],T_TTAFStock_Log[Part Name],$A49,T_TTAFStock_Log[WeekIndex],42))</f>
        <v/>
      </c>
      <c r="AR49" s="13">
        <f>IF(COUNTIFS(T_TTAFStock_Log[Part Name],$A49,T_TTAFStock_Log[WeekIndex],43)=0,"",SUMIFS(T_TTAFStock_Log[TTAF_Qty],T_TTAFStock_Log[Part Name],$A49,T_TTAFStock_Log[WeekIndex],43))</f>
        <v/>
      </c>
      <c r="AS49" s="13">
        <f>IF(COUNTIFS(T_TTAFStock_Log[Part Name],$A49,T_TTAFStock_Log[WeekIndex],44)=0,"",SUMIFS(T_TTAFStock_Log[TTAF_Qty],T_TTAFStock_Log[Part Name],$A49,T_TTAFStock_Log[WeekIndex],44))</f>
        <v/>
      </c>
      <c r="AT49" s="13">
        <f>IF(COUNTIFS(T_TTAFStock_Log[Part Name],$A49,T_TTAFStock_Log[WeekIndex],45)=0,"",SUMIFS(T_TTAFStock_Log[TTAF_Qty],T_TTAFStock_Log[Part Name],$A49,T_TTAFStock_Log[WeekIndex],45))</f>
        <v/>
      </c>
      <c r="AU49" s="13">
        <f>IF(COUNTIFS(T_TTAFStock_Log[Part Name],$A49,T_TTAFStock_Log[WeekIndex],46)=0,"",SUMIFS(T_TTAFStock_Log[TTAF_Qty],T_TTAFStock_Log[Part Name],$A49,T_TTAFStock_Log[WeekIndex],46))</f>
        <v/>
      </c>
      <c r="AV49" s="13">
        <f>IF(COUNTIFS(T_TTAFStock_Log[Part Name],$A49,T_TTAFStock_Log[WeekIndex],47)=0,"",SUMIFS(T_TTAFStock_Log[TTAF_Qty],T_TTAFStock_Log[Part Name],$A49,T_TTAFStock_Log[WeekIndex],47))</f>
        <v/>
      </c>
      <c r="AW49" s="13">
        <f>IF(COUNTIFS(T_TTAFStock_Log[Part Name],$A49,T_TTAFStock_Log[WeekIndex],48)=0,"",SUMIFS(T_TTAFStock_Log[TTAF_Qty],T_TTAFStock_Log[Part Name],$A49,T_TTAFStock_Log[WeekIndex],48))</f>
        <v/>
      </c>
      <c r="AX49" s="13">
        <f>IF(COUNTIFS(T_TTAFStock_Log[Part Name],$A49,T_TTAFStock_Log[WeekIndex],49)=0,"",SUMIFS(T_TTAFStock_Log[TTAF_Qty],T_TTAFStock_Log[Part Name],$A49,T_TTAFStock_Log[WeekIndex],49))</f>
        <v/>
      </c>
      <c r="AY49" s="13">
        <f>IF(COUNTIFS(T_TTAFStock_Log[Part Name],$A49,T_TTAFStock_Log[WeekIndex],50)=0,"",SUMIFS(T_TTAFStock_Log[TTAF_Qty],T_TTAFStock_Log[Part Name],$A49,T_TTAFStock_Log[WeekIndex],50))</f>
        <v/>
      </c>
      <c r="AZ49" s="13">
        <f>IF(COUNTIFS(T_TTAFStock_Log[Part Name],$A49,T_TTAFStock_Log[WeekIndex],51)=0,"",SUMIFS(T_TTAFStock_Log[TTAF_Qty],T_TTAFStock_Log[Part Name],$A49,T_TTAFStock_Log[WeekIndex],51))</f>
        <v/>
      </c>
      <c r="BA49" s="13">
        <f>IF(COUNTIFS(T_TTAFStock_Log[Part Name],$A49,T_TTAFStock_Log[WeekIndex],52)=0,"",SUMIFS(T_TTAFStock_Log[TTAF_Qty],T_TTAFStock_Log[Part Name],$A49,T_TTAFStock_Log[WeekIndex],52))</f>
        <v/>
      </c>
      <c r="BB49" s="13">
        <f>IF(COUNTIFS(T_TTAFStock_Log[Part Name],$A49,T_TTAFStock_Log[WeekIndex],53)=0,"",SUMIFS(T_TTAFStock_Log[TTAF_Qty],T_TTAFStock_Log[Part Name],$A49,T_TTAFStock_Log[WeekIndex],53))</f>
        <v/>
      </c>
      <c r="BC49" s="13">
        <f>IF(COUNTIFS(T_TTAFStock_Log[Part Name],$A49,T_TTAFStock_Log[WeekIndex],54)=0,"",SUMIFS(T_TTAFStock_Log[TTAF_Qty],T_TTAFStock_Log[Part Name],$A49,T_TTAFStock_Log[WeekIndex],54))</f>
        <v/>
      </c>
      <c r="BD49" s="13">
        <f>IF(COUNTIFS(T_TTAFStock_Log[Part Name],$A49,T_TTAFStock_Log[WeekIndex],55)=0,"",SUMIFS(T_TTAFStock_Log[TTAF_Qty],T_TTAFStock_Log[Part Name],$A49,T_TTAFStock_Log[WeekIndex],55))</f>
        <v/>
      </c>
      <c r="BE49" s="13">
        <f>IF(COUNTIFS(T_TTAFStock_Log[Part Name],$A49,T_TTAFStock_Log[WeekIndex],56)=0,"",SUMIFS(T_TTAFStock_Log[TTAF_Qty],T_TTAFStock_Log[Part Name],$A49,T_TTAFStock_Log[WeekIndex],56))</f>
        <v/>
      </c>
      <c r="BF49" s="13">
        <f>IF(COUNTIFS(T_TTAFStock_Log[Part Name],$A49,T_TTAFStock_Log[WeekIndex],57)=0,"",SUMIFS(T_TTAFStock_Log[TTAF_Qty],T_TTAFStock_Log[Part Name],$A49,T_TTAFStock_Log[WeekIndex],57))</f>
        <v/>
      </c>
      <c r="BG49" s="13">
        <f>IF(COUNTIFS(T_TTAFStock_Log[Part Name],$A49,T_TTAFStock_Log[WeekIndex],58)=0,"",SUMIFS(T_TTAFStock_Log[TTAF_Qty],T_TTAFStock_Log[Part Name],$A49,T_TTAFStock_Log[WeekIndex],58))</f>
        <v/>
      </c>
      <c r="BH49" s="13">
        <f>IF(COUNTIFS(T_TTAFStock_Log[Part Name],$A49,T_TTAFStock_Log[WeekIndex],59)=0,"",SUMIFS(T_TTAFStock_Log[TTAF_Qty],T_TTAFStock_Log[Part Name],$A49,T_TTAFStock_Log[WeekIndex],59))</f>
        <v/>
      </c>
      <c r="BI49" s="13">
        <f>IF(COUNTIFS(T_TTAFStock_Log[Part Name],$A49,T_TTAFStock_Log[WeekIndex],60)=0,"",SUMIFS(T_TTAFStock_Log[TTAF_Qty],T_TTAFStock_Log[Part Name],$A49,T_TTAFStock_Log[WeekIndex],60))</f>
        <v/>
      </c>
      <c r="BJ49" s="13">
        <f>IF(COUNTIFS(T_TTAFStock_Log[Part Name],$A49,T_TTAFStock_Log[WeekIndex],61)=0,"",SUMIFS(T_TTAFStock_Log[TTAF_Qty],T_TTAFStock_Log[Part Name],$A49,T_TTAFStock_Log[WeekIndex],61))</f>
        <v/>
      </c>
      <c r="BK49" s="13">
        <f>IF(COUNTIFS(T_TTAFStock_Log[Part Name],$A49,T_TTAFStock_Log[WeekIndex],62)=0,"",SUMIFS(T_TTAFStock_Log[TTAF_Qty],T_TTAFStock_Log[Part Name],$A49,T_TTAFStock_Log[WeekIndex],62))</f>
        <v/>
      </c>
      <c r="BL49" s="13">
        <f>IF(COUNTIFS(T_TTAFStock_Log[Part Name],$A49,T_TTAFStock_Log[WeekIndex],63)=0,"",SUMIFS(T_TTAFStock_Log[TTAF_Qty],T_TTAFStock_Log[Part Name],$A49,T_TTAFStock_Log[WeekIndex],63))</f>
        <v/>
      </c>
      <c r="BM49" s="13">
        <f>IF(COUNTIFS(T_TTAFStock_Log[Part Name],$A49,T_TTAFStock_Log[WeekIndex],64)=0,"",SUMIFS(T_TTAFStock_Log[TTAF_Qty],T_TTAFStock_Log[Part Name],$A49,T_TTAFStock_Log[WeekIndex],64))</f>
        <v/>
      </c>
      <c r="BN49" s="13">
        <f>IF(COUNTIFS(T_TTAFStock_Log[Part Name],$A49,T_TTAFStock_Log[WeekIndex],65)=0,"",SUMIFS(T_TTAFStock_Log[TTAF_Qty],T_TTAFStock_Log[Part Name],$A49,T_TTAFStock_Log[WeekIndex],65))</f>
        <v/>
      </c>
      <c r="BO49" s="13">
        <f>IF(COUNTIFS(T_TTAFStock_Log[Part Name],$A49,T_TTAFStock_Log[WeekIndex],66)=0,"",SUMIFS(T_TTAFStock_Log[TTAF_Qty],T_TTAFStock_Log[Part Name],$A49,T_TTAFStock_Log[WeekIndex],66))</f>
        <v/>
      </c>
      <c r="BP49" s="13">
        <f>IF(COUNTIFS(T_TTAFStock_Log[Part Name],$A49,T_TTAFStock_Log[WeekIndex],67)=0,"",SUMIFS(T_TTAFStock_Log[TTAF_Qty],T_TTAFStock_Log[Part Name],$A49,T_TTAFStock_Log[WeekIndex],67))</f>
        <v/>
      </c>
      <c r="BQ49" s="13">
        <f>IF(COUNTIFS(T_TTAFStock_Log[Part Name],$A49,T_TTAFStock_Log[WeekIndex],68)=0,"",SUMIFS(T_TTAFStock_Log[TTAF_Qty],T_TTAFStock_Log[Part Name],$A49,T_TTAFStock_Log[WeekIndex],68))</f>
        <v/>
      </c>
      <c r="BR49" s="13">
        <f>IF(COUNTIFS(T_TTAFStock_Log[Part Name],$A49,T_TTAFStock_Log[WeekIndex],69)=0,"",SUMIFS(T_TTAFStock_Log[TTAF_Qty],T_TTAFStock_Log[Part Name],$A49,T_TTAFStock_Log[WeekIndex],69))</f>
        <v/>
      </c>
      <c r="BS49" s="13">
        <f>IF(COUNTIFS(T_TTAFStock_Log[Part Name],$A49,T_TTAFStock_Log[WeekIndex],70)=0,"",SUMIFS(T_TTAFStock_Log[TTAF_Qty],T_TTAFStock_Log[Part Name],$A49,T_TTAFStock_Log[WeekIndex],70))</f>
        <v/>
      </c>
      <c r="BT49" s="13">
        <f>IF(COUNTIFS(T_TTAFStock_Log[Part Name],$A49,T_TTAFStock_Log[WeekIndex],71)=0,"",SUMIFS(T_TTAFStock_Log[TTAF_Qty],T_TTAFStock_Log[Part Name],$A49,T_TTAFStock_Log[WeekIndex],71))</f>
        <v/>
      </c>
      <c r="BU49" s="13">
        <f>IF(COUNTIFS(T_TTAFStock_Log[Part Name],$A49,T_TTAFStock_Log[WeekIndex],72)=0,"",SUMIFS(T_TTAFStock_Log[TTAF_Qty],T_TTAFStock_Log[Part Name],$A49,T_TTAFStock_Log[WeekIndex],72))</f>
        <v/>
      </c>
      <c r="BV49" s="13">
        <f>IF(COUNTIFS(T_TTAFStock_Log[Part Name],$A49,T_TTAFStock_Log[WeekIndex],73)=0,"",SUMIFS(T_TTAFStock_Log[TTAF_Qty],T_TTAFStock_Log[Part Name],$A49,T_TTAFStock_Log[WeekIndex],73))</f>
        <v/>
      </c>
      <c r="BW49" s="13">
        <f>IF(COUNTIFS(T_TTAFStock_Log[Part Name],$A49,T_TTAFStock_Log[WeekIndex],74)=0,"",SUMIFS(T_TTAFStock_Log[TTAF_Qty],T_TTAFStock_Log[Part Name],$A49,T_TTAFStock_Log[WeekIndex],74))</f>
        <v/>
      </c>
      <c r="BX49" s="13">
        <f>IF(COUNTIFS(T_TTAFStock_Log[Part Name],$A49,T_TTAFStock_Log[WeekIndex],75)=0,"",SUMIFS(T_TTAFStock_Log[TTAF_Qty],T_TTAFStock_Log[Part Name],$A49,T_TTAFStock_Log[WeekIndex],75))</f>
        <v/>
      </c>
      <c r="BY49" s="13">
        <f>IF(COUNTIFS(T_TTAFStock_Log[Part Name],$A49,T_TTAFStock_Log[WeekIndex],76)=0,"",SUMIFS(T_TTAFStock_Log[TTAF_Qty],T_TTAFStock_Log[Part Name],$A49,T_TTAFStock_Log[WeekIndex],76))</f>
        <v/>
      </c>
      <c r="BZ49" s="13">
        <f>IF(COUNTIFS(T_TTAFStock_Log[Part Name],$A49,T_TTAFStock_Log[WeekIndex],77)=0,"",SUMIFS(T_TTAFStock_Log[TTAF_Qty],T_TTAFStock_Log[Part Name],$A49,T_TTAFStock_Log[WeekIndex],77))</f>
        <v/>
      </c>
      <c r="CA49" s="13">
        <f>IF(COUNTIFS(T_TTAFStock_Log[Part Name],$A49,T_TTAFStock_Log[WeekIndex],78)=0,"",SUMIFS(T_TTAFStock_Log[TTAF_Qty],T_TTAFStock_Log[Part Name],$A49,T_TTAFStock_Log[WeekIndex],78))</f>
        <v/>
      </c>
      <c r="CB49" s="13">
        <f>IF(COUNTIFS(T_TTAFStock_Log[Part Name],$A49,T_TTAFStock_Log[WeekIndex],79)=0,"",SUMIFS(T_TTAFStock_Log[TTAF_Qty],T_TTAFStock_Log[Part Name],$A49,T_TTAFStock_Log[WeekIndex],79))</f>
        <v/>
      </c>
      <c r="CC49" s="13">
        <f>IF(COUNTIFS(T_TTAFStock_Log[Part Name],$A49,T_TTAFStock_Log[WeekIndex],80)=0,"",SUMIFS(T_TTAFStock_Log[TTAF_Qty],T_TTAFStock_Log[Part Name],$A49,T_TTAFStock_Log[WeekIndex],80))</f>
        <v/>
      </c>
      <c r="CD49" s="13">
        <f>IF(COUNTIFS(T_TTAFStock_Log[Part Name],$A49,T_TTAFStock_Log[WeekIndex],81)=0,"",SUMIFS(T_TTAFStock_Log[TTAF_Qty],T_TTAFStock_Log[Part Name],$A49,T_TTAFStock_Log[WeekIndex],81))</f>
        <v/>
      </c>
      <c r="CE49" s="13">
        <f>IF(COUNTIFS(T_TTAFStock_Log[Part Name],$A49,T_TTAFStock_Log[WeekIndex],82)=0,"",SUMIFS(T_TTAFStock_Log[TTAF_Qty],T_TTAFStock_Log[Part Name],$A49,T_TTAFStock_Log[WeekIndex],82))</f>
        <v/>
      </c>
      <c r="CF49" s="13">
        <f>IF(COUNTIFS(T_TTAFStock_Log[Part Name],$A49,T_TTAFStock_Log[WeekIndex],83)=0,"",SUMIFS(T_TTAFStock_Log[TTAF_Qty],T_TTAFStock_Log[Part Name],$A49,T_TTAFStock_Log[WeekIndex],83))</f>
        <v/>
      </c>
      <c r="CG49" s="13">
        <f>IF(COUNTIFS(T_TTAFStock_Log[Part Name],$A49,T_TTAFStock_Log[WeekIndex],84)=0,"",SUMIFS(T_TTAFStock_Log[TTAF_Qty],T_TTAFStock_Log[Part Name],$A49,T_TTAFStock_Log[WeekIndex],84))</f>
        <v/>
      </c>
      <c r="CH49" s="13">
        <f>IF(COUNTIFS(T_TTAFStock_Log[Part Name],$A49,T_TTAFStock_Log[WeekIndex],85)=0,"",SUMIFS(T_TTAFStock_Log[TTAF_Qty],T_TTAFStock_Log[Part Name],$A49,T_TTAFStock_Log[WeekIndex],85))</f>
        <v/>
      </c>
      <c r="CI49" s="13">
        <f>IF(COUNTIFS(T_TTAFStock_Log[Part Name],$A49,T_TTAFStock_Log[WeekIndex],86)=0,"",SUMIFS(T_TTAFStock_Log[TTAF_Qty],T_TTAFStock_Log[Part Name],$A49,T_TTAFStock_Log[WeekIndex],86))</f>
        <v/>
      </c>
      <c r="CJ49" s="13">
        <f>IF(COUNTIFS(T_TTAFStock_Log[Part Name],$A49,T_TTAFStock_Log[WeekIndex],87)=0,"",SUMIFS(T_TTAFStock_Log[TTAF_Qty],T_TTAFStock_Log[Part Name],$A49,T_TTAFStock_Log[WeekIndex],87))</f>
        <v/>
      </c>
      <c r="CK49" s="13">
        <f>IF(COUNTIFS(T_TTAFStock_Log[Part Name],$A49,T_TTAFStock_Log[WeekIndex],88)=0,"",SUMIFS(T_TTAFStock_Log[TTAF_Qty],T_TTAFStock_Log[Part Name],$A49,T_TTAFStock_Log[WeekIndex],88))</f>
        <v/>
      </c>
      <c r="CL49" s="13">
        <f>IF(COUNTIFS(T_TTAFStock_Log[Part Name],$A49,T_TTAFStock_Log[WeekIndex],89)=0,"",SUMIFS(T_TTAFStock_Log[TTAF_Qty],T_TTAFStock_Log[Part Name],$A49,T_TTAFStock_Log[WeekIndex],89))</f>
        <v/>
      </c>
      <c r="CM49" s="13">
        <f>IF(COUNTIFS(T_TTAFStock_Log[Part Name],$A49,T_TTAFStock_Log[WeekIndex],90)=0,"",SUMIFS(T_TTAFStock_Log[TTAF_Qty],T_TTAFStock_Log[Part Name],$A49,T_TTAFStock_Log[WeekIndex],90))</f>
        <v/>
      </c>
      <c r="CN49" s="13">
        <f>IF(COUNTIFS(T_TTAFStock_Log[Part Name],$A49,T_TTAFStock_Log[WeekIndex],91)=0,"",SUMIFS(T_TTAFStock_Log[TTAF_Qty],T_TTAFStock_Log[Part Name],$A49,T_TTAFStock_Log[WeekIndex],91))</f>
        <v/>
      </c>
      <c r="CO49" s="13">
        <f>IF(COUNTIFS(T_TTAFStock_Log[Part Name],$A49,T_TTAFStock_Log[WeekIndex],92)=0,"",SUMIFS(T_TTAFStock_Log[TTAF_Qty],T_TTAFStock_Log[Part Name],$A49,T_TTAFStock_Log[WeekIndex],92))</f>
        <v/>
      </c>
      <c r="CP49" s="13">
        <f>IF(COUNTIFS(T_TTAFStock_Log[Part Name],$A49,T_TTAFStock_Log[WeekIndex],93)=0,"",SUMIFS(T_TTAFStock_Log[TTAF_Qty],T_TTAFStock_Log[Part Name],$A49,T_TTAFStock_Log[WeekIndex],93))</f>
        <v/>
      </c>
      <c r="CQ49" s="13">
        <f>IF(COUNTIFS(T_TTAFStock_Log[Part Name],$A49,T_TTAFStock_Log[WeekIndex],94)=0,"",SUMIFS(T_TTAFStock_Log[TTAF_Qty],T_TTAFStock_Log[Part Name],$A49,T_TTAFStock_Log[WeekIndex],94))</f>
        <v/>
      </c>
      <c r="CR49" s="13">
        <f>IF(COUNTIFS(T_TTAFStock_Log[Part Name],$A49,T_TTAFStock_Log[WeekIndex],95)=0,"",SUMIFS(T_TTAFStock_Log[TTAF_Qty],T_TTAFStock_Log[Part Name],$A49,T_TTAFStock_Log[WeekIndex],95))</f>
        <v/>
      </c>
      <c r="CS49" s="13">
        <f>IF(COUNTIFS(T_TTAFStock_Log[Part Name],$A49,T_TTAFStock_Log[WeekIndex],96)=0,"",SUMIFS(T_TTAFStock_Log[TTAF_Qty],T_TTAFStock_Log[Part Name],$A49,T_TTAFStock_Log[WeekIndex],96))</f>
        <v/>
      </c>
      <c r="CT49" s="13">
        <f>IF(COUNTIFS(T_TTAFStock_Log[Part Name],$A49,T_TTAFStock_Log[WeekIndex],97)=0,"",SUMIFS(T_TTAFStock_Log[TTAF_Qty],T_TTAFStock_Log[Part Name],$A49,T_TTAFStock_Log[WeekIndex],97))</f>
        <v/>
      </c>
      <c r="CU49" s="13">
        <f>IF(COUNTIFS(T_TTAFStock_Log[Part Name],$A49,T_TTAFStock_Log[WeekIndex],98)=0,"",SUMIFS(T_TTAFStock_Log[TTAF_Qty],T_TTAFStock_Log[Part Name],$A49,T_TTAFStock_Log[WeekIndex],98))</f>
        <v/>
      </c>
      <c r="CV49" s="13">
        <f>IF(COUNTIFS(T_TTAFStock_Log[Part Name],$A49,T_TTAFStock_Log[WeekIndex],99)=0,"",SUMIFS(T_TTAFStock_Log[TTAF_Qty],T_TTAFStock_Log[Part Name],$A49,T_TTAFStock_Log[WeekIndex],99))</f>
        <v/>
      </c>
      <c r="CW49" s="13">
        <f>IF(COUNTIFS(T_TTAFStock_Log[Part Name],$A49,T_TTAFStock_Log[WeekIndex],100)=0,"",SUMIFS(T_TTAFStock_Log[TTAF_Qty],T_TTAFStock_Log[Part Name],$A49,T_TTAFStock_Log[WeekIndex],100))</f>
        <v/>
      </c>
      <c r="CX49" s="13">
        <f>IF(COUNTIFS(T_TTAFStock_Log[Part Name],$A49,T_TTAFStock_Log[WeekIndex],101)=0,"",SUMIFS(T_TTAFStock_Log[TTAF_Qty],T_TTAFStock_Log[Part Name],$A49,T_TTAFStock_Log[WeekIndex],101))</f>
        <v/>
      </c>
      <c r="CY49" s="13">
        <f>IF(COUNTIFS(T_TTAFStock_Log[Part Name],$A49,T_TTAFStock_Log[WeekIndex],102)=0,"",SUMIFS(T_TTAFStock_Log[TTAF_Qty],T_TTAFStock_Log[Part Name],$A49,T_TTAFStock_Log[WeekIndex],102))</f>
        <v/>
      </c>
      <c r="CZ49" s="13">
        <f>IF(COUNTIFS(T_TTAFStock_Log[Part Name],$A49,T_TTAFStock_Log[WeekIndex],103)=0,"",SUMIFS(T_TTAFStock_Log[TTAF_Qty],T_TTAFStock_Log[Part Name],$A49,T_TTAFStock_Log[WeekIndex],103))</f>
        <v/>
      </c>
      <c r="DA49" s="13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  <c r="I1" s="20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TVS-267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1.039041627515491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1.039041627515491</v>
      </c>
      <c r="AE54" s="21" t="n">
        <v>0</v>
      </c>
      <c r="AF54" s="21" t="n">
        <v>0</v>
      </c>
      <c r="AG54" s="21" t="n">
        <v>1.039041627515491</v>
      </c>
      <c r="AH54" s="21" t="n">
        <v>0</v>
      </c>
      <c r="AI54" s="21" t="n">
        <v>0</v>
      </c>
      <c r="AJ54" s="21" t="n">
        <v>1.039041627515491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1.039041627515491</v>
      </c>
      <c r="AP54" s="21" t="n">
        <v>0</v>
      </c>
      <c r="AQ54" s="21" t="n">
        <v>0</v>
      </c>
      <c r="AR54" s="21" t="n">
        <v>0</v>
      </c>
      <c r="AS54" s="21" t="n">
        <v>1.039041627515491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TVS-500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0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0</v>
      </c>
      <c r="AE55" s="21" t="n">
        <v>0</v>
      </c>
      <c r="AF55" s="21" t="n">
        <v>0</v>
      </c>
      <c r="AG55" s="21" t="n">
        <v>0</v>
      </c>
      <c r="AH55" s="21" t="n">
        <v>0</v>
      </c>
      <c r="AI55" s="21" t="n">
        <v>0</v>
      </c>
      <c r="AJ55" s="21" t="n">
        <v>0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0</v>
      </c>
      <c r="AP55" s="21" t="n">
        <v>0</v>
      </c>
      <c r="AQ55" s="21" t="n">
        <v>0</v>
      </c>
      <c r="AR55" s="21" t="n">
        <v>0</v>
      </c>
      <c r="AS55" s="21" t="n">
        <v>0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TVS-833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13.66098314386007</v>
      </c>
      <c r="Y56" s="21" t="n">
        <v>2.818518711832559</v>
      </c>
      <c r="Z56" s="21" t="n">
        <v>0</v>
      </c>
      <c r="AA56" s="21" t="n">
        <v>6.830491571930034</v>
      </c>
      <c r="AB56" s="21" t="n">
        <v>8.769229800140572</v>
      </c>
      <c r="AC56" s="21" t="n">
        <v>0</v>
      </c>
      <c r="AD56" s="21" t="n">
        <v>2.818518711832559</v>
      </c>
      <c r="AE56" s="21" t="n">
        <v>9.962683948405489</v>
      </c>
      <c r="AF56" s="21" t="n">
        <v>9.024958164669282</v>
      </c>
      <c r="AG56" s="21" t="n">
        <v>6.830491571930034</v>
      </c>
      <c r="AH56" s="21" t="n">
        <v>10.84246443202751</v>
      </c>
      <c r="AI56" s="21" t="n">
        <v>12.78120266023805</v>
      </c>
      <c r="AJ56" s="21" t="n">
        <v>8.02394572019495</v>
      </c>
      <c r="AK56" s="21" t="n">
        <v>9.024958164669282</v>
      </c>
      <c r="AL56" s="21" t="n">
        <v>6.830491571930034</v>
      </c>
      <c r="AM56" s="21" t="n">
        <v>8.02394572019495</v>
      </c>
      <c r="AN56" s="21" t="n">
        <v>8.769229800140572</v>
      </c>
      <c r="AO56" s="21" t="n">
        <v>4.011972860097475</v>
      </c>
      <c r="AP56" s="21" t="n">
        <v>11.84347687650184</v>
      </c>
      <c r="AQ56" s="21" t="n">
        <v>10.84246443202751</v>
      </c>
      <c r="AR56" s="21" t="n">
        <v>8.769229800140572</v>
      </c>
      <c r="AS56" s="21" t="n">
        <v>13.66098314386007</v>
      </c>
      <c r="AT56" s="21" t="n">
        <v>13.78221510471238</v>
      </c>
      <c r="AU56" s="21" t="n">
        <v>14.85443729212498</v>
      </c>
      <c r="AV56" s="21" t="n">
        <v>16.79317552033552</v>
      </c>
      <c r="AW56" s="21" t="n">
        <v>12.78120266023805</v>
      </c>
      <c r="AX56" s="21" t="n">
        <v>11.64327438760697</v>
      </c>
      <c r="AY56" s="21" t="n">
        <v>12.78120266023805</v>
      </c>
      <c r="AZ56" s="21" t="n">
        <v>4.011972860097475</v>
      </c>
      <c r="BA56" s="21" t="n">
        <v>0</v>
      </c>
      <c r="BB56" s="21" t="n">
        <v>0</v>
      </c>
      <c r="BC56" s="21" t="n">
        <v>4.011972860097475</v>
      </c>
      <c r="BD56" s="21" t="n">
        <v>8.02394572019495</v>
      </c>
      <c r="BE56" s="21" t="n">
        <v>10.84246443202751</v>
      </c>
      <c r="BF56" s="21" t="n">
        <v>12.78120266023805</v>
      </c>
      <c r="BG56" s="21" t="n">
        <v>6.830491571930034</v>
      </c>
      <c r="BH56" s="21" t="n">
        <v>10.84246443202751</v>
      </c>
      <c r="BI56" s="21" t="n">
        <v>6.830491571930034</v>
      </c>
      <c r="BJ56" s="21" t="n">
        <v>5.950711088308013</v>
      </c>
      <c r="BK56" s="21" t="n">
        <v>6.830491571930034</v>
      </c>
      <c r="BL56" s="21" t="n">
        <v>8.02394572019495</v>
      </c>
      <c r="BM56" s="21" t="n">
        <v>4.011972860097475</v>
      </c>
      <c r="BN56" s="21" t="n">
        <v>4.011972860097475</v>
      </c>
      <c r="BO56" s="21" t="n">
        <v>6.860354448757784</v>
      </c>
      <c r="BP56" s="21" t="n">
        <v>0</v>
      </c>
      <c r="BQ56" s="21" t="n">
        <v>4.011972860097475</v>
      </c>
      <c r="BR56" s="21" t="n">
        <v>4.011972860097475</v>
      </c>
      <c r="BS56" s="21" t="n">
        <v>4.011972860097475</v>
      </c>
      <c r="BT56" s="21" t="n">
        <v>0</v>
      </c>
      <c r="BU56" s="21" t="n">
        <v>4.011972860097475</v>
      </c>
      <c r="BV56" s="21" t="n">
        <v>3.008979645073107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VSP-600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3.840891207323119</v>
      </c>
      <c r="Z57" s="21" t="n">
        <v>0</v>
      </c>
      <c r="AA57" s="21" t="n">
        <v>0</v>
      </c>
      <c r="AB57" s="21" t="n">
        <v>0</v>
      </c>
      <c r="AC57" s="21" t="n">
        <v>3.840891207323119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3.840891207323119</v>
      </c>
      <c r="AI57" s="21" t="n">
        <v>0</v>
      </c>
      <c r="AJ57" s="21" t="n">
        <v>0</v>
      </c>
      <c r="AK57" s="21" t="n">
        <v>3.840891207323119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3.840891207323119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3.840891207323119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3.840891207323119</v>
      </c>
      <c r="BF57" s="21" t="n">
        <v>0</v>
      </c>
      <c r="BG57" s="21" t="n">
        <v>0</v>
      </c>
      <c r="BH57" s="21" t="n">
        <v>0</v>
      </c>
      <c r="BI57" s="21" t="n">
        <v>3.840891207323119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VSP-601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3.844512359077455</v>
      </c>
      <c r="Z58" s="21" t="n">
        <v>0</v>
      </c>
      <c r="AA58" s="21" t="n">
        <v>0</v>
      </c>
      <c r="AB58" s="21" t="n">
        <v>0</v>
      </c>
      <c r="AC58" s="21" t="n">
        <v>3.844512359077455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3.844512359077455</v>
      </c>
      <c r="AI58" s="21" t="n">
        <v>0</v>
      </c>
      <c r="AJ58" s="21" t="n">
        <v>0</v>
      </c>
      <c r="AK58" s="21" t="n">
        <v>3.844512359077455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3.844512359077455</v>
      </c>
      <c r="AS58" s="21" t="n">
        <v>0</v>
      </c>
      <c r="AT58" s="21" t="n">
        <v>0</v>
      </c>
      <c r="AU58" s="21" t="n">
        <v>0</v>
      </c>
      <c r="AV58" s="21" t="n">
        <v>0</v>
      </c>
      <c r="AW58" s="21" t="n">
        <v>0</v>
      </c>
      <c r="AX58" s="21" t="n">
        <v>3.844512359077455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3.844512359077455</v>
      </c>
      <c r="BF58" s="21" t="n">
        <v>0</v>
      </c>
      <c r="BG58" s="21" t="n">
        <v>0</v>
      </c>
      <c r="BH58" s="21" t="n">
        <v>0</v>
      </c>
      <c r="BI58" s="21" t="n">
        <v>3.844512359077455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VSP-602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3.845278475612647</v>
      </c>
      <c r="Z59" s="21" t="n">
        <v>0</v>
      </c>
      <c r="AA59" s="21" t="n">
        <v>0</v>
      </c>
      <c r="AB59" s="21" t="n">
        <v>0</v>
      </c>
      <c r="AC59" s="21" t="n">
        <v>3.845278475612647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3.845278475612647</v>
      </c>
      <c r="AI59" s="21" t="n">
        <v>0</v>
      </c>
      <c r="AJ59" s="21" t="n">
        <v>0</v>
      </c>
      <c r="AK59" s="21" t="n">
        <v>3.845278475612647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3.845278475612647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3.845278475612647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3.845278475612647</v>
      </c>
      <c r="BF59" s="21" t="n">
        <v>0</v>
      </c>
      <c r="BG59" s="21" t="n">
        <v>0</v>
      </c>
      <c r="BH59" s="21" t="n">
        <v>0</v>
      </c>
      <c r="BI59" s="21" t="n">
        <v>3.845278475612647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VSP-820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0</v>
      </c>
      <c r="Z60" s="21" t="n">
        <v>0</v>
      </c>
      <c r="AA60" s="21" t="n">
        <v>0</v>
      </c>
      <c r="AB60" s="21" t="n">
        <v>0</v>
      </c>
      <c r="AC60" s="21" t="n">
        <v>0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0</v>
      </c>
      <c r="AI60" s="21" t="n">
        <v>0</v>
      </c>
      <c r="AJ60" s="21" t="n">
        <v>0</v>
      </c>
      <c r="AK60" s="21" t="n">
        <v>0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0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0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0</v>
      </c>
      <c r="BF60" s="21" t="n">
        <v>0</v>
      </c>
      <c r="BG60" s="21" t="n">
        <v>0</v>
      </c>
      <c r="BH60" s="21" t="n">
        <v>0</v>
      </c>
      <c r="BI60" s="21" t="n">
        <v>0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VSP-822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0</v>
      </c>
      <c r="Z61" s="21" t="n">
        <v>0</v>
      </c>
      <c r="AA61" s="21" t="n">
        <v>0</v>
      </c>
      <c r="AB61" s="21" t="n">
        <v>0</v>
      </c>
      <c r="AC61" s="21" t="n">
        <v>0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0</v>
      </c>
      <c r="AI61" s="21" t="n">
        <v>0</v>
      </c>
      <c r="AJ61" s="21" t="n">
        <v>0</v>
      </c>
      <c r="AK61" s="21" t="n">
        <v>0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0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0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0</v>
      </c>
      <c r="BF61" s="21" t="n">
        <v>0</v>
      </c>
      <c r="BG61" s="21" t="n">
        <v>0</v>
      </c>
      <c r="BH61" s="21" t="n">
        <v>0</v>
      </c>
      <c r="BI61" s="21" t="n">
        <v>0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VSP-910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VSP-989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VSP-990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TPP-190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TPP-204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TPP-350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TPP-356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TPP-358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TPP-527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TPP-537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TPP-609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TPP-611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TPP-613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TPP-635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TPP-650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2</v>
      </c>
      <c r="Z76" s="21" t="n">
        <v>0</v>
      </c>
      <c r="AA76" s="21" t="n">
        <v>4</v>
      </c>
      <c r="AB76" s="21" t="n">
        <v>4</v>
      </c>
      <c r="AC76" s="21" t="n">
        <v>4</v>
      </c>
      <c r="AD76" s="21" t="n">
        <v>2</v>
      </c>
      <c r="AE76" s="21" t="n">
        <v>4</v>
      </c>
      <c r="AF76" s="21" t="n">
        <v>0</v>
      </c>
      <c r="AG76" s="21" t="n">
        <v>4</v>
      </c>
      <c r="AH76" s="21" t="n">
        <v>0</v>
      </c>
      <c r="AI76" s="21" t="n">
        <v>0</v>
      </c>
      <c r="AJ76" s="21" t="n">
        <v>4</v>
      </c>
      <c r="AK76" s="21" t="n">
        <v>2</v>
      </c>
      <c r="AL76" s="21" t="n">
        <v>2</v>
      </c>
      <c r="AM76" s="21" t="n">
        <v>2</v>
      </c>
      <c r="AN76" s="21" t="n">
        <v>0</v>
      </c>
      <c r="AO76" s="21" t="n">
        <v>0</v>
      </c>
      <c r="AP76" s="21" t="n">
        <v>0</v>
      </c>
      <c r="AQ76" s="21" t="n">
        <v>2</v>
      </c>
      <c r="AR76" s="21" t="n">
        <v>4</v>
      </c>
      <c r="AS76" s="21" t="n">
        <v>2</v>
      </c>
      <c r="AT76" s="21" t="n">
        <v>2</v>
      </c>
      <c r="AU76" s="21" t="n">
        <v>2</v>
      </c>
      <c r="AV76" s="21" t="n">
        <v>2</v>
      </c>
      <c r="AW76" s="21" t="n">
        <v>4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4</v>
      </c>
      <c r="BD76" s="21" t="n">
        <v>2</v>
      </c>
      <c r="BE76" s="21" t="n">
        <v>0</v>
      </c>
      <c r="BF76" s="21" t="n">
        <v>4</v>
      </c>
      <c r="BG76" s="21" t="n">
        <v>0</v>
      </c>
      <c r="BH76" s="21" t="n">
        <v>0</v>
      </c>
      <c r="BI76" s="21" t="n">
        <v>2</v>
      </c>
      <c r="BJ76" s="21" t="n">
        <v>0</v>
      </c>
      <c r="BK76" s="21" t="n">
        <v>0</v>
      </c>
      <c r="BL76" s="21" t="n">
        <v>2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TPP-704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TPP-911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3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TPP-912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2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2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TPP-914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TPP-915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2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2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3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TPP-916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TPP-917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4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3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TPP-919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TPP-920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3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2</v>
      </c>
      <c r="AP85" s="21" t="n">
        <v>0</v>
      </c>
      <c r="AQ85" s="21" t="n">
        <v>0</v>
      </c>
      <c r="AR85" s="21" t="n">
        <v>0</v>
      </c>
      <c r="AS85" s="21" t="n">
        <v>2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TPP-922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0</v>
      </c>
      <c r="Z86" s="21" t="n">
        <v>0</v>
      </c>
      <c r="AA86" s="21" t="n">
        <v>0</v>
      </c>
      <c r="AB86" s="21" t="n">
        <v>0</v>
      </c>
      <c r="AC86" s="21" t="n">
        <v>0</v>
      </c>
      <c r="AD86" s="21" t="n">
        <v>0</v>
      </c>
      <c r="AE86" s="21" t="n">
        <v>0</v>
      </c>
      <c r="AF86" s="21" t="n">
        <v>0</v>
      </c>
      <c r="AG86" s="21" t="n">
        <v>0</v>
      </c>
      <c r="AH86" s="21" t="n">
        <v>0</v>
      </c>
      <c r="AI86" s="21" t="n">
        <v>0</v>
      </c>
      <c r="AJ86" s="21" t="n">
        <v>0</v>
      </c>
      <c r="AK86" s="21" t="n">
        <v>0</v>
      </c>
      <c r="AL86" s="21" t="n">
        <v>0</v>
      </c>
      <c r="AM86" s="21" t="n">
        <v>0</v>
      </c>
      <c r="AN86" s="21" t="n">
        <v>0</v>
      </c>
      <c r="AO86" s="21" t="n">
        <v>0</v>
      </c>
      <c r="AP86" s="21" t="n">
        <v>0</v>
      </c>
      <c r="AQ86" s="21" t="n">
        <v>0</v>
      </c>
      <c r="AR86" s="21" t="n">
        <v>0</v>
      </c>
      <c r="AS86" s="21" t="n">
        <v>0</v>
      </c>
      <c r="AT86" s="21" t="n">
        <v>0</v>
      </c>
      <c r="AU86" s="21" t="n">
        <v>0</v>
      </c>
      <c r="AV86" s="21" t="n">
        <v>0</v>
      </c>
      <c r="AW86" s="21" t="n">
        <v>0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0</v>
      </c>
      <c r="BD86" s="21" t="n">
        <v>0</v>
      </c>
      <c r="BE86" s="21" t="n">
        <v>0</v>
      </c>
      <c r="BF86" s="21" t="n">
        <v>0</v>
      </c>
      <c r="BG86" s="21" t="n">
        <v>0</v>
      </c>
      <c r="BH86" s="21" t="n">
        <v>0</v>
      </c>
      <c r="BI86" s="21" t="n">
        <v>0</v>
      </c>
      <c r="BJ86" s="21" t="n">
        <v>0</v>
      </c>
      <c r="BK86" s="21" t="n">
        <v>0</v>
      </c>
      <c r="BL86" s="21" t="n">
        <v>0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TPP-923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4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2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TPP-970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20p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TPP-1459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3</v>
      </c>
      <c r="Z90" s="21" t="n">
        <v>0</v>
      </c>
      <c r="AA90" s="21" t="n">
        <v>2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4</v>
      </c>
      <c r="AG90" s="21" t="n">
        <v>0</v>
      </c>
      <c r="AH90" s="21" t="n">
        <v>0</v>
      </c>
      <c r="AI90" s="21" t="n">
        <v>0</v>
      </c>
      <c r="AJ90" s="21" t="n">
        <v>2</v>
      </c>
      <c r="AK90" s="21" t="n">
        <v>0</v>
      </c>
      <c r="AL90" s="21" t="n">
        <v>2</v>
      </c>
      <c r="AM90" s="21" t="n">
        <v>0</v>
      </c>
      <c r="AN90" s="21" t="n">
        <v>0</v>
      </c>
      <c r="AO90" s="21" t="n">
        <v>1</v>
      </c>
      <c r="AP90" s="21" t="n">
        <v>0</v>
      </c>
      <c r="AQ90" s="21" t="n">
        <v>0</v>
      </c>
      <c r="AR90" s="21" t="n">
        <v>2</v>
      </c>
      <c r="AS90" s="21" t="n">
        <v>1</v>
      </c>
      <c r="AT90" s="21" t="n">
        <v>0</v>
      </c>
      <c r="AU90" s="21" t="n">
        <v>0</v>
      </c>
      <c r="AV90" s="21" t="n">
        <v>4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2</v>
      </c>
      <c r="BF90" s="21" t="n">
        <v>0</v>
      </c>
      <c r="BG90" s="21" t="n">
        <v>0</v>
      </c>
      <c r="BH90" s="21" t="n">
        <v>0</v>
      </c>
      <c r="BI90" s="21" t="n">
        <v>4</v>
      </c>
      <c r="BJ90" s="21" t="n">
        <v>0</v>
      </c>
      <c r="BK90" s="21" t="n">
        <v>0</v>
      </c>
      <c r="BL90" s="21" t="n">
        <v>0</v>
      </c>
      <c r="BM90" s="21" t="n">
        <v>2</v>
      </c>
      <c r="BN90" s="21" t="n">
        <v>0</v>
      </c>
      <c r="BO90" s="21" t="n">
        <v>0</v>
      </c>
      <c r="BP90" s="21" t="n">
        <v>2</v>
      </c>
      <c r="BQ90" s="21" t="n">
        <v>4</v>
      </c>
      <c r="BR90" s="21" t="n">
        <v>4</v>
      </c>
      <c r="BS90" s="21" t="n">
        <v>0</v>
      </c>
      <c r="BT90" s="21" t="n">
        <v>2</v>
      </c>
      <c r="BU90" s="21" t="n">
        <v>4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TPP-1466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TPP-2245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0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TPP-533(98%)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0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0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TPP-533(A)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TSP-077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0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0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0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TSP-088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TSP-089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TSP-1499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5.999999999999999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3</v>
      </c>
      <c r="AH98" s="21" t="n">
        <v>0</v>
      </c>
      <c r="AI98" s="21" t="n">
        <v>0</v>
      </c>
      <c r="AJ98" s="21" t="n">
        <v>0</v>
      </c>
      <c r="AK98" s="21" t="n">
        <v>3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3</v>
      </c>
      <c r="AQ98" s="21" t="n">
        <v>0</v>
      </c>
      <c r="AR98" s="21" t="n">
        <v>0</v>
      </c>
      <c r="AS98" s="21" t="n">
        <v>0</v>
      </c>
      <c r="AT98" s="21" t="n">
        <v>3</v>
      </c>
      <c r="AU98" s="21" t="n">
        <v>0</v>
      </c>
      <c r="AV98" s="21" t="n">
        <v>0</v>
      </c>
      <c r="AW98" s="21" t="n">
        <v>0</v>
      </c>
      <c r="AX98" s="21" t="n">
        <v>3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3</v>
      </c>
      <c r="BG98" s="21" t="n">
        <v>0</v>
      </c>
      <c r="BH98" s="21" t="n">
        <v>0</v>
      </c>
      <c r="BI98" s="21" t="n">
        <v>0</v>
      </c>
      <c r="BJ98" s="21" t="n">
        <v>3</v>
      </c>
      <c r="BK98" s="21" t="n">
        <v>0</v>
      </c>
      <c r="BL98" s="21" t="n">
        <v>0</v>
      </c>
      <c r="BM98" s="21" t="n">
        <v>0</v>
      </c>
      <c r="BN98" s="21" t="n">
        <v>3</v>
      </c>
      <c r="BO98" s="21" t="n">
        <v>0</v>
      </c>
      <c r="BP98" s="21" t="n">
        <v>0</v>
      </c>
      <c r="BQ98" s="21" t="n">
        <v>0</v>
      </c>
      <c r="BR98" s="21" t="n">
        <v>3</v>
      </c>
      <c r="BS98" s="21" t="n">
        <v>3</v>
      </c>
      <c r="BT98" s="21" t="n">
        <v>3</v>
      </c>
      <c r="BU98" s="21" t="n">
        <v>3</v>
      </c>
      <c r="BV98" s="21" t="n">
        <v>0</v>
      </c>
      <c r="BW98" s="21" t="n">
        <v>3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TSP-1558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4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2</v>
      </c>
      <c r="AH99" s="21" t="n">
        <v>0</v>
      </c>
      <c r="AI99" s="21" t="n">
        <v>0</v>
      </c>
      <c r="AJ99" s="21" t="n">
        <v>0</v>
      </c>
      <c r="AK99" s="21" t="n">
        <v>2</v>
      </c>
      <c r="AL99" s="21" t="n">
        <v>0</v>
      </c>
      <c r="AM99" s="21" t="n">
        <v>0</v>
      </c>
      <c r="AN99" s="21" t="n">
        <v>0</v>
      </c>
      <c r="AO99" s="21" t="n">
        <v>0</v>
      </c>
      <c r="AP99" s="21" t="n">
        <v>2</v>
      </c>
      <c r="AQ99" s="21" t="n">
        <v>0</v>
      </c>
      <c r="AR99" s="21" t="n">
        <v>0</v>
      </c>
      <c r="AS99" s="21" t="n">
        <v>0</v>
      </c>
      <c r="AT99" s="21" t="n">
        <v>2</v>
      </c>
      <c r="AU99" s="21" t="n">
        <v>0</v>
      </c>
      <c r="AV99" s="21" t="n">
        <v>0</v>
      </c>
      <c r="AW99" s="21" t="n">
        <v>0</v>
      </c>
      <c r="AX99" s="21" t="n">
        <v>2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2</v>
      </c>
      <c r="BG99" s="21" t="n">
        <v>0</v>
      </c>
      <c r="BH99" s="21" t="n">
        <v>0</v>
      </c>
      <c r="BI99" s="21" t="n">
        <v>0</v>
      </c>
      <c r="BJ99" s="21" t="n">
        <v>2</v>
      </c>
      <c r="BK99" s="21" t="n">
        <v>0</v>
      </c>
      <c r="BL99" s="21" t="n">
        <v>0</v>
      </c>
      <c r="BM99" s="21" t="n">
        <v>0</v>
      </c>
      <c r="BN99" s="21" t="n">
        <v>2</v>
      </c>
      <c r="BO99" s="21" t="n">
        <v>0</v>
      </c>
      <c r="BP99" s="21" t="n">
        <v>0</v>
      </c>
      <c r="BQ99" s="21" t="n">
        <v>0</v>
      </c>
      <c r="BR99" s="21" t="n">
        <v>2</v>
      </c>
      <c r="BS99" s="21" t="n">
        <v>2</v>
      </c>
      <c r="BT99" s="21" t="n">
        <v>2</v>
      </c>
      <c r="BU99" s="21" t="n">
        <v>2</v>
      </c>
      <c r="BV99" s="21" t="n">
        <v>0</v>
      </c>
      <c r="BW99" s="21" t="n">
        <v>2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TSP-1559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TSP-2157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0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TSP-2168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TSP-218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TSP-219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0</v>
      </c>
      <c r="AK104" s="21" t="n">
        <v>0</v>
      </c>
      <c r="AL104" s="21" t="n">
        <v>0</v>
      </c>
      <c r="AM104" s="21" t="n">
        <v>0</v>
      </c>
      <c r="AN104" s="21" t="n">
        <v>0</v>
      </c>
      <c r="AO104" s="21" t="n">
        <v>0</v>
      </c>
      <c r="AP104" s="21" t="n">
        <v>0</v>
      </c>
      <c r="AQ104" s="21" t="n">
        <v>0</v>
      </c>
      <c r="AR104" s="21" t="n">
        <v>0</v>
      </c>
      <c r="AS104" s="21" t="n">
        <v>0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  <c r="BA104" s="21" t="n">
        <v>0</v>
      </c>
      <c r="BB104" s="21" t="n">
        <v>0</v>
      </c>
      <c r="BC104" s="21" t="n">
        <v>0</v>
      </c>
      <c r="BD104" s="21" t="n">
        <v>0</v>
      </c>
      <c r="BE104" s="21" t="n">
        <v>0</v>
      </c>
      <c r="BF104" s="21" t="n">
        <v>0</v>
      </c>
      <c r="BG104" s="21" t="n">
        <v>0</v>
      </c>
      <c r="BH104" s="21" t="n">
        <v>0</v>
      </c>
      <c r="BI104" s="21" t="n">
        <v>0</v>
      </c>
      <c r="BJ104" s="21" t="n">
        <v>0</v>
      </c>
      <c r="BK104" s="21" t="n">
        <v>0</v>
      </c>
      <c r="BL104" s="21" t="n">
        <v>0</v>
      </c>
      <c r="BM104" s="21" t="n">
        <v>0</v>
      </c>
      <c r="BN104" s="21" t="n">
        <v>0</v>
      </c>
      <c r="BO104" s="21" t="n">
        <v>0</v>
      </c>
      <c r="BP104" s="21" t="n">
        <v>0</v>
      </c>
      <c r="BQ104" s="21" t="n">
        <v>0</v>
      </c>
      <c r="BR104" s="21" t="n">
        <v>0</v>
      </c>
      <c r="BS104" s="21" t="n">
        <v>0</v>
      </c>
      <c r="BT104" s="21" t="n">
        <v>0</v>
      </c>
      <c r="BU104" s="21" t="n">
        <v>0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TSP-390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TSP-399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TSP-699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VSP-567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</v>
      </c>
      <c r="AK108" s="21" t="n">
        <v>0</v>
      </c>
      <c r="AL108" s="21" t="n">
        <v>0</v>
      </c>
      <c r="AM108" s="21" t="n">
        <v>0</v>
      </c>
      <c r="AN108" s="21" t="n">
        <v>0</v>
      </c>
      <c r="AO108" s="21" t="n">
        <v>0</v>
      </c>
      <c r="AP108" s="21" t="n">
        <v>0</v>
      </c>
      <c r="AQ108" s="21" t="n">
        <v>0</v>
      </c>
      <c r="AR108" s="21" t="n">
        <v>0</v>
      </c>
      <c r="AS108" s="21" t="n">
        <v>0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0</v>
      </c>
      <c r="BE108" s="21" t="n">
        <v>0</v>
      </c>
      <c r="BF108" s="21" t="n">
        <v>0</v>
      </c>
      <c r="BG108" s="21" t="n">
        <v>0</v>
      </c>
      <c r="BH108" s="21" t="n">
        <v>0</v>
      </c>
      <c r="BI108" s="21" t="n">
        <v>0</v>
      </c>
      <c r="BJ108" s="21" t="n">
        <v>0</v>
      </c>
      <c r="BK108" s="21" t="n">
        <v>0</v>
      </c>
      <c r="BL108" s="21" t="n">
        <v>0</v>
      </c>
      <c r="BM108" s="21" t="n">
        <v>0</v>
      </c>
      <c r="BN108" s="21" t="n">
        <v>0</v>
      </c>
      <c r="BO108" s="21" t="n">
        <v>0</v>
      </c>
      <c r="BP108" s="21" t="n">
        <v>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VSP-603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VSP-604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VSP-605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VSP-606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0</v>
      </c>
      <c r="AK112" s="21" t="n">
        <v>0</v>
      </c>
      <c r="AL112" s="21" t="n">
        <v>0</v>
      </c>
      <c r="AM112" s="21" t="n">
        <v>0</v>
      </c>
      <c r="AN112" s="21" t="n">
        <v>0</v>
      </c>
      <c r="AO112" s="21" t="n">
        <v>0</v>
      </c>
      <c r="AP112" s="21" t="n">
        <v>0</v>
      </c>
      <c r="AQ112" s="21" t="n">
        <v>0</v>
      </c>
      <c r="AR112" s="21" t="n">
        <v>0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0</v>
      </c>
      <c r="BF112" s="21" t="n">
        <v>0</v>
      </c>
      <c r="BG112" s="21" t="n">
        <v>0</v>
      </c>
      <c r="BH112" s="21" t="n">
        <v>0</v>
      </c>
      <c r="BI112" s="21" t="n">
        <v>0</v>
      </c>
      <c r="BJ112" s="21" t="n">
        <v>0</v>
      </c>
      <c r="BK112" s="21" t="n">
        <v>0</v>
      </c>
      <c r="BL112" s="21" t="n">
        <v>0</v>
      </c>
      <c r="BM112" s="21" t="n">
        <v>0</v>
      </c>
      <c r="BN112" s="21" t="n">
        <v>0</v>
      </c>
      <c r="BO112" s="21" t="n">
        <v>0</v>
      </c>
      <c r="BP112" s="21" t="n">
        <v>0</v>
      </c>
      <c r="BQ112" s="21" t="n">
        <v>0</v>
      </c>
      <c r="BR112" s="21" t="n">
        <v>0</v>
      </c>
      <c r="BS112" s="21" t="n">
        <v>0</v>
      </c>
      <c r="BT112" s="21" t="n">
        <v>0</v>
      </c>
      <c r="BU112" s="21" t="n">
        <v>0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VSP-607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VSP-738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VSP-739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VSP-740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VSP-746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VSP-869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VSP-870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VSZ-745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0Q110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0TA30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2352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1176</v>
      </c>
      <c r="AH122" s="21" t="n">
        <v>0</v>
      </c>
      <c r="AI122" s="21" t="n">
        <v>0</v>
      </c>
      <c r="AJ122" s="21" t="n">
        <v>0</v>
      </c>
      <c r="AK122" s="21" t="n">
        <v>1176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1176</v>
      </c>
      <c r="AQ122" s="21" t="n">
        <v>0</v>
      </c>
      <c r="AR122" s="21" t="n">
        <v>0</v>
      </c>
      <c r="AS122" s="21" t="n">
        <v>0</v>
      </c>
      <c r="AT122" s="21" t="n">
        <v>1176</v>
      </c>
      <c r="AU122" s="21" t="n">
        <v>0</v>
      </c>
      <c r="AV122" s="21" t="n">
        <v>0</v>
      </c>
      <c r="AW122" s="21" t="n">
        <v>0</v>
      </c>
      <c r="AX122" s="21" t="n">
        <v>1176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1176</v>
      </c>
      <c r="BG122" s="21" t="n">
        <v>0</v>
      </c>
      <c r="BH122" s="21" t="n">
        <v>0</v>
      </c>
      <c r="BI122" s="21" t="n">
        <v>0</v>
      </c>
      <c r="BJ122" s="21" t="n">
        <v>1176</v>
      </c>
      <c r="BK122" s="21" t="n">
        <v>0</v>
      </c>
      <c r="BL122" s="21" t="n">
        <v>0</v>
      </c>
      <c r="BM122" s="21" t="n">
        <v>0</v>
      </c>
      <c r="BN122" s="21" t="n">
        <v>1176</v>
      </c>
      <c r="BO122" s="21" t="n">
        <v>0</v>
      </c>
      <c r="BP122" s="21" t="n">
        <v>0</v>
      </c>
      <c r="BQ122" s="21" t="n">
        <v>0</v>
      </c>
      <c r="BR122" s="21" t="n">
        <v>1176</v>
      </c>
      <c r="BS122" s="21" t="n">
        <v>1176</v>
      </c>
      <c r="BT122" s="21" t="n">
        <v>1176</v>
      </c>
      <c r="BU122" s="21" t="n">
        <v>1176</v>
      </c>
      <c r="BV122" s="21" t="n">
        <v>0</v>
      </c>
      <c r="BW122" s="21" t="n">
        <v>1176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Ester Film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5</v>
      </c>
      <c r="Y123" s="21" t="n">
        <v>5</v>
      </c>
      <c r="Z123" s="21" t="n">
        <v>5</v>
      </c>
      <c r="AA123" s="21" t="n">
        <v>5</v>
      </c>
      <c r="AB123" s="21" t="n">
        <v>5</v>
      </c>
      <c r="AC123" s="21" t="n">
        <v>5</v>
      </c>
      <c r="AD123" s="21" t="n">
        <v>5</v>
      </c>
      <c r="AE123" s="21" t="n">
        <v>5</v>
      </c>
      <c r="AF123" s="21" t="n">
        <v>5</v>
      </c>
      <c r="AG123" s="21" t="n">
        <v>5</v>
      </c>
      <c r="AH123" s="21" t="n">
        <v>5</v>
      </c>
      <c r="AI123" s="21" t="n">
        <v>5</v>
      </c>
      <c r="AJ123" s="21" t="n">
        <v>5</v>
      </c>
      <c r="AK123" s="21" t="n">
        <v>5</v>
      </c>
      <c r="AL123" s="21" t="n">
        <v>5</v>
      </c>
      <c r="AM123" s="21" t="n">
        <v>5</v>
      </c>
      <c r="AN123" s="21" t="n">
        <v>5</v>
      </c>
      <c r="AO123" s="21" t="n">
        <v>5</v>
      </c>
      <c r="AP123" s="21" t="n">
        <v>5</v>
      </c>
      <c r="AQ123" s="21" t="n">
        <v>5</v>
      </c>
      <c r="AR123" s="21" t="n">
        <v>5</v>
      </c>
      <c r="AS123" s="21" t="n">
        <v>5</v>
      </c>
      <c r="AT123" s="21" t="n">
        <v>5</v>
      </c>
      <c r="AU123" s="21" t="n">
        <v>5</v>
      </c>
      <c r="AV123" s="21" t="n">
        <v>5</v>
      </c>
      <c r="AW123" s="21" t="n">
        <v>5</v>
      </c>
      <c r="AX123" s="21" t="n">
        <v>5</v>
      </c>
      <c r="AY123" s="21" t="n">
        <v>5</v>
      </c>
      <c r="AZ123" s="21" t="n">
        <v>5</v>
      </c>
      <c r="BA123" s="21" t="n">
        <v>5</v>
      </c>
      <c r="BB123" s="21" t="n">
        <v>5</v>
      </c>
      <c r="BC123" s="21" t="n">
        <v>5</v>
      </c>
      <c r="BD123" s="21" t="n">
        <v>5</v>
      </c>
      <c r="BE123" s="21" t="n">
        <v>5</v>
      </c>
      <c r="BF123" s="21" t="n">
        <v>5</v>
      </c>
      <c r="BG123" s="21" t="n">
        <v>5</v>
      </c>
      <c r="BH123" s="21" t="n">
        <v>5</v>
      </c>
      <c r="BI123" s="21" t="n">
        <v>5</v>
      </c>
      <c r="BJ123" s="21" t="n">
        <v>5</v>
      </c>
      <c r="BK123" s="21" t="n">
        <v>5</v>
      </c>
      <c r="BL123" s="21" t="n">
        <v>5</v>
      </c>
      <c r="BM123" s="21" t="n">
        <v>5</v>
      </c>
      <c r="BN123" s="21" t="n">
        <v>5</v>
      </c>
      <c r="BO123" s="21" t="n">
        <v>5</v>
      </c>
      <c r="BP123" s="21" t="n">
        <v>5</v>
      </c>
      <c r="BQ123" s="21" t="n">
        <v>5</v>
      </c>
      <c r="BR123" s="21" t="n">
        <v>5</v>
      </c>
      <c r="BS123" s="21" t="n">
        <v>5</v>
      </c>
      <c r="BT123" s="21" t="n">
        <v>5</v>
      </c>
      <c r="BU123" s="21" t="n">
        <v>5</v>
      </c>
      <c r="BV123" s="21" t="n">
        <v>5</v>
      </c>
      <c r="BW123" s="21" t="n">
        <v>5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F2090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15840</v>
      </c>
      <c r="Z124" s="21" t="n">
        <v>0</v>
      </c>
      <c r="AA124" s="21" t="n">
        <v>7920</v>
      </c>
      <c r="AB124" s="21" t="n">
        <v>5940</v>
      </c>
      <c r="AC124" s="21" t="n">
        <v>7920</v>
      </c>
      <c r="AD124" s="21" t="n">
        <v>5940</v>
      </c>
      <c r="AE124" s="21" t="n">
        <v>7920</v>
      </c>
      <c r="AF124" s="21" t="n">
        <v>5940</v>
      </c>
      <c r="AG124" s="21" t="n">
        <v>5940</v>
      </c>
      <c r="AH124" s="21" t="n">
        <v>0</v>
      </c>
      <c r="AI124" s="21" t="n">
        <v>5940</v>
      </c>
      <c r="AJ124" s="21" t="n">
        <v>0</v>
      </c>
      <c r="AK124" s="21" t="n">
        <v>7920</v>
      </c>
      <c r="AL124" s="21" t="n">
        <v>0</v>
      </c>
      <c r="AM124" s="21" t="n">
        <v>7920</v>
      </c>
      <c r="AN124" s="21" t="n">
        <v>0</v>
      </c>
      <c r="AO124" s="21" t="n">
        <v>0</v>
      </c>
      <c r="AP124" s="21" t="n">
        <v>7920</v>
      </c>
      <c r="AQ124" s="21" t="n">
        <v>0</v>
      </c>
      <c r="AR124" s="21" t="n">
        <v>7920</v>
      </c>
      <c r="AS124" s="21" t="n">
        <v>0</v>
      </c>
      <c r="AT124" s="21" t="n">
        <v>7920</v>
      </c>
      <c r="AU124" s="21" t="n">
        <v>7920</v>
      </c>
      <c r="AV124" s="21" t="n">
        <v>7920</v>
      </c>
      <c r="AW124" s="21" t="n">
        <v>7920</v>
      </c>
      <c r="AX124" s="21" t="n">
        <v>7920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7920</v>
      </c>
      <c r="BE124" s="21" t="n">
        <v>0</v>
      </c>
      <c r="BF124" s="21" t="n">
        <v>7920</v>
      </c>
      <c r="BG124" s="21" t="n">
        <v>0</v>
      </c>
      <c r="BH124" s="21" t="n">
        <v>7920</v>
      </c>
      <c r="BI124" s="21" t="n">
        <v>0</v>
      </c>
      <c r="BJ124" s="21" t="n">
        <v>0</v>
      </c>
      <c r="BK124" s="21" t="n">
        <v>7920</v>
      </c>
      <c r="BL124" s="21" t="n">
        <v>0</v>
      </c>
      <c r="BM124" s="21" t="n">
        <v>0</v>
      </c>
      <c r="BN124" s="21" t="n">
        <v>3960</v>
      </c>
      <c r="BO124" s="21" t="n">
        <v>0</v>
      </c>
      <c r="BP124" s="21" t="n">
        <v>0</v>
      </c>
      <c r="BQ124" s="21" t="n">
        <v>1980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F2290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1920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1980</v>
      </c>
      <c r="AN125" s="21" t="n">
        <v>0</v>
      </c>
      <c r="AO125" s="21" t="n">
        <v>0</v>
      </c>
      <c r="AP125" s="21" t="n">
        <v>1980</v>
      </c>
      <c r="AQ125" s="21" t="n">
        <v>0</v>
      </c>
      <c r="AR125" s="21" t="n">
        <v>0</v>
      </c>
      <c r="AS125" s="21" t="n">
        <v>3960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3960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1980</v>
      </c>
      <c r="BH125" s="21" t="n">
        <v>0</v>
      </c>
      <c r="BI125" s="21" t="n">
        <v>0</v>
      </c>
      <c r="BJ125" s="21" t="n">
        <v>0</v>
      </c>
      <c r="BK125" s="21" t="n">
        <v>1188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K0050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9680</v>
      </c>
      <c r="Y126" s="21" t="n">
        <v>9680</v>
      </c>
      <c r="Z126" s="21" t="n">
        <v>0</v>
      </c>
      <c r="AA126" s="21" t="n">
        <v>11616</v>
      </c>
      <c r="AB126" s="21" t="n">
        <v>7744</v>
      </c>
      <c r="AC126" s="21" t="n">
        <v>9680</v>
      </c>
      <c r="AD126" s="21" t="n">
        <v>9680</v>
      </c>
      <c r="AE126" s="21" t="n">
        <v>4840</v>
      </c>
      <c r="AF126" s="21" t="n">
        <v>4840</v>
      </c>
      <c r="AG126" s="21" t="n">
        <v>9680</v>
      </c>
      <c r="AH126" s="21" t="n">
        <v>9680</v>
      </c>
      <c r="AI126" s="21" t="n">
        <v>9680</v>
      </c>
      <c r="AJ126" s="21" t="n">
        <v>9680</v>
      </c>
      <c r="AK126" s="21" t="n">
        <v>9680</v>
      </c>
      <c r="AL126" s="21" t="n">
        <v>9680</v>
      </c>
      <c r="AM126" s="21" t="n">
        <v>9680</v>
      </c>
      <c r="AN126" s="21" t="n">
        <v>4840</v>
      </c>
      <c r="AO126" s="21" t="n">
        <v>4840</v>
      </c>
      <c r="AP126" s="21" t="n">
        <v>9680</v>
      </c>
      <c r="AQ126" s="21" t="n">
        <v>9680</v>
      </c>
      <c r="AR126" s="21" t="n">
        <v>9680</v>
      </c>
      <c r="AS126" s="21" t="n">
        <v>9680</v>
      </c>
      <c r="AT126" s="21" t="n">
        <v>14520</v>
      </c>
      <c r="AU126" s="21" t="n">
        <v>14520</v>
      </c>
      <c r="AV126" s="21" t="n">
        <v>14520</v>
      </c>
      <c r="AW126" s="21" t="n">
        <v>14520</v>
      </c>
      <c r="AX126" s="21" t="n">
        <v>9680</v>
      </c>
      <c r="AY126" s="21" t="n">
        <v>9680</v>
      </c>
      <c r="AZ126" s="21" t="n">
        <v>4840</v>
      </c>
      <c r="BA126" s="21" t="n">
        <v>0</v>
      </c>
      <c r="BB126" s="21" t="n">
        <v>0</v>
      </c>
      <c r="BC126" s="21" t="n">
        <v>9680</v>
      </c>
      <c r="BD126" s="21" t="n">
        <v>9680</v>
      </c>
      <c r="BE126" s="21" t="n">
        <v>9680</v>
      </c>
      <c r="BF126" s="21" t="n">
        <v>9680</v>
      </c>
      <c r="BG126" s="21" t="n">
        <v>9680</v>
      </c>
      <c r="BH126" s="21" t="n">
        <v>9680</v>
      </c>
      <c r="BI126" s="21" t="n">
        <v>9680</v>
      </c>
      <c r="BJ126" s="21" t="n">
        <v>9680</v>
      </c>
      <c r="BK126" s="21" t="n">
        <v>9680</v>
      </c>
      <c r="BL126" s="21" t="n">
        <v>0</v>
      </c>
      <c r="BM126" s="21" t="n">
        <v>9680</v>
      </c>
      <c r="BN126" s="21" t="n">
        <v>0</v>
      </c>
      <c r="BO126" s="21" t="n">
        <v>4840</v>
      </c>
      <c r="BP126" s="21" t="n">
        <v>4840</v>
      </c>
      <c r="BQ126" s="21" t="n">
        <v>4840</v>
      </c>
      <c r="BR126" s="21" t="n">
        <v>4840</v>
      </c>
      <c r="BS126" s="21" t="n">
        <v>0</v>
      </c>
      <c r="BT126" s="21" t="n">
        <v>4840</v>
      </c>
      <c r="BU126" s="21" t="n">
        <v>4840</v>
      </c>
      <c r="BV126" s="21" t="n">
        <v>4840</v>
      </c>
      <c r="BW126" s="21" t="n">
        <v>4840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PP Film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21</v>
      </c>
      <c r="Y127" s="21" t="n">
        <v>18</v>
      </c>
      <c r="Z127" s="21" t="n">
        <v>0</v>
      </c>
      <c r="AA127" s="21" t="n">
        <v>4</v>
      </c>
      <c r="AB127" s="21" t="n">
        <v>15</v>
      </c>
      <c r="AC127" s="21" t="n">
        <v>9</v>
      </c>
      <c r="AD127" s="21" t="n">
        <v>12</v>
      </c>
      <c r="AE127" s="21" t="n">
        <v>16</v>
      </c>
      <c r="AF127" s="21" t="n">
        <v>16</v>
      </c>
      <c r="AG127" s="21" t="n">
        <v>20</v>
      </c>
      <c r="AH127" s="21" t="n">
        <v>17</v>
      </c>
      <c r="AI127" s="21" t="n">
        <v>6</v>
      </c>
      <c r="AJ127" s="21" t="n">
        <v>12</v>
      </c>
      <c r="AK127" s="21" t="n">
        <v>7</v>
      </c>
      <c r="AL127" s="21" t="n">
        <v>13</v>
      </c>
      <c r="AM127" s="21" t="n">
        <v>19</v>
      </c>
      <c r="AN127" s="21" t="n">
        <v>16</v>
      </c>
      <c r="AO127" s="21" t="n">
        <v>16</v>
      </c>
      <c r="AP127" s="21" t="n">
        <v>18</v>
      </c>
      <c r="AQ127" s="21" t="n">
        <v>19</v>
      </c>
      <c r="AR127" s="21" t="n">
        <v>18</v>
      </c>
      <c r="AS127" s="21" t="n">
        <v>23</v>
      </c>
      <c r="AT127" s="21" t="n">
        <v>26</v>
      </c>
      <c r="AU127" s="21" t="n">
        <v>26</v>
      </c>
      <c r="AV127" s="21" t="n">
        <v>26</v>
      </c>
      <c r="AW127" s="21" t="n">
        <v>19</v>
      </c>
      <c r="AX127" s="21" t="n">
        <v>23</v>
      </c>
      <c r="AY127" s="21" t="n">
        <v>10</v>
      </c>
      <c r="AZ127" s="21" t="n">
        <v>10</v>
      </c>
      <c r="BA127" s="21" t="n">
        <v>0</v>
      </c>
      <c r="BB127" s="21" t="n">
        <v>0</v>
      </c>
      <c r="BC127" s="21" t="n">
        <v>13</v>
      </c>
      <c r="BD127" s="21" t="n">
        <v>16</v>
      </c>
      <c r="BE127" s="21" t="n">
        <v>24</v>
      </c>
      <c r="BF127" s="21" t="n">
        <v>16</v>
      </c>
      <c r="BG127" s="21" t="n">
        <v>19</v>
      </c>
      <c r="BH127" s="21" t="n">
        <v>15</v>
      </c>
      <c r="BI127" s="21" t="n">
        <v>10</v>
      </c>
      <c r="BJ127" s="21" t="n">
        <v>16</v>
      </c>
      <c r="BK127" s="21" t="n">
        <v>16</v>
      </c>
      <c r="BL127" s="21" t="n">
        <v>6</v>
      </c>
      <c r="BM127" s="21" t="n">
        <v>9</v>
      </c>
      <c r="BN127" s="21" t="n">
        <v>13</v>
      </c>
      <c r="BO127" s="21" t="n">
        <v>3</v>
      </c>
      <c r="BP127" s="21" t="n">
        <v>6</v>
      </c>
      <c r="BQ127" s="21" t="n">
        <v>9</v>
      </c>
      <c r="BR127" s="21" t="n">
        <v>11</v>
      </c>
      <c r="BS127" s="21" t="n">
        <v>0</v>
      </c>
      <c r="BT127" s="21" t="n">
        <v>5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SUMIFS(T_TTAFCallOff[PCS],T_TTAFCallOff[Part Name],$A2,T_TTAFCallOff[WeekIndex],1)</f>
        <v/>
      </c>
      <c r="C2">
        <f>SUMIFS(T_TTAFCallOff[PCS],T_TTAFCallOff[Part Name],$A2,T_TTAFCallOff[WeekIndex],2)</f>
        <v/>
      </c>
      <c r="D2">
        <f>SUMIFS(T_TTAFCallOff[PCS],T_TTAFCallOff[Part Name],$A2,T_TTAFCallOff[WeekIndex],3)</f>
        <v/>
      </c>
      <c r="E2">
        <f>SUMIFS(T_TTAFCallOff[PCS],T_TTAFCallOff[Part Name],$A2,T_TTAFCallOff[WeekIndex],4)</f>
        <v/>
      </c>
      <c r="F2">
        <f>SUMIFS(T_TTAFCallOff[PCS],T_TTAFCallOff[Part Name],$A2,T_TTAFCallOff[WeekIndex],5)</f>
        <v/>
      </c>
      <c r="G2">
        <f>SUMIFS(T_TTAFCallOff[PCS],T_TTAFCallOff[Part Name],$A2,T_TTAFCallOff[WeekIndex],6)</f>
        <v/>
      </c>
      <c r="H2">
        <f>SUMIFS(T_TTAFCallOff[PCS],T_TTAFCallOff[Part Name],$A2,T_TTAFCallOff[WeekIndex],7)</f>
        <v/>
      </c>
      <c r="I2">
        <f>SUMIFS(T_TTAFCallOff[PCS],T_TTAFCallOff[Part Name],$A2,T_TTAFCallOff[WeekIndex],8)</f>
        <v/>
      </c>
      <c r="J2">
        <f>SUMIFS(T_TTAFCallOff[PCS],T_TTAFCallOff[Part Name],$A2,T_TTAFCallOff[WeekIndex],9)</f>
        <v/>
      </c>
      <c r="K2">
        <f>SUMIFS(T_TTAFCallOff[PCS],T_TTAFCallOff[Part Name],$A2,T_TTAFCallOff[WeekIndex],10)</f>
        <v/>
      </c>
      <c r="L2">
        <f>SUMIFS(T_TTAFCallOff[PCS],T_TTAFCallOff[Part Name],$A2,T_TTAFCallOff[WeekIndex],11)</f>
        <v/>
      </c>
      <c r="M2">
        <f>SUMIFS(T_TTAFCallOff[PCS],T_TTAFCallOff[Part Name],$A2,T_TTAFCallOff[WeekIndex],12)</f>
        <v/>
      </c>
      <c r="N2">
        <f>SUMIFS(T_TTAFCallOff[PCS],T_TTAFCallOff[Part Name],$A2,T_TTAFCallOff[WeekIndex],13)</f>
        <v/>
      </c>
      <c r="O2">
        <f>SUMIFS(T_TTAFCallOff[PCS],T_TTAFCallOff[Part Name],$A2,T_TTAFCallOff[WeekIndex],14)</f>
        <v/>
      </c>
      <c r="P2">
        <f>SUMIFS(T_TTAFCallOff[PCS],T_TTAFCallOff[Part Name],$A2,T_TTAFCallOff[WeekIndex],15)</f>
        <v/>
      </c>
      <c r="Q2">
        <f>SUMIFS(T_TTAFCallOff[PCS],T_TTAFCallOff[Part Name],$A2,T_TTAFCallOff[WeekIndex],16)</f>
        <v/>
      </c>
      <c r="R2">
        <f>SUMIFS(T_TTAFCallOff[PCS],T_TTAFCallOff[Part Name],$A2,T_TTAFCallOff[WeekIndex],17)</f>
        <v/>
      </c>
      <c r="S2">
        <f>SUMIFS(T_TTAFCallOff[PCS],T_TTAFCallOff[Part Name],$A2,T_TTAFCallOff[WeekIndex],18)</f>
        <v/>
      </c>
      <c r="T2">
        <f>SUMIFS(T_TTAFCallOff[PCS],T_TTAFCallOff[Part Name],$A2,T_TTAFCallOff[WeekIndex],19)</f>
        <v/>
      </c>
      <c r="U2">
        <f>SUMIFS(T_TTAFCallOff[PCS],T_TTAFCallOff[Part Name],$A2,T_TTAFCallOff[WeekIndex],20)</f>
        <v/>
      </c>
      <c r="V2">
        <f>SUMIFS(T_TTAFCallOff[PCS],T_TTAFCallOff[Part Name],$A2,T_TTAFCallOff[WeekIndex],21)</f>
        <v/>
      </c>
      <c r="W2">
        <f>SUMIFS(T_TTAFCallOff[PCS],T_TTAFCallOff[Part Name],$A2,T_TTAFCallOff[WeekIndex],22)</f>
        <v/>
      </c>
      <c r="X2">
        <f>SUMIFS(T_TTAFCallOff[PCS],T_TTAFCallOff[Part Name],$A2,T_TTAFCallOff[WeekIndex],23)</f>
        <v/>
      </c>
      <c r="Y2">
        <f>SUMIFS(T_TTAFCallOff[PCS],T_TTAFCallOff[Part Name],$A2,T_TTAFCallOff[WeekIndex],24)</f>
        <v/>
      </c>
      <c r="Z2">
        <f>SUMIFS(T_TTAFCallOff[PCS],T_TTAFCallOff[Part Name],$A2,T_TTAFCallOff[WeekIndex],25)</f>
        <v/>
      </c>
      <c r="AA2">
        <f>SUMIFS(T_TTAFCallOff[PCS],T_TTAFCallOff[Part Name],$A2,T_TTAFCallOff[WeekIndex],26)</f>
        <v/>
      </c>
      <c r="AB2">
        <f>SUMIFS(T_TTAFCallOff[PCS],T_TTAFCallOff[Part Name],$A2,T_TTAFCallOff[WeekIndex],27)</f>
        <v/>
      </c>
      <c r="AC2">
        <f>SUMIFS(T_TTAFCallOff[PCS],T_TTAFCallOff[Part Name],$A2,T_TTAFCallOff[WeekIndex],28)</f>
        <v/>
      </c>
      <c r="AD2">
        <f>SUMIFS(T_TTAFCallOff[PCS],T_TTAFCallOff[Part Name],$A2,T_TTAFCallOff[WeekIndex],29)</f>
        <v/>
      </c>
      <c r="AE2">
        <f>SUMIFS(T_TTAFCallOff[PCS],T_TTAFCallOff[Part Name],$A2,T_TTAFCallOff[WeekIndex],30)</f>
        <v/>
      </c>
      <c r="AF2">
        <f>SUMIFS(T_TTAFCallOff[PCS],T_TTAFCallOff[Part Name],$A2,T_TTAFCallOff[WeekIndex],31)</f>
        <v/>
      </c>
      <c r="AG2">
        <f>SUMIFS(T_TTAFCallOff[PCS],T_TTAFCallOff[Part Name],$A2,T_TTAFCallOff[WeekIndex],32)</f>
        <v/>
      </c>
      <c r="AH2">
        <f>SUMIFS(T_TTAFCallOff[PCS],T_TTAFCallOff[Part Name],$A2,T_TTAFCallOff[WeekIndex],33)</f>
        <v/>
      </c>
      <c r="AI2">
        <f>SUMIFS(T_TTAFCallOff[PCS],T_TTAFCallOff[Part Name],$A2,T_TTAFCallOff[WeekIndex],34)</f>
        <v/>
      </c>
      <c r="AJ2">
        <f>SUMIFS(T_TTAFCallOff[PCS],T_TTAFCallOff[Part Name],$A2,T_TTAFCallOff[WeekIndex],35)</f>
        <v/>
      </c>
      <c r="AK2">
        <f>SUMIFS(T_TTAFCallOff[PCS],T_TTAFCallOff[Part Name],$A2,T_TTAFCallOff[WeekIndex],36)</f>
        <v/>
      </c>
      <c r="AL2">
        <f>SUMIFS(T_TTAFCallOff[PCS],T_TTAFCallOff[Part Name],$A2,T_TTAFCallOff[WeekIndex],37)</f>
        <v/>
      </c>
      <c r="AM2">
        <f>SUMIFS(T_TTAFCallOff[PCS],T_TTAFCallOff[Part Name],$A2,T_TTAFCallOff[WeekIndex],38)</f>
        <v/>
      </c>
      <c r="AN2">
        <f>SUMIFS(T_TTAFCallOff[PCS],T_TTAFCallOff[Part Name],$A2,T_TTAFCallOff[WeekIndex],39)</f>
        <v/>
      </c>
      <c r="AO2">
        <f>SUMIFS(T_TTAFCallOff[PCS],T_TTAFCallOff[Part Name],$A2,T_TTAFCallOff[WeekIndex],40)</f>
        <v/>
      </c>
      <c r="AP2">
        <f>SUMIFS(T_TTAFCallOff[PCS],T_TTAFCallOff[Part Name],$A2,T_TTAFCallOff[WeekIndex],41)</f>
        <v/>
      </c>
      <c r="AQ2">
        <f>SUMIFS(T_TTAFCallOff[PCS],T_TTAFCallOff[Part Name],$A2,T_TTAFCallOff[WeekIndex],42)</f>
        <v/>
      </c>
      <c r="AR2">
        <f>SUMIFS(T_TTAFCallOff[PCS],T_TTAFCallOff[Part Name],$A2,T_TTAFCallOff[WeekIndex],43)</f>
        <v/>
      </c>
      <c r="AS2">
        <f>SUMIFS(T_TTAFCallOff[PCS],T_TTAFCallOff[Part Name],$A2,T_TTAFCallOff[WeekIndex],44)</f>
        <v/>
      </c>
      <c r="AT2">
        <f>SUMIFS(T_TTAFCallOff[PCS],T_TTAFCallOff[Part Name],$A2,T_TTAFCallOff[WeekIndex],45)</f>
        <v/>
      </c>
      <c r="AU2">
        <f>SUMIFS(T_TTAFCallOff[PCS],T_TTAFCallOff[Part Name],$A2,T_TTAFCallOff[WeekIndex],46)</f>
        <v/>
      </c>
      <c r="AV2">
        <f>SUMIFS(T_TTAFCallOff[PCS],T_TTAFCallOff[Part Name],$A2,T_TTAFCallOff[WeekIndex],47)</f>
        <v/>
      </c>
      <c r="AW2">
        <f>SUMIFS(T_TTAFCallOff[PCS],T_TTAFCallOff[Part Name],$A2,T_TTAFCallOff[WeekIndex],48)</f>
        <v/>
      </c>
      <c r="AX2">
        <f>SUMIFS(T_TTAFCallOff[PCS],T_TTAFCallOff[Part Name],$A2,T_TTAFCallOff[WeekIndex],49)</f>
        <v/>
      </c>
      <c r="AY2">
        <f>SUMIFS(T_TTAFCallOff[PCS],T_TTAFCallOff[Part Name],$A2,T_TTAFCallOff[WeekIndex],50)</f>
        <v/>
      </c>
      <c r="AZ2">
        <f>SUMIFS(T_TTAFCallOff[PCS],T_TTAFCallOff[Part Name],$A2,T_TTAFCallOff[WeekIndex],51)</f>
        <v/>
      </c>
      <c r="BA2">
        <f>SUMIFS(T_TTAFCallOff[PCS],T_TTAFCallOff[Part Name],$A2,T_TTAFCallOff[WeekIndex],52)</f>
        <v/>
      </c>
      <c r="BB2">
        <f>SUMIFS(T_TTAFCallOff[PCS],T_TTAFCallOff[Part Name],$A2,T_TTAFCallOff[WeekIndex],53)</f>
        <v/>
      </c>
      <c r="BC2">
        <f>SUMIFS(T_TTAFCallOff[PCS],T_TTAFCallOff[Part Name],$A2,T_TTAFCallOff[WeekIndex],54)</f>
        <v/>
      </c>
      <c r="BD2">
        <f>SUMIFS(T_TTAFCallOff[PCS],T_TTAFCallOff[Part Name],$A2,T_TTAFCallOff[WeekIndex],55)</f>
        <v/>
      </c>
      <c r="BE2">
        <f>SUMIFS(T_TTAFCallOff[PCS],T_TTAFCallOff[Part Name],$A2,T_TTAFCallOff[WeekIndex],56)</f>
        <v/>
      </c>
      <c r="BF2">
        <f>SUMIFS(T_TTAFCallOff[PCS],T_TTAFCallOff[Part Name],$A2,T_TTAFCallOff[WeekIndex],57)</f>
        <v/>
      </c>
      <c r="BG2">
        <f>SUMIFS(T_TTAFCallOff[PCS],T_TTAFCallOff[Part Name],$A2,T_TTAFCallOff[WeekIndex],58)</f>
        <v/>
      </c>
      <c r="BH2">
        <f>SUMIFS(T_TTAFCallOff[PCS],T_TTAFCallOff[Part Name],$A2,T_TTAFCallOff[WeekIndex],59)</f>
        <v/>
      </c>
      <c r="BI2">
        <f>SUMIFS(T_TTAFCallOff[PCS],T_TTAFCallOff[Part Name],$A2,T_TTAFCallOff[WeekIndex],60)</f>
        <v/>
      </c>
      <c r="BJ2">
        <f>SUMIFS(T_TTAFCallOff[PCS],T_TTAFCallOff[Part Name],$A2,T_TTAFCallOff[WeekIndex],61)</f>
        <v/>
      </c>
      <c r="BK2">
        <f>SUMIFS(T_TTAFCallOff[PCS],T_TTAFCallOff[Part Name],$A2,T_TTAFCallOff[WeekIndex],62)</f>
        <v/>
      </c>
      <c r="BL2">
        <f>SUMIFS(T_TTAFCallOff[PCS],T_TTAFCallOff[Part Name],$A2,T_TTAFCallOff[WeekIndex],63)</f>
        <v/>
      </c>
      <c r="BM2">
        <f>SUMIFS(T_TTAFCallOff[PCS],T_TTAFCallOff[Part Name],$A2,T_TTAFCallOff[WeekIndex],64)</f>
        <v/>
      </c>
      <c r="BN2">
        <f>SUMIFS(T_TTAFCallOff[PCS],T_TTAFCallOff[Part Name],$A2,T_TTAFCallOff[WeekIndex],65)</f>
        <v/>
      </c>
      <c r="BO2">
        <f>SUMIFS(T_TTAFCallOff[PCS],T_TTAFCallOff[Part Name],$A2,T_TTAFCallOff[WeekIndex],66)</f>
        <v/>
      </c>
      <c r="BP2">
        <f>SUMIFS(T_TTAFCallOff[PCS],T_TTAFCallOff[Part Name],$A2,T_TTAFCallOff[WeekIndex],67)</f>
        <v/>
      </c>
      <c r="BQ2">
        <f>SUMIFS(T_TTAFCallOff[PCS],T_TTAFCallOff[Part Name],$A2,T_TTAFCallOff[WeekIndex],68)</f>
        <v/>
      </c>
      <c r="BR2">
        <f>SUMIFS(T_TTAFCallOff[PCS],T_TTAFCallOff[Part Name],$A2,T_TTAFCallOff[WeekIndex],69)</f>
        <v/>
      </c>
      <c r="BS2">
        <f>SUMIFS(T_TTAFCallOff[PCS],T_TTAFCallOff[Part Name],$A2,T_TTAFCallOff[WeekIndex],70)</f>
        <v/>
      </c>
      <c r="BT2">
        <f>SUMIFS(T_TTAFCallOff[PCS],T_TTAFCallOff[Part Name],$A2,T_TTAFCallOff[WeekIndex],71)</f>
        <v/>
      </c>
      <c r="BU2">
        <f>SUMIFS(T_TTAFCallOff[PCS],T_TTAFCallOff[Part Name],$A2,T_TTAFCallOff[WeekIndex],72)</f>
        <v/>
      </c>
      <c r="BV2">
        <f>SUMIFS(T_TTAFCallOff[PCS],T_TTAFCallOff[Part Name],$A2,T_TTAFCallOff[WeekIndex],73)</f>
        <v/>
      </c>
      <c r="BW2">
        <f>SUMIFS(T_TTAFCallOff[PCS],T_TTAFCallOff[Part Name],$A2,T_TTAFCallOff[WeekIndex],74)</f>
        <v/>
      </c>
      <c r="BX2">
        <f>SUMIFS(T_TTAFCallOff[PCS],T_TTAFCallOff[Part Name],$A2,T_TTAFCallOff[WeekIndex],75)</f>
        <v/>
      </c>
      <c r="BY2">
        <f>SUMIFS(T_TTAFCallOff[PCS],T_TTAFCallOff[Part Name],$A2,T_TTAFCallOff[WeekIndex],76)</f>
        <v/>
      </c>
      <c r="BZ2">
        <f>SUMIFS(T_TTAFCallOff[PCS],T_TTAFCallOff[Part Name],$A2,T_TTAFCallOff[WeekIndex],77)</f>
        <v/>
      </c>
      <c r="CA2">
        <f>SUMIFS(T_TTAFCallOff[PCS],T_TTAFCallOff[Part Name],$A2,T_TTAFCallOff[WeekIndex],78)</f>
        <v/>
      </c>
      <c r="CB2">
        <f>SUMIFS(T_TTAFCallOff[PCS],T_TTAFCallOff[Part Name],$A2,T_TTAFCallOff[WeekIndex],79)</f>
        <v/>
      </c>
      <c r="CC2">
        <f>SUMIFS(T_TTAFCallOff[PCS],T_TTAFCallOff[Part Name],$A2,T_TTAFCallOff[WeekIndex],80)</f>
        <v/>
      </c>
      <c r="CD2">
        <f>SUMIFS(T_TTAFCallOff[PCS],T_TTAFCallOff[Part Name],$A2,T_TTAFCallOff[WeekIndex],81)</f>
        <v/>
      </c>
      <c r="CE2">
        <f>SUMIFS(T_TTAFCallOff[PCS],T_TTAFCallOff[Part Name],$A2,T_TTAFCallOff[WeekIndex],82)</f>
        <v/>
      </c>
      <c r="CF2">
        <f>SUMIFS(T_TTAFCallOff[PCS],T_TTAFCallOff[Part Name],$A2,T_TTAFCallOff[WeekIndex],83)</f>
        <v/>
      </c>
      <c r="CG2">
        <f>SUMIFS(T_TTAFCallOff[PCS],T_TTAFCallOff[Part Name],$A2,T_TTAFCallOff[WeekIndex],84)</f>
        <v/>
      </c>
      <c r="CH2">
        <f>SUMIFS(T_TTAFCallOff[PCS],T_TTAFCallOff[Part Name],$A2,T_TTAFCallOff[WeekIndex],85)</f>
        <v/>
      </c>
      <c r="CI2">
        <f>SUMIFS(T_TTAFCallOff[PCS],T_TTAFCallOff[Part Name],$A2,T_TTAFCallOff[WeekIndex],86)</f>
        <v/>
      </c>
      <c r="CJ2">
        <f>SUMIFS(T_TTAFCallOff[PCS],T_TTAFCallOff[Part Name],$A2,T_TTAFCallOff[WeekIndex],87)</f>
        <v/>
      </c>
      <c r="CK2">
        <f>SUMIFS(T_TTAFCallOff[PCS],T_TTAFCallOff[Part Name],$A2,T_TTAFCallOff[WeekIndex],88)</f>
        <v/>
      </c>
      <c r="CL2">
        <f>SUMIFS(T_TTAFCallOff[PCS],T_TTAFCallOff[Part Name],$A2,T_TTAFCallOff[WeekIndex],89)</f>
        <v/>
      </c>
      <c r="CM2">
        <f>SUMIFS(T_TTAFCallOff[PCS],T_TTAFCallOff[Part Name],$A2,T_TTAFCallOff[WeekIndex],90)</f>
        <v/>
      </c>
      <c r="CN2">
        <f>SUMIFS(T_TTAFCallOff[PCS],T_TTAFCallOff[Part Name],$A2,T_TTAFCallOff[WeekIndex],91)</f>
        <v/>
      </c>
      <c r="CO2">
        <f>SUMIFS(T_TTAFCallOff[PCS],T_TTAFCallOff[Part Name],$A2,T_TTAFCallOff[WeekIndex],92)</f>
        <v/>
      </c>
      <c r="CP2">
        <f>SUMIFS(T_TTAFCallOff[PCS],T_TTAFCallOff[Part Name],$A2,T_TTAFCallOff[WeekIndex],93)</f>
        <v/>
      </c>
      <c r="CQ2">
        <f>SUMIFS(T_TTAFCallOff[PCS],T_TTAFCallOff[Part Name],$A2,T_TTAFCallOff[WeekIndex],94)</f>
        <v/>
      </c>
      <c r="CR2">
        <f>SUMIFS(T_TTAFCallOff[PCS],T_TTAFCallOff[Part Name],$A2,T_TTAFCallOff[WeekIndex],95)</f>
        <v/>
      </c>
      <c r="CS2">
        <f>SUMIFS(T_TTAFCallOff[PCS],T_TTAFCallOff[Part Name],$A2,T_TTAFCallOff[WeekIndex],96)</f>
        <v/>
      </c>
      <c r="CT2">
        <f>SUMIFS(T_TTAFCallOff[PCS],T_TTAFCallOff[Part Name],$A2,T_TTAFCallOff[WeekIndex],97)</f>
        <v/>
      </c>
      <c r="CU2">
        <f>SUMIFS(T_TTAFCallOff[PCS],T_TTAFCallOff[Part Name],$A2,T_TTAFCallOff[WeekIndex],98)</f>
        <v/>
      </c>
      <c r="CV2">
        <f>SUMIFS(T_TTAFCallOff[PCS],T_TTAFCallOff[Part Name],$A2,T_TTAFCallOff[WeekIndex],99)</f>
        <v/>
      </c>
      <c r="CW2">
        <f>SUMIFS(T_TTAFCallOff[PCS],T_TTAFCallOff[Part Name],$A2,T_TTAFCallOff[WeekIndex],100)</f>
        <v/>
      </c>
      <c r="CX2">
        <f>SUMIFS(T_TTAFCallOff[PCS],T_TTAFCallOff[Part Name],$A2,T_TTAFCallOff[WeekIndex],101)</f>
        <v/>
      </c>
      <c r="CY2">
        <f>SUMIFS(T_TTAFCallOff[PCS],T_TTAFCallOff[Part Name],$A2,T_TTAFCallOff[WeekIndex],102)</f>
        <v/>
      </c>
      <c r="CZ2">
        <f>SUMIFS(T_TTAFCallOff[PCS],T_TTAFCallOff[Part Name],$A2,T_TTAFCallOff[WeekIndex],103)</f>
        <v/>
      </c>
      <c r="DA2">
        <f>SUMIFS(T_TTAFCallOff[PCS],T_TTAFCallOff[Part Name],$A2,T_TTAFCallOff[WeekIndex],104)</f>
        <v/>
      </c>
    </row>
    <row r="3">
      <c r="A3" t="inlineStr">
        <is>
          <t>CHEM-1670</t>
        </is>
      </c>
      <c r="B3">
        <f>SUMIFS(T_TTAFCallOff[PCS],T_TTAFCallOff[Part Name],$A3,T_TTAFCallOff[WeekIndex],1)</f>
        <v/>
      </c>
      <c r="C3">
        <f>SUMIFS(T_TTAFCallOff[PCS],T_TTAFCallOff[Part Name],$A3,T_TTAFCallOff[WeekIndex],2)</f>
        <v/>
      </c>
      <c r="D3">
        <f>SUMIFS(T_TTAFCallOff[PCS],T_TTAFCallOff[Part Name],$A3,T_TTAFCallOff[WeekIndex],3)</f>
        <v/>
      </c>
      <c r="E3">
        <f>SUMIFS(T_TTAFCallOff[PCS],T_TTAFCallOff[Part Name],$A3,T_TTAFCallOff[WeekIndex],4)</f>
        <v/>
      </c>
      <c r="F3">
        <f>SUMIFS(T_TTAFCallOff[PCS],T_TTAFCallOff[Part Name],$A3,T_TTAFCallOff[WeekIndex],5)</f>
        <v/>
      </c>
      <c r="G3">
        <f>SUMIFS(T_TTAFCallOff[PCS],T_TTAFCallOff[Part Name],$A3,T_TTAFCallOff[WeekIndex],6)</f>
        <v/>
      </c>
      <c r="H3">
        <f>SUMIFS(T_TTAFCallOff[PCS],T_TTAFCallOff[Part Name],$A3,T_TTAFCallOff[WeekIndex],7)</f>
        <v/>
      </c>
      <c r="I3">
        <f>SUMIFS(T_TTAFCallOff[PCS],T_TTAFCallOff[Part Name],$A3,T_TTAFCallOff[WeekIndex],8)</f>
        <v/>
      </c>
      <c r="J3">
        <f>SUMIFS(T_TTAFCallOff[PCS],T_TTAFCallOff[Part Name],$A3,T_TTAFCallOff[WeekIndex],9)</f>
        <v/>
      </c>
      <c r="K3">
        <f>SUMIFS(T_TTAFCallOff[PCS],T_TTAFCallOff[Part Name],$A3,T_TTAFCallOff[WeekIndex],10)</f>
        <v/>
      </c>
      <c r="L3">
        <f>SUMIFS(T_TTAFCallOff[PCS],T_TTAFCallOff[Part Name],$A3,T_TTAFCallOff[WeekIndex],11)</f>
        <v/>
      </c>
      <c r="M3">
        <f>SUMIFS(T_TTAFCallOff[PCS],T_TTAFCallOff[Part Name],$A3,T_TTAFCallOff[WeekIndex],12)</f>
        <v/>
      </c>
      <c r="N3">
        <f>SUMIFS(T_TTAFCallOff[PCS],T_TTAFCallOff[Part Name],$A3,T_TTAFCallOff[WeekIndex],13)</f>
        <v/>
      </c>
      <c r="O3">
        <f>SUMIFS(T_TTAFCallOff[PCS],T_TTAFCallOff[Part Name],$A3,T_TTAFCallOff[WeekIndex],14)</f>
        <v/>
      </c>
      <c r="P3">
        <f>SUMIFS(T_TTAFCallOff[PCS],T_TTAFCallOff[Part Name],$A3,T_TTAFCallOff[WeekIndex],15)</f>
        <v/>
      </c>
      <c r="Q3">
        <f>SUMIFS(T_TTAFCallOff[PCS],T_TTAFCallOff[Part Name],$A3,T_TTAFCallOff[WeekIndex],16)</f>
        <v/>
      </c>
      <c r="R3">
        <f>SUMIFS(T_TTAFCallOff[PCS],T_TTAFCallOff[Part Name],$A3,T_TTAFCallOff[WeekIndex],17)</f>
        <v/>
      </c>
      <c r="S3">
        <f>SUMIFS(T_TTAFCallOff[PCS],T_TTAFCallOff[Part Name],$A3,T_TTAFCallOff[WeekIndex],18)</f>
        <v/>
      </c>
      <c r="T3">
        <f>SUMIFS(T_TTAFCallOff[PCS],T_TTAFCallOff[Part Name],$A3,T_TTAFCallOff[WeekIndex],19)</f>
        <v/>
      </c>
      <c r="U3">
        <f>SUMIFS(T_TTAFCallOff[PCS],T_TTAFCallOff[Part Name],$A3,T_TTAFCallOff[WeekIndex],20)</f>
        <v/>
      </c>
      <c r="V3">
        <f>SUMIFS(T_TTAFCallOff[PCS],T_TTAFCallOff[Part Name],$A3,T_TTAFCallOff[WeekIndex],21)</f>
        <v/>
      </c>
      <c r="W3">
        <f>SUMIFS(T_TTAFCallOff[PCS],T_TTAFCallOff[Part Name],$A3,T_TTAFCallOff[WeekIndex],22)</f>
        <v/>
      </c>
      <c r="X3">
        <f>SUMIFS(T_TTAFCallOff[PCS],T_TTAFCallOff[Part Name],$A3,T_TTAFCallOff[WeekIndex],23)</f>
        <v/>
      </c>
      <c r="Y3">
        <f>SUMIFS(T_TTAFCallOff[PCS],T_TTAFCallOff[Part Name],$A3,T_TTAFCallOff[WeekIndex],24)</f>
        <v/>
      </c>
      <c r="Z3">
        <f>SUMIFS(T_TTAFCallOff[PCS],T_TTAFCallOff[Part Name],$A3,T_TTAFCallOff[WeekIndex],25)</f>
        <v/>
      </c>
      <c r="AA3">
        <f>SUMIFS(T_TTAFCallOff[PCS],T_TTAFCallOff[Part Name],$A3,T_TTAFCallOff[WeekIndex],26)</f>
        <v/>
      </c>
      <c r="AB3">
        <f>SUMIFS(T_TTAFCallOff[PCS],T_TTAFCallOff[Part Name],$A3,T_TTAFCallOff[WeekIndex],27)</f>
        <v/>
      </c>
      <c r="AC3">
        <f>SUMIFS(T_TTAFCallOff[PCS],T_TTAFCallOff[Part Name],$A3,T_TTAFCallOff[WeekIndex],28)</f>
        <v/>
      </c>
      <c r="AD3">
        <f>SUMIFS(T_TTAFCallOff[PCS],T_TTAFCallOff[Part Name],$A3,T_TTAFCallOff[WeekIndex],29)</f>
        <v/>
      </c>
      <c r="AE3">
        <f>SUMIFS(T_TTAFCallOff[PCS],T_TTAFCallOff[Part Name],$A3,T_TTAFCallOff[WeekIndex],30)</f>
        <v/>
      </c>
      <c r="AF3">
        <f>SUMIFS(T_TTAFCallOff[PCS],T_TTAFCallOff[Part Name],$A3,T_TTAFCallOff[WeekIndex],31)</f>
        <v/>
      </c>
      <c r="AG3">
        <f>SUMIFS(T_TTAFCallOff[PCS],T_TTAFCallOff[Part Name],$A3,T_TTAFCallOff[WeekIndex],32)</f>
        <v/>
      </c>
      <c r="AH3">
        <f>SUMIFS(T_TTAFCallOff[PCS],T_TTAFCallOff[Part Name],$A3,T_TTAFCallOff[WeekIndex],33)</f>
        <v/>
      </c>
      <c r="AI3">
        <f>SUMIFS(T_TTAFCallOff[PCS],T_TTAFCallOff[Part Name],$A3,T_TTAFCallOff[WeekIndex],34)</f>
        <v/>
      </c>
      <c r="AJ3">
        <f>SUMIFS(T_TTAFCallOff[PCS],T_TTAFCallOff[Part Name],$A3,T_TTAFCallOff[WeekIndex],35)</f>
        <v/>
      </c>
      <c r="AK3">
        <f>SUMIFS(T_TTAFCallOff[PCS],T_TTAFCallOff[Part Name],$A3,T_TTAFCallOff[WeekIndex],36)</f>
        <v/>
      </c>
      <c r="AL3">
        <f>SUMIFS(T_TTAFCallOff[PCS],T_TTAFCallOff[Part Name],$A3,T_TTAFCallOff[WeekIndex],37)</f>
        <v/>
      </c>
      <c r="AM3">
        <f>SUMIFS(T_TTAFCallOff[PCS],T_TTAFCallOff[Part Name],$A3,T_TTAFCallOff[WeekIndex],38)</f>
        <v/>
      </c>
      <c r="AN3">
        <f>SUMIFS(T_TTAFCallOff[PCS],T_TTAFCallOff[Part Name],$A3,T_TTAFCallOff[WeekIndex],39)</f>
        <v/>
      </c>
      <c r="AO3">
        <f>SUMIFS(T_TTAFCallOff[PCS],T_TTAFCallOff[Part Name],$A3,T_TTAFCallOff[WeekIndex],40)</f>
        <v/>
      </c>
      <c r="AP3">
        <f>SUMIFS(T_TTAFCallOff[PCS],T_TTAFCallOff[Part Name],$A3,T_TTAFCallOff[WeekIndex],41)</f>
        <v/>
      </c>
      <c r="AQ3">
        <f>SUMIFS(T_TTAFCallOff[PCS],T_TTAFCallOff[Part Name],$A3,T_TTAFCallOff[WeekIndex],42)</f>
        <v/>
      </c>
      <c r="AR3">
        <f>SUMIFS(T_TTAFCallOff[PCS],T_TTAFCallOff[Part Name],$A3,T_TTAFCallOff[WeekIndex],43)</f>
        <v/>
      </c>
      <c r="AS3">
        <f>SUMIFS(T_TTAFCallOff[PCS],T_TTAFCallOff[Part Name],$A3,T_TTAFCallOff[WeekIndex],44)</f>
        <v/>
      </c>
      <c r="AT3">
        <f>SUMIFS(T_TTAFCallOff[PCS],T_TTAFCallOff[Part Name],$A3,T_TTAFCallOff[WeekIndex],45)</f>
        <v/>
      </c>
      <c r="AU3">
        <f>SUMIFS(T_TTAFCallOff[PCS],T_TTAFCallOff[Part Name],$A3,T_TTAFCallOff[WeekIndex],46)</f>
        <v/>
      </c>
      <c r="AV3">
        <f>SUMIFS(T_TTAFCallOff[PCS],T_TTAFCallOff[Part Name],$A3,T_TTAFCallOff[WeekIndex],47)</f>
        <v/>
      </c>
      <c r="AW3">
        <f>SUMIFS(T_TTAFCallOff[PCS],T_TTAFCallOff[Part Name],$A3,T_TTAFCallOff[WeekIndex],48)</f>
        <v/>
      </c>
      <c r="AX3">
        <f>SUMIFS(T_TTAFCallOff[PCS],T_TTAFCallOff[Part Name],$A3,T_TTAFCallOff[WeekIndex],49)</f>
        <v/>
      </c>
      <c r="AY3">
        <f>SUMIFS(T_TTAFCallOff[PCS],T_TTAFCallOff[Part Name],$A3,T_TTAFCallOff[WeekIndex],50)</f>
        <v/>
      </c>
      <c r="AZ3">
        <f>SUMIFS(T_TTAFCallOff[PCS],T_TTAFCallOff[Part Name],$A3,T_TTAFCallOff[WeekIndex],51)</f>
        <v/>
      </c>
      <c r="BA3">
        <f>SUMIFS(T_TTAFCallOff[PCS],T_TTAFCallOff[Part Name],$A3,T_TTAFCallOff[WeekIndex],52)</f>
        <v/>
      </c>
      <c r="BB3">
        <f>SUMIFS(T_TTAFCallOff[PCS],T_TTAFCallOff[Part Name],$A3,T_TTAFCallOff[WeekIndex],53)</f>
        <v/>
      </c>
      <c r="BC3">
        <f>SUMIFS(T_TTAFCallOff[PCS],T_TTAFCallOff[Part Name],$A3,T_TTAFCallOff[WeekIndex],54)</f>
        <v/>
      </c>
      <c r="BD3">
        <f>SUMIFS(T_TTAFCallOff[PCS],T_TTAFCallOff[Part Name],$A3,T_TTAFCallOff[WeekIndex],55)</f>
        <v/>
      </c>
      <c r="BE3">
        <f>SUMIFS(T_TTAFCallOff[PCS],T_TTAFCallOff[Part Name],$A3,T_TTAFCallOff[WeekIndex],56)</f>
        <v/>
      </c>
      <c r="BF3">
        <f>SUMIFS(T_TTAFCallOff[PCS],T_TTAFCallOff[Part Name],$A3,T_TTAFCallOff[WeekIndex],57)</f>
        <v/>
      </c>
      <c r="BG3">
        <f>SUMIFS(T_TTAFCallOff[PCS],T_TTAFCallOff[Part Name],$A3,T_TTAFCallOff[WeekIndex],58)</f>
        <v/>
      </c>
      <c r="BH3">
        <f>SUMIFS(T_TTAFCallOff[PCS],T_TTAFCallOff[Part Name],$A3,T_TTAFCallOff[WeekIndex],59)</f>
        <v/>
      </c>
      <c r="BI3">
        <f>SUMIFS(T_TTAFCallOff[PCS],T_TTAFCallOff[Part Name],$A3,T_TTAFCallOff[WeekIndex],60)</f>
        <v/>
      </c>
      <c r="BJ3">
        <f>SUMIFS(T_TTAFCallOff[PCS],T_TTAFCallOff[Part Name],$A3,T_TTAFCallOff[WeekIndex],61)</f>
        <v/>
      </c>
      <c r="BK3">
        <f>SUMIFS(T_TTAFCallOff[PCS],T_TTAFCallOff[Part Name],$A3,T_TTAFCallOff[WeekIndex],62)</f>
        <v/>
      </c>
      <c r="BL3">
        <f>SUMIFS(T_TTAFCallOff[PCS],T_TTAFCallOff[Part Name],$A3,T_TTAFCallOff[WeekIndex],63)</f>
        <v/>
      </c>
      <c r="BM3">
        <f>SUMIFS(T_TTAFCallOff[PCS],T_TTAFCallOff[Part Name],$A3,T_TTAFCallOff[WeekIndex],64)</f>
        <v/>
      </c>
      <c r="BN3">
        <f>SUMIFS(T_TTAFCallOff[PCS],T_TTAFCallOff[Part Name],$A3,T_TTAFCallOff[WeekIndex],65)</f>
        <v/>
      </c>
      <c r="BO3">
        <f>SUMIFS(T_TTAFCallOff[PCS],T_TTAFCallOff[Part Name],$A3,T_TTAFCallOff[WeekIndex],66)</f>
        <v/>
      </c>
      <c r="BP3">
        <f>SUMIFS(T_TTAFCallOff[PCS],T_TTAFCallOff[Part Name],$A3,T_TTAFCallOff[WeekIndex],67)</f>
        <v/>
      </c>
      <c r="BQ3">
        <f>SUMIFS(T_TTAFCallOff[PCS],T_TTAFCallOff[Part Name],$A3,T_TTAFCallOff[WeekIndex],68)</f>
        <v/>
      </c>
      <c r="BR3">
        <f>SUMIFS(T_TTAFCallOff[PCS],T_TTAFCallOff[Part Name],$A3,T_TTAFCallOff[WeekIndex],69)</f>
        <v/>
      </c>
      <c r="BS3">
        <f>SUMIFS(T_TTAFCallOff[PCS],T_TTAFCallOff[Part Name],$A3,T_TTAFCallOff[WeekIndex],70)</f>
        <v/>
      </c>
      <c r="BT3">
        <f>SUMIFS(T_TTAFCallOff[PCS],T_TTAFCallOff[Part Name],$A3,T_TTAFCallOff[WeekIndex],71)</f>
        <v/>
      </c>
      <c r="BU3">
        <f>SUMIFS(T_TTAFCallOff[PCS],T_TTAFCallOff[Part Name],$A3,T_TTAFCallOff[WeekIndex],72)</f>
        <v/>
      </c>
      <c r="BV3">
        <f>SUMIFS(T_TTAFCallOff[PCS],T_TTAFCallOff[Part Name],$A3,T_TTAFCallOff[WeekIndex],73)</f>
        <v/>
      </c>
      <c r="BW3">
        <f>SUMIFS(T_TTAFCallOff[PCS],T_TTAFCallOff[Part Name],$A3,T_TTAFCallOff[WeekIndex],74)</f>
        <v/>
      </c>
      <c r="BX3">
        <f>SUMIFS(T_TTAFCallOff[PCS],T_TTAFCallOff[Part Name],$A3,T_TTAFCallOff[WeekIndex],75)</f>
        <v/>
      </c>
      <c r="BY3">
        <f>SUMIFS(T_TTAFCallOff[PCS],T_TTAFCallOff[Part Name],$A3,T_TTAFCallOff[WeekIndex],76)</f>
        <v/>
      </c>
      <c r="BZ3">
        <f>SUMIFS(T_TTAFCallOff[PCS],T_TTAFCallOff[Part Name],$A3,T_TTAFCallOff[WeekIndex],77)</f>
        <v/>
      </c>
      <c r="CA3">
        <f>SUMIFS(T_TTAFCallOff[PCS],T_TTAFCallOff[Part Name],$A3,T_TTAFCallOff[WeekIndex],78)</f>
        <v/>
      </c>
      <c r="CB3">
        <f>SUMIFS(T_TTAFCallOff[PCS],T_TTAFCallOff[Part Name],$A3,T_TTAFCallOff[WeekIndex],79)</f>
        <v/>
      </c>
      <c r="CC3">
        <f>SUMIFS(T_TTAFCallOff[PCS],T_TTAFCallOff[Part Name],$A3,T_TTAFCallOff[WeekIndex],80)</f>
        <v/>
      </c>
      <c r="CD3">
        <f>SUMIFS(T_TTAFCallOff[PCS],T_TTAFCallOff[Part Name],$A3,T_TTAFCallOff[WeekIndex],81)</f>
        <v/>
      </c>
      <c r="CE3">
        <f>SUMIFS(T_TTAFCallOff[PCS],T_TTAFCallOff[Part Name],$A3,T_TTAFCallOff[WeekIndex],82)</f>
        <v/>
      </c>
      <c r="CF3">
        <f>SUMIFS(T_TTAFCallOff[PCS],T_TTAFCallOff[Part Name],$A3,T_TTAFCallOff[WeekIndex],83)</f>
        <v/>
      </c>
      <c r="CG3">
        <f>SUMIFS(T_TTAFCallOff[PCS],T_TTAFCallOff[Part Name],$A3,T_TTAFCallOff[WeekIndex],84)</f>
        <v/>
      </c>
      <c r="CH3">
        <f>SUMIFS(T_TTAFCallOff[PCS],T_TTAFCallOff[Part Name],$A3,T_TTAFCallOff[WeekIndex],85)</f>
        <v/>
      </c>
      <c r="CI3">
        <f>SUMIFS(T_TTAFCallOff[PCS],T_TTAFCallOff[Part Name],$A3,T_TTAFCallOff[WeekIndex],86)</f>
        <v/>
      </c>
      <c r="CJ3">
        <f>SUMIFS(T_TTAFCallOff[PCS],T_TTAFCallOff[Part Name],$A3,T_TTAFCallOff[WeekIndex],87)</f>
        <v/>
      </c>
      <c r="CK3">
        <f>SUMIFS(T_TTAFCallOff[PCS],T_TTAFCallOff[Part Name],$A3,T_TTAFCallOff[WeekIndex],88)</f>
        <v/>
      </c>
      <c r="CL3">
        <f>SUMIFS(T_TTAFCallOff[PCS],T_TTAFCallOff[Part Name],$A3,T_TTAFCallOff[WeekIndex],89)</f>
        <v/>
      </c>
      <c r="CM3">
        <f>SUMIFS(T_TTAFCallOff[PCS],T_TTAFCallOff[Part Name],$A3,T_TTAFCallOff[WeekIndex],90)</f>
        <v/>
      </c>
      <c r="CN3">
        <f>SUMIFS(T_TTAFCallOff[PCS],T_TTAFCallOff[Part Name],$A3,T_TTAFCallOff[WeekIndex],91)</f>
        <v/>
      </c>
      <c r="CO3">
        <f>SUMIFS(T_TTAFCallOff[PCS],T_TTAFCallOff[Part Name],$A3,T_TTAFCallOff[WeekIndex],92)</f>
        <v/>
      </c>
      <c r="CP3">
        <f>SUMIFS(T_TTAFCallOff[PCS],T_TTAFCallOff[Part Name],$A3,T_TTAFCallOff[WeekIndex],93)</f>
        <v/>
      </c>
      <c r="CQ3">
        <f>SUMIFS(T_TTAFCallOff[PCS],T_TTAFCallOff[Part Name],$A3,T_TTAFCallOff[WeekIndex],94)</f>
        <v/>
      </c>
      <c r="CR3">
        <f>SUMIFS(T_TTAFCallOff[PCS],T_TTAFCallOff[Part Name],$A3,T_TTAFCallOff[WeekIndex],95)</f>
        <v/>
      </c>
      <c r="CS3">
        <f>SUMIFS(T_TTAFCallOff[PCS],T_TTAFCallOff[Part Name],$A3,T_TTAFCallOff[WeekIndex],96)</f>
        <v/>
      </c>
      <c r="CT3">
        <f>SUMIFS(T_TTAFCallOff[PCS],T_TTAFCallOff[Part Name],$A3,T_TTAFCallOff[WeekIndex],97)</f>
        <v/>
      </c>
      <c r="CU3">
        <f>SUMIFS(T_TTAFCallOff[PCS],T_TTAFCallOff[Part Name],$A3,T_TTAFCallOff[WeekIndex],98)</f>
        <v/>
      </c>
      <c r="CV3">
        <f>SUMIFS(T_TTAFCallOff[PCS],T_TTAFCallOff[Part Name],$A3,T_TTAFCallOff[WeekIndex],99)</f>
        <v/>
      </c>
      <c r="CW3">
        <f>SUMIFS(T_TTAFCallOff[PCS],T_TTAFCallOff[Part Name],$A3,T_TTAFCallOff[WeekIndex],100)</f>
        <v/>
      </c>
      <c r="CX3">
        <f>SUMIFS(T_TTAFCallOff[PCS],T_TTAFCallOff[Part Name],$A3,T_TTAFCallOff[WeekIndex],101)</f>
        <v/>
      </c>
      <c r="CY3">
        <f>SUMIFS(T_TTAFCallOff[PCS],T_TTAFCallOff[Part Name],$A3,T_TTAFCallOff[WeekIndex],102)</f>
        <v/>
      </c>
      <c r="CZ3">
        <f>SUMIFS(T_TTAFCallOff[PCS],T_TTAFCallOff[Part Name],$A3,T_TTAFCallOff[WeekIndex],103)</f>
        <v/>
      </c>
      <c r="DA3">
        <f>SUMIFS(T_TTAFCallOff[PCS],T_TTAFCallOff[Part Name],$A3,T_TTAFCallOff[WeekIndex],104)</f>
        <v/>
      </c>
    </row>
    <row r="4">
      <c r="A4" t="inlineStr">
        <is>
          <t>CHEM-1700</t>
        </is>
      </c>
      <c r="B4">
        <f>SUMIFS(T_TTAFCallOff[PCS],T_TTAFCallOff[Part Name],$A4,T_TTAFCallOff[WeekIndex],1)</f>
        <v/>
      </c>
      <c r="C4">
        <f>SUMIFS(T_TTAFCallOff[PCS],T_TTAFCallOff[Part Name],$A4,T_TTAFCallOff[WeekIndex],2)</f>
        <v/>
      </c>
      <c r="D4">
        <f>SUMIFS(T_TTAFCallOff[PCS],T_TTAFCallOff[Part Name],$A4,T_TTAFCallOff[WeekIndex],3)</f>
        <v/>
      </c>
      <c r="E4">
        <f>SUMIFS(T_TTAFCallOff[PCS],T_TTAFCallOff[Part Name],$A4,T_TTAFCallOff[WeekIndex],4)</f>
        <v/>
      </c>
      <c r="F4">
        <f>SUMIFS(T_TTAFCallOff[PCS],T_TTAFCallOff[Part Name],$A4,T_TTAFCallOff[WeekIndex],5)</f>
        <v/>
      </c>
      <c r="G4">
        <f>SUMIFS(T_TTAFCallOff[PCS],T_TTAFCallOff[Part Name],$A4,T_TTAFCallOff[WeekIndex],6)</f>
        <v/>
      </c>
      <c r="H4">
        <f>SUMIFS(T_TTAFCallOff[PCS],T_TTAFCallOff[Part Name],$A4,T_TTAFCallOff[WeekIndex],7)</f>
        <v/>
      </c>
      <c r="I4">
        <f>SUMIFS(T_TTAFCallOff[PCS],T_TTAFCallOff[Part Name],$A4,T_TTAFCallOff[WeekIndex],8)</f>
        <v/>
      </c>
      <c r="J4">
        <f>SUMIFS(T_TTAFCallOff[PCS],T_TTAFCallOff[Part Name],$A4,T_TTAFCallOff[WeekIndex],9)</f>
        <v/>
      </c>
      <c r="K4">
        <f>SUMIFS(T_TTAFCallOff[PCS],T_TTAFCallOff[Part Name],$A4,T_TTAFCallOff[WeekIndex],10)</f>
        <v/>
      </c>
      <c r="L4">
        <f>SUMIFS(T_TTAFCallOff[PCS],T_TTAFCallOff[Part Name],$A4,T_TTAFCallOff[WeekIndex],11)</f>
        <v/>
      </c>
      <c r="M4">
        <f>SUMIFS(T_TTAFCallOff[PCS],T_TTAFCallOff[Part Name],$A4,T_TTAFCallOff[WeekIndex],12)</f>
        <v/>
      </c>
      <c r="N4">
        <f>SUMIFS(T_TTAFCallOff[PCS],T_TTAFCallOff[Part Name],$A4,T_TTAFCallOff[WeekIndex],13)</f>
        <v/>
      </c>
      <c r="O4">
        <f>SUMIFS(T_TTAFCallOff[PCS],T_TTAFCallOff[Part Name],$A4,T_TTAFCallOff[WeekIndex],14)</f>
        <v/>
      </c>
      <c r="P4">
        <f>SUMIFS(T_TTAFCallOff[PCS],T_TTAFCallOff[Part Name],$A4,T_TTAFCallOff[WeekIndex],15)</f>
        <v/>
      </c>
      <c r="Q4">
        <f>SUMIFS(T_TTAFCallOff[PCS],T_TTAFCallOff[Part Name],$A4,T_TTAFCallOff[WeekIndex],16)</f>
        <v/>
      </c>
      <c r="R4">
        <f>SUMIFS(T_TTAFCallOff[PCS],T_TTAFCallOff[Part Name],$A4,T_TTAFCallOff[WeekIndex],17)</f>
        <v/>
      </c>
      <c r="S4">
        <f>SUMIFS(T_TTAFCallOff[PCS],T_TTAFCallOff[Part Name],$A4,T_TTAFCallOff[WeekIndex],18)</f>
        <v/>
      </c>
      <c r="T4">
        <f>SUMIFS(T_TTAFCallOff[PCS],T_TTAFCallOff[Part Name],$A4,T_TTAFCallOff[WeekIndex],19)</f>
        <v/>
      </c>
      <c r="U4">
        <f>SUMIFS(T_TTAFCallOff[PCS],T_TTAFCallOff[Part Name],$A4,T_TTAFCallOff[WeekIndex],20)</f>
        <v/>
      </c>
      <c r="V4">
        <f>SUMIFS(T_TTAFCallOff[PCS],T_TTAFCallOff[Part Name],$A4,T_TTAFCallOff[WeekIndex],21)</f>
        <v/>
      </c>
      <c r="W4">
        <f>SUMIFS(T_TTAFCallOff[PCS],T_TTAFCallOff[Part Name],$A4,T_TTAFCallOff[WeekIndex],22)</f>
        <v/>
      </c>
      <c r="X4">
        <f>SUMIFS(T_TTAFCallOff[PCS],T_TTAFCallOff[Part Name],$A4,T_TTAFCallOff[WeekIndex],23)</f>
        <v/>
      </c>
      <c r="Y4">
        <f>SUMIFS(T_TTAFCallOff[PCS],T_TTAFCallOff[Part Name],$A4,T_TTAFCallOff[WeekIndex],24)</f>
        <v/>
      </c>
      <c r="Z4">
        <f>SUMIFS(T_TTAFCallOff[PCS],T_TTAFCallOff[Part Name],$A4,T_TTAFCallOff[WeekIndex],25)</f>
        <v/>
      </c>
      <c r="AA4">
        <f>SUMIFS(T_TTAFCallOff[PCS],T_TTAFCallOff[Part Name],$A4,T_TTAFCallOff[WeekIndex],26)</f>
        <v/>
      </c>
      <c r="AB4">
        <f>SUMIFS(T_TTAFCallOff[PCS],T_TTAFCallOff[Part Name],$A4,T_TTAFCallOff[WeekIndex],27)</f>
        <v/>
      </c>
      <c r="AC4">
        <f>SUMIFS(T_TTAFCallOff[PCS],T_TTAFCallOff[Part Name],$A4,T_TTAFCallOff[WeekIndex],28)</f>
        <v/>
      </c>
      <c r="AD4">
        <f>SUMIFS(T_TTAFCallOff[PCS],T_TTAFCallOff[Part Name],$A4,T_TTAFCallOff[WeekIndex],29)</f>
        <v/>
      </c>
      <c r="AE4">
        <f>SUMIFS(T_TTAFCallOff[PCS],T_TTAFCallOff[Part Name],$A4,T_TTAFCallOff[WeekIndex],30)</f>
        <v/>
      </c>
      <c r="AF4">
        <f>SUMIFS(T_TTAFCallOff[PCS],T_TTAFCallOff[Part Name],$A4,T_TTAFCallOff[WeekIndex],31)</f>
        <v/>
      </c>
      <c r="AG4">
        <f>SUMIFS(T_TTAFCallOff[PCS],T_TTAFCallOff[Part Name],$A4,T_TTAFCallOff[WeekIndex],32)</f>
        <v/>
      </c>
      <c r="AH4">
        <f>SUMIFS(T_TTAFCallOff[PCS],T_TTAFCallOff[Part Name],$A4,T_TTAFCallOff[WeekIndex],33)</f>
        <v/>
      </c>
      <c r="AI4">
        <f>SUMIFS(T_TTAFCallOff[PCS],T_TTAFCallOff[Part Name],$A4,T_TTAFCallOff[WeekIndex],34)</f>
        <v/>
      </c>
      <c r="AJ4">
        <f>SUMIFS(T_TTAFCallOff[PCS],T_TTAFCallOff[Part Name],$A4,T_TTAFCallOff[WeekIndex],35)</f>
        <v/>
      </c>
      <c r="AK4">
        <f>SUMIFS(T_TTAFCallOff[PCS],T_TTAFCallOff[Part Name],$A4,T_TTAFCallOff[WeekIndex],36)</f>
        <v/>
      </c>
      <c r="AL4">
        <f>SUMIFS(T_TTAFCallOff[PCS],T_TTAFCallOff[Part Name],$A4,T_TTAFCallOff[WeekIndex],37)</f>
        <v/>
      </c>
      <c r="AM4">
        <f>SUMIFS(T_TTAFCallOff[PCS],T_TTAFCallOff[Part Name],$A4,T_TTAFCallOff[WeekIndex],38)</f>
        <v/>
      </c>
      <c r="AN4">
        <f>SUMIFS(T_TTAFCallOff[PCS],T_TTAFCallOff[Part Name],$A4,T_TTAFCallOff[WeekIndex],39)</f>
        <v/>
      </c>
      <c r="AO4">
        <f>SUMIFS(T_TTAFCallOff[PCS],T_TTAFCallOff[Part Name],$A4,T_TTAFCallOff[WeekIndex],40)</f>
        <v/>
      </c>
      <c r="AP4">
        <f>SUMIFS(T_TTAFCallOff[PCS],T_TTAFCallOff[Part Name],$A4,T_TTAFCallOff[WeekIndex],41)</f>
        <v/>
      </c>
      <c r="AQ4">
        <f>SUMIFS(T_TTAFCallOff[PCS],T_TTAFCallOff[Part Name],$A4,T_TTAFCallOff[WeekIndex],42)</f>
        <v/>
      </c>
      <c r="AR4">
        <f>SUMIFS(T_TTAFCallOff[PCS],T_TTAFCallOff[Part Name],$A4,T_TTAFCallOff[WeekIndex],43)</f>
        <v/>
      </c>
      <c r="AS4">
        <f>SUMIFS(T_TTAFCallOff[PCS],T_TTAFCallOff[Part Name],$A4,T_TTAFCallOff[WeekIndex],44)</f>
        <v/>
      </c>
      <c r="AT4">
        <f>SUMIFS(T_TTAFCallOff[PCS],T_TTAFCallOff[Part Name],$A4,T_TTAFCallOff[WeekIndex],45)</f>
        <v/>
      </c>
      <c r="AU4">
        <f>SUMIFS(T_TTAFCallOff[PCS],T_TTAFCallOff[Part Name],$A4,T_TTAFCallOff[WeekIndex],46)</f>
        <v/>
      </c>
      <c r="AV4">
        <f>SUMIFS(T_TTAFCallOff[PCS],T_TTAFCallOff[Part Name],$A4,T_TTAFCallOff[WeekIndex],47)</f>
        <v/>
      </c>
      <c r="AW4">
        <f>SUMIFS(T_TTAFCallOff[PCS],T_TTAFCallOff[Part Name],$A4,T_TTAFCallOff[WeekIndex],48)</f>
        <v/>
      </c>
      <c r="AX4">
        <f>SUMIFS(T_TTAFCallOff[PCS],T_TTAFCallOff[Part Name],$A4,T_TTAFCallOff[WeekIndex],49)</f>
        <v/>
      </c>
      <c r="AY4">
        <f>SUMIFS(T_TTAFCallOff[PCS],T_TTAFCallOff[Part Name],$A4,T_TTAFCallOff[WeekIndex],50)</f>
        <v/>
      </c>
      <c r="AZ4">
        <f>SUMIFS(T_TTAFCallOff[PCS],T_TTAFCallOff[Part Name],$A4,T_TTAFCallOff[WeekIndex],51)</f>
        <v/>
      </c>
      <c r="BA4">
        <f>SUMIFS(T_TTAFCallOff[PCS],T_TTAFCallOff[Part Name],$A4,T_TTAFCallOff[WeekIndex],52)</f>
        <v/>
      </c>
      <c r="BB4">
        <f>SUMIFS(T_TTAFCallOff[PCS],T_TTAFCallOff[Part Name],$A4,T_TTAFCallOff[WeekIndex],53)</f>
        <v/>
      </c>
      <c r="BC4">
        <f>SUMIFS(T_TTAFCallOff[PCS],T_TTAFCallOff[Part Name],$A4,T_TTAFCallOff[WeekIndex],54)</f>
        <v/>
      </c>
      <c r="BD4">
        <f>SUMIFS(T_TTAFCallOff[PCS],T_TTAFCallOff[Part Name],$A4,T_TTAFCallOff[WeekIndex],55)</f>
        <v/>
      </c>
      <c r="BE4">
        <f>SUMIFS(T_TTAFCallOff[PCS],T_TTAFCallOff[Part Name],$A4,T_TTAFCallOff[WeekIndex],56)</f>
        <v/>
      </c>
      <c r="BF4">
        <f>SUMIFS(T_TTAFCallOff[PCS],T_TTAFCallOff[Part Name],$A4,T_TTAFCallOff[WeekIndex],57)</f>
        <v/>
      </c>
      <c r="BG4">
        <f>SUMIFS(T_TTAFCallOff[PCS],T_TTAFCallOff[Part Name],$A4,T_TTAFCallOff[WeekIndex],58)</f>
        <v/>
      </c>
      <c r="BH4">
        <f>SUMIFS(T_TTAFCallOff[PCS],T_TTAFCallOff[Part Name],$A4,T_TTAFCallOff[WeekIndex],59)</f>
        <v/>
      </c>
      <c r="BI4">
        <f>SUMIFS(T_TTAFCallOff[PCS],T_TTAFCallOff[Part Name],$A4,T_TTAFCallOff[WeekIndex],60)</f>
        <v/>
      </c>
      <c r="BJ4">
        <f>SUMIFS(T_TTAFCallOff[PCS],T_TTAFCallOff[Part Name],$A4,T_TTAFCallOff[WeekIndex],61)</f>
        <v/>
      </c>
      <c r="BK4">
        <f>SUMIFS(T_TTAFCallOff[PCS],T_TTAFCallOff[Part Name],$A4,T_TTAFCallOff[WeekIndex],62)</f>
        <v/>
      </c>
      <c r="BL4">
        <f>SUMIFS(T_TTAFCallOff[PCS],T_TTAFCallOff[Part Name],$A4,T_TTAFCallOff[WeekIndex],63)</f>
        <v/>
      </c>
      <c r="BM4">
        <f>SUMIFS(T_TTAFCallOff[PCS],T_TTAFCallOff[Part Name],$A4,T_TTAFCallOff[WeekIndex],64)</f>
        <v/>
      </c>
      <c r="BN4">
        <f>SUMIFS(T_TTAFCallOff[PCS],T_TTAFCallOff[Part Name],$A4,T_TTAFCallOff[WeekIndex],65)</f>
        <v/>
      </c>
      <c r="BO4">
        <f>SUMIFS(T_TTAFCallOff[PCS],T_TTAFCallOff[Part Name],$A4,T_TTAFCallOff[WeekIndex],66)</f>
        <v/>
      </c>
      <c r="BP4">
        <f>SUMIFS(T_TTAFCallOff[PCS],T_TTAFCallOff[Part Name],$A4,T_TTAFCallOff[WeekIndex],67)</f>
        <v/>
      </c>
      <c r="BQ4">
        <f>SUMIFS(T_TTAFCallOff[PCS],T_TTAFCallOff[Part Name],$A4,T_TTAFCallOff[WeekIndex],68)</f>
        <v/>
      </c>
      <c r="BR4">
        <f>SUMIFS(T_TTAFCallOff[PCS],T_TTAFCallOff[Part Name],$A4,T_TTAFCallOff[WeekIndex],69)</f>
        <v/>
      </c>
      <c r="BS4">
        <f>SUMIFS(T_TTAFCallOff[PCS],T_TTAFCallOff[Part Name],$A4,T_TTAFCallOff[WeekIndex],70)</f>
        <v/>
      </c>
      <c r="BT4">
        <f>SUMIFS(T_TTAFCallOff[PCS],T_TTAFCallOff[Part Name],$A4,T_TTAFCallOff[WeekIndex],71)</f>
        <v/>
      </c>
      <c r="BU4">
        <f>SUMIFS(T_TTAFCallOff[PCS],T_TTAFCallOff[Part Name],$A4,T_TTAFCallOff[WeekIndex],72)</f>
        <v/>
      </c>
      <c r="BV4">
        <f>SUMIFS(T_TTAFCallOff[PCS],T_TTAFCallOff[Part Name],$A4,T_TTAFCallOff[WeekIndex],73)</f>
        <v/>
      </c>
      <c r="BW4">
        <f>SUMIFS(T_TTAFCallOff[PCS],T_TTAFCallOff[Part Name],$A4,T_TTAFCallOff[WeekIndex],74)</f>
        <v/>
      </c>
      <c r="BX4">
        <f>SUMIFS(T_TTAFCallOff[PCS],T_TTAFCallOff[Part Name],$A4,T_TTAFCallOff[WeekIndex],75)</f>
        <v/>
      </c>
      <c r="BY4">
        <f>SUMIFS(T_TTAFCallOff[PCS],T_TTAFCallOff[Part Name],$A4,T_TTAFCallOff[WeekIndex],76)</f>
        <v/>
      </c>
      <c r="BZ4">
        <f>SUMIFS(T_TTAFCallOff[PCS],T_TTAFCallOff[Part Name],$A4,T_TTAFCallOff[WeekIndex],77)</f>
        <v/>
      </c>
      <c r="CA4">
        <f>SUMIFS(T_TTAFCallOff[PCS],T_TTAFCallOff[Part Name],$A4,T_TTAFCallOff[WeekIndex],78)</f>
        <v/>
      </c>
      <c r="CB4">
        <f>SUMIFS(T_TTAFCallOff[PCS],T_TTAFCallOff[Part Name],$A4,T_TTAFCallOff[WeekIndex],79)</f>
        <v/>
      </c>
      <c r="CC4">
        <f>SUMIFS(T_TTAFCallOff[PCS],T_TTAFCallOff[Part Name],$A4,T_TTAFCallOff[WeekIndex],80)</f>
        <v/>
      </c>
      <c r="CD4">
        <f>SUMIFS(T_TTAFCallOff[PCS],T_TTAFCallOff[Part Name],$A4,T_TTAFCallOff[WeekIndex],81)</f>
        <v/>
      </c>
      <c r="CE4">
        <f>SUMIFS(T_TTAFCallOff[PCS],T_TTAFCallOff[Part Name],$A4,T_TTAFCallOff[WeekIndex],82)</f>
        <v/>
      </c>
      <c r="CF4">
        <f>SUMIFS(T_TTAFCallOff[PCS],T_TTAFCallOff[Part Name],$A4,T_TTAFCallOff[WeekIndex],83)</f>
        <v/>
      </c>
      <c r="CG4">
        <f>SUMIFS(T_TTAFCallOff[PCS],T_TTAFCallOff[Part Name],$A4,T_TTAFCallOff[WeekIndex],84)</f>
        <v/>
      </c>
      <c r="CH4">
        <f>SUMIFS(T_TTAFCallOff[PCS],T_TTAFCallOff[Part Name],$A4,T_TTAFCallOff[WeekIndex],85)</f>
        <v/>
      </c>
      <c r="CI4">
        <f>SUMIFS(T_TTAFCallOff[PCS],T_TTAFCallOff[Part Name],$A4,T_TTAFCallOff[WeekIndex],86)</f>
        <v/>
      </c>
      <c r="CJ4">
        <f>SUMIFS(T_TTAFCallOff[PCS],T_TTAFCallOff[Part Name],$A4,T_TTAFCallOff[WeekIndex],87)</f>
        <v/>
      </c>
      <c r="CK4">
        <f>SUMIFS(T_TTAFCallOff[PCS],T_TTAFCallOff[Part Name],$A4,T_TTAFCallOff[WeekIndex],88)</f>
        <v/>
      </c>
      <c r="CL4">
        <f>SUMIFS(T_TTAFCallOff[PCS],T_TTAFCallOff[Part Name],$A4,T_TTAFCallOff[WeekIndex],89)</f>
        <v/>
      </c>
      <c r="CM4">
        <f>SUMIFS(T_TTAFCallOff[PCS],T_TTAFCallOff[Part Name],$A4,T_TTAFCallOff[WeekIndex],90)</f>
        <v/>
      </c>
      <c r="CN4">
        <f>SUMIFS(T_TTAFCallOff[PCS],T_TTAFCallOff[Part Name],$A4,T_TTAFCallOff[WeekIndex],91)</f>
        <v/>
      </c>
      <c r="CO4">
        <f>SUMIFS(T_TTAFCallOff[PCS],T_TTAFCallOff[Part Name],$A4,T_TTAFCallOff[WeekIndex],92)</f>
        <v/>
      </c>
      <c r="CP4">
        <f>SUMIFS(T_TTAFCallOff[PCS],T_TTAFCallOff[Part Name],$A4,T_TTAFCallOff[WeekIndex],93)</f>
        <v/>
      </c>
      <c r="CQ4">
        <f>SUMIFS(T_TTAFCallOff[PCS],T_TTAFCallOff[Part Name],$A4,T_TTAFCallOff[WeekIndex],94)</f>
        <v/>
      </c>
      <c r="CR4">
        <f>SUMIFS(T_TTAFCallOff[PCS],T_TTAFCallOff[Part Name],$A4,T_TTAFCallOff[WeekIndex],95)</f>
        <v/>
      </c>
      <c r="CS4">
        <f>SUMIFS(T_TTAFCallOff[PCS],T_TTAFCallOff[Part Name],$A4,T_TTAFCallOff[WeekIndex],96)</f>
        <v/>
      </c>
      <c r="CT4">
        <f>SUMIFS(T_TTAFCallOff[PCS],T_TTAFCallOff[Part Name],$A4,T_TTAFCallOff[WeekIndex],97)</f>
        <v/>
      </c>
      <c r="CU4">
        <f>SUMIFS(T_TTAFCallOff[PCS],T_TTAFCallOff[Part Name],$A4,T_TTAFCallOff[WeekIndex],98)</f>
        <v/>
      </c>
      <c r="CV4">
        <f>SUMIFS(T_TTAFCallOff[PCS],T_TTAFCallOff[Part Name],$A4,T_TTAFCallOff[WeekIndex],99)</f>
        <v/>
      </c>
      <c r="CW4">
        <f>SUMIFS(T_TTAFCallOff[PCS],T_TTAFCallOff[Part Name],$A4,T_TTAFCallOff[WeekIndex],100)</f>
        <v/>
      </c>
      <c r="CX4">
        <f>SUMIFS(T_TTAFCallOff[PCS],T_TTAFCallOff[Part Name],$A4,T_TTAFCallOff[WeekIndex],101)</f>
        <v/>
      </c>
      <c r="CY4">
        <f>SUMIFS(T_TTAFCallOff[PCS],T_TTAFCallOff[Part Name],$A4,T_TTAFCallOff[WeekIndex],102)</f>
        <v/>
      </c>
      <c r="CZ4">
        <f>SUMIFS(T_TTAFCallOff[PCS],T_TTAFCallOff[Part Name],$A4,T_TTAFCallOff[WeekIndex],103)</f>
        <v/>
      </c>
      <c r="DA4">
        <f>SUMIFS(T_TTAFCallOff[PCS],T_TTAFCallOff[Part Name],$A4,T_TTAFCallOff[WeekIndex],104)</f>
        <v/>
      </c>
    </row>
    <row r="5">
      <c r="A5" t="inlineStr">
        <is>
          <t>CHEM-1420</t>
        </is>
      </c>
      <c r="B5">
        <f>SUMIFS(T_TTAFCallOff[PCS],T_TTAFCallOff[Part Name],$A5,T_TTAFCallOff[WeekIndex],1)</f>
        <v/>
      </c>
      <c r="C5">
        <f>SUMIFS(T_TTAFCallOff[PCS],T_TTAFCallOff[Part Name],$A5,T_TTAFCallOff[WeekIndex],2)</f>
        <v/>
      </c>
      <c r="D5">
        <f>SUMIFS(T_TTAFCallOff[PCS],T_TTAFCallOff[Part Name],$A5,T_TTAFCallOff[WeekIndex],3)</f>
        <v/>
      </c>
      <c r="E5">
        <f>SUMIFS(T_TTAFCallOff[PCS],T_TTAFCallOff[Part Name],$A5,T_TTAFCallOff[WeekIndex],4)</f>
        <v/>
      </c>
      <c r="F5">
        <f>SUMIFS(T_TTAFCallOff[PCS],T_TTAFCallOff[Part Name],$A5,T_TTAFCallOff[WeekIndex],5)</f>
        <v/>
      </c>
      <c r="G5">
        <f>SUMIFS(T_TTAFCallOff[PCS],T_TTAFCallOff[Part Name],$A5,T_TTAFCallOff[WeekIndex],6)</f>
        <v/>
      </c>
      <c r="H5">
        <f>SUMIFS(T_TTAFCallOff[PCS],T_TTAFCallOff[Part Name],$A5,T_TTAFCallOff[WeekIndex],7)</f>
        <v/>
      </c>
      <c r="I5">
        <f>SUMIFS(T_TTAFCallOff[PCS],T_TTAFCallOff[Part Name],$A5,T_TTAFCallOff[WeekIndex],8)</f>
        <v/>
      </c>
      <c r="J5">
        <f>SUMIFS(T_TTAFCallOff[PCS],T_TTAFCallOff[Part Name],$A5,T_TTAFCallOff[WeekIndex],9)</f>
        <v/>
      </c>
      <c r="K5">
        <f>SUMIFS(T_TTAFCallOff[PCS],T_TTAFCallOff[Part Name],$A5,T_TTAFCallOff[WeekIndex],10)</f>
        <v/>
      </c>
      <c r="L5">
        <f>SUMIFS(T_TTAFCallOff[PCS],T_TTAFCallOff[Part Name],$A5,T_TTAFCallOff[WeekIndex],11)</f>
        <v/>
      </c>
      <c r="M5">
        <f>SUMIFS(T_TTAFCallOff[PCS],T_TTAFCallOff[Part Name],$A5,T_TTAFCallOff[WeekIndex],12)</f>
        <v/>
      </c>
      <c r="N5">
        <f>SUMIFS(T_TTAFCallOff[PCS],T_TTAFCallOff[Part Name],$A5,T_TTAFCallOff[WeekIndex],13)</f>
        <v/>
      </c>
      <c r="O5">
        <f>SUMIFS(T_TTAFCallOff[PCS],T_TTAFCallOff[Part Name],$A5,T_TTAFCallOff[WeekIndex],14)</f>
        <v/>
      </c>
      <c r="P5">
        <f>SUMIFS(T_TTAFCallOff[PCS],T_TTAFCallOff[Part Name],$A5,T_TTAFCallOff[WeekIndex],15)</f>
        <v/>
      </c>
      <c r="Q5">
        <f>SUMIFS(T_TTAFCallOff[PCS],T_TTAFCallOff[Part Name],$A5,T_TTAFCallOff[WeekIndex],16)</f>
        <v/>
      </c>
      <c r="R5">
        <f>SUMIFS(T_TTAFCallOff[PCS],T_TTAFCallOff[Part Name],$A5,T_TTAFCallOff[WeekIndex],17)</f>
        <v/>
      </c>
      <c r="S5">
        <f>SUMIFS(T_TTAFCallOff[PCS],T_TTAFCallOff[Part Name],$A5,T_TTAFCallOff[WeekIndex],18)</f>
        <v/>
      </c>
      <c r="T5">
        <f>SUMIFS(T_TTAFCallOff[PCS],T_TTAFCallOff[Part Name],$A5,T_TTAFCallOff[WeekIndex],19)</f>
        <v/>
      </c>
      <c r="U5">
        <f>SUMIFS(T_TTAFCallOff[PCS],T_TTAFCallOff[Part Name],$A5,T_TTAFCallOff[WeekIndex],20)</f>
        <v/>
      </c>
      <c r="V5">
        <f>SUMIFS(T_TTAFCallOff[PCS],T_TTAFCallOff[Part Name],$A5,T_TTAFCallOff[WeekIndex],21)</f>
        <v/>
      </c>
      <c r="W5">
        <f>SUMIFS(T_TTAFCallOff[PCS],T_TTAFCallOff[Part Name],$A5,T_TTAFCallOff[WeekIndex],22)</f>
        <v/>
      </c>
      <c r="X5">
        <f>SUMIFS(T_TTAFCallOff[PCS],T_TTAFCallOff[Part Name],$A5,T_TTAFCallOff[WeekIndex],23)</f>
        <v/>
      </c>
      <c r="Y5">
        <f>SUMIFS(T_TTAFCallOff[PCS],T_TTAFCallOff[Part Name],$A5,T_TTAFCallOff[WeekIndex],24)</f>
        <v/>
      </c>
      <c r="Z5">
        <f>SUMIFS(T_TTAFCallOff[PCS],T_TTAFCallOff[Part Name],$A5,T_TTAFCallOff[WeekIndex],25)</f>
        <v/>
      </c>
      <c r="AA5">
        <f>SUMIFS(T_TTAFCallOff[PCS],T_TTAFCallOff[Part Name],$A5,T_TTAFCallOff[WeekIndex],26)</f>
        <v/>
      </c>
      <c r="AB5">
        <f>SUMIFS(T_TTAFCallOff[PCS],T_TTAFCallOff[Part Name],$A5,T_TTAFCallOff[WeekIndex],27)</f>
        <v/>
      </c>
      <c r="AC5">
        <f>SUMIFS(T_TTAFCallOff[PCS],T_TTAFCallOff[Part Name],$A5,T_TTAFCallOff[WeekIndex],28)</f>
        <v/>
      </c>
      <c r="AD5">
        <f>SUMIFS(T_TTAFCallOff[PCS],T_TTAFCallOff[Part Name],$A5,T_TTAFCallOff[WeekIndex],29)</f>
        <v/>
      </c>
      <c r="AE5">
        <f>SUMIFS(T_TTAFCallOff[PCS],T_TTAFCallOff[Part Name],$A5,T_TTAFCallOff[WeekIndex],30)</f>
        <v/>
      </c>
      <c r="AF5">
        <f>SUMIFS(T_TTAFCallOff[PCS],T_TTAFCallOff[Part Name],$A5,T_TTAFCallOff[WeekIndex],31)</f>
        <v/>
      </c>
      <c r="AG5">
        <f>SUMIFS(T_TTAFCallOff[PCS],T_TTAFCallOff[Part Name],$A5,T_TTAFCallOff[WeekIndex],32)</f>
        <v/>
      </c>
      <c r="AH5">
        <f>SUMIFS(T_TTAFCallOff[PCS],T_TTAFCallOff[Part Name],$A5,T_TTAFCallOff[WeekIndex],33)</f>
        <v/>
      </c>
      <c r="AI5">
        <f>SUMIFS(T_TTAFCallOff[PCS],T_TTAFCallOff[Part Name],$A5,T_TTAFCallOff[WeekIndex],34)</f>
        <v/>
      </c>
      <c r="AJ5">
        <f>SUMIFS(T_TTAFCallOff[PCS],T_TTAFCallOff[Part Name],$A5,T_TTAFCallOff[WeekIndex],35)</f>
        <v/>
      </c>
      <c r="AK5">
        <f>SUMIFS(T_TTAFCallOff[PCS],T_TTAFCallOff[Part Name],$A5,T_TTAFCallOff[WeekIndex],36)</f>
        <v/>
      </c>
      <c r="AL5">
        <f>SUMIFS(T_TTAFCallOff[PCS],T_TTAFCallOff[Part Name],$A5,T_TTAFCallOff[WeekIndex],37)</f>
        <v/>
      </c>
      <c r="AM5">
        <f>SUMIFS(T_TTAFCallOff[PCS],T_TTAFCallOff[Part Name],$A5,T_TTAFCallOff[WeekIndex],38)</f>
        <v/>
      </c>
      <c r="AN5">
        <f>SUMIFS(T_TTAFCallOff[PCS],T_TTAFCallOff[Part Name],$A5,T_TTAFCallOff[WeekIndex],39)</f>
        <v/>
      </c>
      <c r="AO5">
        <f>SUMIFS(T_TTAFCallOff[PCS],T_TTAFCallOff[Part Name],$A5,T_TTAFCallOff[WeekIndex],40)</f>
        <v/>
      </c>
      <c r="AP5">
        <f>SUMIFS(T_TTAFCallOff[PCS],T_TTAFCallOff[Part Name],$A5,T_TTAFCallOff[WeekIndex],41)</f>
        <v/>
      </c>
      <c r="AQ5">
        <f>SUMIFS(T_TTAFCallOff[PCS],T_TTAFCallOff[Part Name],$A5,T_TTAFCallOff[WeekIndex],42)</f>
        <v/>
      </c>
      <c r="AR5">
        <f>SUMIFS(T_TTAFCallOff[PCS],T_TTAFCallOff[Part Name],$A5,T_TTAFCallOff[WeekIndex],43)</f>
        <v/>
      </c>
      <c r="AS5">
        <f>SUMIFS(T_TTAFCallOff[PCS],T_TTAFCallOff[Part Name],$A5,T_TTAFCallOff[WeekIndex],44)</f>
        <v/>
      </c>
      <c r="AT5">
        <f>SUMIFS(T_TTAFCallOff[PCS],T_TTAFCallOff[Part Name],$A5,T_TTAFCallOff[WeekIndex],45)</f>
        <v/>
      </c>
      <c r="AU5">
        <f>SUMIFS(T_TTAFCallOff[PCS],T_TTAFCallOff[Part Name],$A5,T_TTAFCallOff[WeekIndex],46)</f>
        <v/>
      </c>
      <c r="AV5">
        <f>SUMIFS(T_TTAFCallOff[PCS],T_TTAFCallOff[Part Name],$A5,T_TTAFCallOff[WeekIndex],47)</f>
        <v/>
      </c>
      <c r="AW5">
        <f>SUMIFS(T_TTAFCallOff[PCS],T_TTAFCallOff[Part Name],$A5,T_TTAFCallOff[WeekIndex],48)</f>
        <v/>
      </c>
      <c r="AX5">
        <f>SUMIFS(T_TTAFCallOff[PCS],T_TTAFCallOff[Part Name],$A5,T_TTAFCallOff[WeekIndex],49)</f>
        <v/>
      </c>
      <c r="AY5">
        <f>SUMIFS(T_TTAFCallOff[PCS],T_TTAFCallOff[Part Name],$A5,T_TTAFCallOff[WeekIndex],50)</f>
        <v/>
      </c>
      <c r="AZ5">
        <f>SUMIFS(T_TTAFCallOff[PCS],T_TTAFCallOff[Part Name],$A5,T_TTAFCallOff[WeekIndex],51)</f>
        <v/>
      </c>
      <c r="BA5">
        <f>SUMIFS(T_TTAFCallOff[PCS],T_TTAFCallOff[Part Name],$A5,T_TTAFCallOff[WeekIndex],52)</f>
        <v/>
      </c>
      <c r="BB5">
        <f>SUMIFS(T_TTAFCallOff[PCS],T_TTAFCallOff[Part Name],$A5,T_TTAFCallOff[WeekIndex],53)</f>
        <v/>
      </c>
      <c r="BC5">
        <f>SUMIFS(T_TTAFCallOff[PCS],T_TTAFCallOff[Part Name],$A5,T_TTAFCallOff[WeekIndex],54)</f>
        <v/>
      </c>
      <c r="BD5">
        <f>SUMIFS(T_TTAFCallOff[PCS],T_TTAFCallOff[Part Name],$A5,T_TTAFCallOff[WeekIndex],55)</f>
        <v/>
      </c>
      <c r="BE5">
        <f>SUMIFS(T_TTAFCallOff[PCS],T_TTAFCallOff[Part Name],$A5,T_TTAFCallOff[WeekIndex],56)</f>
        <v/>
      </c>
      <c r="BF5">
        <f>SUMIFS(T_TTAFCallOff[PCS],T_TTAFCallOff[Part Name],$A5,T_TTAFCallOff[WeekIndex],57)</f>
        <v/>
      </c>
      <c r="BG5">
        <f>SUMIFS(T_TTAFCallOff[PCS],T_TTAFCallOff[Part Name],$A5,T_TTAFCallOff[WeekIndex],58)</f>
        <v/>
      </c>
      <c r="BH5">
        <f>SUMIFS(T_TTAFCallOff[PCS],T_TTAFCallOff[Part Name],$A5,T_TTAFCallOff[WeekIndex],59)</f>
        <v/>
      </c>
      <c r="BI5">
        <f>SUMIFS(T_TTAFCallOff[PCS],T_TTAFCallOff[Part Name],$A5,T_TTAFCallOff[WeekIndex],60)</f>
        <v/>
      </c>
      <c r="BJ5">
        <f>SUMIFS(T_TTAFCallOff[PCS],T_TTAFCallOff[Part Name],$A5,T_TTAFCallOff[WeekIndex],61)</f>
        <v/>
      </c>
      <c r="BK5">
        <f>SUMIFS(T_TTAFCallOff[PCS],T_TTAFCallOff[Part Name],$A5,T_TTAFCallOff[WeekIndex],62)</f>
        <v/>
      </c>
      <c r="BL5">
        <f>SUMIFS(T_TTAFCallOff[PCS],T_TTAFCallOff[Part Name],$A5,T_TTAFCallOff[WeekIndex],63)</f>
        <v/>
      </c>
      <c r="BM5">
        <f>SUMIFS(T_TTAFCallOff[PCS],T_TTAFCallOff[Part Name],$A5,T_TTAFCallOff[WeekIndex],64)</f>
        <v/>
      </c>
      <c r="BN5">
        <f>SUMIFS(T_TTAFCallOff[PCS],T_TTAFCallOff[Part Name],$A5,T_TTAFCallOff[WeekIndex],65)</f>
        <v/>
      </c>
      <c r="BO5">
        <f>SUMIFS(T_TTAFCallOff[PCS],T_TTAFCallOff[Part Name],$A5,T_TTAFCallOff[WeekIndex],66)</f>
        <v/>
      </c>
      <c r="BP5">
        <f>SUMIFS(T_TTAFCallOff[PCS],T_TTAFCallOff[Part Name],$A5,T_TTAFCallOff[WeekIndex],67)</f>
        <v/>
      </c>
      <c r="BQ5">
        <f>SUMIFS(T_TTAFCallOff[PCS],T_TTAFCallOff[Part Name],$A5,T_TTAFCallOff[WeekIndex],68)</f>
        <v/>
      </c>
      <c r="BR5">
        <f>SUMIFS(T_TTAFCallOff[PCS],T_TTAFCallOff[Part Name],$A5,T_TTAFCallOff[WeekIndex],69)</f>
        <v/>
      </c>
      <c r="BS5">
        <f>SUMIFS(T_TTAFCallOff[PCS],T_TTAFCallOff[Part Name],$A5,T_TTAFCallOff[WeekIndex],70)</f>
        <v/>
      </c>
      <c r="BT5">
        <f>SUMIFS(T_TTAFCallOff[PCS],T_TTAFCallOff[Part Name],$A5,T_TTAFCallOff[WeekIndex],71)</f>
        <v/>
      </c>
      <c r="BU5">
        <f>SUMIFS(T_TTAFCallOff[PCS],T_TTAFCallOff[Part Name],$A5,T_TTAFCallOff[WeekIndex],72)</f>
        <v/>
      </c>
      <c r="BV5">
        <f>SUMIFS(T_TTAFCallOff[PCS],T_TTAFCallOff[Part Name],$A5,T_TTAFCallOff[WeekIndex],73)</f>
        <v/>
      </c>
      <c r="BW5">
        <f>SUMIFS(T_TTAFCallOff[PCS],T_TTAFCallOff[Part Name],$A5,T_TTAFCallOff[WeekIndex],74)</f>
        <v/>
      </c>
      <c r="BX5">
        <f>SUMIFS(T_TTAFCallOff[PCS],T_TTAFCallOff[Part Name],$A5,T_TTAFCallOff[WeekIndex],75)</f>
        <v/>
      </c>
      <c r="BY5">
        <f>SUMIFS(T_TTAFCallOff[PCS],T_TTAFCallOff[Part Name],$A5,T_TTAFCallOff[WeekIndex],76)</f>
        <v/>
      </c>
      <c r="BZ5">
        <f>SUMIFS(T_TTAFCallOff[PCS],T_TTAFCallOff[Part Name],$A5,T_TTAFCallOff[WeekIndex],77)</f>
        <v/>
      </c>
      <c r="CA5">
        <f>SUMIFS(T_TTAFCallOff[PCS],T_TTAFCallOff[Part Name],$A5,T_TTAFCallOff[WeekIndex],78)</f>
        <v/>
      </c>
      <c r="CB5">
        <f>SUMIFS(T_TTAFCallOff[PCS],T_TTAFCallOff[Part Name],$A5,T_TTAFCallOff[WeekIndex],79)</f>
        <v/>
      </c>
      <c r="CC5">
        <f>SUMIFS(T_TTAFCallOff[PCS],T_TTAFCallOff[Part Name],$A5,T_TTAFCallOff[WeekIndex],80)</f>
        <v/>
      </c>
      <c r="CD5">
        <f>SUMIFS(T_TTAFCallOff[PCS],T_TTAFCallOff[Part Name],$A5,T_TTAFCallOff[WeekIndex],81)</f>
        <v/>
      </c>
      <c r="CE5">
        <f>SUMIFS(T_TTAFCallOff[PCS],T_TTAFCallOff[Part Name],$A5,T_TTAFCallOff[WeekIndex],82)</f>
        <v/>
      </c>
      <c r="CF5">
        <f>SUMIFS(T_TTAFCallOff[PCS],T_TTAFCallOff[Part Name],$A5,T_TTAFCallOff[WeekIndex],83)</f>
        <v/>
      </c>
      <c r="CG5">
        <f>SUMIFS(T_TTAFCallOff[PCS],T_TTAFCallOff[Part Name],$A5,T_TTAFCallOff[WeekIndex],84)</f>
        <v/>
      </c>
      <c r="CH5">
        <f>SUMIFS(T_TTAFCallOff[PCS],T_TTAFCallOff[Part Name],$A5,T_TTAFCallOff[WeekIndex],85)</f>
        <v/>
      </c>
      <c r="CI5">
        <f>SUMIFS(T_TTAFCallOff[PCS],T_TTAFCallOff[Part Name],$A5,T_TTAFCallOff[WeekIndex],86)</f>
        <v/>
      </c>
      <c r="CJ5">
        <f>SUMIFS(T_TTAFCallOff[PCS],T_TTAFCallOff[Part Name],$A5,T_TTAFCallOff[WeekIndex],87)</f>
        <v/>
      </c>
      <c r="CK5">
        <f>SUMIFS(T_TTAFCallOff[PCS],T_TTAFCallOff[Part Name],$A5,T_TTAFCallOff[WeekIndex],88)</f>
        <v/>
      </c>
      <c r="CL5">
        <f>SUMIFS(T_TTAFCallOff[PCS],T_TTAFCallOff[Part Name],$A5,T_TTAFCallOff[WeekIndex],89)</f>
        <v/>
      </c>
      <c r="CM5">
        <f>SUMIFS(T_TTAFCallOff[PCS],T_TTAFCallOff[Part Name],$A5,T_TTAFCallOff[WeekIndex],90)</f>
        <v/>
      </c>
      <c r="CN5">
        <f>SUMIFS(T_TTAFCallOff[PCS],T_TTAFCallOff[Part Name],$A5,T_TTAFCallOff[WeekIndex],91)</f>
        <v/>
      </c>
      <c r="CO5">
        <f>SUMIFS(T_TTAFCallOff[PCS],T_TTAFCallOff[Part Name],$A5,T_TTAFCallOff[WeekIndex],92)</f>
        <v/>
      </c>
      <c r="CP5">
        <f>SUMIFS(T_TTAFCallOff[PCS],T_TTAFCallOff[Part Name],$A5,T_TTAFCallOff[WeekIndex],93)</f>
        <v/>
      </c>
      <c r="CQ5">
        <f>SUMIFS(T_TTAFCallOff[PCS],T_TTAFCallOff[Part Name],$A5,T_TTAFCallOff[WeekIndex],94)</f>
        <v/>
      </c>
      <c r="CR5">
        <f>SUMIFS(T_TTAFCallOff[PCS],T_TTAFCallOff[Part Name],$A5,T_TTAFCallOff[WeekIndex],95)</f>
        <v/>
      </c>
      <c r="CS5">
        <f>SUMIFS(T_TTAFCallOff[PCS],T_TTAFCallOff[Part Name],$A5,T_TTAFCallOff[WeekIndex],96)</f>
        <v/>
      </c>
      <c r="CT5">
        <f>SUMIFS(T_TTAFCallOff[PCS],T_TTAFCallOff[Part Name],$A5,T_TTAFCallOff[WeekIndex],97)</f>
        <v/>
      </c>
      <c r="CU5">
        <f>SUMIFS(T_TTAFCallOff[PCS],T_TTAFCallOff[Part Name],$A5,T_TTAFCallOff[WeekIndex],98)</f>
        <v/>
      </c>
      <c r="CV5">
        <f>SUMIFS(T_TTAFCallOff[PCS],T_TTAFCallOff[Part Name],$A5,T_TTAFCallOff[WeekIndex],99)</f>
        <v/>
      </c>
      <c r="CW5">
        <f>SUMIFS(T_TTAFCallOff[PCS],T_TTAFCallOff[Part Name],$A5,T_TTAFCallOff[WeekIndex],100)</f>
        <v/>
      </c>
      <c r="CX5">
        <f>SUMIFS(T_TTAFCallOff[PCS],T_TTAFCallOff[Part Name],$A5,T_TTAFCallOff[WeekIndex],101)</f>
        <v/>
      </c>
      <c r="CY5">
        <f>SUMIFS(T_TTAFCallOff[PCS],T_TTAFCallOff[Part Name],$A5,T_TTAFCallOff[WeekIndex],102)</f>
        <v/>
      </c>
      <c r="CZ5">
        <f>SUMIFS(T_TTAFCallOff[PCS],T_TTAFCallOff[Part Name],$A5,T_TTAFCallOff[WeekIndex],103)</f>
        <v/>
      </c>
      <c r="DA5">
        <f>SUMIFS(T_TTAFCallOff[PCS],T_TTAFCallOff[Part Name],$A5,T_TTAFCallOff[WeekIndex],104)</f>
        <v/>
      </c>
    </row>
    <row r="6">
      <c r="A6" t="inlineStr">
        <is>
          <t>CHEM-1530</t>
        </is>
      </c>
      <c r="B6">
        <f>SUMIFS(T_TTAFCallOff[PCS],T_TTAFCallOff[Part Name],$A6,T_TTAFCallOff[WeekIndex],1)</f>
        <v/>
      </c>
      <c r="C6">
        <f>SUMIFS(T_TTAFCallOff[PCS],T_TTAFCallOff[Part Name],$A6,T_TTAFCallOff[WeekIndex],2)</f>
        <v/>
      </c>
      <c r="D6">
        <f>SUMIFS(T_TTAFCallOff[PCS],T_TTAFCallOff[Part Name],$A6,T_TTAFCallOff[WeekIndex],3)</f>
        <v/>
      </c>
      <c r="E6">
        <f>SUMIFS(T_TTAFCallOff[PCS],T_TTAFCallOff[Part Name],$A6,T_TTAFCallOff[WeekIndex],4)</f>
        <v/>
      </c>
      <c r="F6">
        <f>SUMIFS(T_TTAFCallOff[PCS],T_TTAFCallOff[Part Name],$A6,T_TTAFCallOff[WeekIndex],5)</f>
        <v/>
      </c>
      <c r="G6">
        <f>SUMIFS(T_TTAFCallOff[PCS],T_TTAFCallOff[Part Name],$A6,T_TTAFCallOff[WeekIndex],6)</f>
        <v/>
      </c>
      <c r="H6">
        <f>SUMIFS(T_TTAFCallOff[PCS],T_TTAFCallOff[Part Name],$A6,T_TTAFCallOff[WeekIndex],7)</f>
        <v/>
      </c>
      <c r="I6">
        <f>SUMIFS(T_TTAFCallOff[PCS],T_TTAFCallOff[Part Name],$A6,T_TTAFCallOff[WeekIndex],8)</f>
        <v/>
      </c>
      <c r="J6">
        <f>SUMIFS(T_TTAFCallOff[PCS],T_TTAFCallOff[Part Name],$A6,T_TTAFCallOff[WeekIndex],9)</f>
        <v/>
      </c>
      <c r="K6">
        <f>SUMIFS(T_TTAFCallOff[PCS],T_TTAFCallOff[Part Name],$A6,T_TTAFCallOff[WeekIndex],10)</f>
        <v/>
      </c>
      <c r="L6">
        <f>SUMIFS(T_TTAFCallOff[PCS],T_TTAFCallOff[Part Name],$A6,T_TTAFCallOff[WeekIndex],11)</f>
        <v/>
      </c>
      <c r="M6">
        <f>SUMIFS(T_TTAFCallOff[PCS],T_TTAFCallOff[Part Name],$A6,T_TTAFCallOff[WeekIndex],12)</f>
        <v/>
      </c>
      <c r="N6">
        <f>SUMIFS(T_TTAFCallOff[PCS],T_TTAFCallOff[Part Name],$A6,T_TTAFCallOff[WeekIndex],13)</f>
        <v/>
      </c>
      <c r="O6">
        <f>SUMIFS(T_TTAFCallOff[PCS],T_TTAFCallOff[Part Name],$A6,T_TTAFCallOff[WeekIndex],14)</f>
        <v/>
      </c>
      <c r="P6">
        <f>SUMIFS(T_TTAFCallOff[PCS],T_TTAFCallOff[Part Name],$A6,T_TTAFCallOff[WeekIndex],15)</f>
        <v/>
      </c>
      <c r="Q6">
        <f>SUMIFS(T_TTAFCallOff[PCS],T_TTAFCallOff[Part Name],$A6,T_TTAFCallOff[WeekIndex],16)</f>
        <v/>
      </c>
      <c r="R6">
        <f>SUMIFS(T_TTAFCallOff[PCS],T_TTAFCallOff[Part Name],$A6,T_TTAFCallOff[WeekIndex],17)</f>
        <v/>
      </c>
      <c r="S6">
        <f>SUMIFS(T_TTAFCallOff[PCS],T_TTAFCallOff[Part Name],$A6,T_TTAFCallOff[WeekIndex],18)</f>
        <v/>
      </c>
      <c r="T6">
        <f>SUMIFS(T_TTAFCallOff[PCS],T_TTAFCallOff[Part Name],$A6,T_TTAFCallOff[WeekIndex],19)</f>
        <v/>
      </c>
      <c r="U6">
        <f>SUMIFS(T_TTAFCallOff[PCS],T_TTAFCallOff[Part Name],$A6,T_TTAFCallOff[WeekIndex],20)</f>
        <v/>
      </c>
      <c r="V6">
        <f>SUMIFS(T_TTAFCallOff[PCS],T_TTAFCallOff[Part Name],$A6,T_TTAFCallOff[WeekIndex],21)</f>
        <v/>
      </c>
      <c r="W6">
        <f>SUMIFS(T_TTAFCallOff[PCS],T_TTAFCallOff[Part Name],$A6,T_TTAFCallOff[WeekIndex],22)</f>
        <v/>
      </c>
      <c r="X6">
        <f>SUMIFS(T_TTAFCallOff[PCS],T_TTAFCallOff[Part Name],$A6,T_TTAFCallOff[WeekIndex],23)</f>
        <v/>
      </c>
      <c r="Y6">
        <f>SUMIFS(T_TTAFCallOff[PCS],T_TTAFCallOff[Part Name],$A6,T_TTAFCallOff[WeekIndex],24)</f>
        <v/>
      </c>
      <c r="Z6">
        <f>SUMIFS(T_TTAFCallOff[PCS],T_TTAFCallOff[Part Name],$A6,T_TTAFCallOff[WeekIndex],25)</f>
        <v/>
      </c>
      <c r="AA6">
        <f>SUMIFS(T_TTAFCallOff[PCS],T_TTAFCallOff[Part Name],$A6,T_TTAFCallOff[WeekIndex],26)</f>
        <v/>
      </c>
      <c r="AB6">
        <f>SUMIFS(T_TTAFCallOff[PCS],T_TTAFCallOff[Part Name],$A6,T_TTAFCallOff[WeekIndex],27)</f>
        <v/>
      </c>
      <c r="AC6">
        <f>SUMIFS(T_TTAFCallOff[PCS],T_TTAFCallOff[Part Name],$A6,T_TTAFCallOff[WeekIndex],28)</f>
        <v/>
      </c>
      <c r="AD6">
        <f>SUMIFS(T_TTAFCallOff[PCS],T_TTAFCallOff[Part Name],$A6,T_TTAFCallOff[WeekIndex],29)</f>
        <v/>
      </c>
      <c r="AE6">
        <f>SUMIFS(T_TTAFCallOff[PCS],T_TTAFCallOff[Part Name],$A6,T_TTAFCallOff[WeekIndex],30)</f>
        <v/>
      </c>
      <c r="AF6">
        <f>SUMIFS(T_TTAFCallOff[PCS],T_TTAFCallOff[Part Name],$A6,T_TTAFCallOff[WeekIndex],31)</f>
        <v/>
      </c>
      <c r="AG6">
        <f>SUMIFS(T_TTAFCallOff[PCS],T_TTAFCallOff[Part Name],$A6,T_TTAFCallOff[WeekIndex],32)</f>
        <v/>
      </c>
      <c r="AH6">
        <f>SUMIFS(T_TTAFCallOff[PCS],T_TTAFCallOff[Part Name],$A6,T_TTAFCallOff[WeekIndex],33)</f>
        <v/>
      </c>
      <c r="AI6">
        <f>SUMIFS(T_TTAFCallOff[PCS],T_TTAFCallOff[Part Name],$A6,T_TTAFCallOff[WeekIndex],34)</f>
        <v/>
      </c>
      <c r="AJ6">
        <f>SUMIFS(T_TTAFCallOff[PCS],T_TTAFCallOff[Part Name],$A6,T_TTAFCallOff[WeekIndex],35)</f>
        <v/>
      </c>
      <c r="AK6">
        <f>SUMIFS(T_TTAFCallOff[PCS],T_TTAFCallOff[Part Name],$A6,T_TTAFCallOff[WeekIndex],36)</f>
        <v/>
      </c>
      <c r="AL6">
        <f>SUMIFS(T_TTAFCallOff[PCS],T_TTAFCallOff[Part Name],$A6,T_TTAFCallOff[WeekIndex],37)</f>
        <v/>
      </c>
      <c r="AM6">
        <f>SUMIFS(T_TTAFCallOff[PCS],T_TTAFCallOff[Part Name],$A6,T_TTAFCallOff[WeekIndex],38)</f>
        <v/>
      </c>
      <c r="AN6">
        <f>SUMIFS(T_TTAFCallOff[PCS],T_TTAFCallOff[Part Name],$A6,T_TTAFCallOff[WeekIndex],39)</f>
        <v/>
      </c>
      <c r="AO6">
        <f>SUMIFS(T_TTAFCallOff[PCS],T_TTAFCallOff[Part Name],$A6,T_TTAFCallOff[WeekIndex],40)</f>
        <v/>
      </c>
      <c r="AP6">
        <f>SUMIFS(T_TTAFCallOff[PCS],T_TTAFCallOff[Part Name],$A6,T_TTAFCallOff[WeekIndex],41)</f>
        <v/>
      </c>
      <c r="AQ6">
        <f>SUMIFS(T_TTAFCallOff[PCS],T_TTAFCallOff[Part Name],$A6,T_TTAFCallOff[WeekIndex],42)</f>
        <v/>
      </c>
      <c r="AR6">
        <f>SUMIFS(T_TTAFCallOff[PCS],T_TTAFCallOff[Part Name],$A6,T_TTAFCallOff[WeekIndex],43)</f>
        <v/>
      </c>
      <c r="AS6">
        <f>SUMIFS(T_TTAFCallOff[PCS],T_TTAFCallOff[Part Name],$A6,T_TTAFCallOff[WeekIndex],44)</f>
        <v/>
      </c>
      <c r="AT6">
        <f>SUMIFS(T_TTAFCallOff[PCS],T_TTAFCallOff[Part Name],$A6,T_TTAFCallOff[WeekIndex],45)</f>
        <v/>
      </c>
      <c r="AU6">
        <f>SUMIFS(T_TTAFCallOff[PCS],T_TTAFCallOff[Part Name],$A6,T_TTAFCallOff[WeekIndex],46)</f>
        <v/>
      </c>
      <c r="AV6">
        <f>SUMIFS(T_TTAFCallOff[PCS],T_TTAFCallOff[Part Name],$A6,T_TTAFCallOff[WeekIndex],47)</f>
        <v/>
      </c>
      <c r="AW6">
        <f>SUMIFS(T_TTAFCallOff[PCS],T_TTAFCallOff[Part Name],$A6,T_TTAFCallOff[WeekIndex],48)</f>
        <v/>
      </c>
      <c r="AX6">
        <f>SUMIFS(T_TTAFCallOff[PCS],T_TTAFCallOff[Part Name],$A6,T_TTAFCallOff[WeekIndex],49)</f>
        <v/>
      </c>
      <c r="AY6">
        <f>SUMIFS(T_TTAFCallOff[PCS],T_TTAFCallOff[Part Name],$A6,T_TTAFCallOff[WeekIndex],50)</f>
        <v/>
      </c>
      <c r="AZ6">
        <f>SUMIFS(T_TTAFCallOff[PCS],T_TTAFCallOff[Part Name],$A6,T_TTAFCallOff[WeekIndex],51)</f>
        <v/>
      </c>
      <c r="BA6">
        <f>SUMIFS(T_TTAFCallOff[PCS],T_TTAFCallOff[Part Name],$A6,T_TTAFCallOff[WeekIndex],52)</f>
        <v/>
      </c>
      <c r="BB6">
        <f>SUMIFS(T_TTAFCallOff[PCS],T_TTAFCallOff[Part Name],$A6,T_TTAFCallOff[WeekIndex],53)</f>
        <v/>
      </c>
      <c r="BC6">
        <f>SUMIFS(T_TTAFCallOff[PCS],T_TTAFCallOff[Part Name],$A6,T_TTAFCallOff[WeekIndex],54)</f>
        <v/>
      </c>
      <c r="BD6">
        <f>SUMIFS(T_TTAFCallOff[PCS],T_TTAFCallOff[Part Name],$A6,T_TTAFCallOff[WeekIndex],55)</f>
        <v/>
      </c>
      <c r="BE6">
        <f>SUMIFS(T_TTAFCallOff[PCS],T_TTAFCallOff[Part Name],$A6,T_TTAFCallOff[WeekIndex],56)</f>
        <v/>
      </c>
      <c r="BF6">
        <f>SUMIFS(T_TTAFCallOff[PCS],T_TTAFCallOff[Part Name],$A6,T_TTAFCallOff[WeekIndex],57)</f>
        <v/>
      </c>
      <c r="BG6">
        <f>SUMIFS(T_TTAFCallOff[PCS],T_TTAFCallOff[Part Name],$A6,T_TTAFCallOff[WeekIndex],58)</f>
        <v/>
      </c>
      <c r="BH6">
        <f>SUMIFS(T_TTAFCallOff[PCS],T_TTAFCallOff[Part Name],$A6,T_TTAFCallOff[WeekIndex],59)</f>
        <v/>
      </c>
      <c r="BI6">
        <f>SUMIFS(T_TTAFCallOff[PCS],T_TTAFCallOff[Part Name],$A6,T_TTAFCallOff[WeekIndex],60)</f>
        <v/>
      </c>
      <c r="BJ6">
        <f>SUMIFS(T_TTAFCallOff[PCS],T_TTAFCallOff[Part Name],$A6,T_TTAFCallOff[WeekIndex],61)</f>
        <v/>
      </c>
      <c r="BK6">
        <f>SUMIFS(T_TTAFCallOff[PCS],T_TTAFCallOff[Part Name],$A6,T_TTAFCallOff[WeekIndex],62)</f>
        <v/>
      </c>
      <c r="BL6">
        <f>SUMIFS(T_TTAFCallOff[PCS],T_TTAFCallOff[Part Name],$A6,T_TTAFCallOff[WeekIndex],63)</f>
        <v/>
      </c>
      <c r="BM6">
        <f>SUMIFS(T_TTAFCallOff[PCS],T_TTAFCallOff[Part Name],$A6,T_TTAFCallOff[WeekIndex],64)</f>
        <v/>
      </c>
      <c r="BN6">
        <f>SUMIFS(T_TTAFCallOff[PCS],T_TTAFCallOff[Part Name],$A6,T_TTAFCallOff[WeekIndex],65)</f>
        <v/>
      </c>
      <c r="BO6">
        <f>SUMIFS(T_TTAFCallOff[PCS],T_TTAFCallOff[Part Name],$A6,T_TTAFCallOff[WeekIndex],66)</f>
        <v/>
      </c>
      <c r="BP6">
        <f>SUMIFS(T_TTAFCallOff[PCS],T_TTAFCallOff[Part Name],$A6,T_TTAFCallOff[WeekIndex],67)</f>
        <v/>
      </c>
      <c r="BQ6">
        <f>SUMIFS(T_TTAFCallOff[PCS],T_TTAFCallOff[Part Name],$A6,T_TTAFCallOff[WeekIndex],68)</f>
        <v/>
      </c>
      <c r="BR6">
        <f>SUMIFS(T_TTAFCallOff[PCS],T_TTAFCallOff[Part Name],$A6,T_TTAFCallOff[WeekIndex],69)</f>
        <v/>
      </c>
      <c r="BS6">
        <f>SUMIFS(T_TTAFCallOff[PCS],T_TTAFCallOff[Part Name],$A6,T_TTAFCallOff[WeekIndex],70)</f>
        <v/>
      </c>
      <c r="BT6">
        <f>SUMIFS(T_TTAFCallOff[PCS],T_TTAFCallOff[Part Name],$A6,T_TTAFCallOff[WeekIndex],71)</f>
        <v/>
      </c>
      <c r="BU6">
        <f>SUMIFS(T_TTAFCallOff[PCS],T_TTAFCallOff[Part Name],$A6,T_TTAFCallOff[WeekIndex],72)</f>
        <v/>
      </c>
      <c r="BV6">
        <f>SUMIFS(T_TTAFCallOff[PCS],T_TTAFCallOff[Part Name],$A6,T_TTAFCallOff[WeekIndex],73)</f>
        <v/>
      </c>
      <c r="BW6">
        <f>SUMIFS(T_TTAFCallOff[PCS],T_TTAFCallOff[Part Name],$A6,T_TTAFCallOff[WeekIndex],74)</f>
        <v/>
      </c>
      <c r="BX6">
        <f>SUMIFS(T_TTAFCallOff[PCS],T_TTAFCallOff[Part Name],$A6,T_TTAFCallOff[WeekIndex],75)</f>
        <v/>
      </c>
      <c r="BY6">
        <f>SUMIFS(T_TTAFCallOff[PCS],T_TTAFCallOff[Part Name],$A6,T_TTAFCallOff[WeekIndex],76)</f>
        <v/>
      </c>
      <c r="BZ6">
        <f>SUMIFS(T_TTAFCallOff[PCS],T_TTAFCallOff[Part Name],$A6,T_TTAFCallOff[WeekIndex],77)</f>
        <v/>
      </c>
      <c r="CA6">
        <f>SUMIFS(T_TTAFCallOff[PCS],T_TTAFCallOff[Part Name],$A6,T_TTAFCallOff[WeekIndex],78)</f>
        <v/>
      </c>
      <c r="CB6">
        <f>SUMIFS(T_TTAFCallOff[PCS],T_TTAFCallOff[Part Name],$A6,T_TTAFCallOff[WeekIndex],79)</f>
        <v/>
      </c>
      <c r="CC6">
        <f>SUMIFS(T_TTAFCallOff[PCS],T_TTAFCallOff[Part Name],$A6,T_TTAFCallOff[WeekIndex],80)</f>
        <v/>
      </c>
      <c r="CD6">
        <f>SUMIFS(T_TTAFCallOff[PCS],T_TTAFCallOff[Part Name],$A6,T_TTAFCallOff[WeekIndex],81)</f>
        <v/>
      </c>
      <c r="CE6">
        <f>SUMIFS(T_TTAFCallOff[PCS],T_TTAFCallOff[Part Name],$A6,T_TTAFCallOff[WeekIndex],82)</f>
        <v/>
      </c>
      <c r="CF6">
        <f>SUMIFS(T_TTAFCallOff[PCS],T_TTAFCallOff[Part Name],$A6,T_TTAFCallOff[WeekIndex],83)</f>
        <v/>
      </c>
      <c r="CG6">
        <f>SUMIFS(T_TTAFCallOff[PCS],T_TTAFCallOff[Part Name],$A6,T_TTAFCallOff[WeekIndex],84)</f>
        <v/>
      </c>
      <c r="CH6">
        <f>SUMIFS(T_TTAFCallOff[PCS],T_TTAFCallOff[Part Name],$A6,T_TTAFCallOff[WeekIndex],85)</f>
        <v/>
      </c>
      <c r="CI6">
        <f>SUMIFS(T_TTAFCallOff[PCS],T_TTAFCallOff[Part Name],$A6,T_TTAFCallOff[WeekIndex],86)</f>
        <v/>
      </c>
      <c r="CJ6">
        <f>SUMIFS(T_TTAFCallOff[PCS],T_TTAFCallOff[Part Name],$A6,T_TTAFCallOff[WeekIndex],87)</f>
        <v/>
      </c>
      <c r="CK6">
        <f>SUMIFS(T_TTAFCallOff[PCS],T_TTAFCallOff[Part Name],$A6,T_TTAFCallOff[WeekIndex],88)</f>
        <v/>
      </c>
      <c r="CL6">
        <f>SUMIFS(T_TTAFCallOff[PCS],T_TTAFCallOff[Part Name],$A6,T_TTAFCallOff[WeekIndex],89)</f>
        <v/>
      </c>
      <c r="CM6">
        <f>SUMIFS(T_TTAFCallOff[PCS],T_TTAFCallOff[Part Name],$A6,T_TTAFCallOff[WeekIndex],90)</f>
        <v/>
      </c>
      <c r="CN6">
        <f>SUMIFS(T_TTAFCallOff[PCS],T_TTAFCallOff[Part Name],$A6,T_TTAFCallOff[WeekIndex],91)</f>
        <v/>
      </c>
      <c r="CO6">
        <f>SUMIFS(T_TTAFCallOff[PCS],T_TTAFCallOff[Part Name],$A6,T_TTAFCallOff[WeekIndex],92)</f>
        <v/>
      </c>
      <c r="CP6">
        <f>SUMIFS(T_TTAFCallOff[PCS],T_TTAFCallOff[Part Name],$A6,T_TTAFCallOff[WeekIndex],93)</f>
        <v/>
      </c>
      <c r="CQ6">
        <f>SUMIFS(T_TTAFCallOff[PCS],T_TTAFCallOff[Part Name],$A6,T_TTAFCallOff[WeekIndex],94)</f>
        <v/>
      </c>
      <c r="CR6">
        <f>SUMIFS(T_TTAFCallOff[PCS],T_TTAFCallOff[Part Name],$A6,T_TTAFCallOff[WeekIndex],95)</f>
        <v/>
      </c>
      <c r="CS6">
        <f>SUMIFS(T_TTAFCallOff[PCS],T_TTAFCallOff[Part Name],$A6,T_TTAFCallOff[WeekIndex],96)</f>
        <v/>
      </c>
      <c r="CT6">
        <f>SUMIFS(T_TTAFCallOff[PCS],T_TTAFCallOff[Part Name],$A6,T_TTAFCallOff[WeekIndex],97)</f>
        <v/>
      </c>
      <c r="CU6">
        <f>SUMIFS(T_TTAFCallOff[PCS],T_TTAFCallOff[Part Name],$A6,T_TTAFCallOff[WeekIndex],98)</f>
        <v/>
      </c>
      <c r="CV6">
        <f>SUMIFS(T_TTAFCallOff[PCS],T_TTAFCallOff[Part Name],$A6,T_TTAFCallOff[WeekIndex],99)</f>
        <v/>
      </c>
      <c r="CW6">
        <f>SUMIFS(T_TTAFCallOff[PCS],T_TTAFCallOff[Part Name],$A6,T_TTAFCallOff[WeekIndex],100)</f>
        <v/>
      </c>
      <c r="CX6">
        <f>SUMIFS(T_TTAFCallOff[PCS],T_TTAFCallOff[Part Name],$A6,T_TTAFCallOff[WeekIndex],101)</f>
        <v/>
      </c>
      <c r="CY6">
        <f>SUMIFS(T_TTAFCallOff[PCS],T_TTAFCallOff[Part Name],$A6,T_TTAFCallOff[WeekIndex],102)</f>
        <v/>
      </c>
      <c r="CZ6">
        <f>SUMIFS(T_TTAFCallOff[PCS],T_TTAFCallOff[Part Name],$A6,T_TTAFCallOff[WeekIndex],103)</f>
        <v/>
      </c>
      <c r="DA6">
        <f>SUMIFS(T_TTAFCallOff[PCS],T_TTAFCallOff[Part Name],$A6,T_TTAFCallOff[WeekIndex],104)</f>
        <v/>
      </c>
    </row>
    <row r="7">
      <c r="A7" t="inlineStr">
        <is>
          <t>CHEM-1540</t>
        </is>
      </c>
      <c r="B7">
        <f>SUMIFS(T_TTAFCallOff[PCS],T_TTAFCallOff[Part Name],$A7,T_TTAFCallOff[WeekIndex],1)</f>
        <v/>
      </c>
      <c r="C7">
        <f>SUMIFS(T_TTAFCallOff[PCS],T_TTAFCallOff[Part Name],$A7,T_TTAFCallOff[WeekIndex],2)</f>
        <v/>
      </c>
      <c r="D7">
        <f>SUMIFS(T_TTAFCallOff[PCS],T_TTAFCallOff[Part Name],$A7,T_TTAFCallOff[WeekIndex],3)</f>
        <v/>
      </c>
      <c r="E7">
        <f>SUMIFS(T_TTAFCallOff[PCS],T_TTAFCallOff[Part Name],$A7,T_TTAFCallOff[WeekIndex],4)</f>
        <v/>
      </c>
      <c r="F7">
        <f>SUMIFS(T_TTAFCallOff[PCS],T_TTAFCallOff[Part Name],$A7,T_TTAFCallOff[WeekIndex],5)</f>
        <v/>
      </c>
      <c r="G7">
        <f>SUMIFS(T_TTAFCallOff[PCS],T_TTAFCallOff[Part Name],$A7,T_TTAFCallOff[WeekIndex],6)</f>
        <v/>
      </c>
      <c r="H7">
        <f>SUMIFS(T_TTAFCallOff[PCS],T_TTAFCallOff[Part Name],$A7,T_TTAFCallOff[WeekIndex],7)</f>
        <v/>
      </c>
      <c r="I7">
        <f>SUMIFS(T_TTAFCallOff[PCS],T_TTAFCallOff[Part Name],$A7,T_TTAFCallOff[WeekIndex],8)</f>
        <v/>
      </c>
      <c r="J7">
        <f>SUMIFS(T_TTAFCallOff[PCS],T_TTAFCallOff[Part Name],$A7,T_TTAFCallOff[WeekIndex],9)</f>
        <v/>
      </c>
      <c r="K7">
        <f>SUMIFS(T_TTAFCallOff[PCS],T_TTAFCallOff[Part Name],$A7,T_TTAFCallOff[WeekIndex],10)</f>
        <v/>
      </c>
      <c r="L7">
        <f>SUMIFS(T_TTAFCallOff[PCS],T_TTAFCallOff[Part Name],$A7,T_TTAFCallOff[WeekIndex],11)</f>
        <v/>
      </c>
      <c r="M7">
        <f>SUMIFS(T_TTAFCallOff[PCS],T_TTAFCallOff[Part Name],$A7,T_TTAFCallOff[WeekIndex],12)</f>
        <v/>
      </c>
      <c r="N7">
        <f>SUMIFS(T_TTAFCallOff[PCS],T_TTAFCallOff[Part Name],$A7,T_TTAFCallOff[WeekIndex],13)</f>
        <v/>
      </c>
      <c r="O7">
        <f>SUMIFS(T_TTAFCallOff[PCS],T_TTAFCallOff[Part Name],$A7,T_TTAFCallOff[WeekIndex],14)</f>
        <v/>
      </c>
      <c r="P7">
        <f>SUMIFS(T_TTAFCallOff[PCS],T_TTAFCallOff[Part Name],$A7,T_TTAFCallOff[WeekIndex],15)</f>
        <v/>
      </c>
      <c r="Q7">
        <f>SUMIFS(T_TTAFCallOff[PCS],T_TTAFCallOff[Part Name],$A7,T_TTAFCallOff[WeekIndex],16)</f>
        <v/>
      </c>
      <c r="R7">
        <f>SUMIFS(T_TTAFCallOff[PCS],T_TTAFCallOff[Part Name],$A7,T_TTAFCallOff[WeekIndex],17)</f>
        <v/>
      </c>
      <c r="S7">
        <f>SUMIFS(T_TTAFCallOff[PCS],T_TTAFCallOff[Part Name],$A7,T_TTAFCallOff[WeekIndex],18)</f>
        <v/>
      </c>
      <c r="T7">
        <f>SUMIFS(T_TTAFCallOff[PCS],T_TTAFCallOff[Part Name],$A7,T_TTAFCallOff[WeekIndex],19)</f>
        <v/>
      </c>
      <c r="U7">
        <f>SUMIFS(T_TTAFCallOff[PCS],T_TTAFCallOff[Part Name],$A7,T_TTAFCallOff[WeekIndex],20)</f>
        <v/>
      </c>
      <c r="V7">
        <f>SUMIFS(T_TTAFCallOff[PCS],T_TTAFCallOff[Part Name],$A7,T_TTAFCallOff[WeekIndex],21)</f>
        <v/>
      </c>
      <c r="W7">
        <f>SUMIFS(T_TTAFCallOff[PCS],T_TTAFCallOff[Part Name],$A7,T_TTAFCallOff[WeekIndex],22)</f>
        <v/>
      </c>
      <c r="X7">
        <f>SUMIFS(T_TTAFCallOff[PCS],T_TTAFCallOff[Part Name],$A7,T_TTAFCallOff[WeekIndex],23)</f>
        <v/>
      </c>
      <c r="Y7">
        <f>SUMIFS(T_TTAFCallOff[PCS],T_TTAFCallOff[Part Name],$A7,T_TTAFCallOff[WeekIndex],24)</f>
        <v/>
      </c>
      <c r="Z7">
        <f>SUMIFS(T_TTAFCallOff[PCS],T_TTAFCallOff[Part Name],$A7,T_TTAFCallOff[WeekIndex],25)</f>
        <v/>
      </c>
      <c r="AA7">
        <f>SUMIFS(T_TTAFCallOff[PCS],T_TTAFCallOff[Part Name],$A7,T_TTAFCallOff[WeekIndex],26)</f>
        <v/>
      </c>
      <c r="AB7">
        <f>SUMIFS(T_TTAFCallOff[PCS],T_TTAFCallOff[Part Name],$A7,T_TTAFCallOff[WeekIndex],27)</f>
        <v/>
      </c>
      <c r="AC7">
        <f>SUMIFS(T_TTAFCallOff[PCS],T_TTAFCallOff[Part Name],$A7,T_TTAFCallOff[WeekIndex],28)</f>
        <v/>
      </c>
      <c r="AD7">
        <f>SUMIFS(T_TTAFCallOff[PCS],T_TTAFCallOff[Part Name],$A7,T_TTAFCallOff[WeekIndex],29)</f>
        <v/>
      </c>
      <c r="AE7">
        <f>SUMIFS(T_TTAFCallOff[PCS],T_TTAFCallOff[Part Name],$A7,T_TTAFCallOff[WeekIndex],30)</f>
        <v/>
      </c>
      <c r="AF7">
        <f>SUMIFS(T_TTAFCallOff[PCS],T_TTAFCallOff[Part Name],$A7,T_TTAFCallOff[WeekIndex],31)</f>
        <v/>
      </c>
      <c r="AG7">
        <f>SUMIFS(T_TTAFCallOff[PCS],T_TTAFCallOff[Part Name],$A7,T_TTAFCallOff[WeekIndex],32)</f>
        <v/>
      </c>
      <c r="AH7">
        <f>SUMIFS(T_TTAFCallOff[PCS],T_TTAFCallOff[Part Name],$A7,T_TTAFCallOff[WeekIndex],33)</f>
        <v/>
      </c>
      <c r="AI7">
        <f>SUMIFS(T_TTAFCallOff[PCS],T_TTAFCallOff[Part Name],$A7,T_TTAFCallOff[WeekIndex],34)</f>
        <v/>
      </c>
      <c r="AJ7">
        <f>SUMIFS(T_TTAFCallOff[PCS],T_TTAFCallOff[Part Name],$A7,T_TTAFCallOff[WeekIndex],35)</f>
        <v/>
      </c>
      <c r="AK7">
        <f>SUMIFS(T_TTAFCallOff[PCS],T_TTAFCallOff[Part Name],$A7,T_TTAFCallOff[WeekIndex],36)</f>
        <v/>
      </c>
      <c r="AL7">
        <f>SUMIFS(T_TTAFCallOff[PCS],T_TTAFCallOff[Part Name],$A7,T_TTAFCallOff[WeekIndex],37)</f>
        <v/>
      </c>
      <c r="AM7">
        <f>SUMIFS(T_TTAFCallOff[PCS],T_TTAFCallOff[Part Name],$A7,T_TTAFCallOff[WeekIndex],38)</f>
        <v/>
      </c>
      <c r="AN7">
        <f>SUMIFS(T_TTAFCallOff[PCS],T_TTAFCallOff[Part Name],$A7,T_TTAFCallOff[WeekIndex],39)</f>
        <v/>
      </c>
      <c r="AO7">
        <f>SUMIFS(T_TTAFCallOff[PCS],T_TTAFCallOff[Part Name],$A7,T_TTAFCallOff[WeekIndex],40)</f>
        <v/>
      </c>
      <c r="AP7">
        <f>SUMIFS(T_TTAFCallOff[PCS],T_TTAFCallOff[Part Name],$A7,T_TTAFCallOff[WeekIndex],41)</f>
        <v/>
      </c>
      <c r="AQ7">
        <f>SUMIFS(T_TTAFCallOff[PCS],T_TTAFCallOff[Part Name],$A7,T_TTAFCallOff[WeekIndex],42)</f>
        <v/>
      </c>
      <c r="AR7">
        <f>SUMIFS(T_TTAFCallOff[PCS],T_TTAFCallOff[Part Name],$A7,T_TTAFCallOff[WeekIndex],43)</f>
        <v/>
      </c>
      <c r="AS7">
        <f>SUMIFS(T_TTAFCallOff[PCS],T_TTAFCallOff[Part Name],$A7,T_TTAFCallOff[WeekIndex],44)</f>
        <v/>
      </c>
      <c r="AT7">
        <f>SUMIFS(T_TTAFCallOff[PCS],T_TTAFCallOff[Part Name],$A7,T_TTAFCallOff[WeekIndex],45)</f>
        <v/>
      </c>
      <c r="AU7">
        <f>SUMIFS(T_TTAFCallOff[PCS],T_TTAFCallOff[Part Name],$A7,T_TTAFCallOff[WeekIndex],46)</f>
        <v/>
      </c>
      <c r="AV7">
        <f>SUMIFS(T_TTAFCallOff[PCS],T_TTAFCallOff[Part Name],$A7,T_TTAFCallOff[WeekIndex],47)</f>
        <v/>
      </c>
      <c r="AW7">
        <f>SUMIFS(T_TTAFCallOff[PCS],T_TTAFCallOff[Part Name],$A7,T_TTAFCallOff[WeekIndex],48)</f>
        <v/>
      </c>
      <c r="AX7">
        <f>SUMIFS(T_TTAFCallOff[PCS],T_TTAFCallOff[Part Name],$A7,T_TTAFCallOff[WeekIndex],49)</f>
        <v/>
      </c>
      <c r="AY7">
        <f>SUMIFS(T_TTAFCallOff[PCS],T_TTAFCallOff[Part Name],$A7,T_TTAFCallOff[WeekIndex],50)</f>
        <v/>
      </c>
      <c r="AZ7">
        <f>SUMIFS(T_TTAFCallOff[PCS],T_TTAFCallOff[Part Name],$A7,T_TTAFCallOff[WeekIndex],51)</f>
        <v/>
      </c>
      <c r="BA7">
        <f>SUMIFS(T_TTAFCallOff[PCS],T_TTAFCallOff[Part Name],$A7,T_TTAFCallOff[WeekIndex],52)</f>
        <v/>
      </c>
      <c r="BB7">
        <f>SUMIFS(T_TTAFCallOff[PCS],T_TTAFCallOff[Part Name],$A7,T_TTAFCallOff[WeekIndex],53)</f>
        <v/>
      </c>
      <c r="BC7">
        <f>SUMIFS(T_TTAFCallOff[PCS],T_TTAFCallOff[Part Name],$A7,T_TTAFCallOff[WeekIndex],54)</f>
        <v/>
      </c>
      <c r="BD7">
        <f>SUMIFS(T_TTAFCallOff[PCS],T_TTAFCallOff[Part Name],$A7,T_TTAFCallOff[WeekIndex],55)</f>
        <v/>
      </c>
      <c r="BE7">
        <f>SUMIFS(T_TTAFCallOff[PCS],T_TTAFCallOff[Part Name],$A7,T_TTAFCallOff[WeekIndex],56)</f>
        <v/>
      </c>
      <c r="BF7">
        <f>SUMIFS(T_TTAFCallOff[PCS],T_TTAFCallOff[Part Name],$A7,T_TTAFCallOff[WeekIndex],57)</f>
        <v/>
      </c>
      <c r="BG7">
        <f>SUMIFS(T_TTAFCallOff[PCS],T_TTAFCallOff[Part Name],$A7,T_TTAFCallOff[WeekIndex],58)</f>
        <v/>
      </c>
      <c r="BH7">
        <f>SUMIFS(T_TTAFCallOff[PCS],T_TTAFCallOff[Part Name],$A7,T_TTAFCallOff[WeekIndex],59)</f>
        <v/>
      </c>
      <c r="BI7">
        <f>SUMIFS(T_TTAFCallOff[PCS],T_TTAFCallOff[Part Name],$A7,T_TTAFCallOff[WeekIndex],60)</f>
        <v/>
      </c>
      <c r="BJ7">
        <f>SUMIFS(T_TTAFCallOff[PCS],T_TTAFCallOff[Part Name],$A7,T_TTAFCallOff[WeekIndex],61)</f>
        <v/>
      </c>
      <c r="BK7">
        <f>SUMIFS(T_TTAFCallOff[PCS],T_TTAFCallOff[Part Name],$A7,T_TTAFCallOff[WeekIndex],62)</f>
        <v/>
      </c>
      <c r="BL7">
        <f>SUMIFS(T_TTAFCallOff[PCS],T_TTAFCallOff[Part Name],$A7,T_TTAFCallOff[WeekIndex],63)</f>
        <v/>
      </c>
      <c r="BM7">
        <f>SUMIFS(T_TTAFCallOff[PCS],T_TTAFCallOff[Part Name],$A7,T_TTAFCallOff[WeekIndex],64)</f>
        <v/>
      </c>
      <c r="BN7">
        <f>SUMIFS(T_TTAFCallOff[PCS],T_TTAFCallOff[Part Name],$A7,T_TTAFCallOff[WeekIndex],65)</f>
        <v/>
      </c>
      <c r="BO7">
        <f>SUMIFS(T_TTAFCallOff[PCS],T_TTAFCallOff[Part Name],$A7,T_TTAFCallOff[WeekIndex],66)</f>
        <v/>
      </c>
      <c r="BP7">
        <f>SUMIFS(T_TTAFCallOff[PCS],T_TTAFCallOff[Part Name],$A7,T_TTAFCallOff[WeekIndex],67)</f>
        <v/>
      </c>
      <c r="BQ7">
        <f>SUMIFS(T_TTAFCallOff[PCS],T_TTAFCallOff[Part Name],$A7,T_TTAFCallOff[WeekIndex],68)</f>
        <v/>
      </c>
      <c r="BR7">
        <f>SUMIFS(T_TTAFCallOff[PCS],T_TTAFCallOff[Part Name],$A7,T_TTAFCallOff[WeekIndex],69)</f>
        <v/>
      </c>
      <c r="BS7">
        <f>SUMIFS(T_TTAFCallOff[PCS],T_TTAFCallOff[Part Name],$A7,T_TTAFCallOff[WeekIndex],70)</f>
        <v/>
      </c>
      <c r="BT7">
        <f>SUMIFS(T_TTAFCallOff[PCS],T_TTAFCallOff[Part Name],$A7,T_TTAFCallOff[WeekIndex],71)</f>
        <v/>
      </c>
      <c r="BU7">
        <f>SUMIFS(T_TTAFCallOff[PCS],T_TTAFCallOff[Part Name],$A7,T_TTAFCallOff[WeekIndex],72)</f>
        <v/>
      </c>
      <c r="BV7">
        <f>SUMIFS(T_TTAFCallOff[PCS],T_TTAFCallOff[Part Name],$A7,T_TTAFCallOff[WeekIndex],73)</f>
        <v/>
      </c>
      <c r="BW7">
        <f>SUMIFS(T_TTAFCallOff[PCS],T_TTAFCallOff[Part Name],$A7,T_TTAFCallOff[WeekIndex],74)</f>
        <v/>
      </c>
      <c r="BX7">
        <f>SUMIFS(T_TTAFCallOff[PCS],T_TTAFCallOff[Part Name],$A7,T_TTAFCallOff[WeekIndex],75)</f>
        <v/>
      </c>
      <c r="BY7">
        <f>SUMIFS(T_TTAFCallOff[PCS],T_TTAFCallOff[Part Name],$A7,T_TTAFCallOff[WeekIndex],76)</f>
        <v/>
      </c>
      <c r="BZ7">
        <f>SUMIFS(T_TTAFCallOff[PCS],T_TTAFCallOff[Part Name],$A7,T_TTAFCallOff[WeekIndex],77)</f>
        <v/>
      </c>
      <c r="CA7">
        <f>SUMIFS(T_TTAFCallOff[PCS],T_TTAFCallOff[Part Name],$A7,T_TTAFCallOff[WeekIndex],78)</f>
        <v/>
      </c>
      <c r="CB7">
        <f>SUMIFS(T_TTAFCallOff[PCS],T_TTAFCallOff[Part Name],$A7,T_TTAFCallOff[WeekIndex],79)</f>
        <v/>
      </c>
      <c r="CC7">
        <f>SUMIFS(T_TTAFCallOff[PCS],T_TTAFCallOff[Part Name],$A7,T_TTAFCallOff[WeekIndex],80)</f>
        <v/>
      </c>
      <c r="CD7">
        <f>SUMIFS(T_TTAFCallOff[PCS],T_TTAFCallOff[Part Name],$A7,T_TTAFCallOff[WeekIndex],81)</f>
        <v/>
      </c>
      <c r="CE7">
        <f>SUMIFS(T_TTAFCallOff[PCS],T_TTAFCallOff[Part Name],$A7,T_TTAFCallOff[WeekIndex],82)</f>
        <v/>
      </c>
      <c r="CF7">
        <f>SUMIFS(T_TTAFCallOff[PCS],T_TTAFCallOff[Part Name],$A7,T_TTAFCallOff[WeekIndex],83)</f>
        <v/>
      </c>
      <c r="CG7">
        <f>SUMIFS(T_TTAFCallOff[PCS],T_TTAFCallOff[Part Name],$A7,T_TTAFCallOff[WeekIndex],84)</f>
        <v/>
      </c>
      <c r="CH7">
        <f>SUMIFS(T_TTAFCallOff[PCS],T_TTAFCallOff[Part Name],$A7,T_TTAFCallOff[WeekIndex],85)</f>
        <v/>
      </c>
      <c r="CI7">
        <f>SUMIFS(T_TTAFCallOff[PCS],T_TTAFCallOff[Part Name],$A7,T_TTAFCallOff[WeekIndex],86)</f>
        <v/>
      </c>
      <c r="CJ7">
        <f>SUMIFS(T_TTAFCallOff[PCS],T_TTAFCallOff[Part Name],$A7,T_TTAFCallOff[WeekIndex],87)</f>
        <v/>
      </c>
      <c r="CK7">
        <f>SUMIFS(T_TTAFCallOff[PCS],T_TTAFCallOff[Part Name],$A7,T_TTAFCallOff[WeekIndex],88)</f>
        <v/>
      </c>
      <c r="CL7">
        <f>SUMIFS(T_TTAFCallOff[PCS],T_TTAFCallOff[Part Name],$A7,T_TTAFCallOff[WeekIndex],89)</f>
        <v/>
      </c>
      <c r="CM7">
        <f>SUMIFS(T_TTAFCallOff[PCS],T_TTAFCallOff[Part Name],$A7,T_TTAFCallOff[WeekIndex],90)</f>
        <v/>
      </c>
      <c r="CN7">
        <f>SUMIFS(T_TTAFCallOff[PCS],T_TTAFCallOff[Part Name],$A7,T_TTAFCallOff[WeekIndex],91)</f>
        <v/>
      </c>
      <c r="CO7">
        <f>SUMIFS(T_TTAFCallOff[PCS],T_TTAFCallOff[Part Name],$A7,T_TTAFCallOff[WeekIndex],92)</f>
        <v/>
      </c>
      <c r="CP7">
        <f>SUMIFS(T_TTAFCallOff[PCS],T_TTAFCallOff[Part Name],$A7,T_TTAFCallOff[WeekIndex],93)</f>
        <v/>
      </c>
      <c r="CQ7">
        <f>SUMIFS(T_TTAFCallOff[PCS],T_TTAFCallOff[Part Name],$A7,T_TTAFCallOff[WeekIndex],94)</f>
        <v/>
      </c>
      <c r="CR7">
        <f>SUMIFS(T_TTAFCallOff[PCS],T_TTAFCallOff[Part Name],$A7,T_TTAFCallOff[WeekIndex],95)</f>
        <v/>
      </c>
      <c r="CS7">
        <f>SUMIFS(T_TTAFCallOff[PCS],T_TTAFCallOff[Part Name],$A7,T_TTAFCallOff[WeekIndex],96)</f>
        <v/>
      </c>
      <c r="CT7">
        <f>SUMIFS(T_TTAFCallOff[PCS],T_TTAFCallOff[Part Name],$A7,T_TTAFCallOff[WeekIndex],97)</f>
        <v/>
      </c>
      <c r="CU7">
        <f>SUMIFS(T_TTAFCallOff[PCS],T_TTAFCallOff[Part Name],$A7,T_TTAFCallOff[WeekIndex],98)</f>
        <v/>
      </c>
      <c r="CV7">
        <f>SUMIFS(T_TTAFCallOff[PCS],T_TTAFCallOff[Part Name],$A7,T_TTAFCallOff[WeekIndex],99)</f>
        <v/>
      </c>
      <c r="CW7">
        <f>SUMIFS(T_TTAFCallOff[PCS],T_TTAFCallOff[Part Name],$A7,T_TTAFCallOff[WeekIndex],100)</f>
        <v/>
      </c>
      <c r="CX7">
        <f>SUMIFS(T_TTAFCallOff[PCS],T_TTAFCallOff[Part Name],$A7,T_TTAFCallOff[WeekIndex],101)</f>
        <v/>
      </c>
      <c r="CY7">
        <f>SUMIFS(T_TTAFCallOff[PCS],T_TTAFCallOff[Part Name],$A7,T_TTAFCallOff[WeekIndex],102)</f>
        <v/>
      </c>
      <c r="CZ7">
        <f>SUMIFS(T_TTAFCallOff[PCS],T_TTAFCallOff[Part Name],$A7,T_TTAFCallOff[WeekIndex],103)</f>
        <v/>
      </c>
      <c r="DA7">
        <f>SUMIFS(T_TTAFCallOff[PCS],T_TTAFCallOff[Part Name],$A7,T_TTAFCallOff[WeekIndex],104)</f>
        <v/>
      </c>
    </row>
    <row r="8">
      <c r="A8" t="inlineStr">
        <is>
          <t>CHEM-1690</t>
        </is>
      </c>
      <c r="B8">
        <f>SUMIFS(T_TTAFCallOff[PCS],T_TTAFCallOff[Part Name],$A8,T_TTAFCallOff[WeekIndex],1)</f>
        <v/>
      </c>
      <c r="C8">
        <f>SUMIFS(T_TTAFCallOff[PCS],T_TTAFCallOff[Part Name],$A8,T_TTAFCallOff[WeekIndex],2)</f>
        <v/>
      </c>
      <c r="D8">
        <f>SUMIFS(T_TTAFCallOff[PCS],T_TTAFCallOff[Part Name],$A8,T_TTAFCallOff[WeekIndex],3)</f>
        <v/>
      </c>
      <c r="E8">
        <f>SUMIFS(T_TTAFCallOff[PCS],T_TTAFCallOff[Part Name],$A8,T_TTAFCallOff[WeekIndex],4)</f>
        <v/>
      </c>
      <c r="F8">
        <f>SUMIFS(T_TTAFCallOff[PCS],T_TTAFCallOff[Part Name],$A8,T_TTAFCallOff[WeekIndex],5)</f>
        <v/>
      </c>
      <c r="G8">
        <f>SUMIFS(T_TTAFCallOff[PCS],T_TTAFCallOff[Part Name],$A8,T_TTAFCallOff[WeekIndex],6)</f>
        <v/>
      </c>
      <c r="H8">
        <f>SUMIFS(T_TTAFCallOff[PCS],T_TTAFCallOff[Part Name],$A8,T_TTAFCallOff[WeekIndex],7)</f>
        <v/>
      </c>
      <c r="I8">
        <f>SUMIFS(T_TTAFCallOff[PCS],T_TTAFCallOff[Part Name],$A8,T_TTAFCallOff[WeekIndex],8)</f>
        <v/>
      </c>
      <c r="J8">
        <f>SUMIFS(T_TTAFCallOff[PCS],T_TTAFCallOff[Part Name],$A8,T_TTAFCallOff[WeekIndex],9)</f>
        <v/>
      </c>
      <c r="K8">
        <f>SUMIFS(T_TTAFCallOff[PCS],T_TTAFCallOff[Part Name],$A8,T_TTAFCallOff[WeekIndex],10)</f>
        <v/>
      </c>
      <c r="L8">
        <f>SUMIFS(T_TTAFCallOff[PCS],T_TTAFCallOff[Part Name],$A8,T_TTAFCallOff[WeekIndex],11)</f>
        <v/>
      </c>
      <c r="M8">
        <f>SUMIFS(T_TTAFCallOff[PCS],T_TTAFCallOff[Part Name],$A8,T_TTAFCallOff[WeekIndex],12)</f>
        <v/>
      </c>
      <c r="N8">
        <f>SUMIFS(T_TTAFCallOff[PCS],T_TTAFCallOff[Part Name],$A8,T_TTAFCallOff[WeekIndex],13)</f>
        <v/>
      </c>
      <c r="O8">
        <f>SUMIFS(T_TTAFCallOff[PCS],T_TTAFCallOff[Part Name],$A8,T_TTAFCallOff[WeekIndex],14)</f>
        <v/>
      </c>
      <c r="P8">
        <f>SUMIFS(T_TTAFCallOff[PCS],T_TTAFCallOff[Part Name],$A8,T_TTAFCallOff[WeekIndex],15)</f>
        <v/>
      </c>
      <c r="Q8">
        <f>SUMIFS(T_TTAFCallOff[PCS],T_TTAFCallOff[Part Name],$A8,T_TTAFCallOff[WeekIndex],16)</f>
        <v/>
      </c>
      <c r="R8">
        <f>SUMIFS(T_TTAFCallOff[PCS],T_TTAFCallOff[Part Name],$A8,T_TTAFCallOff[WeekIndex],17)</f>
        <v/>
      </c>
      <c r="S8">
        <f>SUMIFS(T_TTAFCallOff[PCS],T_TTAFCallOff[Part Name],$A8,T_TTAFCallOff[WeekIndex],18)</f>
        <v/>
      </c>
      <c r="T8">
        <f>SUMIFS(T_TTAFCallOff[PCS],T_TTAFCallOff[Part Name],$A8,T_TTAFCallOff[WeekIndex],19)</f>
        <v/>
      </c>
      <c r="U8">
        <f>SUMIFS(T_TTAFCallOff[PCS],T_TTAFCallOff[Part Name],$A8,T_TTAFCallOff[WeekIndex],20)</f>
        <v/>
      </c>
      <c r="V8">
        <f>SUMIFS(T_TTAFCallOff[PCS],T_TTAFCallOff[Part Name],$A8,T_TTAFCallOff[WeekIndex],21)</f>
        <v/>
      </c>
      <c r="W8">
        <f>SUMIFS(T_TTAFCallOff[PCS],T_TTAFCallOff[Part Name],$A8,T_TTAFCallOff[WeekIndex],22)</f>
        <v/>
      </c>
      <c r="X8">
        <f>SUMIFS(T_TTAFCallOff[PCS],T_TTAFCallOff[Part Name],$A8,T_TTAFCallOff[WeekIndex],23)</f>
        <v/>
      </c>
      <c r="Y8">
        <f>SUMIFS(T_TTAFCallOff[PCS],T_TTAFCallOff[Part Name],$A8,T_TTAFCallOff[WeekIndex],24)</f>
        <v/>
      </c>
      <c r="Z8">
        <f>SUMIFS(T_TTAFCallOff[PCS],T_TTAFCallOff[Part Name],$A8,T_TTAFCallOff[WeekIndex],25)</f>
        <v/>
      </c>
      <c r="AA8">
        <f>SUMIFS(T_TTAFCallOff[PCS],T_TTAFCallOff[Part Name],$A8,T_TTAFCallOff[WeekIndex],26)</f>
        <v/>
      </c>
      <c r="AB8">
        <f>SUMIFS(T_TTAFCallOff[PCS],T_TTAFCallOff[Part Name],$A8,T_TTAFCallOff[WeekIndex],27)</f>
        <v/>
      </c>
      <c r="AC8">
        <f>SUMIFS(T_TTAFCallOff[PCS],T_TTAFCallOff[Part Name],$A8,T_TTAFCallOff[WeekIndex],28)</f>
        <v/>
      </c>
      <c r="AD8">
        <f>SUMIFS(T_TTAFCallOff[PCS],T_TTAFCallOff[Part Name],$A8,T_TTAFCallOff[WeekIndex],29)</f>
        <v/>
      </c>
      <c r="AE8">
        <f>SUMIFS(T_TTAFCallOff[PCS],T_TTAFCallOff[Part Name],$A8,T_TTAFCallOff[WeekIndex],30)</f>
        <v/>
      </c>
      <c r="AF8">
        <f>SUMIFS(T_TTAFCallOff[PCS],T_TTAFCallOff[Part Name],$A8,T_TTAFCallOff[WeekIndex],31)</f>
        <v/>
      </c>
      <c r="AG8">
        <f>SUMIFS(T_TTAFCallOff[PCS],T_TTAFCallOff[Part Name],$A8,T_TTAFCallOff[WeekIndex],32)</f>
        <v/>
      </c>
      <c r="AH8">
        <f>SUMIFS(T_TTAFCallOff[PCS],T_TTAFCallOff[Part Name],$A8,T_TTAFCallOff[WeekIndex],33)</f>
        <v/>
      </c>
      <c r="AI8">
        <f>SUMIFS(T_TTAFCallOff[PCS],T_TTAFCallOff[Part Name],$A8,T_TTAFCallOff[WeekIndex],34)</f>
        <v/>
      </c>
      <c r="AJ8">
        <f>SUMIFS(T_TTAFCallOff[PCS],T_TTAFCallOff[Part Name],$A8,T_TTAFCallOff[WeekIndex],35)</f>
        <v/>
      </c>
      <c r="AK8">
        <f>SUMIFS(T_TTAFCallOff[PCS],T_TTAFCallOff[Part Name],$A8,T_TTAFCallOff[WeekIndex],36)</f>
        <v/>
      </c>
      <c r="AL8">
        <f>SUMIFS(T_TTAFCallOff[PCS],T_TTAFCallOff[Part Name],$A8,T_TTAFCallOff[WeekIndex],37)</f>
        <v/>
      </c>
      <c r="AM8">
        <f>SUMIFS(T_TTAFCallOff[PCS],T_TTAFCallOff[Part Name],$A8,T_TTAFCallOff[WeekIndex],38)</f>
        <v/>
      </c>
      <c r="AN8">
        <f>SUMIFS(T_TTAFCallOff[PCS],T_TTAFCallOff[Part Name],$A8,T_TTAFCallOff[WeekIndex],39)</f>
        <v/>
      </c>
      <c r="AO8">
        <f>SUMIFS(T_TTAFCallOff[PCS],T_TTAFCallOff[Part Name],$A8,T_TTAFCallOff[WeekIndex],40)</f>
        <v/>
      </c>
      <c r="AP8">
        <f>SUMIFS(T_TTAFCallOff[PCS],T_TTAFCallOff[Part Name],$A8,T_TTAFCallOff[WeekIndex],41)</f>
        <v/>
      </c>
      <c r="AQ8">
        <f>SUMIFS(T_TTAFCallOff[PCS],T_TTAFCallOff[Part Name],$A8,T_TTAFCallOff[WeekIndex],42)</f>
        <v/>
      </c>
      <c r="AR8">
        <f>SUMIFS(T_TTAFCallOff[PCS],T_TTAFCallOff[Part Name],$A8,T_TTAFCallOff[WeekIndex],43)</f>
        <v/>
      </c>
      <c r="AS8">
        <f>SUMIFS(T_TTAFCallOff[PCS],T_TTAFCallOff[Part Name],$A8,T_TTAFCallOff[WeekIndex],44)</f>
        <v/>
      </c>
      <c r="AT8">
        <f>SUMIFS(T_TTAFCallOff[PCS],T_TTAFCallOff[Part Name],$A8,T_TTAFCallOff[WeekIndex],45)</f>
        <v/>
      </c>
      <c r="AU8">
        <f>SUMIFS(T_TTAFCallOff[PCS],T_TTAFCallOff[Part Name],$A8,T_TTAFCallOff[WeekIndex],46)</f>
        <v/>
      </c>
      <c r="AV8">
        <f>SUMIFS(T_TTAFCallOff[PCS],T_TTAFCallOff[Part Name],$A8,T_TTAFCallOff[WeekIndex],47)</f>
        <v/>
      </c>
      <c r="AW8">
        <f>SUMIFS(T_TTAFCallOff[PCS],T_TTAFCallOff[Part Name],$A8,T_TTAFCallOff[WeekIndex],48)</f>
        <v/>
      </c>
      <c r="AX8">
        <f>SUMIFS(T_TTAFCallOff[PCS],T_TTAFCallOff[Part Name],$A8,T_TTAFCallOff[WeekIndex],49)</f>
        <v/>
      </c>
      <c r="AY8">
        <f>SUMIFS(T_TTAFCallOff[PCS],T_TTAFCallOff[Part Name],$A8,T_TTAFCallOff[WeekIndex],50)</f>
        <v/>
      </c>
      <c r="AZ8">
        <f>SUMIFS(T_TTAFCallOff[PCS],T_TTAFCallOff[Part Name],$A8,T_TTAFCallOff[WeekIndex],51)</f>
        <v/>
      </c>
      <c r="BA8">
        <f>SUMIFS(T_TTAFCallOff[PCS],T_TTAFCallOff[Part Name],$A8,T_TTAFCallOff[WeekIndex],52)</f>
        <v/>
      </c>
      <c r="BB8">
        <f>SUMIFS(T_TTAFCallOff[PCS],T_TTAFCallOff[Part Name],$A8,T_TTAFCallOff[WeekIndex],53)</f>
        <v/>
      </c>
      <c r="BC8">
        <f>SUMIFS(T_TTAFCallOff[PCS],T_TTAFCallOff[Part Name],$A8,T_TTAFCallOff[WeekIndex],54)</f>
        <v/>
      </c>
      <c r="BD8">
        <f>SUMIFS(T_TTAFCallOff[PCS],T_TTAFCallOff[Part Name],$A8,T_TTAFCallOff[WeekIndex],55)</f>
        <v/>
      </c>
      <c r="BE8">
        <f>SUMIFS(T_TTAFCallOff[PCS],T_TTAFCallOff[Part Name],$A8,T_TTAFCallOff[WeekIndex],56)</f>
        <v/>
      </c>
      <c r="BF8">
        <f>SUMIFS(T_TTAFCallOff[PCS],T_TTAFCallOff[Part Name],$A8,T_TTAFCallOff[WeekIndex],57)</f>
        <v/>
      </c>
      <c r="BG8">
        <f>SUMIFS(T_TTAFCallOff[PCS],T_TTAFCallOff[Part Name],$A8,T_TTAFCallOff[WeekIndex],58)</f>
        <v/>
      </c>
      <c r="BH8">
        <f>SUMIFS(T_TTAFCallOff[PCS],T_TTAFCallOff[Part Name],$A8,T_TTAFCallOff[WeekIndex],59)</f>
        <v/>
      </c>
      <c r="BI8">
        <f>SUMIFS(T_TTAFCallOff[PCS],T_TTAFCallOff[Part Name],$A8,T_TTAFCallOff[WeekIndex],60)</f>
        <v/>
      </c>
      <c r="BJ8">
        <f>SUMIFS(T_TTAFCallOff[PCS],T_TTAFCallOff[Part Name],$A8,T_TTAFCallOff[WeekIndex],61)</f>
        <v/>
      </c>
      <c r="BK8">
        <f>SUMIFS(T_TTAFCallOff[PCS],T_TTAFCallOff[Part Name],$A8,T_TTAFCallOff[WeekIndex],62)</f>
        <v/>
      </c>
      <c r="BL8">
        <f>SUMIFS(T_TTAFCallOff[PCS],T_TTAFCallOff[Part Name],$A8,T_TTAFCallOff[WeekIndex],63)</f>
        <v/>
      </c>
      <c r="BM8">
        <f>SUMIFS(T_TTAFCallOff[PCS],T_TTAFCallOff[Part Name],$A8,T_TTAFCallOff[WeekIndex],64)</f>
        <v/>
      </c>
      <c r="BN8">
        <f>SUMIFS(T_TTAFCallOff[PCS],T_TTAFCallOff[Part Name],$A8,T_TTAFCallOff[WeekIndex],65)</f>
        <v/>
      </c>
      <c r="BO8">
        <f>SUMIFS(T_TTAFCallOff[PCS],T_TTAFCallOff[Part Name],$A8,T_TTAFCallOff[WeekIndex],66)</f>
        <v/>
      </c>
      <c r="BP8">
        <f>SUMIFS(T_TTAFCallOff[PCS],T_TTAFCallOff[Part Name],$A8,T_TTAFCallOff[WeekIndex],67)</f>
        <v/>
      </c>
      <c r="BQ8">
        <f>SUMIFS(T_TTAFCallOff[PCS],T_TTAFCallOff[Part Name],$A8,T_TTAFCallOff[WeekIndex],68)</f>
        <v/>
      </c>
      <c r="BR8">
        <f>SUMIFS(T_TTAFCallOff[PCS],T_TTAFCallOff[Part Name],$A8,T_TTAFCallOff[WeekIndex],69)</f>
        <v/>
      </c>
      <c r="BS8">
        <f>SUMIFS(T_TTAFCallOff[PCS],T_TTAFCallOff[Part Name],$A8,T_TTAFCallOff[WeekIndex],70)</f>
        <v/>
      </c>
      <c r="BT8">
        <f>SUMIFS(T_TTAFCallOff[PCS],T_TTAFCallOff[Part Name],$A8,T_TTAFCallOff[WeekIndex],71)</f>
        <v/>
      </c>
      <c r="BU8">
        <f>SUMIFS(T_TTAFCallOff[PCS],T_TTAFCallOff[Part Name],$A8,T_TTAFCallOff[WeekIndex],72)</f>
        <v/>
      </c>
      <c r="BV8">
        <f>SUMIFS(T_TTAFCallOff[PCS],T_TTAFCallOff[Part Name],$A8,T_TTAFCallOff[WeekIndex],73)</f>
        <v/>
      </c>
      <c r="BW8">
        <f>SUMIFS(T_TTAFCallOff[PCS],T_TTAFCallOff[Part Name],$A8,T_TTAFCallOff[WeekIndex],74)</f>
        <v/>
      </c>
      <c r="BX8">
        <f>SUMIFS(T_TTAFCallOff[PCS],T_TTAFCallOff[Part Name],$A8,T_TTAFCallOff[WeekIndex],75)</f>
        <v/>
      </c>
      <c r="BY8">
        <f>SUMIFS(T_TTAFCallOff[PCS],T_TTAFCallOff[Part Name],$A8,T_TTAFCallOff[WeekIndex],76)</f>
        <v/>
      </c>
      <c r="BZ8">
        <f>SUMIFS(T_TTAFCallOff[PCS],T_TTAFCallOff[Part Name],$A8,T_TTAFCallOff[WeekIndex],77)</f>
        <v/>
      </c>
      <c r="CA8">
        <f>SUMIFS(T_TTAFCallOff[PCS],T_TTAFCallOff[Part Name],$A8,T_TTAFCallOff[WeekIndex],78)</f>
        <v/>
      </c>
      <c r="CB8">
        <f>SUMIFS(T_TTAFCallOff[PCS],T_TTAFCallOff[Part Name],$A8,T_TTAFCallOff[WeekIndex],79)</f>
        <v/>
      </c>
      <c r="CC8">
        <f>SUMIFS(T_TTAFCallOff[PCS],T_TTAFCallOff[Part Name],$A8,T_TTAFCallOff[WeekIndex],80)</f>
        <v/>
      </c>
      <c r="CD8">
        <f>SUMIFS(T_TTAFCallOff[PCS],T_TTAFCallOff[Part Name],$A8,T_TTAFCallOff[WeekIndex],81)</f>
        <v/>
      </c>
      <c r="CE8">
        <f>SUMIFS(T_TTAFCallOff[PCS],T_TTAFCallOff[Part Name],$A8,T_TTAFCallOff[WeekIndex],82)</f>
        <v/>
      </c>
      <c r="CF8">
        <f>SUMIFS(T_TTAFCallOff[PCS],T_TTAFCallOff[Part Name],$A8,T_TTAFCallOff[WeekIndex],83)</f>
        <v/>
      </c>
      <c r="CG8">
        <f>SUMIFS(T_TTAFCallOff[PCS],T_TTAFCallOff[Part Name],$A8,T_TTAFCallOff[WeekIndex],84)</f>
        <v/>
      </c>
      <c r="CH8">
        <f>SUMIFS(T_TTAFCallOff[PCS],T_TTAFCallOff[Part Name],$A8,T_TTAFCallOff[WeekIndex],85)</f>
        <v/>
      </c>
      <c r="CI8">
        <f>SUMIFS(T_TTAFCallOff[PCS],T_TTAFCallOff[Part Name],$A8,T_TTAFCallOff[WeekIndex],86)</f>
        <v/>
      </c>
      <c r="CJ8">
        <f>SUMIFS(T_TTAFCallOff[PCS],T_TTAFCallOff[Part Name],$A8,T_TTAFCallOff[WeekIndex],87)</f>
        <v/>
      </c>
      <c r="CK8">
        <f>SUMIFS(T_TTAFCallOff[PCS],T_TTAFCallOff[Part Name],$A8,T_TTAFCallOff[WeekIndex],88)</f>
        <v/>
      </c>
      <c r="CL8">
        <f>SUMIFS(T_TTAFCallOff[PCS],T_TTAFCallOff[Part Name],$A8,T_TTAFCallOff[WeekIndex],89)</f>
        <v/>
      </c>
      <c r="CM8">
        <f>SUMIFS(T_TTAFCallOff[PCS],T_TTAFCallOff[Part Name],$A8,T_TTAFCallOff[WeekIndex],90)</f>
        <v/>
      </c>
      <c r="CN8">
        <f>SUMIFS(T_TTAFCallOff[PCS],T_TTAFCallOff[Part Name],$A8,T_TTAFCallOff[WeekIndex],91)</f>
        <v/>
      </c>
      <c r="CO8">
        <f>SUMIFS(T_TTAFCallOff[PCS],T_TTAFCallOff[Part Name],$A8,T_TTAFCallOff[WeekIndex],92)</f>
        <v/>
      </c>
      <c r="CP8">
        <f>SUMIFS(T_TTAFCallOff[PCS],T_TTAFCallOff[Part Name],$A8,T_TTAFCallOff[WeekIndex],93)</f>
        <v/>
      </c>
      <c r="CQ8">
        <f>SUMIFS(T_TTAFCallOff[PCS],T_TTAFCallOff[Part Name],$A8,T_TTAFCallOff[WeekIndex],94)</f>
        <v/>
      </c>
      <c r="CR8">
        <f>SUMIFS(T_TTAFCallOff[PCS],T_TTAFCallOff[Part Name],$A8,T_TTAFCallOff[WeekIndex],95)</f>
        <v/>
      </c>
      <c r="CS8">
        <f>SUMIFS(T_TTAFCallOff[PCS],T_TTAFCallOff[Part Name],$A8,T_TTAFCallOff[WeekIndex],96)</f>
        <v/>
      </c>
      <c r="CT8">
        <f>SUMIFS(T_TTAFCallOff[PCS],T_TTAFCallOff[Part Name],$A8,T_TTAFCallOff[WeekIndex],97)</f>
        <v/>
      </c>
      <c r="CU8">
        <f>SUMIFS(T_TTAFCallOff[PCS],T_TTAFCallOff[Part Name],$A8,T_TTAFCallOff[WeekIndex],98)</f>
        <v/>
      </c>
      <c r="CV8">
        <f>SUMIFS(T_TTAFCallOff[PCS],T_TTAFCallOff[Part Name],$A8,T_TTAFCallOff[WeekIndex],99)</f>
        <v/>
      </c>
      <c r="CW8">
        <f>SUMIFS(T_TTAFCallOff[PCS],T_TTAFCallOff[Part Name],$A8,T_TTAFCallOff[WeekIndex],100)</f>
        <v/>
      </c>
      <c r="CX8">
        <f>SUMIFS(T_TTAFCallOff[PCS],T_TTAFCallOff[Part Name],$A8,T_TTAFCallOff[WeekIndex],101)</f>
        <v/>
      </c>
      <c r="CY8">
        <f>SUMIFS(T_TTAFCallOff[PCS],T_TTAFCallOff[Part Name],$A8,T_TTAFCallOff[WeekIndex],102)</f>
        <v/>
      </c>
      <c r="CZ8">
        <f>SUMIFS(T_TTAFCallOff[PCS],T_TTAFCallOff[Part Name],$A8,T_TTAFCallOff[WeekIndex],103)</f>
        <v/>
      </c>
      <c r="DA8">
        <f>SUMIFS(T_TTAFCallOff[PCS],T_TTAFCallOff[Part Name],$A8,T_TTAFCallOff[WeekIndex],104)</f>
        <v/>
      </c>
    </row>
    <row r="9">
      <c r="A9" t="inlineStr">
        <is>
          <t>CHEM-1720</t>
        </is>
      </c>
      <c r="B9">
        <f>SUMIFS(T_TTAFCallOff[PCS],T_TTAFCallOff[Part Name],$A9,T_TTAFCallOff[WeekIndex],1)</f>
        <v/>
      </c>
      <c r="C9">
        <f>SUMIFS(T_TTAFCallOff[PCS],T_TTAFCallOff[Part Name],$A9,T_TTAFCallOff[WeekIndex],2)</f>
        <v/>
      </c>
      <c r="D9">
        <f>SUMIFS(T_TTAFCallOff[PCS],T_TTAFCallOff[Part Name],$A9,T_TTAFCallOff[WeekIndex],3)</f>
        <v/>
      </c>
      <c r="E9">
        <f>SUMIFS(T_TTAFCallOff[PCS],T_TTAFCallOff[Part Name],$A9,T_TTAFCallOff[WeekIndex],4)</f>
        <v/>
      </c>
      <c r="F9">
        <f>SUMIFS(T_TTAFCallOff[PCS],T_TTAFCallOff[Part Name],$A9,T_TTAFCallOff[WeekIndex],5)</f>
        <v/>
      </c>
      <c r="G9">
        <f>SUMIFS(T_TTAFCallOff[PCS],T_TTAFCallOff[Part Name],$A9,T_TTAFCallOff[WeekIndex],6)</f>
        <v/>
      </c>
      <c r="H9">
        <f>SUMIFS(T_TTAFCallOff[PCS],T_TTAFCallOff[Part Name],$A9,T_TTAFCallOff[WeekIndex],7)</f>
        <v/>
      </c>
      <c r="I9">
        <f>SUMIFS(T_TTAFCallOff[PCS],T_TTAFCallOff[Part Name],$A9,T_TTAFCallOff[WeekIndex],8)</f>
        <v/>
      </c>
      <c r="J9">
        <f>SUMIFS(T_TTAFCallOff[PCS],T_TTAFCallOff[Part Name],$A9,T_TTAFCallOff[WeekIndex],9)</f>
        <v/>
      </c>
      <c r="K9">
        <f>SUMIFS(T_TTAFCallOff[PCS],T_TTAFCallOff[Part Name],$A9,T_TTAFCallOff[WeekIndex],10)</f>
        <v/>
      </c>
      <c r="L9">
        <f>SUMIFS(T_TTAFCallOff[PCS],T_TTAFCallOff[Part Name],$A9,T_TTAFCallOff[WeekIndex],11)</f>
        <v/>
      </c>
      <c r="M9">
        <f>SUMIFS(T_TTAFCallOff[PCS],T_TTAFCallOff[Part Name],$A9,T_TTAFCallOff[WeekIndex],12)</f>
        <v/>
      </c>
      <c r="N9">
        <f>SUMIFS(T_TTAFCallOff[PCS],T_TTAFCallOff[Part Name],$A9,T_TTAFCallOff[WeekIndex],13)</f>
        <v/>
      </c>
      <c r="O9">
        <f>SUMIFS(T_TTAFCallOff[PCS],T_TTAFCallOff[Part Name],$A9,T_TTAFCallOff[WeekIndex],14)</f>
        <v/>
      </c>
      <c r="P9">
        <f>SUMIFS(T_TTAFCallOff[PCS],T_TTAFCallOff[Part Name],$A9,T_TTAFCallOff[WeekIndex],15)</f>
        <v/>
      </c>
      <c r="Q9">
        <f>SUMIFS(T_TTAFCallOff[PCS],T_TTAFCallOff[Part Name],$A9,T_TTAFCallOff[WeekIndex],16)</f>
        <v/>
      </c>
      <c r="R9">
        <f>SUMIFS(T_TTAFCallOff[PCS],T_TTAFCallOff[Part Name],$A9,T_TTAFCallOff[WeekIndex],17)</f>
        <v/>
      </c>
      <c r="S9">
        <f>SUMIFS(T_TTAFCallOff[PCS],T_TTAFCallOff[Part Name],$A9,T_TTAFCallOff[WeekIndex],18)</f>
        <v/>
      </c>
      <c r="T9">
        <f>SUMIFS(T_TTAFCallOff[PCS],T_TTAFCallOff[Part Name],$A9,T_TTAFCallOff[WeekIndex],19)</f>
        <v/>
      </c>
      <c r="U9">
        <f>SUMIFS(T_TTAFCallOff[PCS],T_TTAFCallOff[Part Name],$A9,T_TTAFCallOff[WeekIndex],20)</f>
        <v/>
      </c>
      <c r="V9">
        <f>SUMIFS(T_TTAFCallOff[PCS],T_TTAFCallOff[Part Name],$A9,T_TTAFCallOff[WeekIndex],21)</f>
        <v/>
      </c>
      <c r="W9">
        <f>SUMIFS(T_TTAFCallOff[PCS],T_TTAFCallOff[Part Name],$A9,T_TTAFCallOff[WeekIndex],22)</f>
        <v/>
      </c>
      <c r="X9">
        <f>SUMIFS(T_TTAFCallOff[PCS],T_TTAFCallOff[Part Name],$A9,T_TTAFCallOff[WeekIndex],23)</f>
        <v/>
      </c>
      <c r="Y9">
        <f>SUMIFS(T_TTAFCallOff[PCS],T_TTAFCallOff[Part Name],$A9,T_TTAFCallOff[WeekIndex],24)</f>
        <v/>
      </c>
      <c r="Z9">
        <f>SUMIFS(T_TTAFCallOff[PCS],T_TTAFCallOff[Part Name],$A9,T_TTAFCallOff[WeekIndex],25)</f>
        <v/>
      </c>
      <c r="AA9">
        <f>SUMIFS(T_TTAFCallOff[PCS],T_TTAFCallOff[Part Name],$A9,T_TTAFCallOff[WeekIndex],26)</f>
        <v/>
      </c>
      <c r="AB9">
        <f>SUMIFS(T_TTAFCallOff[PCS],T_TTAFCallOff[Part Name],$A9,T_TTAFCallOff[WeekIndex],27)</f>
        <v/>
      </c>
      <c r="AC9">
        <f>SUMIFS(T_TTAFCallOff[PCS],T_TTAFCallOff[Part Name],$A9,T_TTAFCallOff[WeekIndex],28)</f>
        <v/>
      </c>
      <c r="AD9">
        <f>SUMIFS(T_TTAFCallOff[PCS],T_TTAFCallOff[Part Name],$A9,T_TTAFCallOff[WeekIndex],29)</f>
        <v/>
      </c>
      <c r="AE9">
        <f>SUMIFS(T_TTAFCallOff[PCS],T_TTAFCallOff[Part Name],$A9,T_TTAFCallOff[WeekIndex],30)</f>
        <v/>
      </c>
      <c r="AF9">
        <f>SUMIFS(T_TTAFCallOff[PCS],T_TTAFCallOff[Part Name],$A9,T_TTAFCallOff[WeekIndex],31)</f>
        <v/>
      </c>
      <c r="AG9">
        <f>SUMIFS(T_TTAFCallOff[PCS],T_TTAFCallOff[Part Name],$A9,T_TTAFCallOff[WeekIndex],32)</f>
        <v/>
      </c>
      <c r="AH9">
        <f>SUMIFS(T_TTAFCallOff[PCS],T_TTAFCallOff[Part Name],$A9,T_TTAFCallOff[WeekIndex],33)</f>
        <v/>
      </c>
      <c r="AI9">
        <f>SUMIFS(T_TTAFCallOff[PCS],T_TTAFCallOff[Part Name],$A9,T_TTAFCallOff[WeekIndex],34)</f>
        <v/>
      </c>
      <c r="AJ9">
        <f>SUMIFS(T_TTAFCallOff[PCS],T_TTAFCallOff[Part Name],$A9,T_TTAFCallOff[WeekIndex],35)</f>
        <v/>
      </c>
      <c r="AK9">
        <f>SUMIFS(T_TTAFCallOff[PCS],T_TTAFCallOff[Part Name],$A9,T_TTAFCallOff[WeekIndex],36)</f>
        <v/>
      </c>
      <c r="AL9">
        <f>SUMIFS(T_TTAFCallOff[PCS],T_TTAFCallOff[Part Name],$A9,T_TTAFCallOff[WeekIndex],37)</f>
        <v/>
      </c>
      <c r="AM9">
        <f>SUMIFS(T_TTAFCallOff[PCS],T_TTAFCallOff[Part Name],$A9,T_TTAFCallOff[WeekIndex],38)</f>
        <v/>
      </c>
      <c r="AN9">
        <f>SUMIFS(T_TTAFCallOff[PCS],T_TTAFCallOff[Part Name],$A9,T_TTAFCallOff[WeekIndex],39)</f>
        <v/>
      </c>
      <c r="AO9">
        <f>SUMIFS(T_TTAFCallOff[PCS],T_TTAFCallOff[Part Name],$A9,T_TTAFCallOff[WeekIndex],40)</f>
        <v/>
      </c>
      <c r="AP9">
        <f>SUMIFS(T_TTAFCallOff[PCS],T_TTAFCallOff[Part Name],$A9,T_TTAFCallOff[WeekIndex],41)</f>
        <v/>
      </c>
      <c r="AQ9">
        <f>SUMIFS(T_TTAFCallOff[PCS],T_TTAFCallOff[Part Name],$A9,T_TTAFCallOff[WeekIndex],42)</f>
        <v/>
      </c>
      <c r="AR9">
        <f>SUMIFS(T_TTAFCallOff[PCS],T_TTAFCallOff[Part Name],$A9,T_TTAFCallOff[WeekIndex],43)</f>
        <v/>
      </c>
      <c r="AS9">
        <f>SUMIFS(T_TTAFCallOff[PCS],T_TTAFCallOff[Part Name],$A9,T_TTAFCallOff[WeekIndex],44)</f>
        <v/>
      </c>
      <c r="AT9">
        <f>SUMIFS(T_TTAFCallOff[PCS],T_TTAFCallOff[Part Name],$A9,T_TTAFCallOff[WeekIndex],45)</f>
        <v/>
      </c>
      <c r="AU9">
        <f>SUMIFS(T_TTAFCallOff[PCS],T_TTAFCallOff[Part Name],$A9,T_TTAFCallOff[WeekIndex],46)</f>
        <v/>
      </c>
      <c r="AV9">
        <f>SUMIFS(T_TTAFCallOff[PCS],T_TTAFCallOff[Part Name],$A9,T_TTAFCallOff[WeekIndex],47)</f>
        <v/>
      </c>
      <c r="AW9">
        <f>SUMIFS(T_TTAFCallOff[PCS],T_TTAFCallOff[Part Name],$A9,T_TTAFCallOff[WeekIndex],48)</f>
        <v/>
      </c>
      <c r="AX9">
        <f>SUMIFS(T_TTAFCallOff[PCS],T_TTAFCallOff[Part Name],$A9,T_TTAFCallOff[WeekIndex],49)</f>
        <v/>
      </c>
      <c r="AY9">
        <f>SUMIFS(T_TTAFCallOff[PCS],T_TTAFCallOff[Part Name],$A9,T_TTAFCallOff[WeekIndex],50)</f>
        <v/>
      </c>
      <c r="AZ9">
        <f>SUMIFS(T_TTAFCallOff[PCS],T_TTAFCallOff[Part Name],$A9,T_TTAFCallOff[WeekIndex],51)</f>
        <v/>
      </c>
      <c r="BA9">
        <f>SUMIFS(T_TTAFCallOff[PCS],T_TTAFCallOff[Part Name],$A9,T_TTAFCallOff[WeekIndex],52)</f>
        <v/>
      </c>
      <c r="BB9">
        <f>SUMIFS(T_TTAFCallOff[PCS],T_TTAFCallOff[Part Name],$A9,T_TTAFCallOff[WeekIndex],53)</f>
        <v/>
      </c>
      <c r="BC9">
        <f>SUMIFS(T_TTAFCallOff[PCS],T_TTAFCallOff[Part Name],$A9,T_TTAFCallOff[WeekIndex],54)</f>
        <v/>
      </c>
      <c r="BD9">
        <f>SUMIFS(T_TTAFCallOff[PCS],T_TTAFCallOff[Part Name],$A9,T_TTAFCallOff[WeekIndex],55)</f>
        <v/>
      </c>
      <c r="BE9">
        <f>SUMIFS(T_TTAFCallOff[PCS],T_TTAFCallOff[Part Name],$A9,T_TTAFCallOff[WeekIndex],56)</f>
        <v/>
      </c>
      <c r="BF9">
        <f>SUMIFS(T_TTAFCallOff[PCS],T_TTAFCallOff[Part Name],$A9,T_TTAFCallOff[WeekIndex],57)</f>
        <v/>
      </c>
      <c r="BG9">
        <f>SUMIFS(T_TTAFCallOff[PCS],T_TTAFCallOff[Part Name],$A9,T_TTAFCallOff[WeekIndex],58)</f>
        <v/>
      </c>
      <c r="BH9">
        <f>SUMIFS(T_TTAFCallOff[PCS],T_TTAFCallOff[Part Name],$A9,T_TTAFCallOff[WeekIndex],59)</f>
        <v/>
      </c>
      <c r="BI9">
        <f>SUMIFS(T_TTAFCallOff[PCS],T_TTAFCallOff[Part Name],$A9,T_TTAFCallOff[WeekIndex],60)</f>
        <v/>
      </c>
      <c r="BJ9">
        <f>SUMIFS(T_TTAFCallOff[PCS],T_TTAFCallOff[Part Name],$A9,T_TTAFCallOff[WeekIndex],61)</f>
        <v/>
      </c>
      <c r="BK9">
        <f>SUMIFS(T_TTAFCallOff[PCS],T_TTAFCallOff[Part Name],$A9,T_TTAFCallOff[WeekIndex],62)</f>
        <v/>
      </c>
      <c r="BL9">
        <f>SUMIFS(T_TTAFCallOff[PCS],T_TTAFCallOff[Part Name],$A9,T_TTAFCallOff[WeekIndex],63)</f>
        <v/>
      </c>
      <c r="BM9">
        <f>SUMIFS(T_TTAFCallOff[PCS],T_TTAFCallOff[Part Name],$A9,T_TTAFCallOff[WeekIndex],64)</f>
        <v/>
      </c>
      <c r="BN9">
        <f>SUMIFS(T_TTAFCallOff[PCS],T_TTAFCallOff[Part Name],$A9,T_TTAFCallOff[WeekIndex],65)</f>
        <v/>
      </c>
      <c r="BO9">
        <f>SUMIFS(T_TTAFCallOff[PCS],T_TTAFCallOff[Part Name],$A9,T_TTAFCallOff[WeekIndex],66)</f>
        <v/>
      </c>
      <c r="BP9">
        <f>SUMIFS(T_TTAFCallOff[PCS],T_TTAFCallOff[Part Name],$A9,T_TTAFCallOff[WeekIndex],67)</f>
        <v/>
      </c>
      <c r="BQ9">
        <f>SUMIFS(T_TTAFCallOff[PCS],T_TTAFCallOff[Part Name],$A9,T_TTAFCallOff[WeekIndex],68)</f>
        <v/>
      </c>
      <c r="BR9">
        <f>SUMIFS(T_TTAFCallOff[PCS],T_TTAFCallOff[Part Name],$A9,T_TTAFCallOff[WeekIndex],69)</f>
        <v/>
      </c>
      <c r="BS9">
        <f>SUMIFS(T_TTAFCallOff[PCS],T_TTAFCallOff[Part Name],$A9,T_TTAFCallOff[WeekIndex],70)</f>
        <v/>
      </c>
      <c r="BT9">
        <f>SUMIFS(T_TTAFCallOff[PCS],T_TTAFCallOff[Part Name],$A9,T_TTAFCallOff[WeekIndex],71)</f>
        <v/>
      </c>
      <c r="BU9">
        <f>SUMIFS(T_TTAFCallOff[PCS],T_TTAFCallOff[Part Name],$A9,T_TTAFCallOff[WeekIndex],72)</f>
        <v/>
      </c>
      <c r="BV9">
        <f>SUMIFS(T_TTAFCallOff[PCS],T_TTAFCallOff[Part Name],$A9,T_TTAFCallOff[WeekIndex],73)</f>
        <v/>
      </c>
      <c r="BW9">
        <f>SUMIFS(T_TTAFCallOff[PCS],T_TTAFCallOff[Part Name],$A9,T_TTAFCallOff[WeekIndex],74)</f>
        <v/>
      </c>
      <c r="BX9">
        <f>SUMIFS(T_TTAFCallOff[PCS],T_TTAFCallOff[Part Name],$A9,T_TTAFCallOff[WeekIndex],75)</f>
        <v/>
      </c>
      <c r="BY9">
        <f>SUMIFS(T_TTAFCallOff[PCS],T_TTAFCallOff[Part Name],$A9,T_TTAFCallOff[WeekIndex],76)</f>
        <v/>
      </c>
      <c r="BZ9">
        <f>SUMIFS(T_TTAFCallOff[PCS],T_TTAFCallOff[Part Name],$A9,T_TTAFCallOff[WeekIndex],77)</f>
        <v/>
      </c>
      <c r="CA9">
        <f>SUMIFS(T_TTAFCallOff[PCS],T_TTAFCallOff[Part Name],$A9,T_TTAFCallOff[WeekIndex],78)</f>
        <v/>
      </c>
      <c r="CB9">
        <f>SUMIFS(T_TTAFCallOff[PCS],T_TTAFCallOff[Part Name],$A9,T_TTAFCallOff[WeekIndex],79)</f>
        <v/>
      </c>
      <c r="CC9">
        <f>SUMIFS(T_TTAFCallOff[PCS],T_TTAFCallOff[Part Name],$A9,T_TTAFCallOff[WeekIndex],80)</f>
        <v/>
      </c>
      <c r="CD9">
        <f>SUMIFS(T_TTAFCallOff[PCS],T_TTAFCallOff[Part Name],$A9,T_TTAFCallOff[WeekIndex],81)</f>
        <v/>
      </c>
      <c r="CE9">
        <f>SUMIFS(T_TTAFCallOff[PCS],T_TTAFCallOff[Part Name],$A9,T_TTAFCallOff[WeekIndex],82)</f>
        <v/>
      </c>
      <c r="CF9">
        <f>SUMIFS(T_TTAFCallOff[PCS],T_TTAFCallOff[Part Name],$A9,T_TTAFCallOff[WeekIndex],83)</f>
        <v/>
      </c>
      <c r="CG9">
        <f>SUMIFS(T_TTAFCallOff[PCS],T_TTAFCallOff[Part Name],$A9,T_TTAFCallOff[WeekIndex],84)</f>
        <v/>
      </c>
      <c r="CH9">
        <f>SUMIFS(T_TTAFCallOff[PCS],T_TTAFCallOff[Part Name],$A9,T_TTAFCallOff[WeekIndex],85)</f>
        <v/>
      </c>
      <c r="CI9">
        <f>SUMIFS(T_TTAFCallOff[PCS],T_TTAFCallOff[Part Name],$A9,T_TTAFCallOff[WeekIndex],86)</f>
        <v/>
      </c>
      <c r="CJ9">
        <f>SUMIFS(T_TTAFCallOff[PCS],T_TTAFCallOff[Part Name],$A9,T_TTAFCallOff[WeekIndex],87)</f>
        <v/>
      </c>
      <c r="CK9">
        <f>SUMIFS(T_TTAFCallOff[PCS],T_TTAFCallOff[Part Name],$A9,T_TTAFCallOff[WeekIndex],88)</f>
        <v/>
      </c>
      <c r="CL9">
        <f>SUMIFS(T_TTAFCallOff[PCS],T_TTAFCallOff[Part Name],$A9,T_TTAFCallOff[WeekIndex],89)</f>
        <v/>
      </c>
      <c r="CM9">
        <f>SUMIFS(T_TTAFCallOff[PCS],T_TTAFCallOff[Part Name],$A9,T_TTAFCallOff[WeekIndex],90)</f>
        <v/>
      </c>
      <c r="CN9">
        <f>SUMIFS(T_TTAFCallOff[PCS],T_TTAFCallOff[Part Name],$A9,T_TTAFCallOff[WeekIndex],91)</f>
        <v/>
      </c>
      <c r="CO9">
        <f>SUMIFS(T_TTAFCallOff[PCS],T_TTAFCallOff[Part Name],$A9,T_TTAFCallOff[WeekIndex],92)</f>
        <v/>
      </c>
      <c r="CP9">
        <f>SUMIFS(T_TTAFCallOff[PCS],T_TTAFCallOff[Part Name],$A9,T_TTAFCallOff[WeekIndex],93)</f>
        <v/>
      </c>
      <c r="CQ9">
        <f>SUMIFS(T_TTAFCallOff[PCS],T_TTAFCallOff[Part Name],$A9,T_TTAFCallOff[WeekIndex],94)</f>
        <v/>
      </c>
      <c r="CR9">
        <f>SUMIFS(T_TTAFCallOff[PCS],T_TTAFCallOff[Part Name],$A9,T_TTAFCallOff[WeekIndex],95)</f>
        <v/>
      </c>
      <c r="CS9">
        <f>SUMIFS(T_TTAFCallOff[PCS],T_TTAFCallOff[Part Name],$A9,T_TTAFCallOff[WeekIndex],96)</f>
        <v/>
      </c>
      <c r="CT9">
        <f>SUMIFS(T_TTAFCallOff[PCS],T_TTAFCallOff[Part Name],$A9,T_TTAFCallOff[WeekIndex],97)</f>
        <v/>
      </c>
      <c r="CU9">
        <f>SUMIFS(T_TTAFCallOff[PCS],T_TTAFCallOff[Part Name],$A9,T_TTAFCallOff[WeekIndex],98)</f>
        <v/>
      </c>
      <c r="CV9">
        <f>SUMIFS(T_TTAFCallOff[PCS],T_TTAFCallOff[Part Name],$A9,T_TTAFCallOff[WeekIndex],99)</f>
        <v/>
      </c>
      <c r="CW9">
        <f>SUMIFS(T_TTAFCallOff[PCS],T_TTAFCallOff[Part Name],$A9,T_TTAFCallOff[WeekIndex],100)</f>
        <v/>
      </c>
      <c r="CX9">
        <f>SUMIFS(T_TTAFCallOff[PCS],T_TTAFCallOff[Part Name],$A9,T_TTAFCallOff[WeekIndex],101)</f>
        <v/>
      </c>
      <c r="CY9">
        <f>SUMIFS(T_TTAFCallOff[PCS],T_TTAFCallOff[Part Name],$A9,T_TTAFCallOff[WeekIndex],102)</f>
        <v/>
      </c>
      <c r="CZ9">
        <f>SUMIFS(T_TTAFCallOff[PCS],T_TTAFCallOff[Part Name],$A9,T_TTAFCallOff[WeekIndex],103)</f>
        <v/>
      </c>
      <c r="DA9">
        <f>SUMIFS(T_TTAFCallOff[PCS],T_TTAFCallOff[Part Name],$A9,T_TTAFCallOff[WeekIndex],104)</f>
        <v/>
      </c>
    </row>
    <row r="10">
      <c r="A10" t="inlineStr">
        <is>
          <t>CHEM-1440</t>
        </is>
      </c>
      <c r="B10">
        <f>SUMIFS(T_TTAFCallOff[PCS],T_TTAFCallOff[Part Name],$A10,T_TTAFCallOff[WeekIndex],1)</f>
        <v/>
      </c>
      <c r="C10">
        <f>SUMIFS(T_TTAFCallOff[PCS],T_TTAFCallOff[Part Name],$A10,T_TTAFCallOff[WeekIndex],2)</f>
        <v/>
      </c>
      <c r="D10">
        <f>SUMIFS(T_TTAFCallOff[PCS],T_TTAFCallOff[Part Name],$A10,T_TTAFCallOff[WeekIndex],3)</f>
        <v/>
      </c>
      <c r="E10">
        <f>SUMIFS(T_TTAFCallOff[PCS],T_TTAFCallOff[Part Name],$A10,T_TTAFCallOff[WeekIndex],4)</f>
        <v/>
      </c>
      <c r="F10">
        <f>SUMIFS(T_TTAFCallOff[PCS],T_TTAFCallOff[Part Name],$A10,T_TTAFCallOff[WeekIndex],5)</f>
        <v/>
      </c>
      <c r="G10">
        <f>SUMIFS(T_TTAFCallOff[PCS],T_TTAFCallOff[Part Name],$A10,T_TTAFCallOff[WeekIndex],6)</f>
        <v/>
      </c>
      <c r="H10">
        <f>SUMIFS(T_TTAFCallOff[PCS],T_TTAFCallOff[Part Name],$A10,T_TTAFCallOff[WeekIndex],7)</f>
        <v/>
      </c>
      <c r="I10">
        <f>SUMIFS(T_TTAFCallOff[PCS],T_TTAFCallOff[Part Name],$A10,T_TTAFCallOff[WeekIndex],8)</f>
        <v/>
      </c>
      <c r="J10">
        <f>SUMIFS(T_TTAFCallOff[PCS],T_TTAFCallOff[Part Name],$A10,T_TTAFCallOff[WeekIndex],9)</f>
        <v/>
      </c>
      <c r="K10">
        <f>SUMIFS(T_TTAFCallOff[PCS],T_TTAFCallOff[Part Name],$A10,T_TTAFCallOff[WeekIndex],10)</f>
        <v/>
      </c>
      <c r="L10">
        <f>SUMIFS(T_TTAFCallOff[PCS],T_TTAFCallOff[Part Name],$A10,T_TTAFCallOff[WeekIndex],11)</f>
        <v/>
      </c>
      <c r="M10">
        <f>SUMIFS(T_TTAFCallOff[PCS],T_TTAFCallOff[Part Name],$A10,T_TTAFCallOff[WeekIndex],12)</f>
        <v/>
      </c>
      <c r="N10">
        <f>SUMIFS(T_TTAFCallOff[PCS],T_TTAFCallOff[Part Name],$A10,T_TTAFCallOff[WeekIndex],13)</f>
        <v/>
      </c>
      <c r="O10">
        <f>SUMIFS(T_TTAFCallOff[PCS],T_TTAFCallOff[Part Name],$A10,T_TTAFCallOff[WeekIndex],14)</f>
        <v/>
      </c>
      <c r="P10">
        <f>SUMIFS(T_TTAFCallOff[PCS],T_TTAFCallOff[Part Name],$A10,T_TTAFCallOff[WeekIndex],15)</f>
        <v/>
      </c>
      <c r="Q10">
        <f>SUMIFS(T_TTAFCallOff[PCS],T_TTAFCallOff[Part Name],$A10,T_TTAFCallOff[WeekIndex],16)</f>
        <v/>
      </c>
      <c r="R10">
        <f>SUMIFS(T_TTAFCallOff[PCS],T_TTAFCallOff[Part Name],$A10,T_TTAFCallOff[WeekIndex],17)</f>
        <v/>
      </c>
      <c r="S10">
        <f>SUMIFS(T_TTAFCallOff[PCS],T_TTAFCallOff[Part Name],$A10,T_TTAFCallOff[WeekIndex],18)</f>
        <v/>
      </c>
      <c r="T10">
        <f>SUMIFS(T_TTAFCallOff[PCS],T_TTAFCallOff[Part Name],$A10,T_TTAFCallOff[WeekIndex],19)</f>
        <v/>
      </c>
      <c r="U10">
        <f>SUMIFS(T_TTAFCallOff[PCS],T_TTAFCallOff[Part Name],$A10,T_TTAFCallOff[WeekIndex],20)</f>
        <v/>
      </c>
      <c r="V10">
        <f>SUMIFS(T_TTAFCallOff[PCS],T_TTAFCallOff[Part Name],$A10,T_TTAFCallOff[WeekIndex],21)</f>
        <v/>
      </c>
      <c r="W10">
        <f>SUMIFS(T_TTAFCallOff[PCS],T_TTAFCallOff[Part Name],$A10,T_TTAFCallOff[WeekIndex],22)</f>
        <v/>
      </c>
      <c r="X10">
        <f>SUMIFS(T_TTAFCallOff[PCS],T_TTAFCallOff[Part Name],$A10,T_TTAFCallOff[WeekIndex],23)</f>
        <v/>
      </c>
      <c r="Y10">
        <f>SUMIFS(T_TTAFCallOff[PCS],T_TTAFCallOff[Part Name],$A10,T_TTAFCallOff[WeekIndex],24)</f>
        <v/>
      </c>
      <c r="Z10">
        <f>SUMIFS(T_TTAFCallOff[PCS],T_TTAFCallOff[Part Name],$A10,T_TTAFCallOff[WeekIndex],25)</f>
        <v/>
      </c>
      <c r="AA10">
        <f>SUMIFS(T_TTAFCallOff[PCS],T_TTAFCallOff[Part Name],$A10,T_TTAFCallOff[WeekIndex],26)</f>
        <v/>
      </c>
      <c r="AB10">
        <f>SUMIFS(T_TTAFCallOff[PCS],T_TTAFCallOff[Part Name],$A10,T_TTAFCallOff[WeekIndex],27)</f>
        <v/>
      </c>
      <c r="AC10">
        <f>SUMIFS(T_TTAFCallOff[PCS],T_TTAFCallOff[Part Name],$A10,T_TTAFCallOff[WeekIndex],28)</f>
        <v/>
      </c>
      <c r="AD10">
        <f>SUMIFS(T_TTAFCallOff[PCS],T_TTAFCallOff[Part Name],$A10,T_TTAFCallOff[WeekIndex],29)</f>
        <v/>
      </c>
      <c r="AE10">
        <f>SUMIFS(T_TTAFCallOff[PCS],T_TTAFCallOff[Part Name],$A10,T_TTAFCallOff[WeekIndex],30)</f>
        <v/>
      </c>
      <c r="AF10">
        <f>SUMIFS(T_TTAFCallOff[PCS],T_TTAFCallOff[Part Name],$A10,T_TTAFCallOff[WeekIndex],31)</f>
        <v/>
      </c>
      <c r="AG10">
        <f>SUMIFS(T_TTAFCallOff[PCS],T_TTAFCallOff[Part Name],$A10,T_TTAFCallOff[WeekIndex],32)</f>
        <v/>
      </c>
      <c r="AH10">
        <f>SUMIFS(T_TTAFCallOff[PCS],T_TTAFCallOff[Part Name],$A10,T_TTAFCallOff[WeekIndex],33)</f>
        <v/>
      </c>
      <c r="AI10">
        <f>SUMIFS(T_TTAFCallOff[PCS],T_TTAFCallOff[Part Name],$A10,T_TTAFCallOff[WeekIndex],34)</f>
        <v/>
      </c>
      <c r="AJ10">
        <f>SUMIFS(T_TTAFCallOff[PCS],T_TTAFCallOff[Part Name],$A10,T_TTAFCallOff[WeekIndex],35)</f>
        <v/>
      </c>
      <c r="AK10">
        <f>SUMIFS(T_TTAFCallOff[PCS],T_TTAFCallOff[Part Name],$A10,T_TTAFCallOff[WeekIndex],36)</f>
        <v/>
      </c>
      <c r="AL10">
        <f>SUMIFS(T_TTAFCallOff[PCS],T_TTAFCallOff[Part Name],$A10,T_TTAFCallOff[WeekIndex],37)</f>
        <v/>
      </c>
      <c r="AM10">
        <f>SUMIFS(T_TTAFCallOff[PCS],T_TTAFCallOff[Part Name],$A10,T_TTAFCallOff[WeekIndex],38)</f>
        <v/>
      </c>
      <c r="AN10">
        <f>SUMIFS(T_TTAFCallOff[PCS],T_TTAFCallOff[Part Name],$A10,T_TTAFCallOff[WeekIndex],39)</f>
        <v/>
      </c>
      <c r="AO10">
        <f>SUMIFS(T_TTAFCallOff[PCS],T_TTAFCallOff[Part Name],$A10,T_TTAFCallOff[WeekIndex],40)</f>
        <v/>
      </c>
      <c r="AP10">
        <f>SUMIFS(T_TTAFCallOff[PCS],T_TTAFCallOff[Part Name],$A10,T_TTAFCallOff[WeekIndex],41)</f>
        <v/>
      </c>
      <c r="AQ10">
        <f>SUMIFS(T_TTAFCallOff[PCS],T_TTAFCallOff[Part Name],$A10,T_TTAFCallOff[WeekIndex],42)</f>
        <v/>
      </c>
      <c r="AR10">
        <f>SUMIFS(T_TTAFCallOff[PCS],T_TTAFCallOff[Part Name],$A10,T_TTAFCallOff[WeekIndex],43)</f>
        <v/>
      </c>
      <c r="AS10">
        <f>SUMIFS(T_TTAFCallOff[PCS],T_TTAFCallOff[Part Name],$A10,T_TTAFCallOff[WeekIndex],44)</f>
        <v/>
      </c>
      <c r="AT10">
        <f>SUMIFS(T_TTAFCallOff[PCS],T_TTAFCallOff[Part Name],$A10,T_TTAFCallOff[WeekIndex],45)</f>
        <v/>
      </c>
      <c r="AU10">
        <f>SUMIFS(T_TTAFCallOff[PCS],T_TTAFCallOff[Part Name],$A10,T_TTAFCallOff[WeekIndex],46)</f>
        <v/>
      </c>
      <c r="AV10">
        <f>SUMIFS(T_TTAFCallOff[PCS],T_TTAFCallOff[Part Name],$A10,T_TTAFCallOff[WeekIndex],47)</f>
        <v/>
      </c>
      <c r="AW10">
        <f>SUMIFS(T_TTAFCallOff[PCS],T_TTAFCallOff[Part Name],$A10,T_TTAFCallOff[WeekIndex],48)</f>
        <v/>
      </c>
      <c r="AX10">
        <f>SUMIFS(T_TTAFCallOff[PCS],T_TTAFCallOff[Part Name],$A10,T_TTAFCallOff[WeekIndex],49)</f>
        <v/>
      </c>
      <c r="AY10">
        <f>SUMIFS(T_TTAFCallOff[PCS],T_TTAFCallOff[Part Name],$A10,T_TTAFCallOff[WeekIndex],50)</f>
        <v/>
      </c>
      <c r="AZ10">
        <f>SUMIFS(T_TTAFCallOff[PCS],T_TTAFCallOff[Part Name],$A10,T_TTAFCallOff[WeekIndex],51)</f>
        <v/>
      </c>
      <c r="BA10">
        <f>SUMIFS(T_TTAFCallOff[PCS],T_TTAFCallOff[Part Name],$A10,T_TTAFCallOff[WeekIndex],52)</f>
        <v/>
      </c>
      <c r="BB10">
        <f>SUMIFS(T_TTAFCallOff[PCS],T_TTAFCallOff[Part Name],$A10,T_TTAFCallOff[WeekIndex],53)</f>
        <v/>
      </c>
      <c r="BC10">
        <f>SUMIFS(T_TTAFCallOff[PCS],T_TTAFCallOff[Part Name],$A10,T_TTAFCallOff[WeekIndex],54)</f>
        <v/>
      </c>
      <c r="BD10">
        <f>SUMIFS(T_TTAFCallOff[PCS],T_TTAFCallOff[Part Name],$A10,T_TTAFCallOff[WeekIndex],55)</f>
        <v/>
      </c>
      <c r="BE10">
        <f>SUMIFS(T_TTAFCallOff[PCS],T_TTAFCallOff[Part Name],$A10,T_TTAFCallOff[WeekIndex],56)</f>
        <v/>
      </c>
      <c r="BF10">
        <f>SUMIFS(T_TTAFCallOff[PCS],T_TTAFCallOff[Part Name],$A10,T_TTAFCallOff[WeekIndex],57)</f>
        <v/>
      </c>
      <c r="BG10">
        <f>SUMIFS(T_TTAFCallOff[PCS],T_TTAFCallOff[Part Name],$A10,T_TTAFCallOff[WeekIndex],58)</f>
        <v/>
      </c>
      <c r="BH10">
        <f>SUMIFS(T_TTAFCallOff[PCS],T_TTAFCallOff[Part Name],$A10,T_TTAFCallOff[WeekIndex],59)</f>
        <v/>
      </c>
      <c r="BI10">
        <f>SUMIFS(T_TTAFCallOff[PCS],T_TTAFCallOff[Part Name],$A10,T_TTAFCallOff[WeekIndex],60)</f>
        <v/>
      </c>
      <c r="BJ10">
        <f>SUMIFS(T_TTAFCallOff[PCS],T_TTAFCallOff[Part Name],$A10,T_TTAFCallOff[WeekIndex],61)</f>
        <v/>
      </c>
      <c r="BK10">
        <f>SUMIFS(T_TTAFCallOff[PCS],T_TTAFCallOff[Part Name],$A10,T_TTAFCallOff[WeekIndex],62)</f>
        <v/>
      </c>
      <c r="BL10">
        <f>SUMIFS(T_TTAFCallOff[PCS],T_TTAFCallOff[Part Name],$A10,T_TTAFCallOff[WeekIndex],63)</f>
        <v/>
      </c>
      <c r="BM10">
        <f>SUMIFS(T_TTAFCallOff[PCS],T_TTAFCallOff[Part Name],$A10,T_TTAFCallOff[WeekIndex],64)</f>
        <v/>
      </c>
      <c r="BN10">
        <f>SUMIFS(T_TTAFCallOff[PCS],T_TTAFCallOff[Part Name],$A10,T_TTAFCallOff[WeekIndex],65)</f>
        <v/>
      </c>
      <c r="BO10">
        <f>SUMIFS(T_TTAFCallOff[PCS],T_TTAFCallOff[Part Name],$A10,T_TTAFCallOff[WeekIndex],66)</f>
        <v/>
      </c>
      <c r="BP10">
        <f>SUMIFS(T_TTAFCallOff[PCS],T_TTAFCallOff[Part Name],$A10,T_TTAFCallOff[WeekIndex],67)</f>
        <v/>
      </c>
      <c r="BQ10">
        <f>SUMIFS(T_TTAFCallOff[PCS],T_TTAFCallOff[Part Name],$A10,T_TTAFCallOff[WeekIndex],68)</f>
        <v/>
      </c>
      <c r="BR10">
        <f>SUMIFS(T_TTAFCallOff[PCS],T_TTAFCallOff[Part Name],$A10,T_TTAFCallOff[WeekIndex],69)</f>
        <v/>
      </c>
      <c r="BS10">
        <f>SUMIFS(T_TTAFCallOff[PCS],T_TTAFCallOff[Part Name],$A10,T_TTAFCallOff[WeekIndex],70)</f>
        <v/>
      </c>
      <c r="BT10">
        <f>SUMIFS(T_TTAFCallOff[PCS],T_TTAFCallOff[Part Name],$A10,T_TTAFCallOff[WeekIndex],71)</f>
        <v/>
      </c>
      <c r="BU10">
        <f>SUMIFS(T_TTAFCallOff[PCS],T_TTAFCallOff[Part Name],$A10,T_TTAFCallOff[WeekIndex],72)</f>
        <v/>
      </c>
      <c r="BV10">
        <f>SUMIFS(T_TTAFCallOff[PCS],T_TTAFCallOff[Part Name],$A10,T_TTAFCallOff[WeekIndex],73)</f>
        <v/>
      </c>
      <c r="BW10">
        <f>SUMIFS(T_TTAFCallOff[PCS],T_TTAFCallOff[Part Name],$A10,T_TTAFCallOff[WeekIndex],74)</f>
        <v/>
      </c>
      <c r="BX10">
        <f>SUMIFS(T_TTAFCallOff[PCS],T_TTAFCallOff[Part Name],$A10,T_TTAFCallOff[WeekIndex],75)</f>
        <v/>
      </c>
      <c r="BY10">
        <f>SUMIFS(T_TTAFCallOff[PCS],T_TTAFCallOff[Part Name],$A10,T_TTAFCallOff[WeekIndex],76)</f>
        <v/>
      </c>
      <c r="BZ10">
        <f>SUMIFS(T_TTAFCallOff[PCS],T_TTAFCallOff[Part Name],$A10,T_TTAFCallOff[WeekIndex],77)</f>
        <v/>
      </c>
      <c r="CA10">
        <f>SUMIFS(T_TTAFCallOff[PCS],T_TTAFCallOff[Part Name],$A10,T_TTAFCallOff[WeekIndex],78)</f>
        <v/>
      </c>
      <c r="CB10">
        <f>SUMIFS(T_TTAFCallOff[PCS],T_TTAFCallOff[Part Name],$A10,T_TTAFCallOff[WeekIndex],79)</f>
        <v/>
      </c>
      <c r="CC10">
        <f>SUMIFS(T_TTAFCallOff[PCS],T_TTAFCallOff[Part Name],$A10,T_TTAFCallOff[WeekIndex],80)</f>
        <v/>
      </c>
      <c r="CD10">
        <f>SUMIFS(T_TTAFCallOff[PCS],T_TTAFCallOff[Part Name],$A10,T_TTAFCallOff[WeekIndex],81)</f>
        <v/>
      </c>
      <c r="CE10">
        <f>SUMIFS(T_TTAFCallOff[PCS],T_TTAFCallOff[Part Name],$A10,T_TTAFCallOff[WeekIndex],82)</f>
        <v/>
      </c>
      <c r="CF10">
        <f>SUMIFS(T_TTAFCallOff[PCS],T_TTAFCallOff[Part Name],$A10,T_TTAFCallOff[WeekIndex],83)</f>
        <v/>
      </c>
      <c r="CG10">
        <f>SUMIFS(T_TTAFCallOff[PCS],T_TTAFCallOff[Part Name],$A10,T_TTAFCallOff[WeekIndex],84)</f>
        <v/>
      </c>
      <c r="CH10">
        <f>SUMIFS(T_TTAFCallOff[PCS],T_TTAFCallOff[Part Name],$A10,T_TTAFCallOff[WeekIndex],85)</f>
        <v/>
      </c>
      <c r="CI10">
        <f>SUMIFS(T_TTAFCallOff[PCS],T_TTAFCallOff[Part Name],$A10,T_TTAFCallOff[WeekIndex],86)</f>
        <v/>
      </c>
      <c r="CJ10">
        <f>SUMIFS(T_TTAFCallOff[PCS],T_TTAFCallOff[Part Name],$A10,T_TTAFCallOff[WeekIndex],87)</f>
        <v/>
      </c>
      <c r="CK10">
        <f>SUMIFS(T_TTAFCallOff[PCS],T_TTAFCallOff[Part Name],$A10,T_TTAFCallOff[WeekIndex],88)</f>
        <v/>
      </c>
      <c r="CL10">
        <f>SUMIFS(T_TTAFCallOff[PCS],T_TTAFCallOff[Part Name],$A10,T_TTAFCallOff[WeekIndex],89)</f>
        <v/>
      </c>
      <c r="CM10">
        <f>SUMIFS(T_TTAFCallOff[PCS],T_TTAFCallOff[Part Name],$A10,T_TTAFCallOff[WeekIndex],90)</f>
        <v/>
      </c>
      <c r="CN10">
        <f>SUMIFS(T_TTAFCallOff[PCS],T_TTAFCallOff[Part Name],$A10,T_TTAFCallOff[WeekIndex],91)</f>
        <v/>
      </c>
      <c r="CO10">
        <f>SUMIFS(T_TTAFCallOff[PCS],T_TTAFCallOff[Part Name],$A10,T_TTAFCallOff[WeekIndex],92)</f>
        <v/>
      </c>
      <c r="CP10">
        <f>SUMIFS(T_TTAFCallOff[PCS],T_TTAFCallOff[Part Name],$A10,T_TTAFCallOff[WeekIndex],93)</f>
        <v/>
      </c>
      <c r="CQ10">
        <f>SUMIFS(T_TTAFCallOff[PCS],T_TTAFCallOff[Part Name],$A10,T_TTAFCallOff[WeekIndex],94)</f>
        <v/>
      </c>
      <c r="CR10">
        <f>SUMIFS(T_TTAFCallOff[PCS],T_TTAFCallOff[Part Name],$A10,T_TTAFCallOff[WeekIndex],95)</f>
        <v/>
      </c>
      <c r="CS10">
        <f>SUMIFS(T_TTAFCallOff[PCS],T_TTAFCallOff[Part Name],$A10,T_TTAFCallOff[WeekIndex],96)</f>
        <v/>
      </c>
      <c r="CT10">
        <f>SUMIFS(T_TTAFCallOff[PCS],T_TTAFCallOff[Part Name],$A10,T_TTAFCallOff[WeekIndex],97)</f>
        <v/>
      </c>
      <c r="CU10">
        <f>SUMIFS(T_TTAFCallOff[PCS],T_TTAFCallOff[Part Name],$A10,T_TTAFCallOff[WeekIndex],98)</f>
        <v/>
      </c>
      <c r="CV10">
        <f>SUMIFS(T_TTAFCallOff[PCS],T_TTAFCallOff[Part Name],$A10,T_TTAFCallOff[WeekIndex],99)</f>
        <v/>
      </c>
      <c r="CW10">
        <f>SUMIFS(T_TTAFCallOff[PCS],T_TTAFCallOff[Part Name],$A10,T_TTAFCallOff[WeekIndex],100)</f>
        <v/>
      </c>
      <c r="CX10">
        <f>SUMIFS(T_TTAFCallOff[PCS],T_TTAFCallOff[Part Name],$A10,T_TTAFCallOff[WeekIndex],101)</f>
        <v/>
      </c>
      <c r="CY10">
        <f>SUMIFS(T_TTAFCallOff[PCS],T_TTAFCallOff[Part Name],$A10,T_TTAFCallOff[WeekIndex],102)</f>
        <v/>
      </c>
      <c r="CZ10">
        <f>SUMIFS(T_TTAFCallOff[PCS],T_TTAFCallOff[Part Name],$A10,T_TTAFCallOff[WeekIndex],103)</f>
        <v/>
      </c>
      <c r="DA10">
        <f>SUMIFS(T_TTAFCallOff[PCS],T_TTAFCallOff[Part Name],$A10,T_TTAFCallOff[WeekIndex],104)</f>
        <v/>
      </c>
    </row>
    <row r="11">
      <c r="A11" t="inlineStr">
        <is>
          <t>4HL</t>
        </is>
      </c>
      <c r="B11">
        <f>SUMIFS(T_TTAFCallOff[PCS],T_TTAFCallOff[Part Name],$A11,T_TTAFCallOff[WeekIndex],1)</f>
        <v/>
      </c>
      <c r="C11">
        <f>SUMIFS(T_TTAFCallOff[PCS],T_TTAFCallOff[Part Name],$A11,T_TTAFCallOff[WeekIndex],2)</f>
        <v/>
      </c>
      <c r="D11">
        <f>SUMIFS(T_TTAFCallOff[PCS],T_TTAFCallOff[Part Name],$A11,T_TTAFCallOff[WeekIndex],3)</f>
        <v/>
      </c>
      <c r="E11">
        <f>SUMIFS(T_TTAFCallOff[PCS],T_TTAFCallOff[Part Name],$A11,T_TTAFCallOff[WeekIndex],4)</f>
        <v/>
      </c>
      <c r="F11">
        <f>SUMIFS(T_TTAFCallOff[PCS],T_TTAFCallOff[Part Name],$A11,T_TTAFCallOff[WeekIndex],5)</f>
        <v/>
      </c>
      <c r="G11">
        <f>SUMIFS(T_TTAFCallOff[PCS],T_TTAFCallOff[Part Name],$A11,T_TTAFCallOff[WeekIndex],6)</f>
        <v/>
      </c>
      <c r="H11">
        <f>SUMIFS(T_TTAFCallOff[PCS],T_TTAFCallOff[Part Name],$A11,T_TTAFCallOff[WeekIndex],7)</f>
        <v/>
      </c>
      <c r="I11">
        <f>SUMIFS(T_TTAFCallOff[PCS],T_TTAFCallOff[Part Name],$A11,T_TTAFCallOff[WeekIndex],8)</f>
        <v/>
      </c>
      <c r="J11">
        <f>SUMIFS(T_TTAFCallOff[PCS],T_TTAFCallOff[Part Name],$A11,T_TTAFCallOff[WeekIndex],9)</f>
        <v/>
      </c>
      <c r="K11">
        <f>SUMIFS(T_TTAFCallOff[PCS],T_TTAFCallOff[Part Name],$A11,T_TTAFCallOff[WeekIndex],10)</f>
        <v/>
      </c>
      <c r="L11">
        <f>SUMIFS(T_TTAFCallOff[PCS],T_TTAFCallOff[Part Name],$A11,T_TTAFCallOff[WeekIndex],11)</f>
        <v/>
      </c>
      <c r="M11">
        <f>SUMIFS(T_TTAFCallOff[PCS],T_TTAFCallOff[Part Name],$A11,T_TTAFCallOff[WeekIndex],12)</f>
        <v/>
      </c>
      <c r="N11">
        <f>SUMIFS(T_TTAFCallOff[PCS],T_TTAFCallOff[Part Name],$A11,T_TTAFCallOff[WeekIndex],13)</f>
        <v/>
      </c>
      <c r="O11">
        <f>SUMIFS(T_TTAFCallOff[PCS],T_TTAFCallOff[Part Name],$A11,T_TTAFCallOff[WeekIndex],14)</f>
        <v/>
      </c>
      <c r="P11">
        <f>SUMIFS(T_TTAFCallOff[PCS],T_TTAFCallOff[Part Name],$A11,T_TTAFCallOff[WeekIndex],15)</f>
        <v/>
      </c>
      <c r="Q11">
        <f>SUMIFS(T_TTAFCallOff[PCS],T_TTAFCallOff[Part Name],$A11,T_TTAFCallOff[WeekIndex],16)</f>
        <v/>
      </c>
      <c r="R11">
        <f>SUMIFS(T_TTAFCallOff[PCS],T_TTAFCallOff[Part Name],$A11,T_TTAFCallOff[WeekIndex],17)</f>
        <v/>
      </c>
      <c r="S11">
        <f>SUMIFS(T_TTAFCallOff[PCS],T_TTAFCallOff[Part Name],$A11,T_TTAFCallOff[WeekIndex],18)</f>
        <v/>
      </c>
      <c r="T11">
        <f>SUMIFS(T_TTAFCallOff[PCS],T_TTAFCallOff[Part Name],$A11,T_TTAFCallOff[WeekIndex],19)</f>
        <v/>
      </c>
      <c r="U11">
        <f>SUMIFS(T_TTAFCallOff[PCS],T_TTAFCallOff[Part Name],$A11,T_TTAFCallOff[WeekIndex],20)</f>
        <v/>
      </c>
      <c r="V11">
        <f>SUMIFS(T_TTAFCallOff[PCS],T_TTAFCallOff[Part Name],$A11,T_TTAFCallOff[WeekIndex],21)</f>
        <v/>
      </c>
      <c r="W11">
        <f>SUMIFS(T_TTAFCallOff[PCS],T_TTAFCallOff[Part Name],$A11,T_TTAFCallOff[WeekIndex],22)</f>
        <v/>
      </c>
      <c r="X11">
        <f>SUMIFS(T_TTAFCallOff[PCS],T_TTAFCallOff[Part Name],$A11,T_TTAFCallOff[WeekIndex],23)</f>
        <v/>
      </c>
      <c r="Y11">
        <f>SUMIFS(T_TTAFCallOff[PCS],T_TTAFCallOff[Part Name],$A11,T_TTAFCallOff[WeekIndex],24)</f>
        <v/>
      </c>
      <c r="Z11">
        <f>SUMIFS(T_TTAFCallOff[PCS],T_TTAFCallOff[Part Name],$A11,T_TTAFCallOff[WeekIndex],25)</f>
        <v/>
      </c>
      <c r="AA11">
        <f>SUMIFS(T_TTAFCallOff[PCS],T_TTAFCallOff[Part Name],$A11,T_TTAFCallOff[WeekIndex],26)</f>
        <v/>
      </c>
      <c r="AB11">
        <f>SUMIFS(T_TTAFCallOff[PCS],T_TTAFCallOff[Part Name],$A11,T_TTAFCallOff[WeekIndex],27)</f>
        <v/>
      </c>
      <c r="AC11">
        <f>SUMIFS(T_TTAFCallOff[PCS],T_TTAFCallOff[Part Name],$A11,T_TTAFCallOff[WeekIndex],28)</f>
        <v/>
      </c>
      <c r="AD11">
        <f>SUMIFS(T_TTAFCallOff[PCS],T_TTAFCallOff[Part Name],$A11,T_TTAFCallOff[WeekIndex],29)</f>
        <v/>
      </c>
      <c r="AE11">
        <f>SUMIFS(T_TTAFCallOff[PCS],T_TTAFCallOff[Part Name],$A11,T_TTAFCallOff[WeekIndex],30)</f>
        <v/>
      </c>
      <c r="AF11">
        <f>SUMIFS(T_TTAFCallOff[PCS],T_TTAFCallOff[Part Name],$A11,T_TTAFCallOff[WeekIndex],31)</f>
        <v/>
      </c>
      <c r="AG11">
        <f>SUMIFS(T_TTAFCallOff[PCS],T_TTAFCallOff[Part Name],$A11,T_TTAFCallOff[WeekIndex],32)</f>
        <v/>
      </c>
      <c r="AH11">
        <f>SUMIFS(T_TTAFCallOff[PCS],T_TTAFCallOff[Part Name],$A11,T_TTAFCallOff[WeekIndex],33)</f>
        <v/>
      </c>
      <c r="AI11">
        <f>SUMIFS(T_TTAFCallOff[PCS],T_TTAFCallOff[Part Name],$A11,T_TTAFCallOff[WeekIndex],34)</f>
        <v/>
      </c>
      <c r="AJ11">
        <f>SUMIFS(T_TTAFCallOff[PCS],T_TTAFCallOff[Part Name],$A11,T_TTAFCallOff[WeekIndex],35)</f>
        <v/>
      </c>
      <c r="AK11">
        <f>SUMIFS(T_TTAFCallOff[PCS],T_TTAFCallOff[Part Name],$A11,T_TTAFCallOff[WeekIndex],36)</f>
        <v/>
      </c>
      <c r="AL11">
        <f>SUMIFS(T_TTAFCallOff[PCS],T_TTAFCallOff[Part Name],$A11,T_TTAFCallOff[WeekIndex],37)</f>
        <v/>
      </c>
      <c r="AM11">
        <f>SUMIFS(T_TTAFCallOff[PCS],T_TTAFCallOff[Part Name],$A11,T_TTAFCallOff[WeekIndex],38)</f>
        <v/>
      </c>
      <c r="AN11">
        <f>SUMIFS(T_TTAFCallOff[PCS],T_TTAFCallOff[Part Name],$A11,T_TTAFCallOff[WeekIndex],39)</f>
        <v/>
      </c>
      <c r="AO11">
        <f>SUMIFS(T_TTAFCallOff[PCS],T_TTAFCallOff[Part Name],$A11,T_TTAFCallOff[WeekIndex],40)</f>
        <v/>
      </c>
      <c r="AP11">
        <f>SUMIFS(T_TTAFCallOff[PCS],T_TTAFCallOff[Part Name],$A11,T_TTAFCallOff[WeekIndex],41)</f>
        <v/>
      </c>
      <c r="AQ11">
        <f>SUMIFS(T_TTAFCallOff[PCS],T_TTAFCallOff[Part Name],$A11,T_TTAFCallOff[WeekIndex],42)</f>
        <v/>
      </c>
      <c r="AR11">
        <f>SUMIFS(T_TTAFCallOff[PCS],T_TTAFCallOff[Part Name],$A11,T_TTAFCallOff[WeekIndex],43)</f>
        <v/>
      </c>
      <c r="AS11">
        <f>SUMIFS(T_TTAFCallOff[PCS],T_TTAFCallOff[Part Name],$A11,T_TTAFCallOff[WeekIndex],44)</f>
        <v/>
      </c>
      <c r="AT11">
        <f>SUMIFS(T_TTAFCallOff[PCS],T_TTAFCallOff[Part Name],$A11,T_TTAFCallOff[WeekIndex],45)</f>
        <v/>
      </c>
      <c r="AU11">
        <f>SUMIFS(T_TTAFCallOff[PCS],T_TTAFCallOff[Part Name],$A11,T_TTAFCallOff[WeekIndex],46)</f>
        <v/>
      </c>
      <c r="AV11">
        <f>SUMIFS(T_TTAFCallOff[PCS],T_TTAFCallOff[Part Name],$A11,T_TTAFCallOff[WeekIndex],47)</f>
        <v/>
      </c>
      <c r="AW11">
        <f>SUMIFS(T_TTAFCallOff[PCS],T_TTAFCallOff[Part Name],$A11,T_TTAFCallOff[WeekIndex],48)</f>
        <v/>
      </c>
      <c r="AX11">
        <f>SUMIFS(T_TTAFCallOff[PCS],T_TTAFCallOff[Part Name],$A11,T_TTAFCallOff[WeekIndex],49)</f>
        <v/>
      </c>
      <c r="AY11">
        <f>SUMIFS(T_TTAFCallOff[PCS],T_TTAFCallOff[Part Name],$A11,T_TTAFCallOff[WeekIndex],50)</f>
        <v/>
      </c>
      <c r="AZ11">
        <f>SUMIFS(T_TTAFCallOff[PCS],T_TTAFCallOff[Part Name],$A11,T_TTAFCallOff[WeekIndex],51)</f>
        <v/>
      </c>
      <c r="BA11">
        <f>SUMIFS(T_TTAFCallOff[PCS],T_TTAFCallOff[Part Name],$A11,T_TTAFCallOff[WeekIndex],52)</f>
        <v/>
      </c>
      <c r="BB11">
        <f>SUMIFS(T_TTAFCallOff[PCS],T_TTAFCallOff[Part Name],$A11,T_TTAFCallOff[WeekIndex],53)</f>
        <v/>
      </c>
      <c r="BC11">
        <f>SUMIFS(T_TTAFCallOff[PCS],T_TTAFCallOff[Part Name],$A11,T_TTAFCallOff[WeekIndex],54)</f>
        <v/>
      </c>
      <c r="BD11">
        <f>SUMIFS(T_TTAFCallOff[PCS],T_TTAFCallOff[Part Name],$A11,T_TTAFCallOff[WeekIndex],55)</f>
        <v/>
      </c>
      <c r="BE11">
        <f>SUMIFS(T_TTAFCallOff[PCS],T_TTAFCallOff[Part Name],$A11,T_TTAFCallOff[WeekIndex],56)</f>
        <v/>
      </c>
      <c r="BF11">
        <f>SUMIFS(T_TTAFCallOff[PCS],T_TTAFCallOff[Part Name],$A11,T_TTAFCallOff[WeekIndex],57)</f>
        <v/>
      </c>
      <c r="BG11">
        <f>SUMIFS(T_TTAFCallOff[PCS],T_TTAFCallOff[Part Name],$A11,T_TTAFCallOff[WeekIndex],58)</f>
        <v/>
      </c>
      <c r="BH11">
        <f>SUMIFS(T_TTAFCallOff[PCS],T_TTAFCallOff[Part Name],$A11,T_TTAFCallOff[WeekIndex],59)</f>
        <v/>
      </c>
      <c r="BI11">
        <f>SUMIFS(T_TTAFCallOff[PCS],T_TTAFCallOff[Part Name],$A11,T_TTAFCallOff[WeekIndex],60)</f>
        <v/>
      </c>
      <c r="BJ11">
        <f>SUMIFS(T_TTAFCallOff[PCS],T_TTAFCallOff[Part Name],$A11,T_TTAFCallOff[WeekIndex],61)</f>
        <v/>
      </c>
      <c r="BK11">
        <f>SUMIFS(T_TTAFCallOff[PCS],T_TTAFCallOff[Part Name],$A11,T_TTAFCallOff[WeekIndex],62)</f>
        <v/>
      </c>
      <c r="BL11">
        <f>SUMIFS(T_TTAFCallOff[PCS],T_TTAFCallOff[Part Name],$A11,T_TTAFCallOff[WeekIndex],63)</f>
        <v/>
      </c>
      <c r="BM11">
        <f>SUMIFS(T_TTAFCallOff[PCS],T_TTAFCallOff[Part Name],$A11,T_TTAFCallOff[WeekIndex],64)</f>
        <v/>
      </c>
      <c r="BN11">
        <f>SUMIFS(T_TTAFCallOff[PCS],T_TTAFCallOff[Part Name],$A11,T_TTAFCallOff[WeekIndex],65)</f>
        <v/>
      </c>
      <c r="BO11">
        <f>SUMIFS(T_TTAFCallOff[PCS],T_TTAFCallOff[Part Name],$A11,T_TTAFCallOff[WeekIndex],66)</f>
        <v/>
      </c>
      <c r="BP11">
        <f>SUMIFS(T_TTAFCallOff[PCS],T_TTAFCallOff[Part Name],$A11,T_TTAFCallOff[WeekIndex],67)</f>
        <v/>
      </c>
      <c r="BQ11">
        <f>SUMIFS(T_TTAFCallOff[PCS],T_TTAFCallOff[Part Name],$A11,T_TTAFCallOff[WeekIndex],68)</f>
        <v/>
      </c>
      <c r="BR11">
        <f>SUMIFS(T_TTAFCallOff[PCS],T_TTAFCallOff[Part Name],$A11,T_TTAFCallOff[WeekIndex],69)</f>
        <v/>
      </c>
      <c r="BS11">
        <f>SUMIFS(T_TTAFCallOff[PCS],T_TTAFCallOff[Part Name],$A11,T_TTAFCallOff[WeekIndex],70)</f>
        <v/>
      </c>
      <c r="BT11">
        <f>SUMIFS(T_TTAFCallOff[PCS],T_TTAFCallOff[Part Name],$A11,T_TTAFCallOff[WeekIndex],71)</f>
        <v/>
      </c>
      <c r="BU11">
        <f>SUMIFS(T_TTAFCallOff[PCS],T_TTAFCallOff[Part Name],$A11,T_TTAFCallOff[WeekIndex],72)</f>
        <v/>
      </c>
      <c r="BV11">
        <f>SUMIFS(T_TTAFCallOff[PCS],T_TTAFCallOff[Part Name],$A11,T_TTAFCallOff[WeekIndex],73)</f>
        <v/>
      </c>
      <c r="BW11">
        <f>SUMIFS(T_TTAFCallOff[PCS],T_TTAFCallOff[Part Name],$A11,T_TTAFCallOff[WeekIndex],74)</f>
        <v/>
      </c>
      <c r="BX11">
        <f>SUMIFS(T_TTAFCallOff[PCS],T_TTAFCallOff[Part Name],$A11,T_TTAFCallOff[WeekIndex],75)</f>
        <v/>
      </c>
      <c r="BY11">
        <f>SUMIFS(T_TTAFCallOff[PCS],T_TTAFCallOff[Part Name],$A11,T_TTAFCallOff[WeekIndex],76)</f>
        <v/>
      </c>
      <c r="BZ11">
        <f>SUMIFS(T_TTAFCallOff[PCS],T_TTAFCallOff[Part Name],$A11,T_TTAFCallOff[WeekIndex],77)</f>
        <v/>
      </c>
      <c r="CA11">
        <f>SUMIFS(T_TTAFCallOff[PCS],T_TTAFCallOff[Part Name],$A11,T_TTAFCallOff[WeekIndex],78)</f>
        <v/>
      </c>
      <c r="CB11">
        <f>SUMIFS(T_TTAFCallOff[PCS],T_TTAFCallOff[Part Name],$A11,T_TTAFCallOff[WeekIndex],79)</f>
        <v/>
      </c>
      <c r="CC11">
        <f>SUMIFS(T_TTAFCallOff[PCS],T_TTAFCallOff[Part Name],$A11,T_TTAFCallOff[WeekIndex],80)</f>
        <v/>
      </c>
      <c r="CD11">
        <f>SUMIFS(T_TTAFCallOff[PCS],T_TTAFCallOff[Part Name],$A11,T_TTAFCallOff[WeekIndex],81)</f>
        <v/>
      </c>
      <c r="CE11">
        <f>SUMIFS(T_TTAFCallOff[PCS],T_TTAFCallOff[Part Name],$A11,T_TTAFCallOff[WeekIndex],82)</f>
        <v/>
      </c>
      <c r="CF11">
        <f>SUMIFS(T_TTAFCallOff[PCS],T_TTAFCallOff[Part Name],$A11,T_TTAFCallOff[WeekIndex],83)</f>
        <v/>
      </c>
      <c r="CG11">
        <f>SUMIFS(T_TTAFCallOff[PCS],T_TTAFCallOff[Part Name],$A11,T_TTAFCallOff[WeekIndex],84)</f>
        <v/>
      </c>
      <c r="CH11">
        <f>SUMIFS(T_TTAFCallOff[PCS],T_TTAFCallOff[Part Name],$A11,T_TTAFCallOff[WeekIndex],85)</f>
        <v/>
      </c>
      <c r="CI11">
        <f>SUMIFS(T_TTAFCallOff[PCS],T_TTAFCallOff[Part Name],$A11,T_TTAFCallOff[WeekIndex],86)</f>
        <v/>
      </c>
      <c r="CJ11">
        <f>SUMIFS(T_TTAFCallOff[PCS],T_TTAFCallOff[Part Name],$A11,T_TTAFCallOff[WeekIndex],87)</f>
        <v/>
      </c>
      <c r="CK11">
        <f>SUMIFS(T_TTAFCallOff[PCS],T_TTAFCallOff[Part Name],$A11,T_TTAFCallOff[WeekIndex],88)</f>
        <v/>
      </c>
      <c r="CL11">
        <f>SUMIFS(T_TTAFCallOff[PCS],T_TTAFCallOff[Part Name],$A11,T_TTAFCallOff[WeekIndex],89)</f>
        <v/>
      </c>
      <c r="CM11">
        <f>SUMIFS(T_TTAFCallOff[PCS],T_TTAFCallOff[Part Name],$A11,T_TTAFCallOff[WeekIndex],90)</f>
        <v/>
      </c>
      <c r="CN11">
        <f>SUMIFS(T_TTAFCallOff[PCS],T_TTAFCallOff[Part Name],$A11,T_TTAFCallOff[WeekIndex],91)</f>
        <v/>
      </c>
      <c r="CO11">
        <f>SUMIFS(T_TTAFCallOff[PCS],T_TTAFCallOff[Part Name],$A11,T_TTAFCallOff[WeekIndex],92)</f>
        <v/>
      </c>
      <c r="CP11">
        <f>SUMIFS(T_TTAFCallOff[PCS],T_TTAFCallOff[Part Name],$A11,T_TTAFCallOff[WeekIndex],93)</f>
        <v/>
      </c>
      <c r="CQ11">
        <f>SUMIFS(T_TTAFCallOff[PCS],T_TTAFCallOff[Part Name],$A11,T_TTAFCallOff[WeekIndex],94)</f>
        <v/>
      </c>
      <c r="CR11">
        <f>SUMIFS(T_TTAFCallOff[PCS],T_TTAFCallOff[Part Name],$A11,T_TTAFCallOff[WeekIndex],95)</f>
        <v/>
      </c>
      <c r="CS11">
        <f>SUMIFS(T_TTAFCallOff[PCS],T_TTAFCallOff[Part Name],$A11,T_TTAFCallOff[WeekIndex],96)</f>
        <v/>
      </c>
      <c r="CT11">
        <f>SUMIFS(T_TTAFCallOff[PCS],T_TTAFCallOff[Part Name],$A11,T_TTAFCallOff[WeekIndex],97)</f>
        <v/>
      </c>
      <c r="CU11">
        <f>SUMIFS(T_TTAFCallOff[PCS],T_TTAFCallOff[Part Name],$A11,T_TTAFCallOff[WeekIndex],98)</f>
        <v/>
      </c>
      <c r="CV11">
        <f>SUMIFS(T_TTAFCallOff[PCS],T_TTAFCallOff[Part Name],$A11,T_TTAFCallOff[WeekIndex],99)</f>
        <v/>
      </c>
      <c r="CW11">
        <f>SUMIFS(T_TTAFCallOff[PCS],T_TTAFCallOff[Part Name],$A11,T_TTAFCallOff[WeekIndex],100)</f>
        <v/>
      </c>
      <c r="CX11">
        <f>SUMIFS(T_TTAFCallOff[PCS],T_TTAFCallOff[Part Name],$A11,T_TTAFCallOff[WeekIndex],101)</f>
        <v/>
      </c>
      <c r="CY11">
        <f>SUMIFS(T_TTAFCallOff[PCS],T_TTAFCallOff[Part Name],$A11,T_TTAFCallOff[WeekIndex],102)</f>
        <v/>
      </c>
      <c r="CZ11">
        <f>SUMIFS(T_TTAFCallOff[PCS],T_TTAFCallOff[Part Name],$A11,T_TTAFCallOff[WeekIndex],103)</f>
        <v/>
      </c>
      <c r="DA11">
        <f>SUMIFS(T_TTAFCallOff[PCS],T_TTAFCallOff[Part Name],$A11,T_TTAFCallOff[WeekIndex],104)</f>
        <v/>
      </c>
    </row>
    <row r="12">
      <c r="A12" t="inlineStr">
        <is>
          <t>1EK</t>
        </is>
      </c>
      <c r="B12">
        <f>SUMIFS(T_TTAFCallOff[PCS],T_TTAFCallOff[Part Name],$A12,T_TTAFCallOff[WeekIndex],1)</f>
        <v/>
      </c>
      <c r="C12">
        <f>SUMIFS(T_TTAFCallOff[PCS],T_TTAFCallOff[Part Name],$A12,T_TTAFCallOff[WeekIndex],2)</f>
        <v/>
      </c>
      <c r="D12">
        <f>SUMIFS(T_TTAFCallOff[PCS],T_TTAFCallOff[Part Name],$A12,T_TTAFCallOff[WeekIndex],3)</f>
        <v/>
      </c>
      <c r="E12">
        <f>SUMIFS(T_TTAFCallOff[PCS],T_TTAFCallOff[Part Name],$A12,T_TTAFCallOff[WeekIndex],4)</f>
        <v/>
      </c>
      <c r="F12">
        <f>SUMIFS(T_TTAFCallOff[PCS],T_TTAFCallOff[Part Name],$A12,T_TTAFCallOff[WeekIndex],5)</f>
        <v/>
      </c>
      <c r="G12">
        <f>SUMIFS(T_TTAFCallOff[PCS],T_TTAFCallOff[Part Name],$A12,T_TTAFCallOff[WeekIndex],6)</f>
        <v/>
      </c>
      <c r="H12">
        <f>SUMIFS(T_TTAFCallOff[PCS],T_TTAFCallOff[Part Name],$A12,T_TTAFCallOff[WeekIndex],7)</f>
        <v/>
      </c>
      <c r="I12">
        <f>SUMIFS(T_TTAFCallOff[PCS],T_TTAFCallOff[Part Name],$A12,T_TTAFCallOff[WeekIndex],8)</f>
        <v/>
      </c>
      <c r="J12">
        <f>SUMIFS(T_TTAFCallOff[PCS],T_TTAFCallOff[Part Name],$A12,T_TTAFCallOff[WeekIndex],9)</f>
        <v/>
      </c>
      <c r="K12">
        <f>SUMIFS(T_TTAFCallOff[PCS],T_TTAFCallOff[Part Name],$A12,T_TTAFCallOff[WeekIndex],10)</f>
        <v/>
      </c>
      <c r="L12">
        <f>SUMIFS(T_TTAFCallOff[PCS],T_TTAFCallOff[Part Name],$A12,T_TTAFCallOff[WeekIndex],11)</f>
        <v/>
      </c>
      <c r="M12">
        <f>SUMIFS(T_TTAFCallOff[PCS],T_TTAFCallOff[Part Name],$A12,T_TTAFCallOff[WeekIndex],12)</f>
        <v/>
      </c>
      <c r="N12">
        <f>SUMIFS(T_TTAFCallOff[PCS],T_TTAFCallOff[Part Name],$A12,T_TTAFCallOff[WeekIndex],13)</f>
        <v/>
      </c>
      <c r="O12">
        <f>SUMIFS(T_TTAFCallOff[PCS],T_TTAFCallOff[Part Name],$A12,T_TTAFCallOff[WeekIndex],14)</f>
        <v/>
      </c>
      <c r="P12">
        <f>SUMIFS(T_TTAFCallOff[PCS],T_TTAFCallOff[Part Name],$A12,T_TTAFCallOff[WeekIndex],15)</f>
        <v/>
      </c>
      <c r="Q12">
        <f>SUMIFS(T_TTAFCallOff[PCS],T_TTAFCallOff[Part Name],$A12,T_TTAFCallOff[WeekIndex],16)</f>
        <v/>
      </c>
      <c r="R12">
        <f>SUMIFS(T_TTAFCallOff[PCS],T_TTAFCallOff[Part Name],$A12,T_TTAFCallOff[WeekIndex],17)</f>
        <v/>
      </c>
      <c r="S12">
        <f>SUMIFS(T_TTAFCallOff[PCS],T_TTAFCallOff[Part Name],$A12,T_TTAFCallOff[WeekIndex],18)</f>
        <v/>
      </c>
      <c r="T12">
        <f>SUMIFS(T_TTAFCallOff[PCS],T_TTAFCallOff[Part Name],$A12,T_TTAFCallOff[WeekIndex],19)</f>
        <v/>
      </c>
      <c r="U12">
        <f>SUMIFS(T_TTAFCallOff[PCS],T_TTAFCallOff[Part Name],$A12,T_TTAFCallOff[WeekIndex],20)</f>
        <v/>
      </c>
      <c r="V12">
        <f>SUMIFS(T_TTAFCallOff[PCS],T_TTAFCallOff[Part Name],$A12,T_TTAFCallOff[WeekIndex],21)</f>
        <v/>
      </c>
      <c r="W12">
        <f>SUMIFS(T_TTAFCallOff[PCS],T_TTAFCallOff[Part Name],$A12,T_TTAFCallOff[WeekIndex],22)</f>
        <v/>
      </c>
      <c r="X12">
        <f>SUMIFS(T_TTAFCallOff[PCS],T_TTAFCallOff[Part Name],$A12,T_TTAFCallOff[WeekIndex],23)</f>
        <v/>
      </c>
      <c r="Y12">
        <f>SUMIFS(T_TTAFCallOff[PCS],T_TTAFCallOff[Part Name],$A12,T_TTAFCallOff[WeekIndex],24)</f>
        <v/>
      </c>
      <c r="Z12">
        <f>SUMIFS(T_TTAFCallOff[PCS],T_TTAFCallOff[Part Name],$A12,T_TTAFCallOff[WeekIndex],25)</f>
        <v/>
      </c>
      <c r="AA12">
        <f>SUMIFS(T_TTAFCallOff[PCS],T_TTAFCallOff[Part Name],$A12,T_TTAFCallOff[WeekIndex],26)</f>
        <v/>
      </c>
      <c r="AB12">
        <f>SUMIFS(T_TTAFCallOff[PCS],T_TTAFCallOff[Part Name],$A12,T_TTAFCallOff[WeekIndex],27)</f>
        <v/>
      </c>
      <c r="AC12">
        <f>SUMIFS(T_TTAFCallOff[PCS],T_TTAFCallOff[Part Name],$A12,T_TTAFCallOff[WeekIndex],28)</f>
        <v/>
      </c>
      <c r="AD12">
        <f>SUMIFS(T_TTAFCallOff[PCS],T_TTAFCallOff[Part Name],$A12,T_TTAFCallOff[WeekIndex],29)</f>
        <v/>
      </c>
      <c r="AE12">
        <f>SUMIFS(T_TTAFCallOff[PCS],T_TTAFCallOff[Part Name],$A12,T_TTAFCallOff[WeekIndex],30)</f>
        <v/>
      </c>
      <c r="AF12">
        <f>SUMIFS(T_TTAFCallOff[PCS],T_TTAFCallOff[Part Name],$A12,T_TTAFCallOff[WeekIndex],31)</f>
        <v/>
      </c>
      <c r="AG12">
        <f>SUMIFS(T_TTAFCallOff[PCS],T_TTAFCallOff[Part Name],$A12,T_TTAFCallOff[WeekIndex],32)</f>
        <v/>
      </c>
      <c r="AH12">
        <f>SUMIFS(T_TTAFCallOff[PCS],T_TTAFCallOff[Part Name],$A12,T_TTAFCallOff[WeekIndex],33)</f>
        <v/>
      </c>
      <c r="AI12">
        <f>SUMIFS(T_TTAFCallOff[PCS],T_TTAFCallOff[Part Name],$A12,T_TTAFCallOff[WeekIndex],34)</f>
        <v/>
      </c>
      <c r="AJ12">
        <f>SUMIFS(T_TTAFCallOff[PCS],T_TTAFCallOff[Part Name],$A12,T_TTAFCallOff[WeekIndex],35)</f>
        <v/>
      </c>
      <c r="AK12">
        <f>SUMIFS(T_TTAFCallOff[PCS],T_TTAFCallOff[Part Name],$A12,T_TTAFCallOff[WeekIndex],36)</f>
        <v/>
      </c>
      <c r="AL12">
        <f>SUMIFS(T_TTAFCallOff[PCS],T_TTAFCallOff[Part Name],$A12,T_TTAFCallOff[WeekIndex],37)</f>
        <v/>
      </c>
      <c r="AM12">
        <f>SUMIFS(T_TTAFCallOff[PCS],T_TTAFCallOff[Part Name],$A12,T_TTAFCallOff[WeekIndex],38)</f>
        <v/>
      </c>
      <c r="AN12">
        <f>SUMIFS(T_TTAFCallOff[PCS],T_TTAFCallOff[Part Name],$A12,T_TTAFCallOff[WeekIndex],39)</f>
        <v/>
      </c>
      <c r="AO12">
        <f>SUMIFS(T_TTAFCallOff[PCS],T_TTAFCallOff[Part Name],$A12,T_TTAFCallOff[WeekIndex],40)</f>
        <v/>
      </c>
      <c r="AP12">
        <f>SUMIFS(T_TTAFCallOff[PCS],T_TTAFCallOff[Part Name],$A12,T_TTAFCallOff[WeekIndex],41)</f>
        <v/>
      </c>
      <c r="AQ12">
        <f>SUMIFS(T_TTAFCallOff[PCS],T_TTAFCallOff[Part Name],$A12,T_TTAFCallOff[WeekIndex],42)</f>
        <v/>
      </c>
      <c r="AR12">
        <f>SUMIFS(T_TTAFCallOff[PCS],T_TTAFCallOff[Part Name],$A12,T_TTAFCallOff[WeekIndex],43)</f>
        <v/>
      </c>
      <c r="AS12">
        <f>SUMIFS(T_TTAFCallOff[PCS],T_TTAFCallOff[Part Name],$A12,T_TTAFCallOff[WeekIndex],44)</f>
        <v/>
      </c>
      <c r="AT12">
        <f>SUMIFS(T_TTAFCallOff[PCS],T_TTAFCallOff[Part Name],$A12,T_TTAFCallOff[WeekIndex],45)</f>
        <v/>
      </c>
      <c r="AU12">
        <f>SUMIFS(T_TTAFCallOff[PCS],T_TTAFCallOff[Part Name],$A12,T_TTAFCallOff[WeekIndex],46)</f>
        <v/>
      </c>
      <c r="AV12">
        <f>SUMIFS(T_TTAFCallOff[PCS],T_TTAFCallOff[Part Name],$A12,T_TTAFCallOff[WeekIndex],47)</f>
        <v/>
      </c>
      <c r="AW12">
        <f>SUMIFS(T_TTAFCallOff[PCS],T_TTAFCallOff[Part Name],$A12,T_TTAFCallOff[WeekIndex],48)</f>
        <v/>
      </c>
      <c r="AX12">
        <f>SUMIFS(T_TTAFCallOff[PCS],T_TTAFCallOff[Part Name],$A12,T_TTAFCallOff[WeekIndex],49)</f>
        <v/>
      </c>
      <c r="AY12">
        <f>SUMIFS(T_TTAFCallOff[PCS],T_TTAFCallOff[Part Name],$A12,T_TTAFCallOff[WeekIndex],50)</f>
        <v/>
      </c>
      <c r="AZ12">
        <f>SUMIFS(T_TTAFCallOff[PCS],T_TTAFCallOff[Part Name],$A12,T_TTAFCallOff[WeekIndex],51)</f>
        <v/>
      </c>
      <c r="BA12">
        <f>SUMIFS(T_TTAFCallOff[PCS],T_TTAFCallOff[Part Name],$A12,T_TTAFCallOff[WeekIndex],52)</f>
        <v/>
      </c>
      <c r="BB12">
        <f>SUMIFS(T_TTAFCallOff[PCS],T_TTAFCallOff[Part Name],$A12,T_TTAFCallOff[WeekIndex],53)</f>
        <v/>
      </c>
      <c r="BC12">
        <f>SUMIFS(T_TTAFCallOff[PCS],T_TTAFCallOff[Part Name],$A12,T_TTAFCallOff[WeekIndex],54)</f>
        <v/>
      </c>
      <c r="BD12">
        <f>SUMIFS(T_TTAFCallOff[PCS],T_TTAFCallOff[Part Name],$A12,T_TTAFCallOff[WeekIndex],55)</f>
        <v/>
      </c>
      <c r="BE12">
        <f>SUMIFS(T_TTAFCallOff[PCS],T_TTAFCallOff[Part Name],$A12,T_TTAFCallOff[WeekIndex],56)</f>
        <v/>
      </c>
      <c r="BF12">
        <f>SUMIFS(T_TTAFCallOff[PCS],T_TTAFCallOff[Part Name],$A12,T_TTAFCallOff[WeekIndex],57)</f>
        <v/>
      </c>
      <c r="BG12">
        <f>SUMIFS(T_TTAFCallOff[PCS],T_TTAFCallOff[Part Name],$A12,T_TTAFCallOff[WeekIndex],58)</f>
        <v/>
      </c>
      <c r="BH12">
        <f>SUMIFS(T_TTAFCallOff[PCS],T_TTAFCallOff[Part Name],$A12,T_TTAFCallOff[WeekIndex],59)</f>
        <v/>
      </c>
      <c r="BI12">
        <f>SUMIFS(T_TTAFCallOff[PCS],T_TTAFCallOff[Part Name],$A12,T_TTAFCallOff[WeekIndex],60)</f>
        <v/>
      </c>
      <c r="BJ12">
        <f>SUMIFS(T_TTAFCallOff[PCS],T_TTAFCallOff[Part Name],$A12,T_TTAFCallOff[WeekIndex],61)</f>
        <v/>
      </c>
      <c r="BK12">
        <f>SUMIFS(T_TTAFCallOff[PCS],T_TTAFCallOff[Part Name],$A12,T_TTAFCallOff[WeekIndex],62)</f>
        <v/>
      </c>
      <c r="BL12">
        <f>SUMIFS(T_TTAFCallOff[PCS],T_TTAFCallOff[Part Name],$A12,T_TTAFCallOff[WeekIndex],63)</f>
        <v/>
      </c>
      <c r="BM12">
        <f>SUMIFS(T_TTAFCallOff[PCS],T_TTAFCallOff[Part Name],$A12,T_TTAFCallOff[WeekIndex],64)</f>
        <v/>
      </c>
      <c r="BN12">
        <f>SUMIFS(T_TTAFCallOff[PCS],T_TTAFCallOff[Part Name],$A12,T_TTAFCallOff[WeekIndex],65)</f>
        <v/>
      </c>
      <c r="BO12">
        <f>SUMIFS(T_TTAFCallOff[PCS],T_TTAFCallOff[Part Name],$A12,T_TTAFCallOff[WeekIndex],66)</f>
        <v/>
      </c>
      <c r="BP12">
        <f>SUMIFS(T_TTAFCallOff[PCS],T_TTAFCallOff[Part Name],$A12,T_TTAFCallOff[WeekIndex],67)</f>
        <v/>
      </c>
      <c r="BQ12">
        <f>SUMIFS(T_TTAFCallOff[PCS],T_TTAFCallOff[Part Name],$A12,T_TTAFCallOff[WeekIndex],68)</f>
        <v/>
      </c>
      <c r="BR12">
        <f>SUMIFS(T_TTAFCallOff[PCS],T_TTAFCallOff[Part Name],$A12,T_TTAFCallOff[WeekIndex],69)</f>
        <v/>
      </c>
      <c r="BS12">
        <f>SUMIFS(T_TTAFCallOff[PCS],T_TTAFCallOff[Part Name],$A12,T_TTAFCallOff[WeekIndex],70)</f>
        <v/>
      </c>
      <c r="BT12">
        <f>SUMIFS(T_TTAFCallOff[PCS],T_TTAFCallOff[Part Name],$A12,T_TTAFCallOff[WeekIndex],71)</f>
        <v/>
      </c>
      <c r="BU12">
        <f>SUMIFS(T_TTAFCallOff[PCS],T_TTAFCallOff[Part Name],$A12,T_TTAFCallOff[WeekIndex],72)</f>
        <v/>
      </c>
      <c r="BV12">
        <f>SUMIFS(T_TTAFCallOff[PCS],T_TTAFCallOff[Part Name],$A12,T_TTAFCallOff[WeekIndex],73)</f>
        <v/>
      </c>
      <c r="BW12">
        <f>SUMIFS(T_TTAFCallOff[PCS],T_TTAFCallOff[Part Name],$A12,T_TTAFCallOff[WeekIndex],74)</f>
        <v/>
      </c>
      <c r="BX12">
        <f>SUMIFS(T_TTAFCallOff[PCS],T_TTAFCallOff[Part Name],$A12,T_TTAFCallOff[WeekIndex],75)</f>
        <v/>
      </c>
      <c r="BY12">
        <f>SUMIFS(T_TTAFCallOff[PCS],T_TTAFCallOff[Part Name],$A12,T_TTAFCallOff[WeekIndex],76)</f>
        <v/>
      </c>
      <c r="BZ12">
        <f>SUMIFS(T_TTAFCallOff[PCS],T_TTAFCallOff[Part Name],$A12,T_TTAFCallOff[WeekIndex],77)</f>
        <v/>
      </c>
      <c r="CA12">
        <f>SUMIFS(T_TTAFCallOff[PCS],T_TTAFCallOff[Part Name],$A12,T_TTAFCallOff[WeekIndex],78)</f>
        <v/>
      </c>
      <c r="CB12">
        <f>SUMIFS(T_TTAFCallOff[PCS],T_TTAFCallOff[Part Name],$A12,T_TTAFCallOff[WeekIndex],79)</f>
        <v/>
      </c>
      <c r="CC12">
        <f>SUMIFS(T_TTAFCallOff[PCS],T_TTAFCallOff[Part Name],$A12,T_TTAFCallOff[WeekIndex],80)</f>
        <v/>
      </c>
      <c r="CD12">
        <f>SUMIFS(T_TTAFCallOff[PCS],T_TTAFCallOff[Part Name],$A12,T_TTAFCallOff[WeekIndex],81)</f>
        <v/>
      </c>
      <c r="CE12">
        <f>SUMIFS(T_TTAFCallOff[PCS],T_TTAFCallOff[Part Name],$A12,T_TTAFCallOff[WeekIndex],82)</f>
        <v/>
      </c>
      <c r="CF12">
        <f>SUMIFS(T_TTAFCallOff[PCS],T_TTAFCallOff[Part Name],$A12,T_TTAFCallOff[WeekIndex],83)</f>
        <v/>
      </c>
      <c r="CG12">
        <f>SUMIFS(T_TTAFCallOff[PCS],T_TTAFCallOff[Part Name],$A12,T_TTAFCallOff[WeekIndex],84)</f>
        <v/>
      </c>
      <c r="CH12">
        <f>SUMIFS(T_TTAFCallOff[PCS],T_TTAFCallOff[Part Name],$A12,T_TTAFCallOff[WeekIndex],85)</f>
        <v/>
      </c>
      <c r="CI12">
        <f>SUMIFS(T_TTAFCallOff[PCS],T_TTAFCallOff[Part Name],$A12,T_TTAFCallOff[WeekIndex],86)</f>
        <v/>
      </c>
      <c r="CJ12">
        <f>SUMIFS(T_TTAFCallOff[PCS],T_TTAFCallOff[Part Name],$A12,T_TTAFCallOff[WeekIndex],87)</f>
        <v/>
      </c>
      <c r="CK12">
        <f>SUMIFS(T_TTAFCallOff[PCS],T_TTAFCallOff[Part Name],$A12,T_TTAFCallOff[WeekIndex],88)</f>
        <v/>
      </c>
      <c r="CL12">
        <f>SUMIFS(T_TTAFCallOff[PCS],T_TTAFCallOff[Part Name],$A12,T_TTAFCallOff[WeekIndex],89)</f>
        <v/>
      </c>
      <c r="CM12">
        <f>SUMIFS(T_TTAFCallOff[PCS],T_TTAFCallOff[Part Name],$A12,T_TTAFCallOff[WeekIndex],90)</f>
        <v/>
      </c>
      <c r="CN12">
        <f>SUMIFS(T_TTAFCallOff[PCS],T_TTAFCallOff[Part Name],$A12,T_TTAFCallOff[WeekIndex],91)</f>
        <v/>
      </c>
      <c r="CO12">
        <f>SUMIFS(T_TTAFCallOff[PCS],T_TTAFCallOff[Part Name],$A12,T_TTAFCallOff[WeekIndex],92)</f>
        <v/>
      </c>
      <c r="CP12">
        <f>SUMIFS(T_TTAFCallOff[PCS],T_TTAFCallOff[Part Name],$A12,T_TTAFCallOff[WeekIndex],93)</f>
        <v/>
      </c>
      <c r="CQ12">
        <f>SUMIFS(T_TTAFCallOff[PCS],T_TTAFCallOff[Part Name],$A12,T_TTAFCallOff[WeekIndex],94)</f>
        <v/>
      </c>
      <c r="CR12">
        <f>SUMIFS(T_TTAFCallOff[PCS],T_TTAFCallOff[Part Name],$A12,T_TTAFCallOff[WeekIndex],95)</f>
        <v/>
      </c>
      <c r="CS12">
        <f>SUMIFS(T_TTAFCallOff[PCS],T_TTAFCallOff[Part Name],$A12,T_TTAFCallOff[WeekIndex],96)</f>
        <v/>
      </c>
      <c r="CT12">
        <f>SUMIFS(T_TTAFCallOff[PCS],T_TTAFCallOff[Part Name],$A12,T_TTAFCallOff[WeekIndex],97)</f>
        <v/>
      </c>
      <c r="CU12">
        <f>SUMIFS(T_TTAFCallOff[PCS],T_TTAFCallOff[Part Name],$A12,T_TTAFCallOff[WeekIndex],98)</f>
        <v/>
      </c>
      <c r="CV12">
        <f>SUMIFS(T_TTAFCallOff[PCS],T_TTAFCallOff[Part Name],$A12,T_TTAFCallOff[WeekIndex],99)</f>
        <v/>
      </c>
      <c r="CW12">
        <f>SUMIFS(T_TTAFCallOff[PCS],T_TTAFCallOff[Part Name],$A12,T_TTAFCallOff[WeekIndex],100)</f>
        <v/>
      </c>
      <c r="CX12">
        <f>SUMIFS(T_TTAFCallOff[PCS],T_TTAFCallOff[Part Name],$A12,T_TTAFCallOff[WeekIndex],101)</f>
        <v/>
      </c>
      <c r="CY12">
        <f>SUMIFS(T_TTAFCallOff[PCS],T_TTAFCallOff[Part Name],$A12,T_TTAFCallOff[WeekIndex],102)</f>
        <v/>
      </c>
      <c r="CZ12">
        <f>SUMIFS(T_TTAFCallOff[PCS],T_TTAFCallOff[Part Name],$A12,T_TTAFCallOff[WeekIndex],103)</f>
        <v/>
      </c>
      <c r="DA12">
        <f>SUMIFS(T_TTAFCallOff[PCS],T_TTAFCallOff[Part Name],$A12,T_TTAFCallOff[WeekIndex],104)</f>
        <v/>
      </c>
    </row>
    <row r="13">
      <c r="A13" t="inlineStr">
        <is>
          <t>7CL</t>
        </is>
      </c>
      <c r="B13">
        <f>SUMIFS(T_TTAFCallOff[PCS],T_TTAFCallOff[Part Name],$A13,T_TTAFCallOff[WeekIndex],1)</f>
        <v/>
      </c>
      <c r="C13">
        <f>SUMIFS(T_TTAFCallOff[PCS],T_TTAFCallOff[Part Name],$A13,T_TTAFCallOff[WeekIndex],2)</f>
        <v/>
      </c>
      <c r="D13">
        <f>SUMIFS(T_TTAFCallOff[PCS],T_TTAFCallOff[Part Name],$A13,T_TTAFCallOff[WeekIndex],3)</f>
        <v/>
      </c>
      <c r="E13">
        <f>SUMIFS(T_TTAFCallOff[PCS],T_TTAFCallOff[Part Name],$A13,T_TTAFCallOff[WeekIndex],4)</f>
        <v/>
      </c>
      <c r="F13">
        <f>SUMIFS(T_TTAFCallOff[PCS],T_TTAFCallOff[Part Name],$A13,T_TTAFCallOff[WeekIndex],5)</f>
        <v/>
      </c>
      <c r="G13">
        <f>SUMIFS(T_TTAFCallOff[PCS],T_TTAFCallOff[Part Name],$A13,T_TTAFCallOff[WeekIndex],6)</f>
        <v/>
      </c>
      <c r="H13">
        <f>SUMIFS(T_TTAFCallOff[PCS],T_TTAFCallOff[Part Name],$A13,T_TTAFCallOff[WeekIndex],7)</f>
        <v/>
      </c>
      <c r="I13">
        <f>SUMIFS(T_TTAFCallOff[PCS],T_TTAFCallOff[Part Name],$A13,T_TTAFCallOff[WeekIndex],8)</f>
        <v/>
      </c>
      <c r="J13">
        <f>SUMIFS(T_TTAFCallOff[PCS],T_TTAFCallOff[Part Name],$A13,T_TTAFCallOff[WeekIndex],9)</f>
        <v/>
      </c>
      <c r="K13">
        <f>SUMIFS(T_TTAFCallOff[PCS],T_TTAFCallOff[Part Name],$A13,T_TTAFCallOff[WeekIndex],10)</f>
        <v/>
      </c>
      <c r="L13">
        <f>SUMIFS(T_TTAFCallOff[PCS],T_TTAFCallOff[Part Name],$A13,T_TTAFCallOff[WeekIndex],11)</f>
        <v/>
      </c>
      <c r="M13">
        <f>SUMIFS(T_TTAFCallOff[PCS],T_TTAFCallOff[Part Name],$A13,T_TTAFCallOff[WeekIndex],12)</f>
        <v/>
      </c>
      <c r="N13">
        <f>SUMIFS(T_TTAFCallOff[PCS],T_TTAFCallOff[Part Name],$A13,T_TTAFCallOff[WeekIndex],13)</f>
        <v/>
      </c>
      <c r="O13">
        <f>SUMIFS(T_TTAFCallOff[PCS],T_TTAFCallOff[Part Name],$A13,T_TTAFCallOff[WeekIndex],14)</f>
        <v/>
      </c>
      <c r="P13">
        <f>SUMIFS(T_TTAFCallOff[PCS],T_TTAFCallOff[Part Name],$A13,T_TTAFCallOff[WeekIndex],15)</f>
        <v/>
      </c>
      <c r="Q13">
        <f>SUMIFS(T_TTAFCallOff[PCS],T_TTAFCallOff[Part Name],$A13,T_TTAFCallOff[WeekIndex],16)</f>
        <v/>
      </c>
      <c r="R13">
        <f>SUMIFS(T_TTAFCallOff[PCS],T_TTAFCallOff[Part Name],$A13,T_TTAFCallOff[WeekIndex],17)</f>
        <v/>
      </c>
      <c r="S13">
        <f>SUMIFS(T_TTAFCallOff[PCS],T_TTAFCallOff[Part Name],$A13,T_TTAFCallOff[WeekIndex],18)</f>
        <v/>
      </c>
      <c r="T13">
        <f>SUMIFS(T_TTAFCallOff[PCS],T_TTAFCallOff[Part Name],$A13,T_TTAFCallOff[WeekIndex],19)</f>
        <v/>
      </c>
      <c r="U13">
        <f>SUMIFS(T_TTAFCallOff[PCS],T_TTAFCallOff[Part Name],$A13,T_TTAFCallOff[WeekIndex],20)</f>
        <v/>
      </c>
      <c r="V13">
        <f>SUMIFS(T_TTAFCallOff[PCS],T_TTAFCallOff[Part Name],$A13,T_TTAFCallOff[WeekIndex],21)</f>
        <v/>
      </c>
      <c r="W13">
        <f>SUMIFS(T_TTAFCallOff[PCS],T_TTAFCallOff[Part Name],$A13,T_TTAFCallOff[WeekIndex],22)</f>
        <v/>
      </c>
      <c r="X13">
        <f>SUMIFS(T_TTAFCallOff[PCS],T_TTAFCallOff[Part Name],$A13,T_TTAFCallOff[WeekIndex],23)</f>
        <v/>
      </c>
      <c r="Y13">
        <f>SUMIFS(T_TTAFCallOff[PCS],T_TTAFCallOff[Part Name],$A13,T_TTAFCallOff[WeekIndex],24)</f>
        <v/>
      </c>
      <c r="Z13">
        <f>SUMIFS(T_TTAFCallOff[PCS],T_TTAFCallOff[Part Name],$A13,T_TTAFCallOff[WeekIndex],25)</f>
        <v/>
      </c>
      <c r="AA13">
        <f>SUMIFS(T_TTAFCallOff[PCS],T_TTAFCallOff[Part Name],$A13,T_TTAFCallOff[WeekIndex],26)</f>
        <v/>
      </c>
      <c r="AB13">
        <f>SUMIFS(T_TTAFCallOff[PCS],T_TTAFCallOff[Part Name],$A13,T_TTAFCallOff[WeekIndex],27)</f>
        <v/>
      </c>
      <c r="AC13">
        <f>SUMIFS(T_TTAFCallOff[PCS],T_TTAFCallOff[Part Name],$A13,T_TTAFCallOff[WeekIndex],28)</f>
        <v/>
      </c>
      <c r="AD13">
        <f>SUMIFS(T_TTAFCallOff[PCS],T_TTAFCallOff[Part Name],$A13,T_TTAFCallOff[WeekIndex],29)</f>
        <v/>
      </c>
      <c r="AE13">
        <f>SUMIFS(T_TTAFCallOff[PCS],T_TTAFCallOff[Part Name],$A13,T_TTAFCallOff[WeekIndex],30)</f>
        <v/>
      </c>
      <c r="AF13">
        <f>SUMIFS(T_TTAFCallOff[PCS],T_TTAFCallOff[Part Name],$A13,T_TTAFCallOff[WeekIndex],31)</f>
        <v/>
      </c>
      <c r="AG13">
        <f>SUMIFS(T_TTAFCallOff[PCS],T_TTAFCallOff[Part Name],$A13,T_TTAFCallOff[WeekIndex],32)</f>
        <v/>
      </c>
      <c r="AH13">
        <f>SUMIFS(T_TTAFCallOff[PCS],T_TTAFCallOff[Part Name],$A13,T_TTAFCallOff[WeekIndex],33)</f>
        <v/>
      </c>
      <c r="AI13">
        <f>SUMIFS(T_TTAFCallOff[PCS],T_TTAFCallOff[Part Name],$A13,T_TTAFCallOff[WeekIndex],34)</f>
        <v/>
      </c>
      <c r="AJ13">
        <f>SUMIFS(T_TTAFCallOff[PCS],T_TTAFCallOff[Part Name],$A13,T_TTAFCallOff[WeekIndex],35)</f>
        <v/>
      </c>
      <c r="AK13">
        <f>SUMIFS(T_TTAFCallOff[PCS],T_TTAFCallOff[Part Name],$A13,T_TTAFCallOff[WeekIndex],36)</f>
        <v/>
      </c>
      <c r="AL13">
        <f>SUMIFS(T_TTAFCallOff[PCS],T_TTAFCallOff[Part Name],$A13,T_TTAFCallOff[WeekIndex],37)</f>
        <v/>
      </c>
      <c r="AM13">
        <f>SUMIFS(T_TTAFCallOff[PCS],T_TTAFCallOff[Part Name],$A13,T_TTAFCallOff[WeekIndex],38)</f>
        <v/>
      </c>
      <c r="AN13">
        <f>SUMIFS(T_TTAFCallOff[PCS],T_TTAFCallOff[Part Name],$A13,T_TTAFCallOff[WeekIndex],39)</f>
        <v/>
      </c>
      <c r="AO13">
        <f>SUMIFS(T_TTAFCallOff[PCS],T_TTAFCallOff[Part Name],$A13,T_TTAFCallOff[WeekIndex],40)</f>
        <v/>
      </c>
      <c r="AP13">
        <f>SUMIFS(T_TTAFCallOff[PCS],T_TTAFCallOff[Part Name],$A13,T_TTAFCallOff[WeekIndex],41)</f>
        <v/>
      </c>
      <c r="AQ13">
        <f>SUMIFS(T_TTAFCallOff[PCS],T_TTAFCallOff[Part Name],$A13,T_TTAFCallOff[WeekIndex],42)</f>
        <v/>
      </c>
      <c r="AR13">
        <f>SUMIFS(T_TTAFCallOff[PCS],T_TTAFCallOff[Part Name],$A13,T_TTAFCallOff[WeekIndex],43)</f>
        <v/>
      </c>
      <c r="AS13">
        <f>SUMIFS(T_TTAFCallOff[PCS],T_TTAFCallOff[Part Name],$A13,T_TTAFCallOff[WeekIndex],44)</f>
        <v/>
      </c>
      <c r="AT13">
        <f>SUMIFS(T_TTAFCallOff[PCS],T_TTAFCallOff[Part Name],$A13,T_TTAFCallOff[WeekIndex],45)</f>
        <v/>
      </c>
      <c r="AU13">
        <f>SUMIFS(T_TTAFCallOff[PCS],T_TTAFCallOff[Part Name],$A13,T_TTAFCallOff[WeekIndex],46)</f>
        <v/>
      </c>
      <c r="AV13">
        <f>SUMIFS(T_TTAFCallOff[PCS],T_TTAFCallOff[Part Name],$A13,T_TTAFCallOff[WeekIndex],47)</f>
        <v/>
      </c>
      <c r="AW13">
        <f>SUMIFS(T_TTAFCallOff[PCS],T_TTAFCallOff[Part Name],$A13,T_TTAFCallOff[WeekIndex],48)</f>
        <v/>
      </c>
      <c r="AX13">
        <f>SUMIFS(T_TTAFCallOff[PCS],T_TTAFCallOff[Part Name],$A13,T_TTAFCallOff[WeekIndex],49)</f>
        <v/>
      </c>
      <c r="AY13">
        <f>SUMIFS(T_TTAFCallOff[PCS],T_TTAFCallOff[Part Name],$A13,T_TTAFCallOff[WeekIndex],50)</f>
        <v/>
      </c>
      <c r="AZ13">
        <f>SUMIFS(T_TTAFCallOff[PCS],T_TTAFCallOff[Part Name],$A13,T_TTAFCallOff[WeekIndex],51)</f>
        <v/>
      </c>
      <c r="BA13">
        <f>SUMIFS(T_TTAFCallOff[PCS],T_TTAFCallOff[Part Name],$A13,T_TTAFCallOff[WeekIndex],52)</f>
        <v/>
      </c>
      <c r="BB13">
        <f>SUMIFS(T_TTAFCallOff[PCS],T_TTAFCallOff[Part Name],$A13,T_TTAFCallOff[WeekIndex],53)</f>
        <v/>
      </c>
      <c r="BC13">
        <f>SUMIFS(T_TTAFCallOff[PCS],T_TTAFCallOff[Part Name],$A13,T_TTAFCallOff[WeekIndex],54)</f>
        <v/>
      </c>
      <c r="BD13">
        <f>SUMIFS(T_TTAFCallOff[PCS],T_TTAFCallOff[Part Name],$A13,T_TTAFCallOff[WeekIndex],55)</f>
        <v/>
      </c>
      <c r="BE13">
        <f>SUMIFS(T_TTAFCallOff[PCS],T_TTAFCallOff[Part Name],$A13,T_TTAFCallOff[WeekIndex],56)</f>
        <v/>
      </c>
      <c r="BF13">
        <f>SUMIFS(T_TTAFCallOff[PCS],T_TTAFCallOff[Part Name],$A13,T_TTAFCallOff[WeekIndex],57)</f>
        <v/>
      </c>
      <c r="BG13">
        <f>SUMIFS(T_TTAFCallOff[PCS],T_TTAFCallOff[Part Name],$A13,T_TTAFCallOff[WeekIndex],58)</f>
        <v/>
      </c>
      <c r="BH13">
        <f>SUMIFS(T_TTAFCallOff[PCS],T_TTAFCallOff[Part Name],$A13,T_TTAFCallOff[WeekIndex],59)</f>
        <v/>
      </c>
      <c r="BI13">
        <f>SUMIFS(T_TTAFCallOff[PCS],T_TTAFCallOff[Part Name],$A13,T_TTAFCallOff[WeekIndex],60)</f>
        <v/>
      </c>
      <c r="BJ13">
        <f>SUMIFS(T_TTAFCallOff[PCS],T_TTAFCallOff[Part Name],$A13,T_TTAFCallOff[WeekIndex],61)</f>
        <v/>
      </c>
      <c r="BK13">
        <f>SUMIFS(T_TTAFCallOff[PCS],T_TTAFCallOff[Part Name],$A13,T_TTAFCallOff[WeekIndex],62)</f>
        <v/>
      </c>
      <c r="BL13">
        <f>SUMIFS(T_TTAFCallOff[PCS],T_TTAFCallOff[Part Name],$A13,T_TTAFCallOff[WeekIndex],63)</f>
        <v/>
      </c>
      <c r="BM13">
        <f>SUMIFS(T_TTAFCallOff[PCS],T_TTAFCallOff[Part Name],$A13,T_TTAFCallOff[WeekIndex],64)</f>
        <v/>
      </c>
      <c r="BN13">
        <f>SUMIFS(T_TTAFCallOff[PCS],T_TTAFCallOff[Part Name],$A13,T_TTAFCallOff[WeekIndex],65)</f>
        <v/>
      </c>
      <c r="BO13">
        <f>SUMIFS(T_TTAFCallOff[PCS],T_TTAFCallOff[Part Name],$A13,T_TTAFCallOff[WeekIndex],66)</f>
        <v/>
      </c>
      <c r="BP13">
        <f>SUMIFS(T_TTAFCallOff[PCS],T_TTAFCallOff[Part Name],$A13,T_TTAFCallOff[WeekIndex],67)</f>
        <v/>
      </c>
      <c r="BQ13">
        <f>SUMIFS(T_TTAFCallOff[PCS],T_TTAFCallOff[Part Name],$A13,T_TTAFCallOff[WeekIndex],68)</f>
        <v/>
      </c>
      <c r="BR13">
        <f>SUMIFS(T_TTAFCallOff[PCS],T_TTAFCallOff[Part Name],$A13,T_TTAFCallOff[WeekIndex],69)</f>
        <v/>
      </c>
      <c r="BS13">
        <f>SUMIFS(T_TTAFCallOff[PCS],T_TTAFCallOff[Part Name],$A13,T_TTAFCallOff[WeekIndex],70)</f>
        <v/>
      </c>
      <c r="BT13">
        <f>SUMIFS(T_TTAFCallOff[PCS],T_TTAFCallOff[Part Name],$A13,T_TTAFCallOff[WeekIndex],71)</f>
        <v/>
      </c>
      <c r="BU13">
        <f>SUMIFS(T_TTAFCallOff[PCS],T_TTAFCallOff[Part Name],$A13,T_TTAFCallOff[WeekIndex],72)</f>
        <v/>
      </c>
      <c r="BV13">
        <f>SUMIFS(T_TTAFCallOff[PCS],T_TTAFCallOff[Part Name],$A13,T_TTAFCallOff[WeekIndex],73)</f>
        <v/>
      </c>
      <c r="BW13">
        <f>SUMIFS(T_TTAFCallOff[PCS],T_TTAFCallOff[Part Name],$A13,T_TTAFCallOff[WeekIndex],74)</f>
        <v/>
      </c>
      <c r="BX13">
        <f>SUMIFS(T_TTAFCallOff[PCS],T_TTAFCallOff[Part Name],$A13,T_TTAFCallOff[WeekIndex],75)</f>
        <v/>
      </c>
      <c r="BY13">
        <f>SUMIFS(T_TTAFCallOff[PCS],T_TTAFCallOff[Part Name],$A13,T_TTAFCallOff[WeekIndex],76)</f>
        <v/>
      </c>
      <c r="BZ13">
        <f>SUMIFS(T_TTAFCallOff[PCS],T_TTAFCallOff[Part Name],$A13,T_TTAFCallOff[WeekIndex],77)</f>
        <v/>
      </c>
      <c r="CA13">
        <f>SUMIFS(T_TTAFCallOff[PCS],T_TTAFCallOff[Part Name],$A13,T_TTAFCallOff[WeekIndex],78)</f>
        <v/>
      </c>
      <c r="CB13">
        <f>SUMIFS(T_TTAFCallOff[PCS],T_TTAFCallOff[Part Name],$A13,T_TTAFCallOff[WeekIndex],79)</f>
        <v/>
      </c>
      <c r="CC13">
        <f>SUMIFS(T_TTAFCallOff[PCS],T_TTAFCallOff[Part Name],$A13,T_TTAFCallOff[WeekIndex],80)</f>
        <v/>
      </c>
      <c r="CD13">
        <f>SUMIFS(T_TTAFCallOff[PCS],T_TTAFCallOff[Part Name],$A13,T_TTAFCallOff[WeekIndex],81)</f>
        <v/>
      </c>
      <c r="CE13">
        <f>SUMIFS(T_TTAFCallOff[PCS],T_TTAFCallOff[Part Name],$A13,T_TTAFCallOff[WeekIndex],82)</f>
        <v/>
      </c>
      <c r="CF13">
        <f>SUMIFS(T_TTAFCallOff[PCS],T_TTAFCallOff[Part Name],$A13,T_TTAFCallOff[WeekIndex],83)</f>
        <v/>
      </c>
      <c r="CG13">
        <f>SUMIFS(T_TTAFCallOff[PCS],T_TTAFCallOff[Part Name],$A13,T_TTAFCallOff[WeekIndex],84)</f>
        <v/>
      </c>
      <c r="CH13">
        <f>SUMIFS(T_TTAFCallOff[PCS],T_TTAFCallOff[Part Name],$A13,T_TTAFCallOff[WeekIndex],85)</f>
        <v/>
      </c>
      <c r="CI13">
        <f>SUMIFS(T_TTAFCallOff[PCS],T_TTAFCallOff[Part Name],$A13,T_TTAFCallOff[WeekIndex],86)</f>
        <v/>
      </c>
      <c r="CJ13">
        <f>SUMIFS(T_TTAFCallOff[PCS],T_TTAFCallOff[Part Name],$A13,T_TTAFCallOff[WeekIndex],87)</f>
        <v/>
      </c>
      <c r="CK13">
        <f>SUMIFS(T_TTAFCallOff[PCS],T_TTAFCallOff[Part Name],$A13,T_TTAFCallOff[WeekIndex],88)</f>
        <v/>
      </c>
      <c r="CL13">
        <f>SUMIFS(T_TTAFCallOff[PCS],T_TTAFCallOff[Part Name],$A13,T_TTAFCallOff[WeekIndex],89)</f>
        <v/>
      </c>
      <c r="CM13">
        <f>SUMIFS(T_TTAFCallOff[PCS],T_TTAFCallOff[Part Name],$A13,T_TTAFCallOff[WeekIndex],90)</f>
        <v/>
      </c>
      <c r="CN13">
        <f>SUMIFS(T_TTAFCallOff[PCS],T_TTAFCallOff[Part Name],$A13,T_TTAFCallOff[WeekIndex],91)</f>
        <v/>
      </c>
      <c r="CO13">
        <f>SUMIFS(T_TTAFCallOff[PCS],T_TTAFCallOff[Part Name],$A13,T_TTAFCallOff[WeekIndex],92)</f>
        <v/>
      </c>
      <c r="CP13">
        <f>SUMIFS(T_TTAFCallOff[PCS],T_TTAFCallOff[Part Name],$A13,T_TTAFCallOff[WeekIndex],93)</f>
        <v/>
      </c>
      <c r="CQ13">
        <f>SUMIFS(T_TTAFCallOff[PCS],T_TTAFCallOff[Part Name],$A13,T_TTAFCallOff[WeekIndex],94)</f>
        <v/>
      </c>
      <c r="CR13">
        <f>SUMIFS(T_TTAFCallOff[PCS],T_TTAFCallOff[Part Name],$A13,T_TTAFCallOff[WeekIndex],95)</f>
        <v/>
      </c>
      <c r="CS13">
        <f>SUMIFS(T_TTAFCallOff[PCS],T_TTAFCallOff[Part Name],$A13,T_TTAFCallOff[WeekIndex],96)</f>
        <v/>
      </c>
      <c r="CT13">
        <f>SUMIFS(T_TTAFCallOff[PCS],T_TTAFCallOff[Part Name],$A13,T_TTAFCallOff[WeekIndex],97)</f>
        <v/>
      </c>
      <c r="CU13">
        <f>SUMIFS(T_TTAFCallOff[PCS],T_TTAFCallOff[Part Name],$A13,T_TTAFCallOff[WeekIndex],98)</f>
        <v/>
      </c>
      <c r="CV13">
        <f>SUMIFS(T_TTAFCallOff[PCS],T_TTAFCallOff[Part Name],$A13,T_TTAFCallOff[WeekIndex],99)</f>
        <v/>
      </c>
      <c r="CW13">
        <f>SUMIFS(T_TTAFCallOff[PCS],T_TTAFCallOff[Part Name],$A13,T_TTAFCallOff[WeekIndex],100)</f>
        <v/>
      </c>
      <c r="CX13">
        <f>SUMIFS(T_TTAFCallOff[PCS],T_TTAFCallOff[Part Name],$A13,T_TTAFCallOff[WeekIndex],101)</f>
        <v/>
      </c>
      <c r="CY13">
        <f>SUMIFS(T_TTAFCallOff[PCS],T_TTAFCallOff[Part Name],$A13,T_TTAFCallOff[WeekIndex],102)</f>
        <v/>
      </c>
      <c r="CZ13">
        <f>SUMIFS(T_TTAFCallOff[PCS],T_TTAFCallOff[Part Name],$A13,T_TTAFCallOff[WeekIndex],103)</f>
        <v/>
      </c>
      <c r="DA13">
        <f>SUMIFS(T_TTAFCallOff[PCS],T_TTAFCallOff[Part Name],$A13,T_TTAFCallOff[WeekIndex],104)</f>
        <v/>
      </c>
    </row>
    <row r="14">
      <c r="A14" t="inlineStr">
        <is>
          <t>9RN</t>
        </is>
      </c>
      <c r="B14">
        <f>SUMIFS(T_TTAFCallOff[PCS],T_TTAFCallOff[Part Name],$A14,T_TTAFCallOff[WeekIndex],1)</f>
        <v/>
      </c>
      <c r="C14">
        <f>SUMIFS(T_TTAFCallOff[PCS],T_TTAFCallOff[Part Name],$A14,T_TTAFCallOff[WeekIndex],2)</f>
        <v/>
      </c>
      <c r="D14">
        <f>SUMIFS(T_TTAFCallOff[PCS],T_TTAFCallOff[Part Name],$A14,T_TTAFCallOff[WeekIndex],3)</f>
        <v/>
      </c>
      <c r="E14">
        <f>SUMIFS(T_TTAFCallOff[PCS],T_TTAFCallOff[Part Name],$A14,T_TTAFCallOff[WeekIndex],4)</f>
        <v/>
      </c>
      <c r="F14">
        <f>SUMIFS(T_TTAFCallOff[PCS],T_TTAFCallOff[Part Name],$A14,T_TTAFCallOff[WeekIndex],5)</f>
        <v/>
      </c>
      <c r="G14">
        <f>SUMIFS(T_TTAFCallOff[PCS],T_TTAFCallOff[Part Name],$A14,T_TTAFCallOff[WeekIndex],6)</f>
        <v/>
      </c>
      <c r="H14">
        <f>SUMIFS(T_TTAFCallOff[PCS],T_TTAFCallOff[Part Name],$A14,T_TTAFCallOff[WeekIndex],7)</f>
        <v/>
      </c>
      <c r="I14">
        <f>SUMIFS(T_TTAFCallOff[PCS],T_TTAFCallOff[Part Name],$A14,T_TTAFCallOff[WeekIndex],8)</f>
        <v/>
      </c>
      <c r="J14">
        <f>SUMIFS(T_TTAFCallOff[PCS],T_TTAFCallOff[Part Name],$A14,T_TTAFCallOff[WeekIndex],9)</f>
        <v/>
      </c>
      <c r="K14">
        <f>SUMIFS(T_TTAFCallOff[PCS],T_TTAFCallOff[Part Name],$A14,T_TTAFCallOff[WeekIndex],10)</f>
        <v/>
      </c>
      <c r="L14">
        <f>SUMIFS(T_TTAFCallOff[PCS],T_TTAFCallOff[Part Name],$A14,T_TTAFCallOff[WeekIndex],11)</f>
        <v/>
      </c>
      <c r="M14">
        <f>SUMIFS(T_TTAFCallOff[PCS],T_TTAFCallOff[Part Name],$A14,T_TTAFCallOff[WeekIndex],12)</f>
        <v/>
      </c>
      <c r="N14">
        <f>SUMIFS(T_TTAFCallOff[PCS],T_TTAFCallOff[Part Name],$A14,T_TTAFCallOff[WeekIndex],13)</f>
        <v/>
      </c>
      <c r="O14">
        <f>SUMIFS(T_TTAFCallOff[PCS],T_TTAFCallOff[Part Name],$A14,T_TTAFCallOff[WeekIndex],14)</f>
        <v/>
      </c>
      <c r="P14">
        <f>SUMIFS(T_TTAFCallOff[PCS],T_TTAFCallOff[Part Name],$A14,T_TTAFCallOff[WeekIndex],15)</f>
        <v/>
      </c>
      <c r="Q14">
        <f>SUMIFS(T_TTAFCallOff[PCS],T_TTAFCallOff[Part Name],$A14,T_TTAFCallOff[WeekIndex],16)</f>
        <v/>
      </c>
      <c r="R14">
        <f>SUMIFS(T_TTAFCallOff[PCS],T_TTAFCallOff[Part Name],$A14,T_TTAFCallOff[WeekIndex],17)</f>
        <v/>
      </c>
      <c r="S14">
        <f>SUMIFS(T_TTAFCallOff[PCS],T_TTAFCallOff[Part Name],$A14,T_TTAFCallOff[WeekIndex],18)</f>
        <v/>
      </c>
      <c r="T14">
        <f>SUMIFS(T_TTAFCallOff[PCS],T_TTAFCallOff[Part Name],$A14,T_TTAFCallOff[WeekIndex],19)</f>
        <v/>
      </c>
      <c r="U14">
        <f>SUMIFS(T_TTAFCallOff[PCS],T_TTAFCallOff[Part Name],$A14,T_TTAFCallOff[WeekIndex],20)</f>
        <v/>
      </c>
      <c r="V14">
        <f>SUMIFS(T_TTAFCallOff[PCS],T_TTAFCallOff[Part Name],$A14,T_TTAFCallOff[WeekIndex],21)</f>
        <v/>
      </c>
      <c r="W14">
        <f>SUMIFS(T_TTAFCallOff[PCS],T_TTAFCallOff[Part Name],$A14,T_TTAFCallOff[WeekIndex],22)</f>
        <v/>
      </c>
      <c r="X14">
        <f>SUMIFS(T_TTAFCallOff[PCS],T_TTAFCallOff[Part Name],$A14,T_TTAFCallOff[WeekIndex],23)</f>
        <v/>
      </c>
      <c r="Y14">
        <f>SUMIFS(T_TTAFCallOff[PCS],T_TTAFCallOff[Part Name],$A14,T_TTAFCallOff[WeekIndex],24)</f>
        <v/>
      </c>
      <c r="Z14">
        <f>SUMIFS(T_TTAFCallOff[PCS],T_TTAFCallOff[Part Name],$A14,T_TTAFCallOff[WeekIndex],25)</f>
        <v/>
      </c>
      <c r="AA14">
        <f>SUMIFS(T_TTAFCallOff[PCS],T_TTAFCallOff[Part Name],$A14,T_TTAFCallOff[WeekIndex],26)</f>
        <v/>
      </c>
      <c r="AB14">
        <f>SUMIFS(T_TTAFCallOff[PCS],T_TTAFCallOff[Part Name],$A14,T_TTAFCallOff[WeekIndex],27)</f>
        <v/>
      </c>
      <c r="AC14">
        <f>SUMIFS(T_TTAFCallOff[PCS],T_TTAFCallOff[Part Name],$A14,T_TTAFCallOff[WeekIndex],28)</f>
        <v/>
      </c>
      <c r="AD14">
        <f>SUMIFS(T_TTAFCallOff[PCS],T_TTAFCallOff[Part Name],$A14,T_TTAFCallOff[WeekIndex],29)</f>
        <v/>
      </c>
      <c r="AE14">
        <f>SUMIFS(T_TTAFCallOff[PCS],T_TTAFCallOff[Part Name],$A14,T_TTAFCallOff[WeekIndex],30)</f>
        <v/>
      </c>
      <c r="AF14">
        <f>SUMIFS(T_TTAFCallOff[PCS],T_TTAFCallOff[Part Name],$A14,T_TTAFCallOff[WeekIndex],31)</f>
        <v/>
      </c>
      <c r="AG14">
        <f>SUMIFS(T_TTAFCallOff[PCS],T_TTAFCallOff[Part Name],$A14,T_TTAFCallOff[WeekIndex],32)</f>
        <v/>
      </c>
      <c r="AH14">
        <f>SUMIFS(T_TTAFCallOff[PCS],T_TTAFCallOff[Part Name],$A14,T_TTAFCallOff[WeekIndex],33)</f>
        <v/>
      </c>
      <c r="AI14">
        <f>SUMIFS(T_TTAFCallOff[PCS],T_TTAFCallOff[Part Name],$A14,T_TTAFCallOff[WeekIndex],34)</f>
        <v/>
      </c>
      <c r="AJ14">
        <f>SUMIFS(T_TTAFCallOff[PCS],T_TTAFCallOff[Part Name],$A14,T_TTAFCallOff[WeekIndex],35)</f>
        <v/>
      </c>
      <c r="AK14">
        <f>SUMIFS(T_TTAFCallOff[PCS],T_TTAFCallOff[Part Name],$A14,T_TTAFCallOff[WeekIndex],36)</f>
        <v/>
      </c>
      <c r="AL14">
        <f>SUMIFS(T_TTAFCallOff[PCS],T_TTAFCallOff[Part Name],$A14,T_TTAFCallOff[WeekIndex],37)</f>
        <v/>
      </c>
      <c r="AM14">
        <f>SUMIFS(T_TTAFCallOff[PCS],T_TTAFCallOff[Part Name],$A14,T_TTAFCallOff[WeekIndex],38)</f>
        <v/>
      </c>
      <c r="AN14">
        <f>SUMIFS(T_TTAFCallOff[PCS],T_TTAFCallOff[Part Name],$A14,T_TTAFCallOff[WeekIndex],39)</f>
        <v/>
      </c>
      <c r="AO14">
        <f>SUMIFS(T_TTAFCallOff[PCS],T_TTAFCallOff[Part Name],$A14,T_TTAFCallOff[WeekIndex],40)</f>
        <v/>
      </c>
      <c r="AP14">
        <f>SUMIFS(T_TTAFCallOff[PCS],T_TTAFCallOff[Part Name],$A14,T_TTAFCallOff[WeekIndex],41)</f>
        <v/>
      </c>
      <c r="AQ14">
        <f>SUMIFS(T_TTAFCallOff[PCS],T_TTAFCallOff[Part Name],$A14,T_TTAFCallOff[WeekIndex],42)</f>
        <v/>
      </c>
      <c r="AR14">
        <f>SUMIFS(T_TTAFCallOff[PCS],T_TTAFCallOff[Part Name],$A14,T_TTAFCallOff[WeekIndex],43)</f>
        <v/>
      </c>
      <c r="AS14">
        <f>SUMIFS(T_TTAFCallOff[PCS],T_TTAFCallOff[Part Name],$A14,T_TTAFCallOff[WeekIndex],44)</f>
        <v/>
      </c>
      <c r="AT14">
        <f>SUMIFS(T_TTAFCallOff[PCS],T_TTAFCallOff[Part Name],$A14,T_TTAFCallOff[WeekIndex],45)</f>
        <v/>
      </c>
      <c r="AU14">
        <f>SUMIFS(T_TTAFCallOff[PCS],T_TTAFCallOff[Part Name],$A14,T_TTAFCallOff[WeekIndex],46)</f>
        <v/>
      </c>
      <c r="AV14">
        <f>SUMIFS(T_TTAFCallOff[PCS],T_TTAFCallOff[Part Name],$A14,T_TTAFCallOff[WeekIndex],47)</f>
        <v/>
      </c>
      <c r="AW14">
        <f>SUMIFS(T_TTAFCallOff[PCS],T_TTAFCallOff[Part Name],$A14,T_TTAFCallOff[WeekIndex],48)</f>
        <v/>
      </c>
      <c r="AX14">
        <f>SUMIFS(T_TTAFCallOff[PCS],T_TTAFCallOff[Part Name],$A14,T_TTAFCallOff[WeekIndex],49)</f>
        <v/>
      </c>
      <c r="AY14">
        <f>SUMIFS(T_TTAFCallOff[PCS],T_TTAFCallOff[Part Name],$A14,T_TTAFCallOff[WeekIndex],50)</f>
        <v/>
      </c>
      <c r="AZ14">
        <f>SUMIFS(T_TTAFCallOff[PCS],T_TTAFCallOff[Part Name],$A14,T_TTAFCallOff[WeekIndex],51)</f>
        <v/>
      </c>
      <c r="BA14">
        <f>SUMIFS(T_TTAFCallOff[PCS],T_TTAFCallOff[Part Name],$A14,T_TTAFCallOff[WeekIndex],52)</f>
        <v/>
      </c>
      <c r="BB14">
        <f>SUMIFS(T_TTAFCallOff[PCS],T_TTAFCallOff[Part Name],$A14,T_TTAFCallOff[WeekIndex],53)</f>
        <v/>
      </c>
      <c r="BC14">
        <f>SUMIFS(T_TTAFCallOff[PCS],T_TTAFCallOff[Part Name],$A14,T_TTAFCallOff[WeekIndex],54)</f>
        <v/>
      </c>
      <c r="BD14">
        <f>SUMIFS(T_TTAFCallOff[PCS],T_TTAFCallOff[Part Name],$A14,T_TTAFCallOff[WeekIndex],55)</f>
        <v/>
      </c>
      <c r="BE14">
        <f>SUMIFS(T_TTAFCallOff[PCS],T_TTAFCallOff[Part Name],$A14,T_TTAFCallOff[WeekIndex],56)</f>
        <v/>
      </c>
      <c r="BF14">
        <f>SUMIFS(T_TTAFCallOff[PCS],T_TTAFCallOff[Part Name],$A14,T_TTAFCallOff[WeekIndex],57)</f>
        <v/>
      </c>
      <c r="BG14">
        <f>SUMIFS(T_TTAFCallOff[PCS],T_TTAFCallOff[Part Name],$A14,T_TTAFCallOff[WeekIndex],58)</f>
        <v/>
      </c>
      <c r="BH14">
        <f>SUMIFS(T_TTAFCallOff[PCS],T_TTAFCallOff[Part Name],$A14,T_TTAFCallOff[WeekIndex],59)</f>
        <v/>
      </c>
      <c r="BI14">
        <f>SUMIFS(T_TTAFCallOff[PCS],T_TTAFCallOff[Part Name],$A14,T_TTAFCallOff[WeekIndex],60)</f>
        <v/>
      </c>
      <c r="BJ14">
        <f>SUMIFS(T_TTAFCallOff[PCS],T_TTAFCallOff[Part Name],$A14,T_TTAFCallOff[WeekIndex],61)</f>
        <v/>
      </c>
      <c r="BK14">
        <f>SUMIFS(T_TTAFCallOff[PCS],T_TTAFCallOff[Part Name],$A14,T_TTAFCallOff[WeekIndex],62)</f>
        <v/>
      </c>
      <c r="BL14">
        <f>SUMIFS(T_TTAFCallOff[PCS],T_TTAFCallOff[Part Name],$A14,T_TTAFCallOff[WeekIndex],63)</f>
        <v/>
      </c>
      <c r="BM14">
        <f>SUMIFS(T_TTAFCallOff[PCS],T_TTAFCallOff[Part Name],$A14,T_TTAFCallOff[WeekIndex],64)</f>
        <v/>
      </c>
      <c r="BN14">
        <f>SUMIFS(T_TTAFCallOff[PCS],T_TTAFCallOff[Part Name],$A14,T_TTAFCallOff[WeekIndex],65)</f>
        <v/>
      </c>
      <c r="BO14">
        <f>SUMIFS(T_TTAFCallOff[PCS],T_TTAFCallOff[Part Name],$A14,T_TTAFCallOff[WeekIndex],66)</f>
        <v/>
      </c>
      <c r="BP14">
        <f>SUMIFS(T_TTAFCallOff[PCS],T_TTAFCallOff[Part Name],$A14,T_TTAFCallOff[WeekIndex],67)</f>
        <v/>
      </c>
      <c r="BQ14">
        <f>SUMIFS(T_TTAFCallOff[PCS],T_TTAFCallOff[Part Name],$A14,T_TTAFCallOff[WeekIndex],68)</f>
        <v/>
      </c>
      <c r="BR14">
        <f>SUMIFS(T_TTAFCallOff[PCS],T_TTAFCallOff[Part Name],$A14,T_TTAFCallOff[WeekIndex],69)</f>
        <v/>
      </c>
      <c r="BS14">
        <f>SUMIFS(T_TTAFCallOff[PCS],T_TTAFCallOff[Part Name],$A14,T_TTAFCallOff[WeekIndex],70)</f>
        <v/>
      </c>
      <c r="BT14">
        <f>SUMIFS(T_TTAFCallOff[PCS],T_TTAFCallOff[Part Name],$A14,T_TTAFCallOff[WeekIndex],71)</f>
        <v/>
      </c>
      <c r="BU14">
        <f>SUMIFS(T_TTAFCallOff[PCS],T_TTAFCallOff[Part Name],$A14,T_TTAFCallOff[WeekIndex],72)</f>
        <v/>
      </c>
      <c r="BV14">
        <f>SUMIFS(T_TTAFCallOff[PCS],T_TTAFCallOff[Part Name],$A14,T_TTAFCallOff[WeekIndex],73)</f>
        <v/>
      </c>
      <c r="BW14">
        <f>SUMIFS(T_TTAFCallOff[PCS],T_TTAFCallOff[Part Name],$A14,T_TTAFCallOff[WeekIndex],74)</f>
        <v/>
      </c>
      <c r="BX14">
        <f>SUMIFS(T_TTAFCallOff[PCS],T_TTAFCallOff[Part Name],$A14,T_TTAFCallOff[WeekIndex],75)</f>
        <v/>
      </c>
      <c r="BY14">
        <f>SUMIFS(T_TTAFCallOff[PCS],T_TTAFCallOff[Part Name],$A14,T_TTAFCallOff[WeekIndex],76)</f>
        <v/>
      </c>
      <c r="BZ14">
        <f>SUMIFS(T_TTAFCallOff[PCS],T_TTAFCallOff[Part Name],$A14,T_TTAFCallOff[WeekIndex],77)</f>
        <v/>
      </c>
      <c r="CA14">
        <f>SUMIFS(T_TTAFCallOff[PCS],T_TTAFCallOff[Part Name],$A14,T_TTAFCallOff[WeekIndex],78)</f>
        <v/>
      </c>
      <c r="CB14">
        <f>SUMIFS(T_TTAFCallOff[PCS],T_TTAFCallOff[Part Name],$A14,T_TTAFCallOff[WeekIndex],79)</f>
        <v/>
      </c>
      <c r="CC14">
        <f>SUMIFS(T_TTAFCallOff[PCS],T_TTAFCallOff[Part Name],$A14,T_TTAFCallOff[WeekIndex],80)</f>
        <v/>
      </c>
      <c r="CD14">
        <f>SUMIFS(T_TTAFCallOff[PCS],T_TTAFCallOff[Part Name],$A14,T_TTAFCallOff[WeekIndex],81)</f>
        <v/>
      </c>
      <c r="CE14">
        <f>SUMIFS(T_TTAFCallOff[PCS],T_TTAFCallOff[Part Name],$A14,T_TTAFCallOff[WeekIndex],82)</f>
        <v/>
      </c>
      <c r="CF14">
        <f>SUMIFS(T_TTAFCallOff[PCS],T_TTAFCallOff[Part Name],$A14,T_TTAFCallOff[WeekIndex],83)</f>
        <v/>
      </c>
      <c r="CG14">
        <f>SUMIFS(T_TTAFCallOff[PCS],T_TTAFCallOff[Part Name],$A14,T_TTAFCallOff[WeekIndex],84)</f>
        <v/>
      </c>
      <c r="CH14">
        <f>SUMIFS(T_TTAFCallOff[PCS],T_TTAFCallOff[Part Name],$A14,T_TTAFCallOff[WeekIndex],85)</f>
        <v/>
      </c>
      <c r="CI14">
        <f>SUMIFS(T_TTAFCallOff[PCS],T_TTAFCallOff[Part Name],$A14,T_TTAFCallOff[WeekIndex],86)</f>
        <v/>
      </c>
      <c r="CJ14">
        <f>SUMIFS(T_TTAFCallOff[PCS],T_TTAFCallOff[Part Name],$A14,T_TTAFCallOff[WeekIndex],87)</f>
        <v/>
      </c>
      <c r="CK14">
        <f>SUMIFS(T_TTAFCallOff[PCS],T_TTAFCallOff[Part Name],$A14,T_TTAFCallOff[WeekIndex],88)</f>
        <v/>
      </c>
      <c r="CL14">
        <f>SUMIFS(T_TTAFCallOff[PCS],T_TTAFCallOff[Part Name],$A14,T_TTAFCallOff[WeekIndex],89)</f>
        <v/>
      </c>
      <c r="CM14">
        <f>SUMIFS(T_TTAFCallOff[PCS],T_TTAFCallOff[Part Name],$A14,T_TTAFCallOff[WeekIndex],90)</f>
        <v/>
      </c>
      <c r="CN14">
        <f>SUMIFS(T_TTAFCallOff[PCS],T_TTAFCallOff[Part Name],$A14,T_TTAFCallOff[WeekIndex],91)</f>
        <v/>
      </c>
      <c r="CO14">
        <f>SUMIFS(T_TTAFCallOff[PCS],T_TTAFCallOff[Part Name],$A14,T_TTAFCallOff[WeekIndex],92)</f>
        <v/>
      </c>
      <c r="CP14">
        <f>SUMIFS(T_TTAFCallOff[PCS],T_TTAFCallOff[Part Name],$A14,T_TTAFCallOff[WeekIndex],93)</f>
        <v/>
      </c>
      <c r="CQ14">
        <f>SUMIFS(T_TTAFCallOff[PCS],T_TTAFCallOff[Part Name],$A14,T_TTAFCallOff[WeekIndex],94)</f>
        <v/>
      </c>
      <c r="CR14">
        <f>SUMIFS(T_TTAFCallOff[PCS],T_TTAFCallOff[Part Name],$A14,T_TTAFCallOff[WeekIndex],95)</f>
        <v/>
      </c>
      <c r="CS14">
        <f>SUMIFS(T_TTAFCallOff[PCS],T_TTAFCallOff[Part Name],$A14,T_TTAFCallOff[WeekIndex],96)</f>
        <v/>
      </c>
      <c r="CT14">
        <f>SUMIFS(T_TTAFCallOff[PCS],T_TTAFCallOff[Part Name],$A14,T_TTAFCallOff[WeekIndex],97)</f>
        <v/>
      </c>
      <c r="CU14">
        <f>SUMIFS(T_TTAFCallOff[PCS],T_TTAFCallOff[Part Name],$A14,T_TTAFCallOff[WeekIndex],98)</f>
        <v/>
      </c>
      <c r="CV14">
        <f>SUMIFS(T_TTAFCallOff[PCS],T_TTAFCallOff[Part Name],$A14,T_TTAFCallOff[WeekIndex],99)</f>
        <v/>
      </c>
      <c r="CW14">
        <f>SUMIFS(T_TTAFCallOff[PCS],T_TTAFCallOff[Part Name],$A14,T_TTAFCallOff[WeekIndex],100)</f>
        <v/>
      </c>
      <c r="CX14">
        <f>SUMIFS(T_TTAFCallOff[PCS],T_TTAFCallOff[Part Name],$A14,T_TTAFCallOff[WeekIndex],101)</f>
        <v/>
      </c>
      <c r="CY14">
        <f>SUMIFS(T_TTAFCallOff[PCS],T_TTAFCallOff[Part Name],$A14,T_TTAFCallOff[WeekIndex],102)</f>
        <v/>
      </c>
      <c r="CZ14">
        <f>SUMIFS(T_TTAFCallOff[PCS],T_TTAFCallOff[Part Name],$A14,T_TTAFCallOff[WeekIndex],103)</f>
        <v/>
      </c>
      <c r="DA14">
        <f>SUMIFS(T_TTAFCallOff[PCS],T_TTAFCallOff[Part Name],$A14,T_TTAFCallOff[WeekIndex],104)</f>
        <v/>
      </c>
    </row>
    <row r="15">
      <c r="A15" t="inlineStr">
        <is>
          <t>CHEM-1400</t>
        </is>
      </c>
      <c r="B15">
        <f>SUMIFS(T_TTAFCallOff[PCS],T_TTAFCallOff[Part Name],$A15,T_TTAFCallOff[WeekIndex],1)</f>
        <v/>
      </c>
      <c r="C15">
        <f>SUMIFS(T_TTAFCallOff[PCS],T_TTAFCallOff[Part Name],$A15,T_TTAFCallOff[WeekIndex],2)</f>
        <v/>
      </c>
      <c r="D15">
        <f>SUMIFS(T_TTAFCallOff[PCS],T_TTAFCallOff[Part Name],$A15,T_TTAFCallOff[WeekIndex],3)</f>
        <v/>
      </c>
      <c r="E15">
        <f>SUMIFS(T_TTAFCallOff[PCS],T_TTAFCallOff[Part Name],$A15,T_TTAFCallOff[WeekIndex],4)</f>
        <v/>
      </c>
      <c r="F15">
        <f>SUMIFS(T_TTAFCallOff[PCS],T_TTAFCallOff[Part Name],$A15,T_TTAFCallOff[WeekIndex],5)</f>
        <v/>
      </c>
      <c r="G15">
        <f>SUMIFS(T_TTAFCallOff[PCS],T_TTAFCallOff[Part Name],$A15,T_TTAFCallOff[WeekIndex],6)</f>
        <v/>
      </c>
      <c r="H15">
        <f>SUMIFS(T_TTAFCallOff[PCS],T_TTAFCallOff[Part Name],$A15,T_TTAFCallOff[WeekIndex],7)</f>
        <v/>
      </c>
      <c r="I15">
        <f>SUMIFS(T_TTAFCallOff[PCS],T_TTAFCallOff[Part Name],$A15,T_TTAFCallOff[WeekIndex],8)</f>
        <v/>
      </c>
      <c r="J15">
        <f>SUMIFS(T_TTAFCallOff[PCS],T_TTAFCallOff[Part Name],$A15,T_TTAFCallOff[WeekIndex],9)</f>
        <v/>
      </c>
      <c r="K15">
        <f>SUMIFS(T_TTAFCallOff[PCS],T_TTAFCallOff[Part Name],$A15,T_TTAFCallOff[WeekIndex],10)</f>
        <v/>
      </c>
      <c r="L15">
        <f>SUMIFS(T_TTAFCallOff[PCS],T_TTAFCallOff[Part Name],$A15,T_TTAFCallOff[WeekIndex],11)</f>
        <v/>
      </c>
      <c r="M15">
        <f>SUMIFS(T_TTAFCallOff[PCS],T_TTAFCallOff[Part Name],$A15,T_TTAFCallOff[WeekIndex],12)</f>
        <v/>
      </c>
      <c r="N15">
        <f>SUMIFS(T_TTAFCallOff[PCS],T_TTAFCallOff[Part Name],$A15,T_TTAFCallOff[WeekIndex],13)</f>
        <v/>
      </c>
      <c r="O15">
        <f>SUMIFS(T_TTAFCallOff[PCS],T_TTAFCallOff[Part Name],$A15,T_TTAFCallOff[WeekIndex],14)</f>
        <v/>
      </c>
      <c r="P15">
        <f>SUMIFS(T_TTAFCallOff[PCS],T_TTAFCallOff[Part Name],$A15,T_TTAFCallOff[WeekIndex],15)</f>
        <v/>
      </c>
      <c r="Q15">
        <f>SUMIFS(T_TTAFCallOff[PCS],T_TTAFCallOff[Part Name],$A15,T_TTAFCallOff[WeekIndex],16)</f>
        <v/>
      </c>
      <c r="R15">
        <f>SUMIFS(T_TTAFCallOff[PCS],T_TTAFCallOff[Part Name],$A15,T_TTAFCallOff[WeekIndex],17)</f>
        <v/>
      </c>
      <c r="S15">
        <f>SUMIFS(T_TTAFCallOff[PCS],T_TTAFCallOff[Part Name],$A15,T_TTAFCallOff[WeekIndex],18)</f>
        <v/>
      </c>
      <c r="T15">
        <f>SUMIFS(T_TTAFCallOff[PCS],T_TTAFCallOff[Part Name],$A15,T_TTAFCallOff[WeekIndex],19)</f>
        <v/>
      </c>
      <c r="U15">
        <f>SUMIFS(T_TTAFCallOff[PCS],T_TTAFCallOff[Part Name],$A15,T_TTAFCallOff[WeekIndex],20)</f>
        <v/>
      </c>
      <c r="V15">
        <f>SUMIFS(T_TTAFCallOff[PCS],T_TTAFCallOff[Part Name],$A15,T_TTAFCallOff[WeekIndex],21)</f>
        <v/>
      </c>
      <c r="W15">
        <f>SUMIFS(T_TTAFCallOff[PCS],T_TTAFCallOff[Part Name],$A15,T_TTAFCallOff[WeekIndex],22)</f>
        <v/>
      </c>
      <c r="X15">
        <f>SUMIFS(T_TTAFCallOff[PCS],T_TTAFCallOff[Part Name],$A15,T_TTAFCallOff[WeekIndex],23)</f>
        <v/>
      </c>
      <c r="Y15">
        <f>SUMIFS(T_TTAFCallOff[PCS],T_TTAFCallOff[Part Name],$A15,T_TTAFCallOff[WeekIndex],24)</f>
        <v/>
      </c>
      <c r="Z15">
        <f>SUMIFS(T_TTAFCallOff[PCS],T_TTAFCallOff[Part Name],$A15,T_TTAFCallOff[WeekIndex],25)</f>
        <v/>
      </c>
      <c r="AA15">
        <f>SUMIFS(T_TTAFCallOff[PCS],T_TTAFCallOff[Part Name],$A15,T_TTAFCallOff[WeekIndex],26)</f>
        <v/>
      </c>
      <c r="AB15">
        <f>SUMIFS(T_TTAFCallOff[PCS],T_TTAFCallOff[Part Name],$A15,T_TTAFCallOff[WeekIndex],27)</f>
        <v/>
      </c>
      <c r="AC15">
        <f>SUMIFS(T_TTAFCallOff[PCS],T_TTAFCallOff[Part Name],$A15,T_TTAFCallOff[WeekIndex],28)</f>
        <v/>
      </c>
      <c r="AD15">
        <f>SUMIFS(T_TTAFCallOff[PCS],T_TTAFCallOff[Part Name],$A15,T_TTAFCallOff[WeekIndex],29)</f>
        <v/>
      </c>
      <c r="AE15">
        <f>SUMIFS(T_TTAFCallOff[PCS],T_TTAFCallOff[Part Name],$A15,T_TTAFCallOff[WeekIndex],30)</f>
        <v/>
      </c>
      <c r="AF15">
        <f>SUMIFS(T_TTAFCallOff[PCS],T_TTAFCallOff[Part Name],$A15,T_TTAFCallOff[WeekIndex],31)</f>
        <v/>
      </c>
      <c r="AG15">
        <f>SUMIFS(T_TTAFCallOff[PCS],T_TTAFCallOff[Part Name],$A15,T_TTAFCallOff[WeekIndex],32)</f>
        <v/>
      </c>
      <c r="AH15">
        <f>SUMIFS(T_TTAFCallOff[PCS],T_TTAFCallOff[Part Name],$A15,T_TTAFCallOff[WeekIndex],33)</f>
        <v/>
      </c>
      <c r="AI15">
        <f>SUMIFS(T_TTAFCallOff[PCS],T_TTAFCallOff[Part Name],$A15,T_TTAFCallOff[WeekIndex],34)</f>
        <v/>
      </c>
      <c r="AJ15">
        <f>SUMIFS(T_TTAFCallOff[PCS],T_TTAFCallOff[Part Name],$A15,T_TTAFCallOff[WeekIndex],35)</f>
        <v/>
      </c>
      <c r="AK15">
        <f>SUMIFS(T_TTAFCallOff[PCS],T_TTAFCallOff[Part Name],$A15,T_TTAFCallOff[WeekIndex],36)</f>
        <v/>
      </c>
      <c r="AL15">
        <f>SUMIFS(T_TTAFCallOff[PCS],T_TTAFCallOff[Part Name],$A15,T_TTAFCallOff[WeekIndex],37)</f>
        <v/>
      </c>
      <c r="AM15">
        <f>SUMIFS(T_TTAFCallOff[PCS],T_TTAFCallOff[Part Name],$A15,T_TTAFCallOff[WeekIndex],38)</f>
        <v/>
      </c>
      <c r="AN15">
        <f>SUMIFS(T_TTAFCallOff[PCS],T_TTAFCallOff[Part Name],$A15,T_TTAFCallOff[WeekIndex],39)</f>
        <v/>
      </c>
      <c r="AO15">
        <f>SUMIFS(T_TTAFCallOff[PCS],T_TTAFCallOff[Part Name],$A15,T_TTAFCallOff[WeekIndex],40)</f>
        <v/>
      </c>
      <c r="AP15">
        <f>SUMIFS(T_TTAFCallOff[PCS],T_TTAFCallOff[Part Name],$A15,T_TTAFCallOff[WeekIndex],41)</f>
        <v/>
      </c>
      <c r="AQ15">
        <f>SUMIFS(T_TTAFCallOff[PCS],T_TTAFCallOff[Part Name],$A15,T_TTAFCallOff[WeekIndex],42)</f>
        <v/>
      </c>
      <c r="AR15">
        <f>SUMIFS(T_TTAFCallOff[PCS],T_TTAFCallOff[Part Name],$A15,T_TTAFCallOff[WeekIndex],43)</f>
        <v/>
      </c>
      <c r="AS15">
        <f>SUMIFS(T_TTAFCallOff[PCS],T_TTAFCallOff[Part Name],$A15,T_TTAFCallOff[WeekIndex],44)</f>
        <v/>
      </c>
      <c r="AT15">
        <f>SUMIFS(T_TTAFCallOff[PCS],T_TTAFCallOff[Part Name],$A15,T_TTAFCallOff[WeekIndex],45)</f>
        <v/>
      </c>
      <c r="AU15">
        <f>SUMIFS(T_TTAFCallOff[PCS],T_TTAFCallOff[Part Name],$A15,T_TTAFCallOff[WeekIndex],46)</f>
        <v/>
      </c>
      <c r="AV15">
        <f>SUMIFS(T_TTAFCallOff[PCS],T_TTAFCallOff[Part Name],$A15,T_TTAFCallOff[WeekIndex],47)</f>
        <v/>
      </c>
      <c r="AW15">
        <f>SUMIFS(T_TTAFCallOff[PCS],T_TTAFCallOff[Part Name],$A15,T_TTAFCallOff[WeekIndex],48)</f>
        <v/>
      </c>
      <c r="AX15">
        <f>SUMIFS(T_TTAFCallOff[PCS],T_TTAFCallOff[Part Name],$A15,T_TTAFCallOff[WeekIndex],49)</f>
        <v/>
      </c>
      <c r="AY15">
        <f>SUMIFS(T_TTAFCallOff[PCS],T_TTAFCallOff[Part Name],$A15,T_TTAFCallOff[WeekIndex],50)</f>
        <v/>
      </c>
      <c r="AZ15">
        <f>SUMIFS(T_TTAFCallOff[PCS],T_TTAFCallOff[Part Name],$A15,T_TTAFCallOff[WeekIndex],51)</f>
        <v/>
      </c>
      <c r="BA15">
        <f>SUMIFS(T_TTAFCallOff[PCS],T_TTAFCallOff[Part Name],$A15,T_TTAFCallOff[WeekIndex],52)</f>
        <v/>
      </c>
      <c r="BB15">
        <f>SUMIFS(T_TTAFCallOff[PCS],T_TTAFCallOff[Part Name],$A15,T_TTAFCallOff[WeekIndex],53)</f>
        <v/>
      </c>
      <c r="BC15">
        <f>SUMIFS(T_TTAFCallOff[PCS],T_TTAFCallOff[Part Name],$A15,T_TTAFCallOff[WeekIndex],54)</f>
        <v/>
      </c>
      <c r="BD15">
        <f>SUMIFS(T_TTAFCallOff[PCS],T_TTAFCallOff[Part Name],$A15,T_TTAFCallOff[WeekIndex],55)</f>
        <v/>
      </c>
      <c r="BE15">
        <f>SUMIFS(T_TTAFCallOff[PCS],T_TTAFCallOff[Part Name],$A15,T_TTAFCallOff[WeekIndex],56)</f>
        <v/>
      </c>
      <c r="BF15">
        <f>SUMIFS(T_TTAFCallOff[PCS],T_TTAFCallOff[Part Name],$A15,T_TTAFCallOff[WeekIndex],57)</f>
        <v/>
      </c>
      <c r="BG15">
        <f>SUMIFS(T_TTAFCallOff[PCS],T_TTAFCallOff[Part Name],$A15,T_TTAFCallOff[WeekIndex],58)</f>
        <v/>
      </c>
      <c r="BH15">
        <f>SUMIFS(T_TTAFCallOff[PCS],T_TTAFCallOff[Part Name],$A15,T_TTAFCallOff[WeekIndex],59)</f>
        <v/>
      </c>
      <c r="BI15">
        <f>SUMIFS(T_TTAFCallOff[PCS],T_TTAFCallOff[Part Name],$A15,T_TTAFCallOff[WeekIndex],60)</f>
        <v/>
      </c>
      <c r="BJ15">
        <f>SUMIFS(T_TTAFCallOff[PCS],T_TTAFCallOff[Part Name],$A15,T_TTAFCallOff[WeekIndex],61)</f>
        <v/>
      </c>
      <c r="BK15">
        <f>SUMIFS(T_TTAFCallOff[PCS],T_TTAFCallOff[Part Name],$A15,T_TTAFCallOff[WeekIndex],62)</f>
        <v/>
      </c>
      <c r="BL15">
        <f>SUMIFS(T_TTAFCallOff[PCS],T_TTAFCallOff[Part Name],$A15,T_TTAFCallOff[WeekIndex],63)</f>
        <v/>
      </c>
      <c r="BM15">
        <f>SUMIFS(T_TTAFCallOff[PCS],T_TTAFCallOff[Part Name],$A15,T_TTAFCallOff[WeekIndex],64)</f>
        <v/>
      </c>
      <c r="BN15">
        <f>SUMIFS(T_TTAFCallOff[PCS],T_TTAFCallOff[Part Name],$A15,T_TTAFCallOff[WeekIndex],65)</f>
        <v/>
      </c>
      <c r="BO15">
        <f>SUMIFS(T_TTAFCallOff[PCS],T_TTAFCallOff[Part Name],$A15,T_TTAFCallOff[WeekIndex],66)</f>
        <v/>
      </c>
      <c r="BP15">
        <f>SUMIFS(T_TTAFCallOff[PCS],T_TTAFCallOff[Part Name],$A15,T_TTAFCallOff[WeekIndex],67)</f>
        <v/>
      </c>
      <c r="BQ15">
        <f>SUMIFS(T_TTAFCallOff[PCS],T_TTAFCallOff[Part Name],$A15,T_TTAFCallOff[WeekIndex],68)</f>
        <v/>
      </c>
      <c r="BR15">
        <f>SUMIFS(T_TTAFCallOff[PCS],T_TTAFCallOff[Part Name],$A15,T_TTAFCallOff[WeekIndex],69)</f>
        <v/>
      </c>
      <c r="BS15">
        <f>SUMIFS(T_TTAFCallOff[PCS],T_TTAFCallOff[Part Name],$A15,T_TTAFCallOff[WeekIndex],70)</f>
        <v/>
      </c>
      <c r="BT15">
        <f>SUMIFS(T_TTAFCallOff[PCS],T_TTAFCallOff[Part Name],$A15,T_TTAFCallOff[WeekIndex],71)</f>
        <v/>
      </c>
      <c r="BU15">
        <f>SUMIFS(T_TTAFCallOff[PCS],T_TTAFCallOff[Part Name],$A15,T_TTAFCallOff[WeekIndex],72)</f>
        <v/>
      </c>
      <c r="BV15">
        <f>SUMIFS(T_TTAFCallOff[PCS],T_TTAFCallOff[Part Name],$A15,T_TTAFCallOff[WeekIndex],73)</f>
        <v/>
      </c>
      <c r="BW15">
        <f>SUMIFS(T_TTAFCallOff[PCS],T_TTAFCallOff[Part Name],$A15,T_TTAFCallOff[WeekIndex],74)</f>
        <v/>
      </c>
      <c r="BX15">
        <f>SUMIFS(T_TTAFCallOff[PCS],T_TTAFCallOff[Part Name],$A15,T_TTAFCallOff[WeekIndex],75)</f>
        <v/>
      </c>
      <c r="BY15">
        <f>SUMIFS(T_TTAFCallOff[PCS],T_TTAFCallOff[Part Name],$A15,T_TTAFCallOff[WeekIndex],76)</f>
        <v/>
      </c>
      <c r="BZ15">
        <f>SUMIFS(T_TTAFCallOff[PCS],T_TTAFCallOff[Part Name],$A15,T_TTAFCallOff[WeekIndex],77)</f>
        <v/>
      </c>
      <c r="CA15">
        <f>SUMIFS(T_TTAFCallOff[PCS],T_TTAFCallOff[Part Name],$A15,T_TTAFCallOff[WeekIndex],78)</f>
        <v/>
      </c>
      <c r="CB15">
        <f>SUMIFS(T_TTAFCallOff[PCS],T_TTAFCallOff[Part Name],$A15,T_TTAFCallOff[WeekIndex],79)</f>
        <v/>
      </c>
      <c r="CC15">
        <f>SUMIFS(T_TTAFCallOff[PCS],T_TTAFCallOff[Part Name],$A15,T_TTAFCallOff[WeekIndex],80)</f>
        <v/>
      </c>
      <c r="CD15">
        <f>SUMIFS(T_TTAFCallOff[PCS],T_TTAFCallOff[Part Name],$A15,T_TTAFCallOff[WeekIndex],81)</f>
        <v/>
      </c>
      <c r="CE15">
        <f>SUMIFS(T_TTAFCallOff[PCS],T_TTAFCallOff[Part Name],$A15,T_TTAFCallOff[WeekIndex],82)</f>
        <v/>
      </c>
      <c r="CF15">
        <f>SUMIFS(T_TTAFCallOff[PCS],T_TTAFCallOff[Part Name],$A15,T_TTAFCallOff[WeekIndex],83)</f>
        <v/>
      </c>
      <c r="CG15">
        <f>SUMIFS(T_TTAFCallOff[PCS],T_TTAFCallOff[Part Name],$A15,T_TTAFCallOff[WeekIndex],84)</f>
        <v/>
      </c>
      <c r="CH15">
        <f>SUMIFS(T_TTAFCallOff[PCS],T_TTAFCallOff[Part Name],$A15,T_TTAFCallOff[WeekIndex],85)</f>
        <v/>
      </c>
      <c r="CI15">
        <f>SUMIFS(T_TTAFCallOff[PCS],T_TTAFCallOff[Part Name],$A15,T_TTAFCallOff[WeekIndex],86)</f>
        <v/>
      </c>
      <c r="CJ15">
        <f>SUMIFS(T_TTAFCallOff[PCS],T_TTAFCallOff[Part Name],$A15,T_TTAFCallOff[WeekIndex],87)</f>
        <v/>
      </c>
      <c r="CK15">
        <f>SUMIFS(T_TTAFCallOff[PCS],T_TTAFCallOff[Part Name],$A15,T_TTAFCallOff[WeekIndex],88)</f>
        <v/>
      </c>
      <c r="CL15">
        <f>SUMIFS(T_TTAFCallOff[PCS],T_TTAFCallOff[Part Name],$A15,T_TTAFCallOff[WeekIndex],89)</f>
        <v/>
      </c>
      <c r="CM15">
        <f>SUMIFS(T_TTAFCallOff[PCS],T_TTAFCallOff[Part Name],$A15,T_TTAFCallOff[WeekIndex],90)</f>
        <v/>
      </c>
      <c r="CN15">
        <f>SUMIFS(T_TTAFCallOff[PCS],T_TTAFCallOff[Part Name],$A15,T_TTAFCallOff[WeekIndex],91)</f>
        <v/>
      </c>
      <c r="CO15">
        <f>SUMIFS(T_TTAFCallOff[PCS],T_TTAFCallOff[Part Name],$A15,T_TTAFCallOff[WeekIndex],92)</f>
        <v/>
      </c>
      <c r="CP15">
        <f>SUMIFS(T_TTAFCallOff[PCS],T_TTAFCallOff[Part Name],$A15,T_TTAFCallOff[WeekIndex],93)</f>
        <v/>
      </c>
      <c r="CQ15">
        <f>SUMIFS(T_TTAFCallOff[PCS],T_TTAFCallOff[Part Name],$A15,T_TTAFCallOff[WeekIndex],94)</f>
        <v/>
      </c>
      <c r="CR15">
        <f>SUMIFS(T_TTAFCallOff[PCS],T_TTAFCallOff[Part Name],$A15,T_TTAFCallOff[WeekIndex],95)</f>
        <v/>
      </c>
      <c r="CS15">
        <f>SUMIFS(T_TTAFCallOff[PCS],T_TTAFCallOff[Part Name],$A15,T_TTAFCallOff[WeekIndex],96)</f>
        <v/>
      </c>
      <c r="CT15">
        <f>SUMIFS(T_TTAFCallOff[PCS],T_TTAFCallOff[Part Name],$A15,T_TTAFCallOff[WeekIndex],97)</f>
        <v/>
      </c>
      <c r="CU15">
        <f>SUMIFS(T_TTAFCallOff[PCS],T_TTAFCallOff[Part Name],$A15,T_TTAFCallOff[WeekIndex],98)</f>
        <v/>
      </c>
      <c r="CV15">
        <f>SUMIFS(T_TTAFCallOff[PCS],T_TTAFCallOff[Part Name],$A15,T_TTAFCallOff[WeekIndex],99)</f>
        <v/>
      </c>
      <c r="CW15">
        <f>SUMIFS(T_TTAFCallOff[PCS],T_TTAFCallOff[Part Name],$A15,T_TTAFCallOff[WeekIndex],100)</f>
        <v/>
      </c>
      <c r="CX15">
        <f>SUMIFS(T_TTAFCallOff[PCS],T_TTAFCallOff[Part Name],$A15,T_TTAFCallOff[WeekIndex],101)</f>
        <v/>
      </c>
      <c r="CY15">
        <f>SUMIFS(T_TTAFCallOff[PCS],T_TTAFCallOff[Part Name],$A15,T_TTAFCallOff[WeekIndex],102)</f>
        <v/>
      </c>
      <c r="CZ15">
        <f>SUMIFS(T_TTAFCallOff[PCS],T_TTAFCallOff[Part Name],$A15,T_TTAFCallOff[WeekIndex],103)</f>
        <v/>
      </c>
      <c r="DA15">
        <f>SUMIFS(T_TTAFCallOff[PCS],T_TTAFCallOff[Part Name],$A15,T_TTAFCallOff[WeekIndex],104)</f>
        <v/>
      </c>
    </row>
    <row r="16">
      <c r="A16" t="inlineStr">
        <is>
          <t>CHEM-1570</t>
        </is>
      </c>
      <c r="B16">
        <f>SUMIFS(T_TTAFCallOff[PCS],T_TTAFCallOff[Part Name],$A16,T_TTAFCallOff[WeekIndex],1)</f>
        <v/>
      </c>
      <c r="C16">
        <f>SUMIFS(T_TTAFCallOff[PCS],T_TTAFCallOff[Part Name],$A16,T_TTAFCallOff[WeekIndex],2)</f>
        <v/>
      </c>
      <c r="D16">
        <f>SUMIFS(T_TTAFCallOff[PCS],T_TTAFCallOff[Part Name],$A16,T_TTAFCallOff[WeekIndex],3)</f>
        <v/>
      </c>
      <c r="E16">
        <f>SUMIFS(T_TTAFCallOff[PCS],T_TTAFCallOff[Part Name],$A16,T_TTAFCallOff[WeekIndex],4)</f>
        <v/>
      </c>
      <c r="F16">
        <f>SUMIFS(T_TTAFCallOff[PCS],T_TTAFCallOff[Part Name],$A16,T_TTAFCallOff[WeekIndex],5)</f>
        <v/>
      </c>
      <c r="G16">
        <f>SUMIFS(T_TTAFCallOff[PCS],T_TTAFCallOff[Part Name],$A16,T_TTAFCallOff[WeekIndex],6)</f>
        <v/>
      </c>
      <c r="H16">
        <f>SUMIFS(T_TTAFCallOff[PCS],T_TTAFCallOff[Part Name],$A16,T_TTAFCallOff[WeekIndex],7)</f>
        <v/>
      </c>
      <c r="I16">
        <f>SUMIFS(T_TTAFCallOff[PCS],T_TTAFCallOff[Part Name],$A16,T_TTAFCallOff[WeekIndex],8)</f>
        <v/>
      </c>
      <c r="J16">
        <f>SUMIFS(T_TTAFCallOff[PCS],T_TTAFCallOff[Part Name],$A16,T_TTAFCallOff[WeekIndex],9)</f>
        <v/>
      </c>
      <c r="K16">
        <f>SUMIFS(T_TTAFCallOff[PCS],T_TTAFCallOff[Part Name],$A16,T_TTAFCallOff[WeekIndex],10)</f>
        <v/>
      </c>
      <c r="L16">
        <f>SUMIFS(T_TTAFCallOff[PCS],T_TTAFCallOff[Part Name],$A16,T_TTAFCallOff[WeekIndex],11)</f>
        <v/>
      </c>
      <c r="M16">
        <f>SUMIFS(T_TTAFCallOff[PCS],T_TTAFCallOff[Part Name],$A16,T_TTAFCallOff[WeekIndex],12)</f>
        <v/>
      </c>
      <c r="N16">
        <f>SUMIFS(T_TTAFCallOff[PCS],T_TTAFCallOff[Part Name],$A16,T_TTAFCallOff[WeekIndex],13)</f>
        <v/>
      </c>
      <c r="O16">
        <f>SUMIFS(T_TTAFCallOff[PCS],T_TTAFCallOff[Part Name],$A16,T_TTAFCallOff[WeekIndex],14)</f>
        <v/>
      </c>
      <c r="P16">
        <f>SUMIFS(T_TTAFCallOff[PCS],T_TTAFCallOff[Part Name],$A16,T_TTAFCallOff[WeekIndex],15)</f>
        <v/>
      </c>
      <c r="Q16">
        <f>SUMIFS(T_TTAFCallOff[PCS],T_TTAFCallOff[Part Name],$A16,T_TTAFCallOff[WeekIndex],16)</f>
        <v/>
      </c>
      <c r="R16">
        <f>SUMIFS(T_TTAFCallOff[PCS],T_TTAFCallOff[Part Name],$A16,T_TTAFCallOff[WeekIndex],17)</f>
        <v/>
      </c>
      <c r="S16">
        <f>SUMIFS(T_TTAFCallOff[PCS],T_TTAFCallOff[Part Name],$A16,T_TTAFCallOff[WeekIndex],18)</f>
        <v/>
      </c>
      <c r="T16">
        <f>SUMIFS(T_TTAFCallOff[PCS],T_TTAFCallOff[Part Name],$A16,T_TTAFCallOff[WeekIndex],19)</f>
        <v/>
      </c>
      <c r="U16">
        <f>SUMIFS(T_TTAFCallOff[PCS],T_TTAFCallOff[Part Name],$A16,T_TTAFCallOff[WeekIndex],20)</f>
        <v/>
      </c>
      <c r="V16">
        <f>SUMIFS(T_TTAFCallOff[PCS],T_TTAFCallOff[Part Name],$A16,T_TTAFCallOff[WeekIndex],21)</f>
        <v/>
      </c>
      <c r="W16">
        <f>SUMIFS(T_TTAFCallOff[PCS],T_TTAFCallOff[Part Name],$A16,T_TTAFCallOff[WeekIndex],22)</f>
        <v/>
      </c>
      <c r="X16">
        <f>SUMIFS(T_TTAFCallOff[PCS],T_TTAFCallOff[Part Name],$A16,T_TTAFCallOff[WeekIndex],23)</f>
        <v/>
      </c>
      <c r="Y16">
        <f>SUMIFS(T_TTAFCallOff[PCS],T_TTAFCallOff[Part Name],$A16,T_TTAFCallOff[WeekIndex],24)</f>
        <v/>
      </c>
      <c r="Z16">
        <f>SUMIFS(T_TTAFCallOff[PCS],T_TTAFCallOff[Part Name],$A16,T_TTAFCallOff[WeekIndex],25)</f>
        <v/>
      </c>
      <c r="AA16">
        <f>SUMIFS(T_TTAFCallOff[PCS],T_TTAFCallOff[Part Name],$A16,T_TTAFCallOff[WeekIndex],26)</f>
        <v/>
      </c>
      <c r="AB16">
        <f>SUMIFS(T_TTAFCallOff[PCS],T_TTAFCallOff[Part Name],$A16,T_TTAFCallOff[WeekIndex],27)</f>
        <v/>
      </c>
      <c r="AC16">
        <f>SUMIFS(T_TTAFCallOff[PCS],T_TTAFCallOff[Part Name],$A16,T_TTAFCallOff[WeekIndex],28)</f>
        <v/>
      </c>
      <c r="AD16">
        <f>SUMIFS(T_TTAFCallOff[PCS],T_TTAFCallOff[Part Name],$A16,T_TTAFCallOff[WeekIndex],29)</f>
        <v/>
      </c>
      <c r="AE16">
        <f>SUMIFS(T_TTAFCallOff[PCS],T_TTAFCallOff[Part Name],$A16,T_TTAFCallOff[WeekIndex],30)</f>
        <v/>
      </c>
      <c r="AF16">
        <f>SUMIFS(T_TTAFCallOff[PCS],T_TTAFCallOff[Part Name],$A16,T_TTAFCallOff[WeekIndex],31)</f>
        <v/>
      </c>
      <c r="AG16">
        <f>SUMIFS(T_TTAFCallOff[PCS],T_TTAFCallOff[Part Name],$A16,T_TTAFCallOff[WeekIndex],32)</f>
        <v/>
      </c>
      <c r="AH16">
        <f>SUMIFS(T_TTAFCallOff[PCS],T_TTAFCallOff[Part Name],$A16,T_TTAFCallOff[WeekIndex],33)</f>
        <v/>
      </c>
      <c r="AI16">
        <f>SUMIFS(T_TTAFCallOff[PCS],T_TTAFCallOff[Part Name],$A16,T_TTAFCallOff[WeekIndex],34)</f>
        <v/>
      </c>
      <c r="AJ16">
        <f>SUMIFS(T_TTAFCallOff[PCS],T_TTAFCallOff[Part Name],$A16,T_TTAFCallOff[WeekIndex],35)</f>
        <v/>
      </c>
      <c r="AK16">
        <f>SUMIFS(T_TTAFCallOff[PCS],T_TTAFCallOff[Part Name],$A16,T_TTAFCallOff[WeekIndex],36)</f>
        <v/>
      </c>
      <c r="AL16">
        <f>SUMIFS(T_TTAFCallOff[PCS],T_TTAFCallOff[Part Name],$A16,T_TTAFCallOff[WeekIndex],37)</f>
        <v/>
      </c>
      <c r="AM16">
        <f>SUMIFS(T_TTAFCallOff[PCS],T_TTAFCallOff[Part Name],$A16,T_TTAFCallOff[WeekIndex],38)</f>
        <v/>
      </c>
      <c r="AN16">
        <f>SUMIFS(T_TTAFCallOff[PCS],T_TTAFCallOff[Part Name],$A16,T_TTAFCallOff[WeekIndex],39)</f>
        <v/>
      </c>
      <c r="AO16">
        <f>SUMIFS(T_TTAFCallOff[PCS],T_TTAFCallOff[Part Name],$A16,T_TTAFCallOff[WeekIndex],40)</f>
        <v/>
      </c>
      <c r="AP16">
        <f>SUMIFS(T_TTAFCallOff[PCS],T_TTAFCallOff[Part Name],$A16,T_TTAFCallOff[WeekIndex],41)</f>
        <v/>
      </c>
      <c r="AQ16">
        <f>SUMIFS(T_TTAFCallOff[PCS],T_TTAFCallOff[Part Name],$A16,T_TTAFCallOff[WeekIndex],42)</f>
        <v/>
      </c>
      <c r="AR16">
        <f>SUMIFS(T_TTAFCallOff[PCS],T_TTAFCallOff[Part Name],$A16,T_TTAFCallOff[WeekIndex],43)</f>
        <v/>
      </c>
      <c r="AS16">
        <f>SUMIFS(T_TTAFCallOff[PCS],T_TTAFCallOff[Part Name],$A16,T_TTAFCallOff[WeekIndex],44)</f>
        <v/>
      </c>
      <c r="AT16">
        <f>SUMIFS(T_TTAFCallOff[PCS],T_TTAFCallOff[Part Name],$A16,T_TTAFCallOff[WeekIndex],45)</f>
        <v/>
      </c>
      <c r="AU16">
        <f>SUMIFS(T_TTAFCallOff[PCS],T_TTAFCallOff[Part Name],$A16,T_TTAFCallOff[WeekIndex],46)</f>
        <v/>
      </c>
      <c r="AV16">
        <f>SUMIFS(T_TTAFCallOff[PCS],T_TTAFCallOff[Part Name],$A16,T_TTAFCallOff[WeekIndex],47)</f>
        <v/>
      </c>
      <c r="AW16">
        <f>SUMIFS(T_TTAFCallOff[PCS],T_TTAFCallOff[Part Name],$A16,T_TTAFCallOff[WeekIndex],48)</f>
        <v/>
      </c>
      <c r="AX16">
        <f>SUMIFS(T_TTAFCallOff[PCS],T_TTAFCallOff[Part Name],$A16,T_TTAFCallOff[WeekIndex],49)</f>
        <v/>
      </c>
      <c r="AY16">
        <f>SUMIFS(T_TTAFCallOff[PCS],T_TTAFCallOff[Part Name],$A16,T_TTAFCallOff[WeekIndex],50)</f>
        <v/>
      </c>
      <c r="AZ16">
        <f>SUMIFS(T_TTAFCallOff[PCS],T_TTAFCallOff[Part Name],$A16,T_TTAFCallOff[WeekIndex],51)</f>
        <v/>
      </c>
      <c r="BA16">
        <f>SUMIFS(T_TTAFCallOff[PCS],T_TTAFCallOff[Part Name],$A16,T_TTAFCallOff[WeekIndex],52)</f>
        <v/>
      </c>
      <c r="BB16">
        <f>SUMIFS(T_TTAFCallOff[PCS],T_TTAFCallOff[Part Name],$A16,T_TTAFCallOff[WeekIndex],53)</f>
        <v/>
      </c>
      <c r="BC16">
        <f>SUMIFS(T_TTAFCallOff[PCS],T_TTAFCallOff[Part Name],$A16,T_TTAFCallOff[WeekIndex],54)</f>
        <v/>
      </c>
      <c r="BD16">
        <f>SUMIFS(T_TTAFCallOff[PCS],T_TTAFCallOff[Part Name],$A16,T_TTAFCallOff[WeekIndex],55)</f>
        <v/>
      </c>
      <c r="BE16">
        <f>SUMIFS(T_TTAFCallOff[PCS],T_TTAFCallOff[Part Name],$A16,T_TTAFCallOff[WeekIndex],56)</f>
        <v/>
      </c>
      <c r="BF16">
        <f>SUMIFS(T_TTAFCallOff[PCS],T_TTAFCallOff[Part Name],$A16,T_TTAFCallOff[WeekIndex],57)</f>
        <v/>
      </c>
      <c r="BG16">
        <f>SUMIFS(T_TTAFCallOff[PCS],T_TTAFCallOff[Part Name],$A16,T_TTAFCallOff[WeekIndex],58)</f>
        <v/>
      </c>
      <c r="BH16">
        <f>SUMIFS(T_TTAFCallOff[PCS],T_TTAFCallOff[Part Name],$A16,T_TTAFCallOff[WeekIndex],59)</f>
        <v/>
      </c>
      <c r="BI16">
        <f>SUMIFS(T_TTAFCallOff[PCS],T_TTAFCallOff[Part Name],$A16,T_TTAFCallOff[WeekIndex],60)</f>
        <v/>
      </c>
      <c r="BJ16">
        <f>SUMIFS(T_TTAFCallOff[PCS],T_TTAFCallOff[Part Name],$A16,T_TTAFCallOff[WeekIndex],61)</f>
        <v/>
      </c>
      <c r="BK16">
        <f>SUMIFS(T_TTAFCallOff[PCS],T_TTAFCallOff[Part Name],$A16,T_TTAFCallOff[WeekIndex],62)</f>
        <v/>
      </c>
      <c r="BL16">
        <f>SUMIFS(T_TTAFCallOff[PCS],T_TTAFCallOff[Part Name],$A16,T_TTAFCallOff[WeekIndex],63)</f>
        <v/>
      </c>
      <c r="BM16">
        <f>SUMIFS(T_TTAFCallOff[PCS],T_TTAFCallOff[Part Name],$A16,T_TTAFCallOff[WeekIndex],64)</f>
        <v/>
      </c>
      <c r="BN16">
        <f>SUMIFS(T_TTAFCallOff[PCS],T_TTAFCallOff[Part Name],$A16,T_TTAFCallOff[WeekIndex],65)</f>
        <v/>
      </c>
      <c r="BO16">
        <f>SUMIFS(T_TTAFCallOff[PCS],T_TTAFCallOff[Part Name],$A16,T_TTAFCallOff[WeekIndex],66)</f>
        <v/>
      </c>
      <c r="BP16">
        <f>SUMIFS(T_TTAFCallOff[PCS],T_TTAFCallOff[Part Name],$A16,T_TTAFCallOff[WeekIndex],67)</f>
        <v/>
      </c>
      <c r="BQ16">
        <f>SUMIFS(T_TTAFCallOff[PCS],T_TTAFCallOff[Part Name],$A16,T_TTAFCallOff[WeekIndex],68)</f>
        <v/>
      </c>
      <c r="BR16">
        <f>SUMIFS(T_TTAFCallOff[PCS],T_TTAFCallOff[Part Name],$A16,T_TTAFCallOff[WeekIndex],69)</f>
        <v/>
      </c>
      <c r="BS16">
        <f>SUMIFS(T_TTAFCallOff[PCS],T_TTAFCallOff[Part Name],$A16,T_TTAFCallOff[WeekIndex],70)</f>
        <v/>
      </c>
      <c r="BT16">
        <f>SUMIFS(T_TTAFCallOff[PCS],T_TTAFCallOff[Part Name],$A16,T_TTAFCallOff[WeekIndex],71)</f>
        <v/>
      </c>
      <c r="BU16">
        <f>SUMIFS(T_TTAFCallOff[PCS],T_TTAFCallOff[Part Name],$A16,T_TTAFCallOff[WeekIndex],72)</f>
        <v/>
      </c>
      <c r="BV16">
        <f>SUMIFS(T_TTAFCallOff[PCS],T_TTAFCallOff[Part Name],$A16,T_TTAFCallOff[WeekIndex],73)</f>
        <v/>
      </c>
      <c r="BW16">
        <f>SUMIFS(T_TTAFCallOff[PCS],T_TTAFCallOff[Part Name],$A16,T_TTAFCallOff[WeekIndex],74)</f>
        <v/>
      </c>
      <c r="BX16">
        <f>SUMIFS(T_TTAFCallOff[PCS],T_TTAFCallOff[Part Name],$A16,T_TTAFCallOff[WeekIndex],75)</f>
        <v/>
      </c>
      <c r="BY16">
        <f>SUMIFS(T_TTAFCallOff[PCS],T_TTAFCallOff[Part Name],$A16,T_TTAFCallOff[WeekIndex],76)</f>
        <v/>
      </c>
      <c r="BZ16">
        <f>SUMIFS(T_TTAFCallOff[PCS],T_TTAFCallOff[Part Name],$A16,T_TTAFCallOff[WeekIndex],77)</f>
        <v/>
      </c>
      <c r="CA16">
        <f>SUMIFS(T_TTAFCallOff[PCS],T_TTAFCallOff[Part Name],$A16,T_TTAFCallOff[WeekIndex],78)</f>
        <v/>
      </c>
      <c r="CB16">
        <f>SUMIFS(T_TTAFCallOff[PCS],T_TTAFCallOff[Part Name],$A16,T_TTAFCallOff[WeekIndex],79)</f>
        <v/>
      </c>
      <c r="CC16">
        <f>SUMIFS(T_TTAFCallOff[PCS],T_TTAFCallOff[Part Name],$A16,T_TTAFCallOff[WeekIndex],80)</f>
        <v/>
      </c>
      <c r="CD16">
        <f>SUMIFS(T_TTAFCallOff[PCS],T_TTAFCallOff[Part Name],$A16,T_TTAFCallOff[WeekIndex],81)</f>
        <v/>
      </c>
      <c r="CE16">
        <f>SUMIFS(T_TTAFCallOff[PCS],T_TTAFCallOff[Part Name],$A16,T_TTAFCallOff[WeekIndex],82)</f>
        <v/>
      </c>
      <c r="CF16">
        <f>SUMIFS(T_TTAFCallOff[PCS],T_TTAFCallOff[Part Name],$A16,T_TTAFCallOff[WeekIndex],83)</f>
        <v/>
      </c>
      <c r="CG16">
        <f>SUMIFS(T_TTAFCallOff[PCS],T_TTAFCallOff[Part Name],$A16,T_TTAFCallOff[WeekIndex],84)</f>
        <v/>
      </c>
      <c r="CH16">
        <f>SUMIFS(T_TTAFCallOff[PCS],T_TTAFCallOff[Part Name],$A16,T_TTAFCallOff[WeekIndex],85)</f>
        <v/>
      </c>
      <c r="CI16">
        <f>SUMIFS(T_TTAFCallOff[PCS],T_TTAFCallOff[Part Name],$A16,T_TTAFCallOff[WeekIndex],86)</f>
        <v/>
      </c>
      <c r="CJ16">
        <f>SUMIFS(T_TTAFCallOff[PCS],T_TTAFCallOff[Part Name],$A16,T_TTAFCallOff[WeekIndex],87)</f>
        <v/>
      </c>
      <c r="CK16">
        <f>SUMIFS(T_TTAFCallOff[PCS],T_TTAFCallOff[Part Name],$A16,T_TTAFCallOff[WeekIndex],88)</f>
        <v/>
      </c>
      <c r="CL16">
        <f>SUMIFS(T_TTAFCallOff[PCS],T_TTAFCallOff[Part Name],$A16,T_TTAFCallOff[WeekIndex],89)</f>
        <v/>
      </c>
      <c r="CM16">
        <f>SUMIFS(T_TTAFCallOff[PCS],T_TTAFCallOff[Part Name],$A16,T_TTAFCallOff[WeekIndex],90)</f>
        <v/>
      </c>
      <c r="CN16">
        <f>SUMIFS(T_TTAFCallOff[PCS],T_TTAFCallOff[Part Name],$A16,T_TTAFCallOff[WeekIndex],91)</f>
        <v/>
      </c>
      <c r="CO16">
        <f>SUMIFS(T_TTAFCallOff[PCS],T_TTAFCallOff[Part Name],$A16,T_TTAFCallOff[WeekIndex],92)</f>
        <v/>
      </c>
      <c r="CP16">
        <f>SUMIFS(T_TTAFCallOff[PCS],T_TTAFCallOff[Part Name],$A16,T_TTAFCallOff[WeekIndex],93)</f>
        <v/>
      </c>
      <c r="CQ16">
        <f>SUMIFS(T_TTAFCallOff[PCS],T_TTAFCallOff[Part Name],$A16,T_TTAFCallOff[WeekIndex],94)</f>
        <v/>
      </c>
      <c r="CR16">
        <f>SUMIFS(T_TTAFCallOff[PCS],T_TTAFCallOff[Part Name],$A16,T_TTAFCallOff[WeekIndex],95)</f>
        <v/>
      </c>
      <c r="CS16">
        <f>SUMIFS(T_TTAFCallOff[PCS],T_TTAFCallOff[Part Name],$A16,T_TTAFCallOff[WeekIndex],96)</f>
        <v/>
      </c>
      <c r="CT16">
        <f>SUMIFS(T_TTAFCallOff[PCS],T_TTAFCallOff[Part Name],$A16,T_TTAFCallOff[WeekIndex],97)</f>
        <v/>
      </c>
      <c r="CU16">
        <f>SUMIFS(T_TTAFCallOff[PCS],T_TTAFCallOff[Part Name],$A16,T_TTAFCallOff[WeekIndex],98)</f>
        <v/>
      </c>
      <c r="CV16">
        <f>SUMIFS(T_TTAFCallOff[PCS],T_TTAFCallOff[Part Name],$A16,T_TTAFCallOff[WeekIndex],99)</f>
        <v/>
      </c>
      <c r="CW16">
        <f>SUMIFS(T_TTAFCallOff[PCS],T_TTAFCallOff[Part Name],$A16,T_TTAFCallOff[WeekIndex],100)</f>
        <v/>
      </c>
      <c r="CX16">
        <f>SUMIFS(T_TTAFCallOff[PCS],T_TTAFCallOff[Part Name],$A16,T_TTAFCallOff[WeekIndex],101)</f>
        <v/>
      </c>
      <c r="CY16">
        <f>SUMIFS(T_TTAFCallOff[PCS],T_TTAFCallOff[Part Name],$A16,T_TTAFCallOff[WeekIndex],102)</f>
        <v/>
      </c>
      <c r="CZ16">
        <f>SUMIFS(T_TTAFCallOff[PCS],T_TTAFCallOff[Part Name],$A16,T_TTAFCallOff[WeekIndex],103)</f>
        <v/>
      </c>
      <c r="DA16">
        <f>SUMIFS(T_TTAFCallOff[PCS],T_TTAFCallOff[Part Name],$A16,T_TTAFCallOff[WeekIndex],104)</f>
        <v/>
      </c>
    </row>
    <row r="17">
      <c r="A17" t="inlineStr">
        <is>
          <t>CHEM-1650</t>
        </is>
      </c>
      <c r="B17">
        <f>SUMIFS(T_TTAFCallOff[PCS],T_TTAFCallOff[Part Name],$A17,T_TTAFCallOff[WeekIndex],1)</f>
        <v/>
      </c>
      <c r="C17">
        <f>SUMIFS(T_TTAFCallOff[PCS],T_TTAFCallOff[Part Name],$A17,T_TTAFCallOff[WeekIndex],2)</f>
        <v/>
      </c>
      <c r="D17">
        <f>SUMIFS(T_TTAFCallOff[PCS],T_TTAFCallOff[Part Name],$A17,T_TTAFCallOff[WeekIndex],3)</f>
        <v/>
      </c>
      <c r="E17">
        <f>SUMIFS(T_TTAFCallOff[PCS],T_TTAFCallOff[Part Name],$A17,T_TTAFCallOff[WeekIndex],4)</f>
        <v/>
      </c>
      <c r="F17">
        <f>SUMIFS(T_TTAFCallOff[PCS],T_TTAFCallOff[Part Name],$A17,T_TTAFCallOff[WeekIndex],5)</f>
        <v/>
      </c>
      <c r="G17">
        <f>SUMIFS(T_TTAFCallOff[PCS],T_TTAFCallOff[Part Name],$A17,T_TTAFCallOff[WeekIndex],6)</f>
        <v/>
      </c>
      <c r="H17">
        <f>SUMIFS(T_TTAFCallOff[PCS],T_TTAFCallOff[Part Name],$A17,T_TTAFCallOff[WeekIndex],7)</f>
        <v/>
      </c>
      <c r="I17">
        <f>SUMIFS(T_TTAFCallOff[PCS],T_TTAFCallOff[Part Name],$A17,T_TTAFCallOff[WeekIndex],8)</f>
        <v/>
      </c>
      <c r="J17">
        <f>SUMIFS(T_TTAFCallOff[PCS],T_TTAFCallOff[Part Name],$A17,T_TTAFCallOff[WeekIndex],9)</f>
        <v/>
      </c>
      <c r="K17">
        <f>SUMIFS(T_TTAFCallOff[PCS],T_TTAFCallOff[Part Name],$A17,T_TTAFCallOff[WeekIndex],10)</f>
        <v/>
      </c>
      <c r="L17">
        <f>SUMIFS(T_TTAFCallOff[PCS],T_TTAFCallOff[Part Name],$A17,T_TTAFCallOff[WeekIndex],11)</f>
        <v/>
      </c>
      <c r="M17">
        <f>SUMIFS(T_TTAFCallOff[PCS],T_TTAFCallOff[Part Name],$A17,T_TTAFCallOff[WeekIndex],12)</f>
        <v/>
      </c>
      <c r="N17">
        <f>SUMIFS(T_TTAFCallOff[PCS],T_TTAFCallOff[Part Name],$A17,T_TTAFCallOff[WeekIndex],13)</f>
        <v/>
      </c>
      <c r="O17">
        <f>SUMIFS(T_TTAFCallOff[PCS],T_TTAFCallOff[Part Name],$A17,T_TTAFCallOff[WeekIndex],14)</f>
        <v/>
      </c>
      <c r="P17">
        <f>SUMIFS(T_TTAFCallOff[PCS],T_TTAFCallOff[Part Name],$A17,T_TTAFCallOff[WeekIndex],15)</f>
        <v/>
      </c>
      <c r="Q17">
        <f>SUMIFS(T_TTAFCallOff[PCS],T_TTAFCallOff[Part Name],$A17,T_TTAFCallOff[WeekIndex],16)</f>
        <v/>
      </c>
      <c r="R17">
        <f>SUMIFS(T_TTAFCallOff[PCS],T_TTAFCallOff[Part Name],$A17,T_TTAFCallOff[WeekIndex],17)</f>
        <v/>
      </c>
      <c r="S17">
        <f>SUMIFS(T_TTAFCallOff[PCS],T_TTAFCallOff[Part Name],$A17,T_TTAFCallOff[WeekIndex],18)</f>
        <v/>
      </c>
      <c r="T17">
        <f>SUMIFS(T_TTAFCallOff[PCS],T_TTAFCallOff[Part Name],$A17,T_TTAFCallOff[WeekIndex],19)</f>
        <v/>
      </c>
      <c r="U17">
        <f>SUMIFS(T_TTAFCallOff[PCS],T_TTAFCallOff[Part Name],$A17,T_TTAFCallOff[WeekIndex],20)</f>
        <v/>
      </c>
      <c r="V17">
        <f>SUMIFS(T_TTAFCallOff[PCS],T_TTAFCallOff[Part Name],$A17,T_TTAFCallOff[WeekIndex],21)</f>
        <v/>
      </c>
      <c r="W17">
        <f>SUMIFS(T_TTAFCallOff[PCS],T_TTAFCallOff[Part Name],$A17,T_TTAFCallOff[WeekIndex],22)</f>
        <v/>
      </c>
      <c r="X17">
        <f>SUMIFS(T_TTAFCallOff[PCS],T_TTAFCallOff[Part Name],$A17,T_TTAFCallOff[WeekIndex],23)</f>
        <v/>
      </c>
      <c r="Y17">
        <f>SUMIFS(T_TTAFCallOff[PCS],T_TTAFCallOff[Part Name],$A17,T_TTAFCallOff[WeekIndex],24)</f>
        <v/>
      </c>
      <c r="Z17">
        <f>SUMIFS(T_TTAFCallOff[PCS],T_TTAFCallOff[Part Name],$A17,T_TTAFCallOff[WeekIndex],25)</f>
        <v/>
      </c>
      <c r="AA17">
        <f>SUMIFS(T_TTAFCallOff[PCS],T_TTAFCallOff[Part Name],$A17,T_TTAFCallOff[WeekIndex],26)</f>
        <v/>
      </c>
      <c r="AB17">
        <f>SUMIFS(T_TTAFCallOff[PCS],T_TTAFCallOff[Part Name],$A17,T_TTAFCallOff[WeekIndex],27)</f>
        <v/>
      </c>
      <c r="AC17">
        <f>SUMIFS(T_TTAFCallOff[PCS],T_TTAFCallOff[Part Name],$A17,T_TTAFCallOff[WeekIndex],28)</f>
        <v/>
      </c>
      <c r="AD17">
        <f>SUMIFS(T_TTAFCallOff[PCS],T_TTAFCallOff[Part Name],$A17,T_TTAFCallOff[WeekIndex],29)</f>
        <v/>
      </c>
      <c r="AE17">
        <f>SUMIFS(T_TTAFCallOff[PCS],T_TTAFCallOff[Part Name],$A17,T_TTAFCallOff[WeekIndex],30)</f>
        <v/>
      </c>
      <c r="AF17">
        <f>SUMIFS(T_TTAFCallOff[PCS],T_TTAFCallOff[Part Name],$A17,T_TTAFCallOff[WeekIndex],31)</f>
        <v/>
      </c>
      <c r="AG17">
        <f>SUMIFS(T_TTAFCallOff[PCS],T_TTAFCallOff[Part Name],$A17,T_TTAFCallOff[WeekIndex],32)</f>
        <v/>
      </c>
      <c r="AH17">
        <f>SUMIFS(T_TTAFCallOff[PCS],T_TTAFCallOff[Part Name],$A17,T_TTAFCallOff[WeekIndex],33)</f>
        <v/>
      </c>
      <c r="AI17">
        <f>SUMIFS(T_TTAFCallOff[PCS],T_TTAFCallOff[Part Name],$A17,T_TTAFCallOff[WeekIndex],34)</f>
        <v/>
      </c>
      <c r="AJ17">
        <f>SUMIFS(T_TTAFCallOff[PCS],T_TTAFCallOff[Part Name],$A17,T_TTAFCallOff[WeekIndex],35)</f>
        <v/>
      </c>
      <c r="AK17">
        <f>SUMIFS(T_TTAFCallOff[PCS],T_TTAFCallOff[Part Name],$A17,T_TTAFCallOff[WeekIndex],36)</f>
        <v/>
      </c>
      <c r="AL17">
        <f>SUMIFS(T_TTAFCallOff[PCS],T_TTAFCallOff[Part Name],$A17,T_TTAFCallOff[WeekIndex],37)</f>
        <v/>
      </c>
      <c r="AM17">
        <f>SUMIFS(T_TTAFCallOff[PCS],T_TTAFCallOff[Part Name],$A17,T_TTAFCallOff[WeekIndex],38)</f>
        <v/>
      </c>
      <c r="AN17">
        <f>SUMIFS(T_TTAFCallOff[PCS],T_TTAFCallOff[Part Name],$A17,T_TTAFCallOff[WeekIndex],39)</f>
        <v/>
      </c>
      <c r="AO17">
        <f>SUMIFS(T_TTAFCallOff[PCS],T_TTAFCallOff[Part Name],$A17,T_TTAFCallOff[WeekIndex],40)</f>
        <v/>
      </c>
      <c r="AP17">
        <f>SUMIFS(T_TTAFCallOff[PCS],T_TTAFCallOff[Part Name],$A17,T_TTAFCallOff[WeekIndex],41)</f>
        <v/>
      </c>
      <c r="AQ17">
        <f>SUMIFS(T_TTAFCallOff[PCS],T_TTAFCallOff[Part Name],$A17,T_TTAFCallOff[WeekIndex],42)</f>
        <v/>
      </c>
      <c r="AR17">
        <f>SUMIFS(T_TTAFCallOff[PCS],T_TTAFCallOff[Part Name],$A17,T_TTAFCallOff[WeekIndex],43)</f>
        <v/>
      </c>
      <c r="AS17">
        <f>SUMIFS(T_TTAFCallOff[PCS],T_TTAFCallOff[Part Name],$A17,T_TTAFCallOff[WeekIndex],44)</f>
        <v/>
      </c>
      <c r="AT17">
        <f>SUMIFS(T_TTAFCallOff[PCS],T_TTAFCallOff[Part Name],$A17,T_TTAFCallOff[WeekIndex],45)</f>
        <v/>
      </c>
      <c r="AU17">
        <f>SUMIFS(T_TTAFCallOff[PCS],T_TTAFCallOff[Part Name],$A17,T_TTAFCallOff[WeekIndex],46)</f>
        <v/>
      </c>
      <c r="AV17">
        <f>SUMIFS(T_TTAFCallOff[PCS],T_TTAFCallOff[Part Name],$A17,T_TTAFCallOff[WeekIndex],47)</f>
        <v/>
      </c>
      <c r="AW17">
        <f>SUMIFS(T_TTAFCallOff[PCS],T_TTAFCallOff[Part Name],$A17,T_TTAFCallOff[WeekIndex],48)</f>
        <v/>
      </c>
      <c r="AX17">
        <f>SUMIFS(T_TTAFCallOff[PCS],T_TTAFCallOff[Part Name],$A17,T_TTAFCallOff[WeekIndex],49)</f>
        <v/>
      </c>
      <c r="AY17">
        <f>SUMIFS(T_TTAFCallOff[PCS],T_TTAFCallOff[Part Name],$A17,T_TTAFCallOff[WeekIndex],50)</f>
        <v/>
      </c>
      <c r="AZ17">
        <f>SUMIFS(T_TTAFCallOff[PCS],T_TTAFCallOff[Part Name],$A17,T_TTAFCallOff[WeekIndex],51)</f>
        <v/>
      </c>
      <c r="BA17">
        <f>SUMIFS(T_TTAFCallOff[PCS],T_TTAFCallOff[Part Name],$A17,T_TTAFCallOff[WeekIndex],52)</f>
        <v/>
      </c>
      <c r="BB17">
        <f>SUMIFS(T_TTAFCallOff[PCS],T_TTAFCallOff[Part Name],$A17,T_TTAFCallOff[WeekIndex],53)</f>
        <v/>
      </c>
      <c r="BC17">
        <f>SUMIFS(T_TTAFCallOff[PCS],T_TTAFCallOff[Part Name],$A17,T_TTAFCallOff[WeekIndex],54)</f>
        <v/>
      </c>
      <c r="BD17">
        <f>SUMIFS(T_TTAFCallOff[PCS],T_TTAFCallOff[Part Name],$A17,T_TTAFCallOff[WeekIndex],55)</f>
        <v/>
      </c>
      <c r="BE17">
        <f>SUMIFS(T_TTAFCallOff[PCS],T_TTAFCallOff[Part Name],$A17,T_TTAFCallOff[WeekIndex],56)</f>
        <v/>
      </c>
      <c r="BF17">
        <f>SUMIFS(T_TTAFCallOff[PCS],T_TTAFCallOff[Part Name],$A17,T_TTAFCallOff[WeekIndex],57)</f>
        <v/>
      </c>
      <c r="BG17">
        <f>SUMIFS(T_TTAFCallOff[PCS],T_TTAFCallOff[Part Name],$A17,T_TTAFCallOff[WeekIndex],58)</f>
        <v/>
      </c>
      <c r="BH17">
        <f>SUMIFS(T_TTAFCallOff[PCS],T_TTAFCallOff[Part Name],$A17,T_TTAFCallOff[WeekIndex],59)</f>
        <v/>
      </c>
      <c r="BI17">
        <f>SUMIFS(T_TTAFCallOff[PCS],T_TTAFCallOff[Part Name],$A17,T_TTAFCallOff[WeekIndex],60)</f>
        <v/>
      </c>
      <c r="BJ17">
        <f>SUMIFS(T_TTAFCallOff[PCS],T_TTAFCallOff[Part Name],$A17,T_TTAFCallOff[WeekIndex],61)</f>
        <v/>
      </c>
      <c r="BK17">
        <f>SUMIFS(T_TTAFCallOff[PCS],T_TTAFCallOff[Part Name],$A17,T_TTAFCallOff[WeekIndex],62)</f>
        <v/>
      </c>
      <c r="BL17">
        <f>SUMIFS(T_TTAFCallOff[PCS],T_TTAFCallOff[Part Name],$A17,T_TTAFCallOff[WeekIndex],63)</f>
        <v/>
      </c>
      <c r="BM17">
        <f>SUMIFS(T_TTAFCallOff[PCS],T_TTAFCallOff[Part Name],$A17,T_TTAFCallOff[WeekIndex],64)</f>
        <v/>
      </c>
      <c r="BN17">
        <f>SUMIFS(T_TTAFCallOff[PCS],T_TTAFCallOff[Part Name],$A17,T_TTAFCallOff[WeekIndex],65)</f>
        <v/>
      </c>
      <c r="BO17">
        <f>SUMIFS(T_TTAFCallOff[PCS],T_TTAFCallOff[Part Name],$A17,T_TTAFCallOff[WeekIndex],66)</f>
        <v/>
      </c>
      <c r="BP17">
        <f>SUMIFS(T_TTAFCallOff[PCS],T_TTAFCallOff[Part Name],$A17,T_TTAFCallOff[WeekIndex],67)</f>
        <v/>
      </c>
      <c r="BQ17">
        <f>SUMIFS(T_TTAFCallOff[PCS],T_TTAFCallOff[Part Name],$A17,T_TTAFCallOff[WeekIndex],68)</f>
        <v/>
      </c>
      <c r="BR17">
        <f>SUMIFS(T_TTAFCallOff[PCS],T_TTAFCallOff[Part Name],$A17,T_TTAFCallOff[WeekIndex],69)</f>
        <v/>
      </c>
      <c r="BS17">
        <f>SUMIFS(T_TTAFCallOff[PCS],T_TTAFCallOff[Part Name],$A17,T_TTAFCallOff[WeekIndex],70)</f>
        <v/>
      </c>
      <c r="BT17">
        <f>SUMIFS(T_TTAFCallOff[PCS],T_TTAFCallOff[Part Name],$A17,T_TTAFCallOff[WeekIndex],71)</f>
        <v/>
      </c>
      <c r="BU17">
        <f>SUMIFS(T_TTAFCallOff[PCS],T_TTAFCallOff[Part Name],$A17,T_TTAFCallOff[WeekIndex],72)</f>
        <v/>
      </c>
      <c r="BV17">
        <f>SUMIFS(T_TTAFCallOff[PCS],T_TTAFCallOff[Part Name],$A17,T_TTAFCallOff[WeekIndex],73)</f>
        <v/>
      </c>
      <c r="BW17">
        <f>SUMIFS(T_TTAFCallOff[PCS],T_TTAFCallOff[Part Name],$A17,T_TTAFCallOff[WeekIndex],74)</f>
        <v/>
      </c>
      <c r="BX17">
        <f>SUMIFS(T_TTAFCallOff[PCS],T_TTAFCallOff[Part Name],$A17,T_TTAFCallOff[WeekIndex],75)</f>
        <v/>
      </c>
      <c r="BY17">
        <f>SUMIFS(T_TTAFCallOff[PCS],T_TTAFCallOff[Part Name],$A17,T_TTAFCallOff[WeekIndex],76)</f>
        <v/>
      </c>
      <c r="BZ17">
        <f>SUMIFS(T_TTAFCallOff[PCS],T_TTAFCallOff[Part Name],$A17,T_TTAFCallOff[WeekIndex],77)</f>
        <v/>
      </c>
      <c r="CA17">
        <f>SUMIFS(T_TTAFCallOff[PCS],T_TTAFCallOff[Part Name],$A17,T_TTAFCallOff[WeekIndex],78)</f>
        <v/>
      </c>
      <c r="CB17">
        <f>SUMIFS(T_TTAFCallOff[PCS],T_TTAFCallOff[Part Name],$A17,T_TTAFCallOff[WeekIndex],79)</f>
        <v/>
      </c>
      <c r="CC17">
        <f>SUMIFS(T_TTAFCallOff[PCS],T_TTAFCallOff[Part Name],$A17,T_TTAFCallOff[WeekIndex],80)</f>
        <v/>
      </c>
      <c r="CD17">
        <f>SUMIFS(T_TTAFCallOff[PCS],T_TTAFCallOff[Part Name],$A17,T_TTAFCallOff[WeekIndex],81)</f>
        <v/>
      </c>
      <c r="CE17">
        <f>SUMIFS(T_TTAFCallOff[PCS],T_TTAFCallOff[Part Name],$A17,T_TTAFCallOff[WeekIndex],82)</f>
        <v/>
      </c>
      <c r="CF17">
        <f>SUMIFS(T_TTAFCallOff[PCS],T_TTAFCallOff[Part Name],$A17,T_TTAFCallOff[WeekIndex],83)</f>
        <v/>
      </c>
      <c r="CG17">
        <f>SUMIFS(T_TTAFCallOff[PCS],T_TTAFCallOff[Part Name],$A17,T_TTAFCallOff[WeekIndex],84)</f>
        <v/>
      </c>
      <c r="CH17">
        <f>SUMIFS(T_TTAFCallOff[PCS],T_TTAFCallOff[Part Name],$A17,T_TTAFCallOff[WeekIndex],85)</f>
        <v/>
      </c>
      <c r="CI17">
        <f>SUMIFS(T_TTAFCallOff[PCS],T_TTAFCallOff[Part Name],$A17,T_TTAFCallOff[WeekIndex],86)</f>
        <v/>
      </c>
      <c r="CJ17">
        <f>SUMIFS(T_TTAFCallOff[PCS],T_TTAFCallOff[Part Name],$A17,T_TTAFCallOff[WeekIndex],87)</f>
        <v/>
      </c>
      <c r="CK17">
        <f>SUMIFS(T_TTAFCallOff[PCS],T_TTAFCallOff[Part Name],$A17,T_TTAFCallOff[WeekIndex],88)</f>
        <v/>
      </c>
      <c r="CL17">
        <f>SUMIFS(T_TTAFCallOff[PCS],T_TTAFCallOff[Part Name],$A17,T_TTAFCallOff[WeekIndex],89)</f>
        <v/>
      </c>
      <c r="CM17">
        <f>SUMIFS(T_TTAFCallOff[PCS],T_TTAFCallOff[Part Name],$A17,T_TTAFCallOff[WeekIndex],90)</f>
        <v/>
      </c>
      <c r="CN17">
        <f>SUMIFS(T_TTAFCallOff[PCS],T_TTAFCallOff[Part Name],$A17,T_TTAFCallOff[WeekIndex],91)</f>
        <v/>
      </c>
      <c r="CO17">
        <f>SUMIFS(T_TTAFCallOff[PCS],T_TTAFCallOff[Part Name],$A17,T_TTAFCallOff[WeekIndex],92)</f>
        <v/>
      </c>
      <c r="CP17">
        <f>SUMIFS(T_TTAFCallOff[PCS],T_TTAFCallOff[Part Name],$A17,T_TTAFCallOff[WeekIndex],93)</f>
        <v/>
      </c>
      <c r="CQ17">
        <f>SUMIFS(T_TTAFCallOff[PCS],T_TTAFCallOff[Part Name],$A17,T_TTAFCallOff[WeekIndex],94)</f>
        <v/>
      </c>
      <c r="CR17">
        <f>SUMIFS(T_TTAFCallOff[PCS],T_TTAFCallOff[Part Name],$A17,T_TTAFCallOff[WeekIndex],95)</f>
        <v/>
      </c>
      <c r="CS17">
        <f>SUMIFS(T_TTAFCallOff[PCS],T_TTAFCallOff[Part Name],$A17,T_TTAFCallOff[WeekIndex],96)</f>
        <v/>
      </c>
      <c r="CT17">
        <f>SUMIFS(T_TTAFCallOff[PCS],T_TTAFCallOff[Part Name],$A17,T_TTAFCallOff[WeekIndex],97)</f>
        <v/>
      </c>
      <c r="CU17">
        <f>SUMIFS(T_TTAFCallOff[PCS],T_TTAFCallOff[Part Name],$A17,T_TTAFCallOff[WeekIndex],98)</f>
        <v/>
      </c>
      <c r="CV17">
        <f>SUMIFS(T_TTAFCallOff[PCS],T_TTAFCallOff[Part Name],$A17,T_TTAFCallOff[WeekIndex],99)</f>
        <v/>
      </c>
      <c r="CW17">
        <f>SUMIFS(T_TTAFCallOff[PCS],T_TTAFCallOff[Part Name],$A17,T_TTAFCallOff[WeekIndex],100)</f>
        <v/>
      </c>
      <c r="CX17">
        <f>SUMIFS(T_TTAFCallOff[PCS],T_TTAFCallOff[Part Name],$A17,T_TTAFCallOff[WeekIndex],101)</f>
        <v/>
      </c>
      <c r="CY17">
        <f>SUMIFS(T_TTAFCallOff[PCS],T_TTAFCallOff[Part Name],$A17,T_TTAFCallOff[WeekIndex],102)</f>
        <v/>
      </c>
      <c r="CZ17">
        <f>SUMIFS(T_TTAFCallOff[PCS],T_TTAFCallOff[Part Name],$A17,T_TTAFCallOff[WeekIndex],103)</f>
        <v/>
      </c>
      <c r="DA17">
        <f>SUMIFS(T_TTAFCallOff[PCS],T_TTAFCallOff[Part Name],$A17,T_TTAFCallOff[WeekIndex],104)</f>
        <v/>
      </c>
    </row>
    <row r="18">
      <c r="A18" t="inlineStr">
        <is>
          <t>CHEM-1660</t>
        </is>
      </c>
      <c r="B18">
        <f>SUMIFS(T_TTAFCallOff[PCS],T_TTAFCallOff[Part Name],$A18,T_TTAFCallOff[WeekIndex],1)</f>
        <v/>
      </c>
      <c r="C18">
        <f>SUMIFS(T_TTAFCallOff[PCS],T_TTAFCallOff[Part Name],$A18,T_TTAFCallOff[WeekIndex],2)</f>
        <v/>
      </c>
      <c r="D18">
        <f>SUMIFS(T_TTAFCallOff[PCS],T_TTAFCallOff[Part Name],$A18,T_TTAFCallOff[WeekIndex],3)</f>
        <v/>
      </c>
      <c r="E18">
        <f>SUMIFS(T_TTAFCallOff[PCS],T_TTAFCallOff[Part Name],$A18,T_TTAFCallOff[WeekIndex],4)</f>
        <v/>
      </c>
      <c r="F18">
        <f>SUMIFS(T_TTAFCallOff[PCS],T_TTAFCallOff[Part Name],$A18,T_TTAFCallOff[WeekIndex],5)</f>
        <v/>
      </c>
      <c r="G18">
        <f>SUMIFS(T_TTAFCallOff[PCS],T_TTAFCallOff[Part Name],$A18,T_TTAFCallOff[WeekIndex],6)</f>
        <v/>
      </c>
      <c r="H18">
        <f>SUMIFS(T_TTAFCallOff[PCS],T_TTAFCallOff[Part Name],$A18,T_TTAFCallOff[WeekIndex],7)</f>
        <v/>
      </c>
      <c r="I18">
        <f>SUMIFS(T_TTAFCallOff[PCS],T_TTAFCallOff[Part Name],$A18,T_TTAFCallOff[WeekIndex],8)</f>
        <v/>
      </c>
      <c r="J18">
        <f>SUMIFS(T_TTAFCallOff[PCS],T_TTAFCallOff[Part Name],$A18,T_TTAFCallOff[WeekIndex],9)</f>
        <v/>
      </c>
      <c r="K18">
        <f>SUMIFS(T_TTAFCallOff[PCS],T_TTAFCallOff[Part Name],$A18,T_TTAFCallOff[WeekIndex],10)</f>
        <v/>
      </c>
      <c r="L18">
        <f>SUMIFS(T_TTAFCallOff[PCS],T_TTAFCallOff[Part Name],$A18,T_TTAFCallOff[WeekIndex],11)</f>
        <v/>
      </c>
      <c r="M18">
        <f>SUMIFS(T_TTAFCallOff[PCS],T_TTAFCallOff[Part Name],$A18,T_TTAFCallOff[WeekIndex],12)</f>
        <v/>
      </c>
      <c r="N18">
        <f>SUMIFS(T_TTAFCallOff[PCS],T_TTAFCallOff[Part Name],$A18,T_TTAFCallOff[WeekIndex],13)</f>
        <v/>
      </c>
      <c r="O18">
        <f>SUMIFS(T_TTAFCallOff[PCS],T_TTAFCallOff[Part Name],$A18,T_TTAFCallOff[WeekIndex],14)</f>
        <v/>
      </c>
      <c r="P18">
        <f>SUMIFS(T_TTAFCallOff[PCS],T_TTAFCallOff[Part Name],$A18,T_TTAFCallOff[WeekIndex],15)</f>
        <v/>
      </c>
      <c r="Q18">
        <f>SUMIFS(T_TTAFCallOff[PCS],T_TTAFCallOff[Part Name],$A18,T_TTAFCallOff[WeekIndex],16)</f>
        <v/>
      </c>
      <c r="R18">
        <f>SUMIFS(T_TTAFCallOff[PCS],T_TTAFCallOff[Part Name],$A18,T_TTAFCallOff[WeekIndex],17)</f>
        <v/>
      </c>
      <c r="S18">
        <f>SUMIFS(T_TTAFCallOff[PCS],T_TTAFCallOff[Part Name],$A18,T_TTAFCallOff[WeekIndex],18)</f>
        <v/>
      </c>
      <c r="T18">
        <f>SUMIFS(T_TTAFCallOff[PCS],T_TTAFCallOff[Part Name],$A18,T_TTAFCallOff[WeekIndex],19)</f>
        <v/>
      </c>
      <c r="U18">
        <f>SUMIFS(T_TTAFCallOff[PCS],T_TTAFCallOff[Part Name],$A18,T_TTAFCallOff[WeekIndex],20)</f>
        <v/>
      </c>
      <c r="V18">
        <f>SUMIFS(T_TTAFCallOff[PCS],T_TTAFCallOff[Part Name],$A18,T_TTAFCallOff[WeekIndex],21)</f>
        <v/>
      </c>
      <c r="W18">
        <f>SUMIFS(T_TTAFCallOff[PCS],T_TTAFCallOff[Part Name],$A18,T_TTAFCallOff[WeekIndex],22)</f>
        <v/>
      </c>
      <c r="X18">
        <f>SUMIFS(T_TTAFCallOff[PCS],T_TTAFCallOff[Part Name],$A18,T_TTAFCallOff[WeekIndex],23)</f>
        <v/>
      </c>
      <c r="Y18">
        <f>SUMIFS(T_TTAFCallOff[PCS],T_TTAFCallOff[Part Name],$A18,T_TTAFCallOff[WeekIndex],24)</f>
        <v/>
      </c>
      <c r="Z18">
        <f>SUMIFS(T_TTAFCallOff[PCS],T_TTAFCallOff[Part Name],$A18,T_TTAFCallOff[WeekIndex],25)</f>
        <v/>
      </c>
      <c r="AA18">
        <f>SUMIFS(T_TTAFCallOff[PCS],T_TTAFCallOff[Part Name],$A18,T_TTAFCallOff[WeekIndex],26)</f>
        <v/>
      </c>
      <c r="AB18">
        <f>SUMIFS(T_TTAFCallOff[PCS],T_TTAFCallOff[Part Name],$A18,T_TTAFCallOff[WeekIndex],27)</f>
        <v/>
      </c>
      <c r="AC18">
        <f>SUMIFS(T_TTAFCallOff[PCS],T_TTAFCallOff[Part Name],$A18,T_TTAFCallOff[WeekIndex],28)</f>
        <v/>
      </c>
      <c r="AD18">
        <f>SUMIFS(T_TTAFCallOff[PCS],T_TTAFCallOff[Part Name],$A18,T_TTAFCallOff[WeekIndex],29)</f>
        <v/>
      </c>
      <c r="AE18">
        <f>SUMIFS(T_TTAFCallOff[PCS],T_TTAFCallOff[Part Name],$A18,T_TTAFCallOff[WeekIndex],30)</f>
        <v/>
      </c>
      <c r="AF18">
        <f>SUMIFS(T_TTAFCallOff[PCS],T_TTAFCallOff[Part Name],$A18,T_TTAFCallOff[WeekIndex],31)</f>
        <v/>
      </c>
      <c r="AG18">
        <f>SUMIFS(T_TTAFCallOff[PCS],T_TTAFCallOff[Part Name],$A18,T_TTAFCallOff[WeekIndex],32)</f>
        <v/>
      </c>
      <c r="AH18">
        <f>SUMIFS(T_TTAFCallOff[PCS],T_TTAFCallOff[Part Name],$A18,T_TTAFCallOff[WeekIndex],33)</f>
        <v/>
      </c>
      <c r="AI18">
        <f>SUMIFS(T_TTAFCallOff[PCS],T_TTAFCallOff[Part Name],$A18,T_TTAFCallOff[WeekIndex],34)</f>
        <v/>
      </c>
      <c r="AJ18">
        <f>SUMIFS(T_TTAFCallOff[PCS],T_TTAFCallOff[Part Name],$A18,T_TTAFCallOff[WeekIndex],35)</f>
        <v/>
      </c>
      <c r="AK18">
        <f>SUMIFS(T_TTAFCallOff[PCS],T_TTAFCallOff[Part Name],$A18,T_TTAFCallOff[WeekIndex],36)</f>
        <v/>
      </c>
      <c r="AL18">
        <f>SUMIFS(T_TTAFCallOff[PCS],T_TTAFCallOff[Part Name],$A18,T_TTAFCallOff[WeekIndex],37)</f>
        <v/>
      </c>
      <c r="AM18">
        <f>SUMIFS(T_TTAFCallOff[PCS],T_TTAFCallOff[Part Name],$A18,T_TTAFCallOff[WeekIndex],38)</f>
        <v/>
      </c>
      <c r="AN18">
        <f>SUMIFS(T_TTAFCallOff[PCS],T_TTAFCallOff[Part Name],$A18,T_TTAFCallOff[WeekIndex],39)</f>
        <v/>
      </c>
      <c r="AO18">
        <f>SUMIFS(T_TTAFCallOff[PCS],T_TTAFCallOff[Part Name],$A18,T_TTAFCallOff[WeekIndex],40)</f>
        <v/>
      </c>
      <c r="AP18">
        <f>SUMIFS(T_TTAFCallOff[PCS],T_TTAFCallOff[Part Name],$A18,T_TTAFCallOff[WeekIndex],41)</f>
        <v/>
      </c>
      <c r="AQ18">
        <f>SUMIFS(T_TTAFCallOff[PCS],T_TTAFCallOff[Part Name],$A18,T_TTAFCallOff[WeekIndex],42)</f>
        <v/>
      </c>
      <c r="AR18">
        <f>SUMIFS(T_TTAFCallOff[PCS],T_TTAFCallOff[Part Name],$A18,T_TTAFCallOff[WeekIndex],43)</f>
        <v/>
      </c>
      <c r="AS18">
        <f>SUMIFS(T_TTAFCallOff[PCS],T_TTAFCallOff[Part Name],$A18,T_TTAFCallOff[WeekIndex],44)</f>
        <v/>
      </c>
      <c r="AT18">
        <f>SUMIFS(T_TTAFCallOff[PCS],T_TTAFCallOff[Part Name],$A18,T_TTAFCallOff[WeekIndex],45)</f>
        <v/>
      </c>
      <c r="AU18">
        <f>SUMIFS(T_TTAFCallOff[PCS],T_TTAFCallOff[Part Name],$A18,T_TTAFCallOff[WeekIndex],46)</f>
        <v/>
      </c>
      <c r="AV18">
        <f>SUMIFS(T_TTAFCallOff[PCS],T_TTAFCallOff[Part Name],$A18,T_TTAFCallOff[WeekIndex],47)</f>
        <v/>
      </c>
      <c r="AW18">
        <f>SUMIFS(T_TTAFCallOff[PCS],T_TTAFCallOff[Part Name],$A18,T_TTAFCallOff[WeekIndex],48)</f>
        <v/>
      </c>
      <c r="AX18">
        <f>SUMIFS(T_TTAFCallOff[PCS],T_TTAFCallOff[Part Name],$A18,T_TTAFCallOff[WeekIndex],49)</f>
        <v/>
      </c>
      <c r="AY18">
        <f>SUMIFS(T_TTAFCallOff[PCS],T_TTAFCallOff[Part Name],$A18,T_TTAFCallOff[WeekIndex],50)</f>
        <v/>
      </c>
      <c r="AZ18">
        <f>SUMIFS(T_TTAFCallOff[PCS],T_TTAFCallOff[Part Name],$A18,T_TTAFCallOff[WeekIndex],51)</f>
        <v/>
      </c>
      <c r="BA18">
        <f>SUMIFS(T_TTAFCallOff[PCS],T_TTAFCallOff[Part Name],$A18,T_TTAFCallOff[WeekIndex],52)</f>
        <v/>
      </c>
      <c r="BB18">
        <f>SUMIFS(T_TTAFCallOff[PCS],T_TTAFCallOff[Part Name],$A18,T_TTAFCallOff[WeekIndex],53)</f>
        <v/>
      </c>
      <c r="BC18">
        <f>SUMIFS(T_TTAFCallOff[PCS],T_TTAFCallOff[Part Name],$A18,T_TTAFCallOff[WeekIndex],54)</f>
        <v/>
      </c>
      <c r="BD18">
        <f>SUMIFS(T_TTAFCallOff[PCS],T_TTAFCallOff[Part Name],$A18,T_TTAFCallOff[WeekIndex],55)</f>
        <v/>
      </c>
      <c r="BE18">
        <f>SUMIFS(T_TTAFCallOff[PCS],T_TTAFCallOff[Part Name],$A18,T_TTAFCallOff[WeekIndex],56)</f>
        <v/>
      </c>
      <c r="BF18">
        <f>SUMIFS(T_TTAFCallOff[PCS],T_TTAFCallOff[Part Name],$A18,T_TTAFCallOff[WeekIndex],57)</f>
        <v/>
      </c>
      <c r="BG18">
        <f>SUMIFS(T_TTAFCallOff[PCS],T_TTAFCallOff[Part Name],$A18,T_TTAFCallOff[WeekIndex],58)</f>
        <v/>
      </c>
      <c r="BH18">
        <f>SUMIFS(T_TTAFCallOff[PCS],T_TTAFCallOff[Part Name],$A18,T_TTAFCallOff[WeekIndex],59)</f>
        <v/>
      </c>
      <c r="BI18">
        <f>SUMIFS(T_TTAFCallOff[PCS],T_TTAFCallOff[Part Name],$A18,T_TTAFCallOff[WeekIndex],60)</f>
        <v/>
      </c>
      <c r="BJ18">
        <f>SUMIFS(T_TTAFCallOff[PCS],T_TTAFCallOff[Part Name],$A18,T_TTAFCallOff[WeekIndex],61)</f>
        <v/>
      </c>
      <c r="BK18">
        <f>SUMIFS(T_TTAFCallOff[PCS],T_TTAFCallOff[Part Name],$A18,T_TTAFCallOff[WeekIndex],62)</f>
        <v/>
      </c>
      <c r="BL18">
        <f>SUMIFS(T_TTAFCallOff[PCS],T_TTAFCallOff[Part Name],$A18,T_TTAFCallOff[WeekIndex],63)</f>
        <v/>
      </c>
      <c r="BM18">
        <f>SUMIFS(T_TTAFCallOff[PCS],T_TTAFCallOff[Part Name],$A18,T_TTAFCallOff[WeekIndex],64)</f>
        <v/>
      </c>
      <c r="BN18">
        <f>SUMIFS(T_TTAFCallOff[PCS],T_TTAFCallOff[Part Name],$A18,T_TTAFCallOff[WeekIndex],65)</f>
        <v/>
      </c>
      <c r="BO18">
        <f>SUMIFS(T_TTAFCallOff[PCS],T_TTAFCallOff[Part Name],$A18,T_TTAFCallOff[WeekIndex],66)</f>
        <v/>
      </c>
      <c r="BP18">
        <f>SUMIFS(T_TTAFCallOff[PCS],T_TTAFCallOff[Part Name],$A18,T_TTAFCallOff[WeekIndex],67)</f>
        <v/>
      </c>
      <c r="BQ18">
        <f>SUMIFS(T_TTAFCallOff[PCS],T_TTAFCallOff[Part Name],$A18,T_TTAFCallOff[WeekIndex],68)</f>
        <v/>
      </c>
      <c r="BR18">
        <f>SUMIFS(T_TTAFCallOff[PCS],T_TTAFCallOff[Part Name],$A18,T_TTAFCallOff[WeekIndex],69)</f>
        <v/>
      </c>
      <c r="BS18">
        <f>SUMIFS(T_TTAFCallOff[PCS],T_TTAFCallOff[Part Name],$A18,T_TTAFCallOff[WeekIndex],70)</f>
        <v/>
      </c>
      <c r="BT18">
        <f>SUMIFS(T_TTAFCallOff[PCS],T_TTAFCallOff[Part Name],$A18,T_TTAFCallOff[WeekIndex],71)</f>
        <v/>
      </c>
      <c r="BU18">
        <f>SUMIFS(T_TTAFCallOff[PCS],T_TTAFCallOff[Part Name],$A18,T_TTAFCallOff[WeekIndex],72)</f>
        <v/>
      </c>
      <c r="BV18">
        <f>SUMIFS(T_TTAFCallOff[PCS],T_TTAFCallOff[Part Name],$A18,T_TTAFCallOff[WeekIndex],73)</f>
        <v/>
      </c>
      <c r="BW18">
        <f>SUMIFS(T_TTAFCallOff[PCS],T_TTAFCallOff[Part Name],$A18,T_TTAFCallOff[WeekIndex],74)</f>
        <v/>
      </c>
      <c r="BX18">
        <f>SUMIFS(T_TTAFCallOff[PCS],T_TTAFCallOff[Part Name],$A18,T_TTAFCallOff[WeekIndex],75)</f>
        <v/>
      </c>
      <c r="BY18">
        <f>SUMIFS(T_TTAFCallOff[PCS],T_TTAFCallOff[Part Name],$A18,T_TTAFCallOff[WeekIndex],76)</f>
        <v/>
      </c>
      <c r="BZ18">
        <f>SUMIFS(T_TTAFCallOff[PCS],T_TTAFCallOff[Part Name],$A18,T_TTAFCallOff[WeekIndex],77)</f>
        <v/>
      </c>
      <c r="CA18">
        <f>SUMIFS(T_TTAFCallOff[PCS],T_TTAFCallOff[Part Name],$A18,T_TTAFCallOff[WeekIndex],78)</f>
        <v/>
      </c>
      <c r="CB18">
        <f>SUMIFS(T_TTAFCallOff[PCS],T_TTAFCallOff[Part Name],$A18,T_TTAFCallOff[WeekIndex],79)</f>
        <v/>
      </c>
      <c r="CC18">
        <f>SUMIFS(T_TTAFCallOff[PCS],T_TTAFCallOff[Part Name],$A18,T_TTAFCallOff[WeekIndex],80)</f>
        <v/>
      </c>
      <c r="CD18">
        <f>SUMIFS(T_TTAFCallOff[PCS],T_TTAFCallOff[Part Name],$A18,T_TTAFCallOff[WeekIndex],81)</f>
        <v/>
      </c>
      <c r="CE18">
        <f>SUMIFS(T_TTAFCallOff[PCS],T_TTAFCallOff[Part Name],$A18,T_TTAFCallOff[WeekIndex],82)</f>
        <v/>
      </c>
      <c r="CF18">
        <f>SUMIFS(T_TTAFCallOff[PCS],T_TTAFCallOff[Part Name],$A18,T_TTAFCallOff[WeekIndex],83)</f>
        <v/>
      </c>
      <c r="CG18">
        <f>SUMIFS(T_TTAFCallOff[PCS],T_TTAFCallOff[Part Name],$A18,T_TTAFCallOff[WeekIndex],84)</f>
        <v/>
      </c>
      <c r="CH18">
        <f>SUMIFS(T_TTAFCallOff[PCS],T_TTAFCallOff[Part Name],$A18,T_TTAFCallOff[WeekIndex],85)</f>
        <v/>
      </c>
      <c r="CI18">
        <f>SUMIFS(T_TTAFCallOff[PCS],T_TTAFCallOff[Part Name],$A18,T_TTAFCallOff[WeekIndex],86)</f>
        <v/>
      </c>
      <c r="CJ18">
        <f>SUMIFS(T_TTAFCallOff[PCS],T_TTAFCallOff[Part Name],$A18,T_TTAFCallOff[WeekIndex],87)</f>
        <v/>
      </c>
      <c r="CK18">
        <f>SUMIFS(T_TTAFCallOff[PCS],T_TTAFCallOff[Part Name],$A18,T_TTAFCallOff[WeekIndex],88)</f>
        <v/>
      </c>
      <c r="CL18">
        <f>SUMIFS(T_TTAFCallOff[PCS],T_TTAFCallOff[Part Name],$A18,T_TTAFCallOff[WeekIndex],89)</f>
        <v/>
      </c>
      <c r="CM18">
        <f>SUMIFS(T_TTAFCallOff[PCS],T_TTAFCallOff[Part Name],$A18,T_TTAFCallOff[WeekIndex],90)</f>
        <v/>
      </c>
      <c r="CN18">
        <f>SUMIFS(T_TTAFCallOff[PCS],T_TTAFCallOff[Part Name],$A18,T_TTAFCallOff[WeekIndex],91)</f>
        <v/>
      </c>
      <c r="CO18">
        <f>SUMIFS(T_TTAFCallOff[PCS],T_TTAFCallOff[Part Name],$A18,T_TTAFCallOff[WeekIndex],92)</f>
        <v/>
      </c>
      <c r="CP18">
        <f>SUMIFS(T_TTAFCallOff[PCS],T_TTAFCallOff[Part Name],$A18,T_TTAFCallOff[WeekIndex],93)</f>
        <v/>
      </c>
      <c r="CQ18">
        <f>SUMIFS(T_TTAFCallOff[PCS],T_TTAFCallOff[Part Name],$A18,T_TTAFCallOff[WeekIndex],94)</f>
        <v/>
      </c>
      <c r="CR18">
        <f>SUMIFS(T_TTAFCallOff[PCS],T_TTAFCallOff[Part Name],$A18,T_TTAFCallOff[WeekIndex],95)</f>
        <v/>
      </c>
      <c r="CS18">
        <f>SUMIFS(T_TTAFCallOff[PCS],T_TTAFCallOff[Part Name],$A18,T_TTAFCallOff[WeekIndex],96)</f>
        <v/>
      </c>
      <c r="CT18">
        <f>SUMIFS(T_TTAFCallOff[PCS],T_TTAFCallOff[Part Name],$A18,T_TTAFCallOff[WeekIndex],97)</f>
        <v/>
      </c>
      <c r="CU18">
        <f>SUMIFS(T_TTAFCallOff[PCS],T_TTAFCallOff[Part Name],$A18,T_TTAFCallOff[WeekIndex],98)</f>
        <v/>
      </c>
      <c r="CV18">
        <f>SUMIFS(T_TTAFCallOff[PCS],T_TTAFCallOff[Part Name],$A18,T_TTAFCallOff[WeekIndex],99)</f>
        <v/>
      </c>
      <c r="CW18">
        <f>SUMIFS(T_TTAFCallOff[PCS],T_TTAFCallOff[Part Name],$A18,T_TTAFCallOff[WeekIndex],100)</f>
        <v/>
      </c>
      <c r="CX18">
        <f>SUMIFS(T_TTAFCallOff[PCS],T_TTAFCallOff[Part Name],$A18,T_TTAFCallOff[WeekIndex],101)</f>
        <v/>
      </c>
      <c r="CY18">
        <f>SUMIFS(T_TTAFCallOff[PCS],T_TTAFCallOff[Part Name],$A18,T_TTAFCallOff[WeekIndex],102)</f>
        <v/>
      </c>
      <c r="CZ18">
        <f>SUMIFS(T_TTAFCallOff[PCS],T_TTAFCallOff[Part Name],$A18,T_TTAFCallOff[WeekIndex],103)</f>
        <v/>
      </c>
      <c r="DA18">
        <f>SUMIFS(T_TTAFCallOff[PCS],T_TTAFCallOff[Part Name],$A18,T_TTAFCallOff[WeekIndex],104)</f>
        <v/>
      </c>
    </row>
    <row r="19">
      <c r="A19" t="inlineStr">
        <is>
          <t>CHEM-1600</t>
        </is>
      </c>
      <c r="B19">
        <f>SUMIFS(T_TTAFCallOff[PCS],T_TTAFCallOff[Part Name],$A19,T_TTAFCallOff[WeekIndex],1)</f>
        <v/>
      </c>
      <c r="C19">
        <f>SUMIFS(T_TTAFCallOff[PCS],T_TTAFCallOff[Part Name],$A19,T_TTAFCallOff[WeekIndex],2)</f>
        <v/>
      </c>
      <c r="D19">
        <f>SUMIFS(T_TTAFCallOff[PCS],T_TTAFCallOff[Part Name],$A19,T_TTAFCallOff[WeekIndex],3)</f>
        <v/>
      </c>
      <c r="E19">
        <f>SUMIFS(T_TTAFCallOff[PCS],T_TTAFCallOff[Part Name],$A19,T_TTAFCallOff[WeekIndex],4)</f>
        <v/>
      </c>
      <c r="F19">
        <f>SUMIFS(T_TTAFCallOff[PCS],T_TTAFCallOff[Part Name],$A19,T_TTAFCallOff[WeekIndex],5)</f>
        <v/>
      </c>
      <c r="G19">
        <f>SUMIFS(T_TTAFCallOff[PCS],T_TTAFCallOff[Part Name],$A19,T_TTAFCallOff[WeekIndex],6)</f>
        <v/>
      </c>
      <c r="H19">
        <f>SUMIFS(T_TTAFCallOff[PCS],T_TTAFCallOff[Part Name],$A19,T_TTAFCallOff[WeekIndex],7)</f>
        <v/>
      </c>
      <c r="I19">
        <f>SUMIFS(T_TTAFCallOff[PCS],T_TTAFCallOff[Part Name],$A19,T_TTAFCallOff[WeekIndex],8)</f>
        <v/>
      </c>
      <c r="J19">
        <f>SUMIFS(T_TTAFCallOff[PCS],T_TTAFCallOff[Part Name],$A19,T_TTAFCallOff[WeekIndex],9)</f>
        <v/>
      </c>
      <c r="K19">
        <f>SUMIFS(T_TTAFCallOff[PCS],T_TTAFCallOff[Part Name],$A19,T_TTAFCallOff[WeekIndex],10)</f>
        <v/>
      </c>
      <c r="L19">
        <f>SUMIFS(T_TTAFCallOff[PCS],T_TTAFCallOff[Part Name],$A19,T_TTAFCallOff[WeekIndex],11)</f>
        <v/>
      </c>
      <c r="M19">
        <f>SUMIFS(T_TTAFCallOff[PCS],T_TTAFCallOff[Part Name],$A19,T_TTAFCallOff[WeekIndex],12)</f>
        <v/>
      </c>
      <c r="N19">
        <f>SUMIFS(T_TTAFCallOff[PCS],T_TTAFCallOff[Part Name],$A19,T_TTAFCallOff[WeekIndex],13)</f>
        <v/>
      </c>
      <c r="O19">
        <f>SUMIFS(T_TTAFCallOff[PCS],T_TTAFCallOff[Part Name],$A19,T_TTAFCallOff[WeekIndex],14)</f>
        <v/>
      </c>
      <c r="P19">
        <f>SUMIFS(T_TTAFCallOff[PCS],T_TTAFCallOff[Part Name],$A19,T_TTAFCallOff[WeekIndex],15)</f>
        <v/>
      </c>
      <c r="Q19">
        <f>SUMIFS(T_TTAFCallOff[PCS],T_TTAFCallOff[Part Name],$A19,T_TTAFCallOff[WeekIndex],16)</f>
        <v/>
      </c>
      <c r="R19">
        <f>SUMIFS(T_TTAFCallOff[PCS],T_TTAFCallOff[Part Name],$A19,T_TTAFCallOff[WeekIndex],17)</f>
        <v/>
      </c>
      <c r="S19">
        <f>SUMIFS(T_TTAFCallOff[PCS],T_TTAFCallOff[Part Name],$A19,T_TTAFCallOff[WeekIndex],18)</f>
        <v/>
      </c>
      <c r="T19">
        <f>SUMIFS(T_TTAFCallOff[PCS],T_TTAFCallOff[Part Name],$A19,T_TTAFCallOff[WeekIndex],19)</f>
        <v/>
      </c>
      <c r="U19">
        <f>SUMIFS(T_TTAFCallOff[PCS],T_TTAFCallOff[Part Name],$A19,T_TTAFCallOff[WeekIndex],20)</f>
        <v/>
      </c>
      <c r="V19">
        <f>SUMIFS(T_TTAFCallOff[PCS],T_TTAFCallOff[Part Name],$A19,T_TTAFCallOff[WeekIndex],21)</f>
        <v/>
      </c>
      <c r="W19">
        <f>SUMIFS(T_TTAFCallOff[PCS],T_TTAFCallOff[Part Name],$A19,T_TTAFCallOff[WeekIndex],22)</f>
        <v/>
      </c>
      <c r="X19">
        <f>SUMIFS(T_TTAFCallOff[PCS],T_TTAFCallOff[Part Name],$A19,T_TTAFCallOff[WeekIndex],23)</f>
        <v/>
      </c>
      <c r="Y19">
        <f>SUMIFS(T_TTAFCallOff[PCS],T_TTAFCallOff[Part Name],$A19,T_TTAFCallOff[WeekIndex],24)</f>
        <v/>
      </c>
      <c r="Z19">
        <f>SUMIFS(T_TTAFCallOff[PCS],T_TTAFCallOff[Part Name],$A19,T_TTAFCallOff[WeekIndex],25)</f>
        <v/>
      </c>
      <c r="AA19">
        <f>SUMIFS(T_TTAFCallOff[PCS],T_TTAFCallOff[Part Name],$A19,T_TTAFCallOff[WeekIndex],26)</f>
        <v/>
      </c>
      <c r="AB19">
        <f>SUMIFS(T_TTAFCallOff[PCS],T_TTAFCallOff[Part Name],$A19,T_TTAFCallOff[WeekIndex],27)</f>
        <v/>
      </c>
      <c r="AC19">
        <f>SUMIFS(T_TTAFCallOff[PCS],T_TTAFCallOff[Part Name],$A19,T_TTAFCallOff[WeekIndex],28)</f>
        <v/>
      </c>
      <c r="AD19">
        <f>SUMIFS(T_TTAFCallOff[PCS],T_TTAFCallOff[Part Name],$A19,T_TTAFCallOff[WeekIndex],29)</f>
        <v/>
      </c>
      <c r="AE19">
        <f>SUMIFS(T_TTAFCallOff[PCS],T_TTAFCallOff[Part Name],$A19,T_TTAFCallOff[WeekIndex],30)</f>
        <v/>
      </c>
      <c r="AF19">
        <f>SUMIFS(T_TTAFCallOff[PCS],T_TTAFCallOff[Part Name],$A19,T_TTAFCallOff[WeekIndex],31)</f>
        <v/>
      </c>
      <c r="AG19">
        <f>SUMIFS(T_TTAFCallOff[PCS],T_TTAFCallOff[Part Name],$A19,T_TTAFCallOff[WeekIndex],32)</f>
        <v/>
      </c>
      <c r="AH19">
        <f>SUMIFS(T_TTAFCallOff[PCS],T_TTAFCallOff[Part Name],$A19,T_TTAFCallOff[WeekIndex],33)</f>
        <v/>
      </c>
      <c r="AI19">
        <f>SUMIFS(T_TTAFCallOff[PCS],T_TTAFCallOff[Part Name],$A19,T_TTAFCallOff[WeekIndex],34)</f>
        <v/>
      </c>
      <c r="AJ19">
        <f>SUMIFS(T_TTAFCallOff[PCS],T_TTAFCallOff[Part Name],$A19,T_TTAFCallOff[WeekIndex],35)</f>
        <v/>
      </c>
      <c r="AK19">
        <f>SUMIFS(T_TTAFCallOff[PCS],T_TTAFCallOff[Part Name],$A19,T_TTAFCallOff[WeekIndex],36)</f>
        <v/>
      </c>
      <c r="AL19">
        <f>SUMIFS(T_TTAFCallOff[PCS],T_TTAFCallOff[Part Name],$A19,T_TTAFCallOff[WeekIndex],37)</f>
        <v/>
      </c>
      <c r="AM19">
        <f>SUMIFS(T_TTAFCallOff[PCS],T_TTAFCallOff[Part Name],$A19,T_TTAFCallOff[WeekIndex],38)</f>
        <v/>
      </c>
      <c r="AN19">
        <f>SUMIFS(T_TTAFCallOff[PCS],T_TTAFCallOff[Part Name],$A19,T_TTAFCallOff[WeekIndex],39)</f>
        <v/>
      </c>
      <c r="AO19">
        <f>SUMIFS(T_TTAFCallOff[PCS],T_TTAFCallOff[Part Name],$A19,T_TTAFCallOff[WeekIndex],40)</f>
        <v/>
      </c>
      <c r="AP19">
        <f>SUMIFS(T_TTAFCallOff[PCS],T_TTAFCallOff[Part Name],$A19,T_TTAFCallOff[WeekIndex],41)</f>
        <v/>
      </c>
      <c r="AQ19">
        <f>SUMIFS(T_TTAFCallOff[PCS],T_TTAFCallOff[Part Name],$A19,T_TTAFCallOff[WeekIndex],42)</f>
        <v/>
      </c>
      <c r="AR19">
        <f>SUMIFS(T_TTAFCallOff[PCS],T_TTAFCallOff[Part Name],$A19,T_TTAFCallOff[WeekIndex],43)</f>
        <v/>
      </c>
      <c r="AS19">
        <f>SUMIFS(T_TTAFCallOff[PCS],T_TTAFCallOff[Part Name],$A19,T_TTAFCallOff[WeekIndex],44)</f>
        <v/>
      </c>
      <c r="AT19">
        <f>SUMIFS(T_TTAFCallOff[PCS],T_TTAFCallOff[Part Name],$A19,T_TTAFCallOff[WeekIndex],45)</f>
        <v/>
      </c>
      <c r="AU19">
        <f>SUMIFS(T_TTAFCallOff[PCS],T_TTAFCallOff[Part Name],$A19,T_TTAFCallOff[WeekIndex],46)</f>
        <v/>
      </c>
      <c r="AV19">
        <f>SUMIFS(T_TTAFCallOff[PCS],T_TTAFCallOff[Part Name],$A19,T_TTAFCallOff[WeekIndex],47)</f>
        <v/>
      </c>
      <c r="AW19">
        <f>SUMIFS(T_TTAFCallOff[PCS],T_TTAFCallOff[Part Name],$A19,T_TTAFCallOff[WeekIndex],48)</f>
        <v/>
      </c>
      <c r="AX19">
        <f>SUMIFS(T_TTAFCallOff[PCS],T_TTAFCallOff[Part Name],$A19,T_TTAFCallOff[WeekIndex],49)</f>
        <v/>
      </c>
      <c r="AY19">
        <f>SUMIFS(T_TTAFCallOff[PCS],T_TTAFCallOff[Part Name],$A19,T_TTAFCallOff[WeekIndex],50)</f>
        <v/>
      </c>
      <c r="AZ19">
        <f>SUMIFS(T_TTAFCallOff[PCS],T_TTAFCallOff[Part Name],$A19,T_TTAFCallOff[WeekIndex],51)</f>
        <v/>
      </c>
      <c r="BA19">
        <f>SUMIFS(T_TTAFCallOff[PCS],T_TTAFCallOff[Part Name],$A19,T_TTAFCallOff[WeekIndex],52)</f>
        <v/>
      </c>
      <c r="BB19">
        <f>SUMIFS(T_TTAFCallOff[PCS],T_TTAFCallOff[Part Name],$A19,T_TTAFCallOff[WeekIndex],53)</f>
        <v/>
      </c>
      <c r="BC19">
        <f>SUMIFS(T_TTAFCallOff[PCS],T_TTAFCallOff[Part Name],$A19,T_TTAFCallOff[WeekIndex],54)</f>
        <v/>
      </c>
      <c r="BD19">
        <f>SUMIFS(T_TTAFCallOff[PCS],T_TTAFCallOff[Part Name],$A19,T_TTAFCallOff[WeekIndex],55)</f>
        <v/>
      </c>
      <c r="BE19">
        <f>SUMIFS(T_TTAFCallOff[PCS],T_TTAFCallOff[Part Name],$A19,T_TTAFCallOff[WeekIndex],56)</f>
        <v/>
      </c>
      <c r="BF19">
        <f>SUMIFS(T_TTAFCallOff[PCS],T_TTAFCallOff[Part Name],$A19,T_TTAFCallOff[WeekIndex],57)</f>
        <v/>
      </c>
      <c r="BG19">
        <f>SUMIFS(T_TTAFCallOff[PCS],T_TTAFCallOff[Part Name],$A19,T_TTAFCallOff[WeekIndex],58)</f>
        <v/>
      </c>
      <c r="BH19">
        <f>SUMIFS(T_TTAFCallOff[PCS],T_TTAFCallOff[Part Name],$A19,T_TTAFCallOff[WeekIndex],59)</f>
        <v/>
      </c>
      <c r="BI19">
        <f>SUMIFS(T_TTAFCallOff[PCS],T_TTAFCallOff[Part Name],$A19,T_TTAFCallOff[WeekIndex],60)</f>
        <v/>
      </c>
      <c r="BJ19">
        <f>SUMIFS(T_TTAFCallOff[PCS],T_TTAFCallOff[Part Name],$A19,T_TTAFCallOff[WeekIndex],61)</f>
        <v/>
      </c>
      <c r="BK19">
        <f>SUMIFS(T_TTAFCallOff[PCS],T_TTAFCallOff[Part Name],$A19,T_TTAFCallOff[WeekIndex],62)</f>
        <v/>
      </c>
      <c r="BL19">
        <f>SUMIFS(T_TTAFCallOff[PCS],T_TTAFCallOff[Part Name],$A19,T_TTAFCallOff[WeekIndex],63)</f>
        <v/>
      </c>
      <c r="BM19">
        <f>SUMIFS(T_TTAFCallOff[PCS],T_TTAFCallOff[Part Name],$A19,T_TTAFCallOff[WeekIndex],64)</f>
        <v/>
      </c>
      <c r="BN19">
        <f>SUMIFS(T_TTAFCallOff[PCS],T_TTAFCallOff[Part Name],$A19,T_TTAFCallOff[WeekIndex],65)</f>
        <v/>
      </c>
      <c r="BO19">
        <f>SUMIFS(T_TTAFCallOff[PCS],T_TTAFCallOff[Part Name],$A19,T_TTAFCallOff[WeekIndex],66)</f>
        <v/>
      </c>
      <c r="BP19">
        <f>SUMIFS(T_TTAFCallOff[PCS],T_TTAFCallOff[Part Name],$A19,T_TTAFCallOff[WeekIndex],67)</f>
        <v/>
      </c>
      <c r="BQ19">
        <f>SUMIFS(T_TTAFCallOff[PCS],T_TTAFCallOff[Part Name],$A19,T_TTAFCallOff[WeekIndex],68)</f>
        <v/>
      </c>
      <c r="BR19">
        <f>SUMIFS(T_TTAFCallOff[PCS],T_TTAFCallOff[Part Name],$A19,T_TTAFCallOff[WeekIndex],69)</f>
        <v/>
      </c>
      <c r="BS19">
        <f>SUMIFS(T_TTAFCallOff[PCS],T_TTAFCallOff[Part Name],$A19,T_TTAFCallOff[WeekIndex],70)</f>
        <v/>
      </c>
      <c r="BT19">
        <f>SUMIFS(T_TTAFCallOff[PCS],T_TTAFCallOff[Part Name],$A19,T_TTAFCallOff[WeekIndex],71)</f>
        <v/>
      </c>
      <c r="BU19">
        <f>SUMIFS(T_TTAFCallOff[PCS],T_TTAFCallOff[Part Name],$A19,T_TTAFCallOff[WeekIndex],72)</f>
        <v/>
      </c>
      <c r="BV19">
        <f>SUMIFS(T_TTAFCallOff[PCS],T_TTAFCallOff[Part Name],$A19,T_TTAFCallOff[WeekIndex],73)</f>
        <v/>
      </c>
      <c r="BW19">
        <f>SUMIFS(T_TTAFCallOff[PCS],T_TTAFCallOff[Part Name],$A19,T_TTAFCallOff[WeekIndex],74)</f>
        <v/>
      </c>
      <c r="BX19">
        <f>SUMIFS(T_TTAFCallOff[PCS],T_TTAFCallOff[Part Name],$A19,T_TTAFCallOff[WeekIndex],75)</f>
        <v/>
      </c>
      <c r="BY19">
        <f>SUMIFS(T_TTAFCallOff[PCS],T_TTAFCallOff[Part Name],$A19,T_TTAFCallOff[WeekIndex],76)</f>
        <v/>
      </c>
      <c r="BZ19">
        <f>SUMIFS(T_TTAFCallOff[PCS],T_TTAFCallOff[Part Name],$A19,T_TTAFCallOff[WeekIndex],77)</f>
        <v/>
      </c>
      <c r="CA19">
        <f>SUMIFS(T_TTAFCallOff[PCS],T_TTAFCallOff[Part Name],$A19,T_TTAFCallOff[WeekIndex],78)</f>
        <v/>
      </c>
      <c r="CB19">
        <f>SUMIFS(T_TTAFCallOff[PCS],T_TTAFCallOff[Part Name],$A19,T_TTAFCallOff[WeekIndex],79)</f>
        <v/>
      </c>
      <c r="CC19">
        <f>SUMIFS(T_TTAFCallOff[PCS],T_TTAFCallOff[Part Name],$A19,T_TTAFCallOff[WeekIndex],80)</f>
        <v/>
      </c>
      <c r="CD19">
        <f>SUMIFS(T_TTAFCallOff[PCS],T_TTAFCallOff[Part Name],$A19,T_TTAFCallOff[WeekIndex],81)</f>
        <v/>
      </c>
      <c r="CE19">
        <f>SUMIFS(T_TTAFCallOff[PCS],T_TTAFCallOff[Part Name],$A19,T_TTAFCallOff[WeekIndex],82)</f>
        <v/>
      </c>
      <c r="CF19">
        <f>SUMIFS(T_TTAFCallOff[PCS],T_TTAFCallOff[Part Name],$A19,T_TTAFCallOff[WeekIndex],83)</f>
        <v/>
      </c>
      <c r="CG19">
        <f>SUMIFS(T_TTAFCallOff[PCS],T_TTAFCallOff[Part Name],$A19,T_TTAFCallOff[WeekIndex],84)</f>
        <v/>
      </c>
      <c r="CH19">
        <f>SUMIFS(T_TTAFCallOff[PCS],T_TTAFCallOff[Part Name],$A19,T_TTAFCallOff[WeekIndex],85)</f>
        <v/>
      </c>
      <c r="CI19">
        <f>SUMIFS(T_TTAFCallOff[PCS],T_TTAFCallOff[Part Name],$A19,T_TTAFCallOff[WeekIndex],86)</f>
        <v/>
      </c>
      <c r="CJ19">
        <f>SUMIFS(T_TTAFCallOff[PCS],T_TTAFCallOff[Part Name],$A19,T_TTAFCallOff[WeekIndex],87)</f>
        <v/>
      </c>
      <c r="CK19">
        <f>SUMIFS(T_TTAFCallOff[PCS],T_TTAFCallOff[Part Name],$A19,T_TTAFCallOff[WeekIndex],88)</f>
        <v/>
      </c>
      <c r="CL19">
        <f>SUMIFS(T_TTAFCallOff[PCS],T_TTAFCallOff[Part Name],$A19,T_TTAFCallOff[WeekIndex],89)</f>
        <v/>
      </c>
      <c r="CM19">
        <f>SUMIFS(T_TTAFCallOff[PCS],T_TTAFCallOff[Part Name],$A19,T_TTAFCallOff[WeekIndex],90)</f>
        <v/>
      </c>
      <c r="CN19">
        <f>SUMIFS(T_TTAFCallOff[PCS],T_TTAFCallOff[Part Name],$A19,T_TTAFCallOff[WeekIndex],91)</f>
        <v/>
      </c>
      <c r="CO19">
        <f>SUMIFS(T_TTAFCallOff[PCS],T_TTAFCallOff[Part Name],$A19,T_TTAFCallOff[WeekIndex],92)</f>
        <v/>
      </c>
      <c r="CP19">
        <f>SUMIFS(T_TTAFCallOff[PCS],T_TTAFCallOff[Part Name],$A19,T_TTAFCallOff[WeekIndex],93)</f>
        <v/>
      </c>
      <c r="CQ19">
        <f>SUMIFS(T_TTAFCallOff[PCS],T_TTAFCallOff[Part Name],$A19,T_TTAFCallOff[WeekIndex],94)</f>
        <v/>
      </c>
      <c r="CR19">
        <f>SUMIFS(T_TTAFCallOff[PCS],T_TTAFCallOff[Part Name],$A19,T_TTAFCallOff[WeekIndex],95)</f>
        <v/>
      </c>
      <c r="CS19">
        <f>SUMIFS(T_TTAFCallOff[PCS],T_TTAFCallOff[Part Name],$A19,T_TTAFCallOff[WeekIndex],96)</f>
        <v/>
      </c>
      <c r="CT19">
        <f>SUMIFS(T_TTAFCallOff[PCS],T_TTAFCallOff[Part Name],$A19,T_TTAFCallOff[WeekIndex],97)</f>
        <v/>
      </c>
      <c r="CU19">
        <f>SUMIFS(T_TTAFCallOff[PCS],T_TTAFCallOff[Part Name],$A19,T_TTAFCallOff[WeekIndex],98)</f>
        <v/>
      </c>
      <c r="CV19">
        <f>SUMIFS(T_TTAFCallOff[PCS],T_TTAFCallOff[Part Name],$A19,T_TTAFCallOff[WeekIndex],99)</f>
        <v/>
      </c>
      <c r="CW19">
        <f>SUMIFS(T_TTAFCallOff[PCS],T_TTAFCallOff[Part Name],$A19,T_TTAFCallOff[WeekIndex],100)</f>
        <v/>
      </c>
      <c r="CX19">
        <f>SUMIFS(T_TTAFCallOff[PCS],T_TTAFCallOff[Part Name],$A19,T_TTAFCallOff[WeekIndex],101)</f>
        <v/>
      </c>
      <c r="CY19">
        <f>SUMIFS(T_TTAFCallOff[PCS],T_TTAFCallOff[Part Name],$A19,T_TTAFCallOff[WeekIndex],102)</f>
        <v/>
      </c>
      <c r="CZ19">
        <f>SUMIFS(T_TTAFCallOff[PCS],T_TTAFCallOff[Part Name],$A19,T_TTAFCallOff[WeekIndex],103)</f>
        <v/>
      </c>
      <c r="DA19">
        <f>SUMIFS(T_TTAFCallOff[PCS],T_TTAFCallOff[Part Name],$A19,T_TTAFCallOff[WeekIndex],104)</f>
        <v/>
      </c>
    </row>
    <row r="20">
      <c r="A20" t="inlineStr">
        <is>
          <t>CHEM-1280</t>
        </is>
      </c>
      <c r="B20">
        <f>SUMIFS(T_TTAFCallOff[PCS],T_TTAFCallOff[Part Name],$A20,T_TTAFCallOff[WeekIndex],1)</f>
        <v/>
      </c>
      <c r="C20">
        <f>SUMIFS(T_TTAFCallOff[PCS],T_TTAFCallOff[Part Name],$A20,T_TTAFCallOff[WeekIndex],2)</f>
        <v/>
      </c>
      <c r="D20">
        <f>SUMIFS(T_TTAFCallOff[PCS],T_TTAFCallOff[Part Name],$A20,T_TTAFCallOff[WeekIndex],3)</f>
        <v/>
      </c>
      <c r="E20">
        <f>SUMIFS(T_TTAFCallOff[PCS],T_TTAFCallOff[Part Name],$A20,T_TTAFCallOff[WeekIndex],4)</f>
        <v/>
      </c>
      <c r="F20">
        <f>SUMIFS(T_TTAFCallOff[PCS],T_TTAFCallOff[Part Name],$A20,T_TTAFCallOff[WeekIndex],5)</f>
        <v/>
      </c>
      <c r="G20">
        <f>SUMIFS(T_TTAFCallOff[PCS],T_TTAFCallOff[Part Name],$A20,T_TTAFCallOff[WeekIndex],6)</f>
        <v/>
      </c>
      <c r="H20">
        <f>SUMIFS(T_TTAFCallOff[PCS],T_TTAFCallOff[Part Name],$A20,T_TTAFCallOff[WeekIndex],7)</f>
        <v/>
      </c>
      <c r="I20">
        <f>SUMIFS(T_TTAFCallOff[PCS],T_TTAFCallOff[Part Name],$A20,T_TTAFCallOff[WeekIndex],8)</f>
        <v/>
      </c>
      <c r="J20">
        <f>SUMIFS(T_TTAFCallOff[PCS],T_TTAFCallOff[Part Name],$A20,T_TTAFCallOff[WeekIndex],9)</f>
        <v/>
      </c>
      <c r="K20">
        <f>SUMIFS(T_TTAFCallOff[PCS],T_TTAFCallOff[Part Name],$A20,T_TTAFCallOff[WeekIndex],10)</f>
        <v/>
      </c>
      <c r="L20">
        <f>SUMIFS(T_TTAFCallOff[PCS],T_TTAFCallOff[Part Name],$A20,T_TTAFCallOff[WeekIndex],11)</f>
        <v/>
      </c>
      <c r="M20">
        <f>SUMIFS(T_TTAFCallOff[PCS],T_TTAFCallOff[Part Name],$A20,T_TTAFCallOff[WeekIndex],12)</f>
        <v/>
      </c>
      <c r="N20">
        <f>SUMIFS(T_TTAFCallOff[PCS],T_TTAFCallOff[Part Name],$A20,T_TTAFCallOff[WeekIndex],13)</f>
        <v/>
      </c>
      <c r="O20">
        <f>SUMIFS(T_TTAFCallOff[PCS],T_TTAFCallOff[Part Name],$A20,T_TTAFCallOff[WeekIndex],14)</f>
        <v/>
      </c>
      <c r="P20">
        <f>SUMIFS(T_TTAFCallOff[PCS],T_TTAFCallOff[Part Name],$A20,T_TTAFCallOff[WeekIndex],15)</f>
        <v/>
      </c>
      <c r="Q20">
        <f>SUMIFS(T_TTAFCallOff[PCS],T_TTAFCallOff[Part Name],$A20,T_TTAFCallOff[WeekIndex],16)</f>
        <v/>
      </c>
      <c r="R20">
        <f>SUMIFS(T_TTAFCallOff[PCS],T_TTAFCallOff[Part Name],$A20,T_TTAFCallOff[WeekIndex],17)</f>
        <v/>
      </c>
      <c r="S20">
        <f>SUMIFS(T_TTAFCallOff[PCS],T_TTAFCallOff[Part Name],$A20,T_TTAFCallOff[WeekIndex],18)</f>
        <v/>
      </c>
      <c r="T20">
        <f>SUMIFS(T_TTAFCallOff[PCS],T_TTAFCallOff[Part Name],$A20,T_TTAFCallOff[WeekIndex],19)</f>
        <v/>
      </c>
      <c r="U20">
        <f>SUMIFS(T_TTAFCallOff[PCS],T_TTAFCallOff[Part Name],$A20,T_TTAFCallOff[WeekIndex],20)</f>
        <v/>
      </c>
      <c r="V20">
        <f>SUMIFS(T_TTAFCallOff[PCS],T_TTAFCallOff[Part Name],$A20,T_TTAFCallOff[WeekIndex],21)</f>
        <v/>
      </c>
      <c r="W20">
        <f>SUMIFS(T_TTAFCallOff[PCS],T_TTAFCallOff[Part Name],$A20,T_TTAFCallOff[WeekIndex],22)</f>
        <v/>
      </c>
      <c r="X20">
        <f>SUMIFS(T_TTAFCallOff[PCS],T_TTAFCallOff[Part Name],$A20,T_TTAFCallOff[WeekIndex],23)</f>
        <v/>
      </c>
      <c r="Y20">
        <f>SUMIFS(T_TTAFCallOff[PCS],T_TTAFCallOff[Part Name],$A20,T_TTAFCallOff[WeekIndex],24)</f>
        <v/>
      </c>
      <c r="Z20">
        <f>SUMIFS(T_TTAFCallOff[PCS],T_TTAFCallOff[Part Name],$A20,T_TTAFCallOff[WeekIndex],25)</f>
        <v/>
      </c>
      <c r="AA20">
        <f>SUMIFS(T_TTAFCallOff[PCS],T_TTAFCallOff[Part Name],$A20,T_TTAFCallOff[WeekIndex],26)</f>
        <v/>
      </c>
      <c r="AB20">
        <f>SUMIFS(T_TTAFCallOff[PCS],T_TTAFCallOff[Part Name],$A20,T_TTAFCallOff[WeekIndex],27)</f>
        <v/>
      </c>
      <c r="AC20">
        <f>SUMIFS(T_TTAFCallOff[PCS],T_TTAFCallOff[Part Name],$A20,T_TTAFCallOff[WeekIndex],28)</f>
        <v/>
      </c>
      <c r="AD20">
        <f>SUMIFS(T_TTAFCallOff[PCS],T_TTAFCallOff[Part Name],$A20,T_TTAFCallOff[WeekIndex],29)</f>
        <v/>
      </c>
      <c r="AE20">
        <f>SUMIFS(T_TTAFCallOff[PCS],T_TTAFCallOff[Part Name],$A20,T_TTAFCallOff[WeekIndex],30)</f>
        <v/>
      </c>
      <c r="AF20">
        <f>SUMIFS(T_TTAFCallOff[PCS],T_TTAFCallOff[Part Name],$A20,T_TTAFCallOff[WeekIndex],31)</f>
        <v/>
      </c>
      <c r="AG20">
        <f>SUMIFS(T_TTAFCallOff[PCS],T_TTAFCallOff[Part Name],$A20,T_TTAFCallOff[WeekIndex],32)</f>
        <v/>
      </c>
      <c r="AH20">
        <f>SUMIFS(T_TTAFCallOff[PCS],T_TTAFCallOff[Part Name],$A20,T_TTAFCallOff[WeekIndex],33)</f>
        <v/>
      </c>
      <c r="AI20">
        <f>SUMIFS(T_TTAFCallOff[PCS],T_TTAFCallOff[Part Name],$A20,T_TTAFCallOff[WeekIndex],34)</f>
        <v/>
      </c>
      <c r="AJ20">
        <f>SUMIFS(T_TTAFCallOff[PCS],T_TTAFCallOff[Part Name],$A20,T_TTAFCallOff[WeekIndex],35)</f>
        <v/>
      </c>
      <c r="AK20">
        <f>SUMIFS(T_TTAFCallOff[PCS],T_TTAFCallOff[Part Name],$A20,T_TTAFCallOff[WeekIndex],36)</f>
        <v/>
      </c>
      <c r="AL20">
        <f>SUMIFS(T_TTAFCallOff[PCS],T_TTAFCallOff[Part Name],$A20,T_TTAFCallOff[WeekIndex],37)</f>
        <v/>
      </c>
      <c r="AM20">
        <f>SUMIFS(T_TTAFCallOff[PCS],T_TTAFCallOff[Part Name],$A20,T_TTAFCallOff[WeekIndex],38)</f>
        <v/>
      </c>
      <c r="AN20">
        <f>SUMIFS(T_TTAFCallOff[PCS],T_TTAFCallOff[Part Name],$A20,T_TTAFCallOff[WeekIndex],39)</f>
        <v/>
      </c>
      <c r="AO20">
        <f>SUMIFS(T_TTAFCallOff[PCS],T_TTAFCallOff[Part Name],$A20,T_TTAFCallOff[WeekIndex],40)</f>
        <v/>
      </c>
      <c r="AP20">
        <f>SUMIFS(T_TTAFCallOff[PCS],T_TTAFCallOff[Part Name],$A20,T_TTAFCallOff[WeekIndex],41)</f>
        <v/>
      </c>
      <c r="AQ20">
        <f>SUMIFS(T_TTAFCallOff[PCS],T_TTAFCallOff[Part Name],$A20,T_TTAFCallOff[WeekIndex],42)</f>
        <v/>
      </c>
      <c r="AR20">
        <f>SUMIFS(T_TTAFCallOff[PCS],T_TTAFCallOff[Part Name],$A20,T_TTAFCallOff[WeekIndex],43)</f>
        <v/>
      </c>
      <c r="AS20">
        <f>SUMIFS(T_TTAFCallOff[PCS],T_TTAFCallOff[Part Name],$A20,T_TTAFCallOff[WeekIndex],44)</f>
        <v/>
      </c>
      <c r="AT20">
        <f>SUMIFS(T_TTAFCallOff[PCS],T_TTAFCallOff[Part Name],$A20,T_TTAFCallOff[WeekIndex],45)</f>
        <v/>
      </c>
      <c r="AU20">
        <f>SUMIFS(T_TTAFCallOff[PCS],T_TTAFCallOff[Part Name],$A20,T_TTAFCallOff[WeekIndex],46)</f>
        <v/>
      </c>
      <c r="AV20">
        <f>SUMIFS(T_TTAFCallOff[PCS],T_TTAFCallOff[Part Name],$A20,T_TTAFCallOff[WeekIndex],47)</f>
        <v/>
      </c>
      <c r="AW20">
        <f>SUMIFS(T_TTAFCallOff[PCS],T_TTAFCallOff[Part Name],$A20,T_TTAFCallOff[WeekIndex],48)</f>
        <v/>
      </c>
      <c r="AX20">
        <f>SUMIFS(T_TTAFCallOff[PCS],T_TTAFCallOff[Part Name],$A20,T_TTAFCallOff[WeekIndex],49)</f>
        <v/>
      </c>
      <c r="AY20">
        <f>SUMIFS(T_TTAFCallOff[PCS],T_TTAFCallOff[Part Name],$A20,T_TTAFCallOff[WeekIndex],50)</f>
        <v/>
      </c>
      <c r="AZ20">
        <f>SUMIFS(T_TTAFCallOff[PCS],T_TTAFCallOff[Part Name],$A20,T_TTAFCallOff[WeekIndex],51)</f>
        <v/>
      </c>
      <c r="BA20">
        <f>SUMIFS(T_TTAFCallOff[PCS],T_TTAFCallOff[Part Name],$A20,T_TTAFCallOff[WeekIndex],52)</f>
        <v/>
      </c>
      <c r="BB20">
        <f>SUMIFS(T_TTAFCallOff[PCS],T_TTAFCallOff[Part Name],$A20,T_TTAFCallOff[WeekIndex],53)</f>
        <v/>
      </c>
      <c r="BC20">
        <f>SUMIFS(T_TTAFCallOff[PCS],T_TTAFCallOff[Part Name],$A20,T_TTAFCallOff[WeekIndex],54)</f>
        <v/>
      </c>
      <c r="BD20">
        <f>SUMIFS(T_TTAFCallOff[PCS],T_TTAFCallOff[Part Name],$A20,T_TTAFCallOff[WeekIndex],55)</f>
        <v/>
      </c>
      <c r="BE20">
        <f>SUMIFS(T_TTAFCallOff[PCS],T_TTAFCallOff[Part Name],$A20,T_TTAFCallOff[WeekIndex],56)</f>
        <v/>
      </c>
      <c r="BF20">
        <f>SUMIFS(T_TTAFCallOff[PCS],T_TTAFCallOff[Part Name],$A20,T_TTAFCallOff[WeekIndex],57)</f>
        <v/>
      </c>
      <c r="BG20">
        <f>SUMIFS(T_TTAFCallOff[PCS],T_TTAFCallOff[Part Name],$A20,T_TTAFCallOff[WeekIndex],58)</f>
        <v/>
      </c>
      <c r="BH20">
        <f>SUMIFS(T_TTAFCallOff[PCS],T_TTAFCallOff[Part Name],$A20,T_TTAFCallOff[WeekIndex],59)</f>
        <v/>
      </c>
      <c r="BI20">
        <f>SUMIFS(T_TTAFCallOff[PCS],T_TTAFCallOff[Part Name],$A20,T_TTAFCallOff[WeekIndex],60)</f>
        <v/>
      </c>
      <c r="BJ20">
        <f>SUMIFS(T_TTAFCallOff[PCS],T_TTAFCallOff[Part Name],$A20,T_TTAFCallOff[WeekIndex],61)</f>
        <v/>
      </c>
      <c r="BK20">
        <f>SUMIFS(T_TTAFCallOff[PCS],T_TTAFCallOff[Part Name],$A20,T_TTAFCallOff[WeekIndex],62)</f>
        <v/>
      </c>
      <c r="BL20">
        <f>SUMIFS(T_TTAFCallOff[PCS],T_TTAFCallOff[Part Name],$A20,T_TTAFCallOff[WeekIndex],63)</f>
        <v/>
      </c>
      <c r="BM20">
        <f>SUMIFS(T_TTAFCallOff[PCS],T_TTAFCallOff[Part Name],$A20,T_TTAFCallOff[WeekIndex],64)</f>
        <v/>
      </c>
      <c r="BN20">
        <f>SUMIFS(T_TTAFCallOff[PCS],T_TTAFCallOff[Part Name],$A20,T_TTAFCallOff[WeekIndex],65)</f>
        <v/>
      </c>
      <c r="BO20">
        <f>SUMIFS(T_TTAFCallOff[PCS],T_TTAFCallOff[Part Name],$A20,T_TTAFCallOff[WeekIndex],66)</f>
        <v/>
      </c>
      <c r="BP20">
        <f>SUMIFS(T_TTAFCallOff[PCS],T_TTAFCallOff[Part Name],$A20,T_TTAFCallOff[WeekIndex],67)</f>
        <v/>
      </c>
      <c r="BQ20">
        <f>SUMIFS(T_TTAFCallOff[PCS],T_TTAFCallOff[Part Name],$A20,T_TTAFCallOff[WeekIndex],68)</f>
        <v/>
      </c>
      <c r="BR20">
        <f>SUMIFS(T_TTAFCallOff[PCS],T_TTAFCallOff[Part Name],$A20,T_TTAFCallOff[WeekIndex],69)</f>
        <v/>
      </c>
      <c r="BS20">
        <f>SUMIFS(T_TTAFCallOff[PCS],T_TTAFCallOff[Part Name],$A20,T_TTAFCallOff[WeekIndex],70)</f>
        <v/>
      </c>
      <c r="BT20">
        <f>SUMIFS(T_TTAFCallOff[PCS],T_TTAFCallOff[Part Name],$A20,T_TTAFCallOff[WeekIndex],71)</f>
        <v/>
      </c>
      <c r="BU20">
        <f>SUMIFS(T_TTAFCallOff[PCS],T_TTAFCallOff[Part Name],$A20,T_TTAFCallOff[WeekIndex],72)</f>
        <v/>
      </c>
      <c r="BV20">
        <f>SUMIFS(T_TTAFCallOff[PCS],T_TTAFCallOff[Part Name],$A20,T_TTAFCallOff[WeekIndex],73)</f>
        <v/>
      </c>
      <c r="BW20">
        <f>SUMIFS(T_TTAFCallOff[PCS],T_TTAFCallOff[Part Name],$A20,T_TTAFCallOff[WeekIndex],74)</f>
        <v/>
      </c>
      <c r="BX20">
        <f>SUMIFS(T_TTAFCallOff[PCS],T_TTAFCallOff[Part Name],$A20,T_TTAFCallOff[WeekIndex],75)</f>
        <v/>
      </c>
      <c r="BY20">
        <f>SUMIFS(T_TTAFCallOff[PCS],T_TTAFCallOff[Part Name],$A20,T_TTAFCallOff[WeekIndex],76)</f>
        <v/>
      </c>
      <c r="BZ20">
        <f>SUMIFS(T_TTAFCallOff[PCS],T_TTAFCallOff[Part Name],$A20,T_TTAFCallOff[WeekIndex],77)</f>
        <v/>
      </c>
      <c r="CA20">
        <f>SUMIFS(T_TTAFCallOff[PCS],T_TTAFCallOff[Part Name],$A20,T_TTAFCallOff[WeekIndex],78)</f>
        <v/>
      </c>
      <c r="CB20">
        <f>SUMIFS(T_TTAFCallOff[PCS],T_TTAFCallOff[Part Name],$A20,T_TTAFCallOff[WeekIndex],79)</f>
        <v/>
      </c>
      <c r="CC20">
        <f>SUMIFS(T_TTAFCallOff[PCS],T_TTAFCallOff[Part Name],$A20,T_TTAFCallOff[WeekIndex],80)</f>
        <v/>
      </c>
      <c r="CD20">
        <f>SUMIFS(T_TTAFCallOff[PCS],T_TTAFCallOff[Part Name],$A20,T_TTAFCallOff[WeekIndex],81)</f>
        <v/>
      </c>
      <c r="CE20">
        <f>SUMIFS(T_TTAFCallOff[PCS],T_TTAFCallOff[Part Name],$A20,T_TTAFCallOff[WeekIndex],82)</f>
        <v/>
      </c>
      <c r="CF20">
        <f>SUMIFS(T_TTAFCallOff[PCS],T_TTAFCallOff[Part Name],$A20,T_TTAFCallOff[WeekIndex],83)</f>
        <v/>
      </c>
      <c r="CG20">
        <f>SUMIFS(T_TTAFCallOff[PCS],T_TTAFCallOff[Part Name],$A20,T_TTAFCallOff[WeekIndex],84)</f>
        <v/>
      </c>
      <c r="CH20">
        <f>SUMIFS(T_TTAFCallOff[PCS],T_TTAFCallOff[Part Name],$A20,T_TTAFCallOff[WeekIndex],85)</f>
        <v/>
      </c>
      <c r="CI20">
        <f>SUMIFS(T_TTAFCallOff[PCS],T_TTAFCallOff[Part Name],$A20,T_TTAFCallOff[WeekIndex],86)</f>
        <v/>
      </c>
      <c r="CJ20">
        <f>SUMIFS(T_TTAFCallOff[PCS],T_TTAFCallOff[Part Name],$A20,T_TTAFCallOff[WeekIndex],87)</f>
        <v/>
      </c>
      <c r="CK20">
        <f>SUMIFS(T_TTAFCallOff[PCS],T_TTAFCallOff[Part Name],$A20,T_TTAFCallOff[WeekIndex],88)</f>
        <v/>
      </c>
      <c r="CL20">
        <f>SUMIFS(T_TTAFCallOff[PCS],T_TTAFCallOff[Part Name],$A20,T_TTAFCallOff[WeekIndex],89)</f>
        <v/>
      </c>
      <c r="CM20">
        <f>SUMIFS(T_TTAFCallOff[PCS],T_TTAFCallOff[Part Name],$A20,T_TTAFCallOff[WeekIndex],90)</f>
        <v/>
      </c>
      <c r="CN20">
        <f>SUMIFS(T_TTAFCallOff[PCS],T_TTAFCallOff[Part Name],$A20,T_TTAFCallOff[WeekIndex],91)</f>
        <v/>
      </c>
      <c r="CO20">
        <f>SUMIFS(T_TTAFCallOff[PCS],T_TTAFCallOff[Part Name],$A20,T_TTAFCallOff[WeekIndex],92)</f>
        <v/>
      </c>
      <c r="CP20">
        <f>SUMIFS(T_TTAFCallOff[PCS],T_TTAFCallOff[Part Name],$A20,T_TTAFCallOff[WeekIndex],93)</f>
        <v/>
      </c>
      <c r="CQ20">
        <f>SUMIFS(T_TTAFCallOff[PCS],T_TTAFCallOff[Part Name],$A20,T_TTAFCallOff[WeekIndex],94)</f>
        <v/>
      </c>
      <c r="CR20">
        <f>SUMIFS(T_TTAFCallOff[PCS],T_TTAFCallOff[Part Name],$A20,T_TTAFCallOff[WeekIndex],95)</f>
        <v/>
      </c>
      <c r="CS20">
        <f>SUMIFS(T_TTAFCallOff[PCS],T_TTAFCallOff[Part Name],$A20,T_TTAFCallOff[WeekIndex],96)</f>
        <v/>
      </c>
      <c r="CT20">
        <f>SUMIFS(T_TTAFCallOff[PCS],T_TTAFCallOff[Part Name],$A20,T_TTAFCallOff[WeekIndex],97)</f>
        <v/>
      </c>
      <c r="CU20">
        <f>SUMIFS(T_TTAFCallOff[PCS],T_TTAFCallOff[Part Name],$A20,T_TTAFCallOff[WeekIndex],98)</f>
        <v/>
      </c>
      <c r="CV20">
        <f>SUMIFS(T_TTAFCallOff[PCS],T_TTAFCallOff[Part Name],$A20,T_TTAFCallOff[WeekIndex],99)</f>
        <v/>
      </c>
      <c r="CW20">
        <f>SUMIFS(T_TTAFCallOff[PCS],T_TTAFCallOff[Part Name],$A20,T_TTAFCallOff[WeekIndex],100)</f>
        <v/>
      </c>
      <c r="CX20">
        <f>SUMIFS(T_TTAFCallOff[PCS],T_TTAFCallOff[Part Name],$A20,T_TTAFCallOff[WeekIndex],101)</f>
        <v/>
      </c>
      <c r="CY20">
        <f>SUMIFS(T_TTAFCallOff[PCS],T_TTAFCallOff[Part Name],$A20,T_TTAFCallOff[WeekIndex],102)</f>
        <v/>
      </c>
      <c r="CZ20">
        <f>SUMIFS(T_TTAFCallOff[PCS],T_TTAFCallOff[Part Name],$A20,T_TTAFCallOff[WeekIndex],103)</f>
        <v/>
      </c>
      <c r="DA20">
        <f>SUMIFS(T_TTAFCallOff[PCS],T_TTAFCallOff[Part Name],$A20,T_TTAFCallOff[WeekIndex],104)</f>
        <v/>
      </c>
    </row>
    <row r="21">
      <c r="A21" t="inlineStr">
        <is>
          <t>CHEM-1240</t>
        </is>
      </c>
      <c r="B21">
        <f>SUMIFS(T_TTAFCallOff[PCS],T_TTAFCallOff[Part Name],$A21,T_TTAFCallOff[WeekIndex],1)</f>
        <v/>
      </c>
      <c r="C21">
        <f>SUMIFS(T_TTAFCallOff[PCS],T_TTAFCallOff[Part Name],$A21,T_TTAFCallOff[WeekIndex],2)</f>
        <v/>
      </c>
      <c r="D21">
        <f>SUMIFS(T_TTAFCallOff[PCS],T_TTAFCallOff[Part Name],$A21,T_TTAFCallOff[WeekIndex],3)</f>
        <v/>
      </c>
      <c r="E21">
        <f>SUMIFS(T_TTAFCallOff[PCS],T_TTAFCallOff[Part Name],$A21,T_TTAFCallOff[WeekIndex],4)</f>
        <v/>
      </c>
      <c r="F21">
        <f>SUMIFS(T_TTAFCallOff[PCS],T_TTAFCallOff[Part Name],$A21,T_TTAFCallOff[WeekIndex],5)</f>
        <v/>
      </c>
      <c r="G21">
        <f>SUMIFS(T_TTAFCallOff[PCS],T_TTAFCallOff[Part Name],$A21,T_TTAFCallOff[WeekIndex],6)</f>
        <v/>
      </c>
      <c r="H21">
        <f>SUMIFS(T_TTAFCallOff[PCS],T_TTAFCallOff[Part Name],$A21,T_TTAFCallOff[WeekIndex],7)</f>
        <v/>
      </c>
      <c r="I21">
        <f>SUMIFS(T_TTAFCallOff[PCS],T_TTAFCallOff[Part Name],$A21,T_TTAFCallOff[WeekIndex],8)</f>
        <v/>
      </c>
      <c r="J21">
        <f>SUMIFS(T_TTAFCallOff[PCS],T_TTAFCallOff[Part Name],$A21,T_TTAFCallOff[WeekIndex],9)</f>
        <v/>
      </c>
      <c r="K21">
        <f>SUMIFS(T_TTAFCallOff[PCS],T_TTAFCallOff[Part Name],$A21,T_TTAFCallOff[WeekIndex],10)</f>
        <v/>
      </c>
      <c r="L21">
        <f>SUMIFS(T_TTAFCallOff[PCS],T_TTAFCallOff[Part Name],$A21,T_TTAFCallOff[WeekIndex],11)</f>
        <v/>
      </c>
      <c r="M21">
        <f>SUMIFS(T_TTAFCallOff[PCS],T_TTAFCallOff[Part Name],$A21,T_TTAFCallOff[WeekIndex],12)</f>
        <v/>
      </c>
      <c r="N21">
        <f>SUMIFS(T_TTAFCallOff[PCS],T_TTAFCallOff[Part Name],$A21,T_TTAFCallOff[WeekIndex],13)</f>
        <v/>
      </c>
      <c r="O21">
        <f>SUMIFS(T_TTAFCallOff[PCS],T_TTAFCallOff[Part Name],$A21,T_TTAFCallOff[WeekIndex],14)</f>
        <v/>
      </c>
      <c r="P21">
        <f>SUMIFS(T_TTAFCallOff[PCS],T_TTAFCallOff[Part Name],$A21,T_TTAFCallOff[WeekIndex],15)</f>
        <v/>
      </c>
      <c r="Q21">
        <f>SUMIFS(T_TTAFCallOff[PCS],T_TTAFCallOff[Part Name],$A21,T_TTAFCallOff[WeekIndex],16)</f>
        <v/>
      </c>
      <c r="R21">
        <f>SUMIFS(T_TTAFCallOff[PCS],T_TTAFCallOff[Part Name],$A21,T_TTAFCallOff[WeekIndex],17)</f>
        <v/>
      </c>
      <c r="S21">
        <f>SUMIFS(T_TTAFCallOff[PCS],T_TTAFCallOff[Part Name],$A21,T_TTAFCallOff[WeekIndex],18)</f>
        <v/>
      </c>
      <c r="T21">
        <f>SUMIFS(T_TTAFCallOff[PCS],T_TTAFCallOff[Part Name],$A21,T_TTAFCallOff[WeekIndex],19)</f>
        <v/>
      </c>
      <c r="U21">
        <f>SUMIFS(T_TTAFCallOff[PCS],T_TTAFCallOff[Part Name],$A21,T_TTAFCallOff[WeekIndex],20)</f>
        <v/>
      </c>
      <c r="V21">
        <f>SUMIFS(T_TTAFCallOff[PCS],T_TTAFCallOff[Part Name],$A21,T_TTAFCallOff[WeekIndex],21)</f>
        <v/>
      </c>
      <c r="W21">
        <f>SUMIFS(T_TTAFCallOff[PCS],T_TTAFCallOff[Part Name],$A21,T_TTAFCallOff[WeekIndex],22)</f>
        <v/>
      </c>
      <c r="X21">
        <f>SUMIFS(T_TTAFCallOff[PCS],T_TTAFCallOff[Part Name],$A21,T_TTAFCallOff[WeekIndex],23)</f>
        <v/>
      </c>
      <c r="Y21">
        <f>SUMIFS(T_TTAFCallOff[PCS],T_TTAFCallOff[Part Name],$A21,T_TTAFCallOff[WeekIndex],24)</f>
        <v/>
      </c>
      <c r="Z21">
        <f>SUMIFS(T_TTAFCallOff[PCS],T_TTAFCallOff[Part Name],$A21,T_TTAFCallOff[WeekIndex],25)</f>
        <v/>
      </c>
      <c r="AA21">
        <f>SUMIFS(T_TTAFCallOff[PCS],T_TTAFCallOff[Part Name],$A21,T_TTAFCallOff[WeekIndex],26)</f>
        <v/>
      </c>
      <c r="AB21">
        <f>SUMIFS(T_TTAFCallOff[PCS],T_TTAFCallOff[Part Name],$A21,T_TTAFCallOff[WeekIndex],27)</f>
        <v/>
      </c>
      <c r="AC21">
        <f>SUMIFS(T_TTAFCallOff[PCS],T_TTAFCallOff[Part Name],$A21,T_TTAFCallOff[WeekIndex],28)</f>
        <v/>
      </c>
      <c r="AD21">
        <f>SUMIFS(T_TTAFCallOff[PCS],T_TTAFCallOff[Part Name],$A21,T_TTAFCallOff[WeekIndex],29)</f>
        <v/>
      </c>
      <c r="AE21">
        <f>SUMIFS(T_TTAFCallOff[PCS],T_TTAFCallOff[Part Name],$A21,T_TTAFCallOff[WeekIndex],30)</f>
        <v/>
      </c>
      <c r="AF21">
        <f>SUMIFS(T_TTAFCallOff[PCS],T_TTAFCallOff[Part Name],$A21,T_TTAFCallOff[WeekIndex],31)</f>
        <v/>
      </c>
      <c r="AG21">
        <f>SUMIFS(T_TTAFCallOff[PCS],T_TTAFCallOff[Part Name],$A21,T_TTAFCallOff[WeekIndex],32)</f>
        <v/>
      </c>
      <c r="AH21">
        <f>SUMIFS(T_TTAFCallOff[PCS],T_TTAFCallOff[Part Name],$A21,T_TTAFCallOff[WeekIndex],33)</f>
        <v/>
      </c>
      <c r="AI21">
        <f>SUMIFS(T_TTAFCallOff[PCS],T_TTAFCallOff[Part Name],$A21,T_TTAFCallOff[WeekIndex],34)</f>
        <v/>
      </c>
      <c r="AJ21">
        <f>SUMIFS(T_TTAFCallOff[PCS],T_TTAFCallOff[Part Name],$A21,T_TTAFCallOff[WeekIndex],35)</f>
        <v/>
      </c>
      <c r="AK21">
        <f>SUMIFS(T_TTAFCallOff[PCS],T_TTAFCallOff[Part Name],$A21,T_TTAFCallOff[WeekIndex],36)</f>
        <v/>
      </c>
      <c r="AL21">
        <f>SUMIFS(T_TTAFCallOff[PCS],T_TTAFCallOff[Part Name],$A21,T_TTAFCallOff[WeekIndex],37)</f>
        <v/>
      </c>
      <c r="AM21">
        <f>SUMIFS(T_TTAFCallOff[PCS],T_TTAFCallOff[Part Name],$A21,T_TTAFCallOff[WeekIndex],38)</f>
        <v/>
      </c>
      <c r="AN21">
        <f>SUMIFS(T_TTAFCallOff[PCS],T_TTAFCallOff[Part Name],$A21,T_TTAFCallOff[WeekIndex],39)</f>
        <v/>
      </c>
      <c r="AO21">
        <f>SUMIFS(T_TTAFCallOff[PCS],T_TTAFCallOff[Part Name],$A21,T_TTAFCallOff[WeekIndex],40)</f>
        <v/>
      </c>
      <c r="AP21">
        <f>SUMIFS(T_TTAFCallOff[PCS],T_TTAFCallOff[Part Name],$A21,T_TTAFCallOff[WeekIndex],41)</f>
        <v/>
      </c>
      <c r="AQ21">
        <f>SUMIFS(T_TTAFCallOff[PCS],T_TTAFCallOff[Part Name],$A21,T_TTAFCallOff[WeekIndex],42)</f>
        <v/>
      </c>
      <c r="AR21">
        <f>SUMIFS(T_TTAFCallOff[PCS],T_TTAFCallOff[Part Name],$A21,T_TTAFCallOff[WeekIndex],43)</f>
        <v/>
      </c>
      <c r="AS21">
        <f>SUMIFS(T_TTAFCallOff[PCS],T_TTAFCallOff[Part Name],$A21,T_TTAFCallOff[WeekIndex],44)</f>
        <v/>
      </c>
      <c r="AT21">
        <f>SUMIFS(T_TTAFCallOff[PCS],T_TTAFCallOff[Part Name],$A21,T_TTAFCallOff[WeekIndex],45)</f>
        <v/>
      </c>
      <c r="AU21">
        <f>SUMIFS(T_TTAFCallOff[PCS],T_TTAFCallOff[Part Name],$A21,T_TTAFCallOff[WeekIndex],46)</f>
        <v/>
      </c>
      <c r="AV21">
        <f>SUMIFS(T_TTAFCallOff[PCS],T_TTAFCallOff[Part Name],$A21,T_TTAFCallOff[WeekIndex],47)</f>
        <v/>
      </c>
      <c r="AW21">
        <f>SUMIFS(T_TTAFCallOff[PCS],T_TTAFCallOff[Part Name],$A21,T_TTAFCallOff[WeekIndex],48)</f>
        <v/>
      </c>
      <c r="AX21">
        <f>SUMIFS(T_TTAFCallOff[PCS],T_TTAFCallOff[Part Name],$A21,T_TTAFCallOff[WeekIndex],49)</f>
        <v/>
      </c>
      <c r="AY21">
        <f>SUMIFS(T_TTAFCallOff[PCS],T_TTAFCallOff[Part Name],$A21,T_TTAFCallOff[WeekIndex],50)</f>
        <v/>
      </c>
      <c r="AZ21">
        <f>SUMIFS(T_TTAFCallOff[PCS],T_TTAFCallOff[Part Name],$A21,T_TTAFCallOff[WeekIndex],51)</f>
        <v/>
      </c>
      <c r="BA21">
        <f>SUMIFS(T_TTAFCallOff[PCS],T_TTAFCallOff[Part Name],$A21,T_TTAFCallOff[WeekIndex],52)</f>
        <v/>
      </c>
      <c r="BB21">
        <f>SUMIFS(T_TTAFCallOff[PCS],T_TTAFCallOff[Part Name],$A21,T_TTAFCallOff[WeekIndex],53)</f>
        <v/>
      </c>
      <c r="BC21">
        <f>SUMIFS(T_TTAFCallOff[PCS],T_TTAFCallOff[Part Name],$A21,T_TTAFCallOff[WeekIndex],54)</f>
        <v/>
      </c>
      <c r="BD21">
        <f>SUMIFS(T_TTAFCallOff[PCS],T_TTAFCallOff[Part Name],$A21,T_TTAFCallOff[WeekIndex],55)</f>
        <v/>
      </c>
      <c r="BE21">
        <f>SUMIFS(T_TTAFCallOff[PCS],T_TTAFCallOff[Part Name],$A21,T_TTAFCallOff[WeekIndex],56)</f>
        <v/>
      </c>
      <c r="BF21">
        <f>SUMIFS(T_TTAFCallOff[PCS],T_TTAFCallOff[Part Name],$A21,T_TTAFCallOff[WeekIndex],57)</f>
        <v/>
      </c>
      <c r="BG21">
        <f>SUMIFS(T_TTAFCallOff[PCS],T_TTAFCallOff[Part Name],$A21,T_TTAFCallOff[WeekIndex],58)</f>
        <v/>
      </c>
      <c r="BH21">
        <f>SUMIFS(T_TTAFCallOff[PCS],T_TTAFCallOff[Part Name],$A21,T_TTAFCallOff[WeekIndex],59)</f>
        <v/>
      </c>
      <c r="BI21">
        <f>SUMIFS(T_TTAFCallOff[PCS],T_TTAFCallOff[Part Name],$A21,T_TTAFCallOff[WeekIndex],60)</f>
        <v/>
      </c>
      <c r="BJ21">
        <f>SUMIFS(T_TTAFCallOff[PCS],T_TTAFCallOff[Part Name],$A21,T_TTAFCallOff[WeekIndex],61)</f>
        <v/>
      </c>
      <c r="BK21">
        <f>SUMIFS(T_TTAFCallOff[PCS],T_TTAFCallOff[Part Name],$A21,T_TTAFCallOff[WeekIndex],62)</f>
        <v/>
      </c>
      <c r="BL21">
        <f>SUMIFS(T_TTAFCallOff[PCS],T_TTAFCallOff[Part Name],$A21,T_TTAFCallOff[WeekIndex],63)</f>
        <v/>
      </c>
      <c r="BM21">
        <f>SUMIFS(T_TTAFCallOff[PCS],T_TTAFCallOff[Part Name],$A21,T_TTAFCallOff[WeekIndex],64)</f>
        <v/>
      </c>
      <c r="BN21">
        <f>SUMIFS(T_TTAFCallOff[PCS],T_TTAFCallOff[Part Name],$A21,T_TTAFCallOff[WeekIndex],65)</f>
        <v/>
      </c>
      <c r="BO21">
        <f>SUMIFS(T_TTAFCallOff[PCS],T_TTAFCallOff[Part Name],$A21,T_TTAFCallOff[WeekIndex],66)</f>
        <v/>
      </c>
      <c r="BP21">
        <f>SUMIFS(T_TTAFCallOff[PCS],T_TTAFCallOff[Part Name],$A21,T_TTAFCallOff[WeekIndex],67)</f>
        <v/>
      </c>
      <c r="BQ21">
        <f>SUMIFS(T_TTAFCallOff[PCS],T_TTAFCallOff[Part Name],$A21,T_TTAFCallOff[WeekIndex],68)</f>
        <v/>
      </c>
      <c r="BR21">
        <f>SUMIFS(T_TTAFCallOff[PCS],T_TTAFCallOff[Part Name],$A21,T_TTAFCallOff[WeekIndex],69)</f>
        <v/>
      </c>
      <c r="BS21">
        <f>SUMIFS(T_TTAFCallOff[PCS],T_TTAFCallOff[Part Name],$A21,T_TTAFCallOff[WeekIndex],70)</f>
        <v/>
      </c>
      <c r="BT21">
        <f>SUMIFS(T_TTAFCallOff[PCS],T_TTAFCallOff[Part Name],$A21,T_TTAFCallOff[WeekIndex],71)</f>
        <v/>
      </c>
      <c r="BU21">
        <f>SUMIFS(T_TTAFCallOff[PCS],T_TTAFCallOff[Part Name],$A21,T_TTAFCallOff[WeekIndex],72)</f>
        <v/>
      </c>
      <c r="BV21">
        <f>SUMIFS(T_TTAFCallOff[PCS],T_TTAFCallOff[Part Name],$A21,T_TTAFCallOff[WeekIndex],73)</f>
        <v/>
      </c>
      <c r="BW21">
        <f>SUMIFS(T_TTAFCallOff[PCS],T_TTAFCallOff[Part Name],$A21,T_TTAFCallOff[WeekIndex],74)</f>
        <v/>
      </c>
      <c r="BX21">
        <f>SUMIFS(T_TTAFCallOff[PCS],T_TTAFCallOff[Part Name],$A21,T_TTAFCallOff[WeekIndex],75)</f>
        <v/>
      </c>
      <c r="BY21">
        <f>SUMIFS(T_TTAFCallOff[PCS],T_TTAFCallOff[Part Name],$A21,T_TTAFCallOff[WeekIndex],76)</f>
        <v/>
      </c>
      <c r="BZ21">
        <f>SUMIFS(T_TTAFCallOff[PCS],T_TTAFCallOff[Part Name],$A21,T_TTAFCallOff[WeekIndex],77)</f>
        <v/>
      </c>
      <c r="CA21">
        <f>SUMIFS(T_TTAFCallOff[PCS],T_TTAFCallOff[Part Name],$A21,T_TTAFCallOff[WeekIndex],78)</f>
        <v/>
      </c>
      <c r="CB21">
        <f>SUMIFS(T_TTAFCallOff[PCS],T_TTAFCallOff[Part Name],$A21,T_TTAFCallOff[WeekIndex],79)</f>
        <v/>
      </c>
      <c r="CC21">
        <f>SUMIFS(T_TTAFCallOff[PCS],T_TTAFCallOff[Part Name],$A21,T_TTAFCallOff[WeekIndex],80)</f>
        <v/>
      </c>
      <c r="CD21">
        <f>SUMIFS(T_TTAFCallOff[PCS],T_TTAFCallOff[Part Name],$A21,T_TTAFCallOff[WeekIndex],81)</f>
        <v/>
      </c>
      <c r="CE21">
        <f>SUMIFS(T_TTAFCallOff[PCS],T_TTAFCallOff[Part Name],$A21,T_TTAFCallOff[WeekIndex],82)</f>
        <v/>
      </c>
      <c r="CF21">
        <f>SUMIFS(T_TTAFCallOff[PCS],T_TTAFCallOff[Part Name],$A21,T_TTAFCallOff[WeekIndex],83)</f>
        <v/>
      </c>
      <c r="CG21">
        <f>SUMIFS(T_TTAFCallOff[PCS],T_TTAFCallOff[Part Name],$A21,T_TTAFCallOff[WeekIndex],84)</f>
        <v/>
      </c>
      <c r="CH21">
        <f>SUMIFS(T_TTAFCallOff[PCS],T_TTAFCallOff[Part Name],$A21,T_TTAFCallOff[WeekIndex],85)</f>
        <v/>
      </c>
      <c r="CI21">
        <f>SUMIFS(T_TTAFCallOff[PCS],T_TTAFCallOff[Part Name],$A21,T_TTAFCallOff[WeekIndex],86)</f>
        <v/>
      </c>
      <c r="CJ21">
        <f>SUMIFS(T_TTAFCallOff[PCS],T_TTAFCallOff[Part Name],$A21,T_TTAFCallOff[WeekIndex],87)</f>
        <v/>
      </c>
      <c r="CK21">
        <f>SUMIFS(T_TTAFCallOff[PCS],T_TTAFCallOff[Part Name],$A21,T_TTAFCallOff[WeekIndex],88)</f>
        <v/>
      </c>
      <c r="CL21">
        <f>SUMIFS(T_TTAFCallOff[PCS],T_TTAFCallOff[Part Name],$A21,T_TTAFCallOff[WeekIndex],89)</f>
        <v/>
      </c>
      <c r="CM21">
        <f>SUMIFS(T_TTAFCallOff[PCS],T_TTAFCallOff[Part Name],$A21,T_TTAFCallOff[WeekIndex],90)</f>
        <v/>
      </c>
      <c r="CN21">
        <f>SUMIFS(T_TTAFCallOff[PCS],T_TTAFCallOff[Part Name],$A21,T_TTAFCallOff[WeekIndex],91)</f>
        <v/>
      </c>
      <c r="CO21">
        <f>SUMIFS(T_TTAFCallOff[PCS],T_TTAFCallOff[Part Name],$A21,T_TTAFCallOff[WeekIndex],92)</f>
        <v/>
      </c>
      <c r="CP21">
        <f>SUMIFS(T_TTAFCallOff[PCS],T_TTAFCallOff[Part Name],$A21,T_TTAFCallOff[WeekIndex],93)</f>
        <v/>
      </c>
      <c r="CQ21">
        <f>SUMIFS(T_TTAFCallOff[PCS],T_TTAFCallOff[Part Name],$A21,T_TTAFCallOff[WeekIndex],94)</f>
        <v/>
      </c>
      <c r="CR21">
        <f>SUMIFS(T_TTAFCallOff[PCS],T_TTAFCallOff[Part Name],$A21,T_TTAFCallOff[WeekIndex],95)</f>
        <v/>
      </c>
      <c r="CS21">
        <f>SUMIFS(T_TTAFCallOff[PCS],T_TTAFCallOff[Part Name],$A21,T_TTAFCallOff[WeekIndex],96)</f>
        <v/>
      </c>
      <c r="CT21">
        <f>SUMIFS(T_TTAFCallOff[PCS],T_TTAFCallOff[Part Name],$A21,T_TTAFCallOff[WeekIndex],97)</f>
        <v/>
      </c>
      <c r="CU21">
        <f>SUMIFS(T_TTAFCallOff[PCS],T_TTAFCallOff[Part Name],$A21,T_TTAFCallOff[WeekIndex],98)</f>
        <v/>
      </c>
      <c r="CV21">
        <f>SUMIFS(T_TTAFCallOff[PCS],T_TTAFCallOff[Part Name],$A21,T_TTAFCallOff[WeekIndex],99)</f>
        <v/>
      </c>
      <c r="CW21">
        <f>SUMIFS(T_TTAFCallOff[PCS],T_TTAFCallOff[Part Name],$A21,T_TTAFCallOff[WeekIndex],100)</f>
        <v/>
      </c>
      <c r="CX21">
        <f>SUMIFS(T_TTAFCallOff[PCS],T_TTAFCallOff[Part Name],$A21,T_TTAFCallOff[WeekIndex],101)</f>
        <v/>
      </c>
      <c r="CY21">
        <f>SUMIFS(T_TTAFCallOff[PCS],T_TTAFCallOff[Part Name],$A21,T_TTAFCallOff[WeekIndex],102)</f>
        <v/>
      </c>
      <c r="CZ21">
        <f>SUMIFS(T_TTAFCallOff[PCS],T_TTAFCallOff[Part Name],$A21,T_TTAFCallOff[WeekIndex],103)</f>
        <v/>
      </c>
      <c r="DA21">
        <f>SUMIFS(T_TTAFCallOff[PCS],T_TTAFCallOff[Part Name],$A21,T_TTAFCallOff[WeekIndex],104)</f>
        <v/>
      </c>
    </row>
    <row r="22">
      <c r="A22" t="inlineStr">
        <is>
          <t>0JN</t>
        </is>
      </c>
      <c r="B22">
        <f>SUMIFS(T_TTAFCallOff[PCS],T_TTAFCallOff[Part Name],$A22,T_TTAFCallOff[WeekIndex],1)</f>
        <v/>
      </c>
      <c r="C22">
        <f>SUMIFS(T_TTAFCallOff[PCS],T_TTAFCallOff[Part Name],$A22,T_TTAFCallOff[WeekIndex],2)</f>
        <v/>
      </c>
      <c r="D22">
        <f>SUMIFS(T_TTAFCallOff[PCS],T_TTAFCallOff[Part Name],$A22,T_TTAFCallOff[WeekIndex],3)</f>
        <v/>
      </c>
      <c r="E22">
        <f>SUMIFS(T_TTAFCallOff[PCS],T_TTAFCallOff[Part Name],$A22,T_TTAFCallOff[WeekIndex],4)</f>
        <v/>
      </c>
      <c r="F22">
        <f>SUMIFS(T_TTAFCallOff[PCS],T_TTAFCallOff[Part Name],$A22,T_TTAFCallOff[WeekIndex],5)</f>
        <v/>
      </c>
      <c r="G22">
        <f>SUMIFS(T_TTAFCallOff[PCS],T_TTAFCallOff[Part Name],$A22,T_TTAFCallOff[WeekIndex],6)</f>
        <v/>
      </c>
      <c r="H22">
        <f>SUMIFS(T_TTAFCallOff[PCS],T_TTAFCallOff[Part Name],$A22,T_TTAFCallOff[WeekIndex],7)</f>
        <v/>
      </c>
      <c r="I22">
        <f>SUMIFS(T_TTAFCallOff[PCS],T_TTAFCallOff[Part Name],$A22,T_TTAFCallOff[WeekIndex],8)</f>
        <v/>
      </c>
      <c r="J22">
        <f>SUMIFS(T_TTAFCallOff[PCS],T_TTAFCallOff[Part Name],$A22,T_TTAFCallOff[WeekIndex],9)</f>
        <v/>
      </c>
      <c r="K22">
        <f>SUMIFS(T_TTAFCallOff[PCS],T_TTAFCallOff[Part Name],$A22,T_TTAFCallOff[WeekIndex],10)</f>
        <v/>
      </c>
      <c r="L22">
        <f>SUMIFS(T_TTAFCallOff[PCS],T_TTAFCallOff[Part Name],$A22,T_TTAFCallOff[WeekIndex],11)</f>
        <v/>
      </c>
      <c r="M22">
        <f>SUMIFS(T_TTAFCallOff[PCS],T_TTAFCallOff[Part Name],$A22,T_TTAFCallOff[WeekIndex],12)</f>
        <v/>
      </c>
      <c r="N22">
        <f>SUMIFS(T_TTAFCallOff[PCS],T_TTAFCallOff[Part Name],$A22,T_TTAFCallOff[WeekIndex],13)</f>
        <v/>
      </c>
      <c r="O22">
        <f>SUMIFS(T_TTAFCallOff[PCS],T_TTAFCallOff[Part Name],$A22,T_TTAFCallOff[WeekIndex],14)</f>
        <v/>
      </c>
      <c r="P22">
        <f>SUMIFS(T_TTAFCallOff[PCS],T_TTAFCallOff[Part Name],$A22,T_TTAFCallOff[WeekIndex],15)</f>
        <v/>
      </c>
      <c r="Q22">
        <f>SUMIFS(T_TTAFCallOff[PCS],T_TTAFCallOff[Part Name],$A22,T_TTAFCallOff[WeekIndex],16)</f>
        <v/>
      </c>
      <c r="R22">
        <f>SUMIFS(T_TTAFCallOff[PCS],T_TTAFCallOff[Part Name],$A22,T_TTAFCallOff[WeekIndex],17)</f>
        <v/>
      </c>
      <c r="S22">
        <f>SUMIFS(T_TTAFCallOff[PCS],T_TTAFCallOff[Part Name],$A22,T_TTAFCallOff[WeekIndex],18)</f>
        <v/>
      </c>
      <c r="T22">
        <f>SUMIFS(T_TTAFCallOff[PCS],T_TTAFCallOff[Part Name],$A22,T_TTAFCallOff[WeekIndex],19)</f>
        <v/>
      </c>
      <c r="U22">
        <f>SUMIFS(T_TTAFCallOff[PCS],T_TTAFCallOff[Part Name],$A22,T_TTAFCallOff[WeekIndex],20)</f>
        <v/>
      </c>
      <c r="V22">
        <f>SUMIFS(T_TTAFCallOff[PCS],T_TTAFCallOff[Part Name],$A22,T_TTAFCallOff[WeekIndex],21)</f>
        <v/>
      </c>
      <c r="W22">
        <f>SUMIFS(T_TTAFCallOff[PCS],T_TTAFCallOff[Part Name],$A22,T_TTAFCallOff[WeekIndex],22)</f>
        <v/>
      </c>
      <c r="X22">
        <f>SUMIFS(T_TTAFCallOff[PCS],T_TTAFCallOff[Part Name],$A22,T_TTAFCallOff[WeekIndex],23)</f>
        <v/>
      </c>
      <c r="Y22">
        <f>SUMIFS(T_TTAFCallOff[PCS],T_TTAFCallOff[Part Name],$A22,T_TTAFCallOff[WeekIndex],24)</f>
        <v/>
      </c>
      <c r="Z22">
        <f>SUMIFS(T_TTAFCallOff[PCS],T_TTAFCallOff[Part Name],$A22,T_TTAFCallOff[WeekIndex],25)</f>
        <v/>
      </c>
      <c r="AA22">
        <f>SUMIFS(T_TTAFCallOff[PCS],T_TTAFCallOff[Part Name],$A22,T_TTAFCallOff[WeekIndex],26)</f>
        <v/>
      </c>
      <c r="AB22">
        <f>SUMIFS(T_TTAFCallOff[PCS],T_TTAFCallOff[Part Name],$A22,T_TTAFCallOff[WeekIndex],27)</f>
        <v/>
      </c>
      <c r="AC22">
        <f>SUMIFS(T_TTAFCallOff[PCS],T_TTAFCallOff[Part Name],$A22,T_TTAFCallOff[WeekIndex],28)</f>
        <v/>
      </c>
      <c r="AD22">
        <f>SUMIFS(T_TTAFCallOff[PCS],T_TTAFCallOff[Part Name],$A22,T_TTAFCallOff[WeekIndex],29)</f>
        <v/>
      </c>
      <c r="AE22">
        <f>SUMIFS(T_TTAFCallOff[PCS],T_TTAFCallOff[Part Name],$A22,T_TTAFCallOff[WeekIndex],30)</f>
        <v/>
      </c>
      <c r="AF22">
        <f>SUMIFS(T_TTAFCallOff[PCS],T_TTAFCallOff[Part Name],$A22,T_TTAFCallOff[WeekIndex],31)</f>
        <v/>
      </c>
      <c r="AG22">
        <f>SUMIFS(T_TTAFCallOff[PCS],T_TTAFCallOff[Part Name],$A22,T_TTAFCallOff[WeekIndex],32)</f>
        <v/>
      </c>
      <c r="AH22">
        <f>SUMIFS(T_TTAFCallOff[PCS],T_TTAFCallOff[Part Name],$A22,T_TTAFCallOff[WeekIndex],33)</f>
        <v/>
      </c>
      <c r="AI22">
        <f>SUMIFS(T_TTAFCallOff[PCS],T_TTAFCallOff[Part Name],$A22,T_TTAFCallOff[WeekIndex],34)</f>
        <v/>
      </c>
      <c r="AJ22">
        <f>SUMIFS(T_TTAFCallOff[PCS],T_TTAFCallOff[Part Name],$A22,T_TTAFCallOff[WeekIndex],35)</f>
        <v/>
      </c>
      <c r="AK22">
        <f>SUMIFS(T_TTAFCallOff[PCS],T_TTAFCallOff[Part Name],$A22,T_TTAFCallOff[WeekIndex],36)</f>
        <v/>
      </c>
      <c r="AL22">
        <f>SUMIFS(T_TTAFCallOff[PCS],T_TTAFCallOff[Part Name],$A22,T_TTAFCallOff[WeekIndex],37)</f>
        <v/>
      </c>
      <c r="AM22">
        <f>SUMIFS(T_TTAFCallOff[PCS],T_TTAFCallOff[Part Name],$A22,T_TTAFCallOff[WeekIndex],38)</f>
        <v/>
      </c>
      <c r="AN22">
        <f>SUMIFS(T_TTAFCallOff[PCS],T_TTAFCallOff[Part Name],$A22,T_TTAFCallOff[WeekIndex],39)</f>
        <v/>
      </c>
      <c r="AO22">
        <f>SUMIFS(T_TTAFCallOff[PCS],T_TTAFCallOff[Part Name],$A22,T_TTAFCallOff[WeekIndex],40)</f>
        <v/>
      </c>
      <c r="AP22">
        <f>SUMIFS(T_TTAFCallOff[PCS],T_TTAFCallOff[Part Name],$A22,T_TTAFCallOff[WeekIndex],41)</f>
        <v/>
      </c>
      <c r="AQ22">
        <f>SUMIFS(T_TTAFCallOff[PCS],T_TTAFCallOff[Part Name],$A22,T_TTAFCallOff[WeekIndex],42)</f>
        <v/>
      </c>
      <c r="AR22">
        <f>SUMIFS(T_TTAFCallOff[PCS],T_TTAFCallOff[Part Name],$A22,T_TTAFCallOff[WeekIndex],43)</f>
        <v/>
      </c>
      <c r="AS22">
        <f>SUMIFS(T_TTAFCallOff[PCS],T_TTAFCallOff[Part Name],$A22,T_TTAFCallOff[WeekIndex],44)</f>
        <v/>
      </c>
      <c r="AT22">
        <f>SUMIFS(T_TTAFCallOff[PCS],T_TTAFCallOff[Part Name],$A22,T_TTAFCallOff[WeekIndex],45)</f>
        <v/>
      </c>
      <c r="AU22">
        <f>SUMIFS(T_TTAFCallOff[PCS],T_TTAFCallOff[Part Name],$A22,T_TTAFCallOff[WeekIndex],46)</f>
        <v/>
      </c>
      <c r="AV22">
        <f>SUMIFS(T_TTAFCallOff[PCS],T_TTAFCallOff[Part Name],$A22,T_TTAFCallOff[WeekIndex],47)</f>
        <v/>
      </c>
      <c r="AW22">
        <f>SUMIFS(T_TTAFCallOff[PCS],T_TTAFCallOff[Part Name],$A22,T_TTAFCallOff[WeekIndex],48)</f>
        <v/>
      </c>
      <c r="AX22">
        <f>SUMIFS(T_TTAFCallOff[PCS],T_TTAFCallOff[Part Name],$A22,T_TTAFCallOff[WeekIndex],49)</f>
        <v/>
      </c>
      <c r="AY22">
        <f>SUMIFS(T_TTAFCallOff[PCS],T_TTAFCallOff[Part Name],$A22,T_TTAFCallOff[WeekIndex],50)</f>
        <v/>
      </c>
      <c r="AZ22">
        <f>SUMIFS(T_TTAFCallOff[PCS],T_TTAFCallOff[Part Name],$A22,T_TTAFCallOff[WeekIndex],51)</f>
        <v/>
      </c>
      <c r="BA22">
        <f>SUMIFS(T_TTAFCallOff[PCS],T_TTAFCallOff[Part Name],$A22,T_TTAFCallOff[WeekIndex],52)</f>
        <v/>
      </c>
      <c r="BB22">
        <f>SUMIFS(T_TTAFCallOff[PCS],T_TTAFCallOff[Part Name],$A22,T_TTAFCallOff[WeekIndex],53)</f>
        <v/>
      </c>
      <c r="BC22">
        <f>SUMIFS(T_TTAFCallOff[PCS],T_TTAFCallOff[Part Name],$A22,T_TTAFCallOff[WeekIndex],54)</f>
        <v/>
      </c>
      <c r="BD22">
        <f>SUMIFS(T_TTAFCallOff[PCS],T_TTAFCallOff[Part Name],$A22,T_TTAFCallOff[WeekIndex],55)</f>
        <v/>
      </c>
      <c r="BE22">
        <f>SUMIFS(T_TTAFCallOff[PCS],T_TTAFCallOff[Part Name],$A22,T_TTAFCallOff[WeekIndex],56)</f>
        <v/>
      </c>
      <c r="BF22">
        <f>SUMIFS(T_TTAFCallOff[PCS],T_TTAFCallOff[Part Name],$A22,T_TTAFCallOff[WeekIndex],57)</f>
        <v/>
      </c>
      <c r="BG22">
        <f>SUMIFS(T_TTAFCallOff[PCS],T_TTAFCallOff[Part Name],$A22,T_TTAFCallOff[WeekIndex],58)</f>
        <v/>
      </c>
      <c r="BH22">
        <f>SUMIFS(T_TTAFCallOff[PCS],T_TTAFCallOff[Part Name],$A22,T_TTAFCallOff[WeekIndex],59)</f>
        <v/>
      </c>
      <c r="BI22">
        <f>SUMIFS(T_TTAFCallOff[PCS],T_TTAFCallOff[Part Name],$A22,T_TTAFCallOff[WeekIndex],60)</f>
        <v/>
      </c>
      <c r="BJ22">
        <f>SUMIFS(T_TTAFCallOff[PCS],T_TTAFCallOff[Part Name],$A22,T_TTAFCallOff[WeekIndex],61)</f>
        <v/>
      </c>
      <c r="BK22">
        <f>SUMIFS(T_TTAFCallOff[PCS],T_TTAFCallOff[Part Name],$A22,T_TTAFCallOff[WeekIndex],62)</f>
        <v/>
      </c>
      <c r="BL22">
        <f>SUMIFS(T_TTAFCallOff[PCS],T_TTAFCallOff[Part Name],$A22,T_TTAFCallOff[WeekIndex],63)</f>
        <v/>
      </c>
      <c r="BM22">
        <f>SUMIFS(T_TTAFCallOff[PCS],T_TTAFCallOff[Part Name],$A22,T_TTAFCallOff[WeekIndex],64)</f>
        <v/>
      </c>
      <c r="BN22">
        <f>SUMIFS(T_TTAFCallOff[PCS],T_TTAFCallOff[Part Name],$A22,T_TTAFCallOff[WeekIndex],65)</f>
        <v/>
      </c>
      <c r="BO22">
        <f>SUMIFS(T_TTAFCallOff[PCS],T_TTAFCallOff[Part Name],$A22,T_TTAFCallOff[WeekIndex],66)</f>
        <v/>
      </c>
      <c r="BP22">
        <f>SUMIFS(T_TTAFCallOff[PCS],T_TTAFCallOff[Part Name],$A22,T_TTAFCallOff[WeekIndex],67)</f>
        <v/>
      </c>
      <c r="BQ22">
        <f>SUMIFS(T_TTAFCallOff[PCS],T_TTAFCallOff[Part Name],$A22,T_TTAFCallOff[WeekIndex],68)</f>
        <v/>
      </c>
      <c r="BR22">
        <f>SUMIFS(T_TTAFCallOff[PCS],T_TTAFCallOff[Part Name],$A22,T_TTAFCallOff[WeekIndex],69)</f>
        <v/>
      </c>
      <c r="BS22">
        <f>SUMIFS(T_TTAFCallOff[PCS],T_TTAFCallOff[Part Name],$A22,T_TTAFCallOff[WeekIndex],70)</f>
        <v/>
      </c>
      <c r="BT22">
        <f>SUMIFS(T_TTAFCallOff[PCS],T_TTAFCallOff[Part Name],$A22,T_TTAFCallOff[WeekIndex],71)</f>
        <v/>
      </c>
      <c r="BU22">
        <f>SUMIFS(T_TTAFCallOff[PCS],T_TTAFCallOff[Part Name],$A22,T_TTAFCallOff[WeekIndex],72)</f>
        <v/>
      </c>
      <c r="BV22">
        <f>SUMIFS(T_TTAFCallOff[PCS],T_TTAFCallOff[Part Name],$A22,T_TTAFCallOff[WeekIndex],73)</f>
        <v/>
      </c>
      <c r="BW22">
        <f>SUMIFS(T_TTAFCallOff[PCS],T_TTAFCallOff[Part Name],$A22,T_TTAFCallOff[WeekIndex],74)</f>
        <v/>
      </c>
      <c r="BX22">
        <f>SUMIFS(T_TTAFCallOff[PCS],T_TTAFCallOff[Part Name],$A22,T_TTAFCallOff[WeekIndex],75)</f>
        <v/>
      </c>
      <c r="BY22">
        <f>SUMIFS(T_TTAFCallOff[PCS],T_TTAFCallOff[Part Name],$A22,T_TTAFCallOff[WeekIndex],76)</f>
        <v/>
      </c>
      <c r="BZ22">
        <f>SUMIFS(T_TTAFCallOff[PCS],T_TTAFCallOff[Part Name],$A22,T_TTAFCallOff[WeekIndex],77)</f>
        <v/>
      </c>
      <c r="CA22">
        <f>SUMIFS(T_TTAFCallOff[PCS],T_TTAFCallOff[Part Name],$A22,T_TTAFCallOff[WeekIndex],78)</f>
        <v/>
      </c>
      <c r="CB22">
        <f>SUMIFS(T_TTAFCallOff[PCS],T_TTAFCallOff[Part Name],$A22,T_TTAFCallOff[WeekIndex],79)</f>
        <v/>
      </c>
      <c r="CC22">
        <f>SUMIFS(T_TTAFCallOff[PCS],T_TTAFCallOff[Part Name],$A22,T_TTAFCallOff[WeekIndex],80)</f>
        <v/>
      </c>
      <c r="CD22">
        <f>SUMIFS(T_TTAFCallOff[PCS],T_TTAFCallOff[Part Name],$A22,T_TTAFCallOff[WeekIndex],81)</f>
        <v/>
      </c>
      <c r="CE22">
        <f>SUMIFS(T_TTAFCallOff[PCS],T_TTAFCallOff[Part Name],$A22,T_TTAFCallOff[WeekIndex],82)</f>
        <v/>
      </c>
      <c r="CF22">
        <f>SUMIFS(T_TTAFCallOff[PCS],T_TTAFCallOff[Part Name],$A22,T_TTAFCallOff[WeekIndex],83)</f>
        <v/>
      </c>
      <c r="CG22">
        <f>SUMIFS(T_TTAFCallOff[PCS],T_TTAFCallOff[Part Name],$A22,T_TTAFCallOff[WeekIndex],84)</f>
        <v/>
      </c>
      <c r="CH22">
        <f>SUMIFS(T_TTAFCallOff[PCS],T_TTAFCallOff[Part Name],$A22,T_TTAFCallOff[WeekIndex],85)</f>
        <v/>
      </c>
      <c r="CI22">
        <f>SUMIFS(T_TTAFCallOff[PCS],T_TTAFCallOff[Part Name],$A22,T_TTAFCallOff[WeekIndex],86)</f>
        <v/>
      </c>
      <c r="CJ22">
        <f>SUMIFS(T_TTAFCallOff[PCS],T_TTAFCallOff[Part Name],$A22,T_TTAFCallOff[WeekIndex],87)</f>
        <v/>
      </c>
      <c r="CK22">
        <f>SUMIFS(T_TTAFCallOff[PCS],T_TTAFCallOff[Part Name],$A22,T_TTAFCallOff[WeekIndex],88)</f>
        <v/>
      </c>
      <c r="CL22">
        <f>SUMIFS(T_TTAFCallOff[PCS],T_TTAFCallOff[Part Name],$A22,T_TTAFCallOff[WeekIndex],89)</f>
        <v/>
      </c>
      <c r="CM22">
        <f>SUMIFS(T_TTAFCallOff[PCS],T_TTAFCallOff[Part Name],$A22,T_TTAFCallOff[WeekIndex],90)</f>
        <v/>
      </c>
      <c r="CN22">
        <f>SUMIFS(T_TTAFCallOff[PCS],T_TTAFCallOff[Part Name],$A22,T_TTAFCallOff[WeekIndex],91)</f>
        <v/>
      </c>
      <c r="CO22">
        <f>SUMIFS(T_TTAFCallOff[PCS],T_TTAFCallOff[Part Name],$A22,T_TTAFCallOff[WeekIndex],92)</f>
        <v/>
      </c>
      <c r="CP22">
        <f>SUMIFS(T_TTAFCallOff[PCS],T_TTAFCallOff[Part Name],$A22,T_TTAFCallOff[WeekIndex],93)</f>
        <v/>
      </c>
      <c r="CQ22">
        <f>SUMIFS(T_TTAFCallOff[PCS],T_TTAFCallOff[Part Name],$A22,T_TTAFCallOff[WeekIndex],94)</f>
        <v/>
      </c>
      <c r="CR22">
        <f>SUMIFS(T_TTAFCallOff[PCS],T_TTAFCallOff[Part Name],$A22,T_TTAFCallOff[WeekIndex],95)</f>
        <v/>
      </c>
      <c r="CS22">
        <f>SUMIFS(T_TTAFCallOff[PCS],T_TTAFCallOff[Part Name],$A22,T_TTAFCallOff[WeekIndex],96)</f>
        <v/>
      </c>
      <c r="CT22">
        <f>SUMIFS(T_TTAFCallOff[PCS],T_TTAFCallOff[Part Name],$A22,T_TTAFCallOff[WeekIndex],97)</f>
        <v/>
      </c>
      <c r="CU22">
        <f>SUMIFS(T_TTAFCallOff[PCS],T_TTAFCallOff[Part Name],$A22,T_TTAFCallOff[WeekIndex],98)</f>
        <v/>
      </c>
      <c r="CV22">
        <f>SUMIFS(T_TTAFCallOff[PCS],T_TTAFCallOff[Part Name],$A22,T_TTAFCallOff[WeekIndex],99)</f>
        <v/>
      </c>
      <c r="CW22">
        <f>SUMIFS(T_TTAFCallOff[PCS],T_TTAFCallOff[Part Name],$A22,T_TTAFCallOff[WeekIndex],100)</f>
        <v/>
      </c>
      <c r="CX22">
        <f>SUMIFS(T_TTAFCallOff[PCS],T_TTAFCallOff[Part Name],$A22,T_TTAFCallOff[WeekIndex],101)</f>
        <v/>
      </c>
      <c r="CY22">
        <f>SUMIFS(T_TTAFCallOff[PCS],T_TTAFCallOff[Part Name],$A22,T_TTAFCallOff[WeekIndex],102)</f>
        <v/>
      </c>
      <c r="CZ22">
        <f>SUMIFS(T_TTAFCallOff[PCS],T_TTAFCallOff[Part Name],$A22,T_TTAFCallOff[WeekIndex],103)</f>
        <v/>
      </c>
      <c r="DA22">
        <f>SUMIFS(T_TTAFCallOff[PCS],T_TTAFCallOff[Part Name],$A22,T_TTAFCallOff[WeekIndex],104)</f>
        <v/>
      </c>
    </row>
    <row r="23">
      <c r="A23" t="inlineStr">
        <is>
          <t>CHEM-1760</t>
        </is>
      </c>
      <c r="B23">
        <f>SUMIFS(T_TTAFCallOff[PCS],T_TTAFCallOff[Part Name],$A23,T_TTAFCallOff[WeekIndex],1)</f>
        <v/>
      </c>
      <c r="C23">
        <f>SUMIFS(T_TTAFCallOff[PCS],T_TTAFCallOff[Part Name],$A23,T_TTAFCallOff[WeekIndex],2)</f>
        <v/>
      </c>
      <c r="D23">
        <f>SUMIFS(T_TTAFCallOff[PCS],T_TTAFCallOff[Part Name],$A23,T_TTAFCallOff[WeekIndex],3)</f>
        <v/>
      </c>
      <c r="E23">
        <f>SUMIFS(T_TTAFCallOff[PCS],T_TTAFCallOff[Part Name],$A23,T_TTAFCallOff[WeekIndex],4)</f>
        <v/>
      </c>
      <c r="F23">
        <f>SUMIFS(T_TTAFCallOff[PCS],T_TTAFCallOff[Part Name],$A23,T_TTAFCallOff[WeekIndex],5)</f>
        <v/>
      </c>
      <c r="G23">
        <f>SUMIFS(T_TTAFCallOff[PCS],T_TTAFCallOff[Part Name],$A23,T_TTAFCallOff[WeekIndex],6)</f>
        <v/>
      </c>
      <c r="H23">
        <f>SUMIFS(T_TTAFCallOff[PCS],T_TTAFCallOff[Part Name],$A23,T_TTAFCallOff[WeekIndex],7)</f>
        <v/>
      </c>
      <c r="I23">
        <f>SUMIFS(T_TTAFCallOff[PCS],T_TTAFCallOff[Part Name],$A23,T_TTAFCallOff[WeekIndex],8)</f>
        <v/>
      </c>
      <c r="J23">
        <f>SUMIFS(T_TTAFCallOff[PCS],T_TTAFCallOff[Part Name],$A23,T_TTAFCallOff[WeekIndex],9)</f>
        <v/>
      </c>
      <c r="K23">
        <f>SUMIFS(T_TTAFCallOff[PCS],T_TTAFCallOff[Part Name],$A23,T_TTAFCallOff[WeekIndex],10)</f>
        <v/>
      </c>
      <c r="L23">
        <f>SUMIFS(T_TTAFCallOff[PCS],T_TTAFCallOff[Part Name],$A23,T_TTAFCallOff[WeekIndex],11)</f>
        <v/>
      </c>
      <c r="M23">
        <f>SUMIFS(T_TTAFCallOff[PCS],T_TTAFCallOff[Part Name],$A23,T_TTAFCallOff[WeekIndex],12)</f>
        <v/>
      </c>
      <c r="N23">
        <f>SUMIFS(T_TTAFCallOff[PCS],T_TTAFCallOff[Part Name],$A23,T_TTAFCallOff[WeekIndex],13)</f>
        <v/>
      </c>
      <c r="O23">
        <f>SUMIFS(T_TTAFCallOff[PCS],T_TTAFCallOff[Part Name],$A23,T_TTAFCallOff[WeekIndex],14)</f>
        <v/>
      </c>
      <c r="P23">
        <f>SUMIFS(T_TTAFCallOff[PCS],T_TTAFCallOff[Part Name],$A23,T_TTAFCallOff[WeekIndex],15)</f>
        <v/>
      </c>
      <c r="Q23">
        <f>SUMIFS(T_TTAFCallOff[PCS],T_TTAFCallOff[Part Name],$A23,T_TTAFCallOff[WeekIndex],16)</f>
        <v/>
      </c>
      <c r="R23">
        <f>SUMIFS(T_TTAFCallOff[PCS],T_TTAFCallOff[Part Name],$A23,T_TTAFCallOff[WeekIndex],17)</f>
        <v/>
      </c>
      <c r="S23">
        <f>SUMIFS(T_TTAFCallOff[PCS],T_TTAFCallOff[Part Name],$A23,T_TTAFCallOff[WeekIndex],18)</f>
        <v/>
      </c>
      <c r="T23">
        <f>SUMIFS(T_TTAFCallOff[PCS],T_TTAFCallOff[Part Name],$A23,T_TTAFCallOff[WeekIndex],19)</f>
        <v/>
      </c>
      <c r="U23">
        <f>SUMIFS(T_TTAFCallOff[PCS],T_TTAFCallOff[Part Name],$A23,T_TTAFCallOff[WeekIndex],20)</f>
        <v/>
      </c>
      <c r="V23">
        <f>SUMIFS(T_TTAFCallOff[PCS],T_TTAFCallOff[Part Name],$A23,T_TTAFCallOff[WeekIndex],21)</f>
        <v/>
      </c>
      <c r="W23">
        <f>SUMIFS(T_TTAFCallOff[PCS],T_TTAFCallOff[Part Name],$A23,T_TTAFCallOff[WeekIndex],22)</f>
        <v/>
      </c>
      <c r="X23">
        <f>SUMIFS(T_TTAFCallOff[PCS],T_TTAFCallOff[Part Name],$A23,T_TTAFCallOff[WeekIndex],23)</f>
        <v/>
      </c>
      <c r="Y23">
        <f>SUMIFS(T_TTAFCallOff[PCS],T_TTAFCallOff[Part Name],$A23,T_TTAFCallOff[WeekIndex],24)</f>
        <v/>
      </c>
      <c r="Z23">
        <f>SUMIFS(T_TTAFCallOff[PCS],T_TTAFCallOff[Part Name],$A23,T_TTAFCallOff[WeekIndex],25)</f>
        <v/>
      </c>
      <c r="AA23">
        <f>SUMIFS(T_TTAFCallOff[PCS],T_TTAFCallOff[Part Name],$A23,T_TTAFCallOff[WeekIndex],26)</f>
        <v/>
      </c>
      <c r="AB23">
        <f>SUMIFS(T_TTAFCallOff[PCS],T_TTAFCallOff[Part Name],$A23,T_TTAFCallOff[WeekIndex],27)</f>
        <v/>
      </c>
      <c r="AC23">
        <f>SUMIFS(T_TTAFCallOff[PCS],T_TTAFCallOff[Part Name],$A23,T_TTAFCallOff[WeekIndex],28)</f>
        <v/>
      </c>
      <c r="AD23">
        <f>SUMIFS(T_TTAFCallOff[PCS],T_TTAFCallOff[Part Name],$A23,T_TTAFCallOff[WeekIndex],29)</f>
        <v/>
      </c>
      <c r="AE23">
        <f>SUMIFS(T_TTAFCallOff[PCS],T_TTAFCallOff[Part Name],$A23,T_TTAFCallOff[WeekIndex],30)</f>
        <v/>
      </c>
      <c r="AF23">
        <f>SUMIFS(T_TTAFCallOff[PCS],T_TTAFCallOff[Part Name],$A23,T_TTAFCallOff[WeekIndex],31)</f>
        <v/>
      </c>
      <c r="AG23">
        <f>SUMIFS(T_TTAFCallOff[PCS],T_TTAFCallOff[Part Name],$A23,T_TTAFCallOff[WeekIndex],32)</f>
        <v/>
      </c>
      <c r="AH23">
        <f>SUMIFS(T_TTAFCallOff[PCS],T_TTAFCallOff[Part Name],$A23,T_TTAFCallOff[WeekIndex],33)</f>
        <v/>
      </c>
      <c r="AI23">
        <f>SUMIFS(T_TTAFCallOff[PCS],T_TTAFCallOff[Part Name],$A23,T_TTAFCallOff[WeekIndex],34)</f>
        <v/>
      </c>
      <c r="AJ23">
        <f>SUMIFS(T_TTAFCallOff[PCS],T_TTAFCallOff[Part Name],$A23,T_TTAFCallOff[WeekIndex],35)</f>
        <v/>
      </c>
      <c r="AK23">
        <f>SUMIFS(T_TTAFCallOff[PCS],T_TTAFCallOff[Part Name],$A23,T_TTAFCallOff[WeekIndex],36)</f>
        <v/>
      </c>
      <c r="AL23">
        <f>SUMIFS(T_TTAFCallOff[PCS],T_TTAFCallOff[Part Name],$A23,T_TTAFCallOff[WeekIndex],37)</f>
        <v/>
      </c>
      <c r="AM23">
        <f>SUMIFS(T_TTAFCallOff[PCS],T_TTAFCallOff[Part Name],$A23,T_TTAFCallOff[WeekIndex],38)</f>
        <v/>
      </c>
      <c r="AN23">
        <f>SUMIFS(T_TTAFCallOff[PCS],T_TTAFCallOff[Part Name],$A23,T_TTAFCallOff[WeekIndex],39)</f>
        <v/>
      </c>
      <c r="AO23">
        <f>SUMIFS(T_TTAFCallOff[PCS],T_TTAFCallOff[Part Name],$A23,T_TTAFCallOff[WeekIndex],40)</f>
        <v/>
      </c>
      <c r="AP23">
        <f>SUMIFS(T_TTAFCallOff[PCS],T_TTAFCallOff[Part Name],$A23,T_TTAFCallOff[WeekIndex],41)</f>
        <v/>
      </c>
      <c r="AQ23">
        <f>SUMIFS(T_TTAFCallOff[PCS],T_TTAFCallOff[Part Name],$A23,T_TTAFCallOff[WeekIndex],42)</f>
        <v/>
      </c>
      <c r="AR23">
        <f>SUMIFS(T_TTAFCallOff[PCS],T_TTAFCallOff[Part Name],$A23,T_TTAFCallOff[WeekIndex],43)</f>
        <v/>
      </c>
      <c r="AS23">
        <f>SUMIFS(T_TTAFCallOff[PCS],T_TTAFCallOff[Part Name],$A23,T_TTAFCallOff[WeekIndex],44)</f>
        <v/>
      </c>
      <c r="AT23">
        <f>SUMIFS(T_TTAFCallOff[PCS],T_TTAFCallOff[Part Name],$A23,T_TTAFCallOff[WeekIndex],45)</f>
        <v/>
      </c>
      <c r="AU23">
        <f>SUMIFS(T_TTAFCallOff[PCS],T_TTAFCallOff[Part Name],$A23,T_TTAFCallOff[WeekIndex],46)</f>
        <v/>
      </c>
      <c r="AV23">
        <f>SUMIFS(T_TTAFCallOff[PCS],T_TTAFCallOff[Part Name],$A23,T_TTAFCallOff[WeekIndex],47)</f>
        <v/>
      </c>
      <c r="AW23">
        <f>SUMIFS(T_TTAFCallOff[PCS],T_TTAFCallOff[Part Name],$A23,T_TTAFCallOff[WeekIndex],48)</f>
        <v/>
      </c>
      <c r="AX23">
        <f>SUMIFS(T_TTAFCallOff[PCS],T_TTAFCallOff[Part Name],$A23,T_TTAFCallOff[WeekIndex],49)</f>
        <v/>
      </c>
      <c r="AY23">
        <f>SUMIFS(T_TTAFCallOff[PCS],T_TTAFCallOff[Part Name],$A23,T_TTAFCallOff[WeekIndex],50)</f>
        <v/>
      </c>
      <c r="AZ23">
        <f>SUMIFS(T_TTAFCallOff[PCS],T_TTAFCallOff[Part Name],$A23,T_TTAFCallOff[WeekIndex],51)</f>
        <v/>
      </c>
      <c r="BA23">
        <f>SUMIFS(T_TTAFCallOff[PCS],T_TTAFCallOff[Part Name],$A23,T_TTAFCallOff[WeekIndex],52)</f>
        <v/>
      </c>
      <c r="BB23">
        <f>SUMIFS(T_TTAFCallOff[PCS],T_TTAFCallOff[Part Name],$A23,T_TTAFCallOff[WeekIndex],53)</f>
        <v/>
      </c>
      <c r="BC23">
        <f>SUMIFS(T_TTAFCallOff[PCS],T_TTAFCallOff[Part Name],$A23,T_TTAFCallOff[WeekIndex],54)</f>
        <v/>
      </c>
      <c r="BD23">
        <f>SUMIFS(T_TTAFCallOff[PCS],T_TTAFCallOff[Part Name],$A23,T_TTAFCallOff[WeekIndex],55)</f>
        <v/>
      </c>
      <c r="BE23">
        <f>SUMIFS(T_TTAFCallOff[PCS],T_TTAFCallOff[Part Name],$A23,T_TTAFCallOff[WeekIndex],56)</f>
        <v/>
      </c>
      <c r="BF23">
        <f>SUMIFS(T_TTAFCallOff[PCS],T_TTAFCallOff[Part Name],$A23,T_TTAFCallOff[WeekIndex],57)</f>
        <v/>
      </c>
      <c r="BG23">
        <f>SUMIFS(T_TTAFCallOff[PCS],T_TTAFCallOff[Part Name],$A23,T_TTAFCallOff[WeekIndex],58)</f>
        <v/>
      </c>
      <c r="BH23">
        <f>SUMIFS(T_TTAFCallOff[PCS],T_TTAFCallOff[Part Name],$A23,T_TTAFCallOff[WeekIndex],59)</f>
        <v/>
      </c>
      <c r="BI23">
        <f>SUMIFS(T_TTAFCallOff[PCS],T_TTAFCallOff[Part Name],$A23,T_TTAFCallOff[WeekIndex],60)</f>
        <v/>
      </c>
      <c r="BJ23">
        <f>SUMIFS(T_TTAFCallOff[PCS],T_TTAFCallOff[Part Name],$A23,T_TTAFCallOff[WeekIndex],61)</f>
        <v/>
      </c>
      <c r="BK23">
        <f>SUMIFS(T_TTAFCallOff[PCS],T_TTAFCallOff[Part Name],$A23,T_TTAFCallOff[WeekIndex],62)</f>
        <v/>
      </c>
      <c r="BL23">
        <f>SUMIFS(T_TTAFCallOff[PCS],T_TTAFCallOff[Part Name],$A23,T_TTAFCallOff[WeekIndex],63)</f>
        <v/>
      </c>
      <c r="BM23">
        <f>SUMIFS(T_TTAFCallOff[PCS],T_TTAFCallOff[Part Name],$A23,T_TTAFCallOff[WeekIndex],64)</f>
        <v/>
      </c>
      <c r="BN23">
        <f>SUMIFS(T_TTAFCallOff[PCS],T_TTAFCallOff[Part Name],$A23,T_TTAFCallOff[WeekIndex],65)</f>
        <v/>
      </c>
      <c r="BO23">
        <f>SUMIFS(T_TTAFCallOff[PCS],T_TTAFCallOff[Part Name],$A23,T_TTAFCallOff[WeekIndex],66)</f>
        <v/>
      </c>
      <c r="BP23">
        <f>SUMIFS(T_TTAFCallOff[PCS],T_TTAFCallOff[Part Name],$A23,T_TTAFCallOff[WeekIndex],67)</f>
        <v/>
      </c>
      <c r="BQ23">
        <f>SUMIFS(T_TTAFCallOff[PCS],T_TTAFCallOff[Part Name],$A23,T_TTAFCallOff[WeekIndex],68)</f>
        <v/>
      </c>
      <c r="BR23">
        <f>SUMIFS(T_TTAFCallOff[PCS],T_TTAFCallOff[Part Name],$A23,T_TTAFCallOff[WeekIndex],69)</f>
        <v/>
      </c>
      <c r="BS23">
        <f>SUMIFS(T_TTAFCallOff[PCS],T_TTAFCallOff[Part Name],$A23,T_TTAFCallOff[WeekIndex],70)</f>
        <v/>
      </c>
      <c r="BT23">
        <f>SUMIFS(T_TTAFCallOff[PCS],T_TTAFCallOff[Part Name],$A23,T_TTAFCallOff[WeekIndex],71)</f>
        <v/>
      </c>
      <c r="BU23">
        <f>SUMIFS(T_TTAFCallOff[PCS],T_TTAFCallOff[Part Name],$A23,T_TTAFCallOff[WeekIndex],72)</f>
        <v/>
      </c>
      <c r="BV23">
        <f>SUMIFS(T_TTAFCallOff[PCS],T_TTAFCallOff[Part Name],$A23,T_TTAFCallOff[WeekIndex],73)</f>
        <v/>
      </c>
      <c r="BW23">
        <f>SUMIFS(T_TTAFCallOff[PCS],T_TTAFCallOff[Part Name],$A23,T_TTAFCallOff[WeekIndex],74)</f>
        <v/>
      </c>
      <c r="BX23">
        <f>SUMIFS(T_TTAFCallOff[PCS],T_TTAFCallOff[Part Name],$A23,T_TTAFCallOff[WeekIndex],75)</f>
        <v/>
      </c>
      <c r="BY23">
        <f>SUMIFS(T_TTAFCallOff[PCS],T_TTAFCallOff[Part Name],$A23,T_TTAFCallOff[WeekIndex],76)</f>
        <v/>
      </c>
      <c r="BZ23">
        <f>SUMIFS(T_TTAFCallOff[PCS],T_TTAFCallOff[Part Name],$A23,T_TTAFCallOff[WeekIndex],77)</f>
        <v/>
      </c>
      <c r="CA23">
        <f>SUMIFS(T_TTAFCallOff[PCS],T_TTAFCallOff[Part Name],$A23,T_TTAFCallOff[WeekIndex],78)</f>
        <v/>
      </c>
      <c r="CB23">
        <f>SUMIFS(T_TTAFCallOff[PCS],T_TTAFCallOff[Part Name],$A23,T_TTAFCallOff[WeekIndex],79)</f>
        <v/>
      </c>
      <c r="CC23">
        <f>SUMIFS(T_TTAFCallOff[PCS],T_TTAFCallOff[Part Name],$A23,T_TTAFCallOff[WeekIndex],80)</f>
        <v/>
      </c>
      <c r="CD23">
        <f>SUMIFS(T_TTAFCallOff[PCS],T_TTAFCallOff[Part Name],$A23,T_TTAFCallOff[WeekIndex],81)</f>
        <v/>
      </c>
      <c r="CE23">
        <f>SUMIFS(T_TTAFCallOff[PCS],T_TTAFCallOff[Part Name],$A23,T_TTAFCallOff[WeekIndex],82)</f>
        <v/>
      </c>
      <c r="CF23">
        <f>SUMIFS(T_TTAFCallOff[PCS],T_TTAFCallOff[Part Name],$A23,T_TTAFCallOff[WeekIndex],83)</f>
        <v/>
      </c>
      <c r="CG23">
        <f>SUMIFS(T_TTAFCallOff[PCS],T_TTAFCallOff[Part Name],$A23,T_TTAFCallOff[WeekIndex],84)</f>
        <v/>
      </c>
      <c r="CH23">
        <f>SUMIFS(T_TTAFCallOff[PCS],T_TTAFCallOff[Part Name],$A23,T_TTAFCallOff[WeekIndex],85)</f>
        <v/>
      </c>
      <c r="CI23">
        <f>SUMIFS(T_TTAFCallOff[PCS],T_TTAFCallOff[Part Name],$A23,T_TTAFCallOff[WeekIndex],86)</f>
        <v/>
      </c>
      <c r="CJ23">
        <f>SUMIFS(T_TTAFCallOff[PCS],T_TTAFCallOff[Part Name],$A23,T_TTAFCallOff[WeekIndex],87)</f>
        <v/>
      </c>
      <c r="CK23">
        <f>SUMIFS(T_TTAFCallOff[PCS],T_TTAFCallOff[Part Name],$A23,T_TTAFCallOff[WeekIndex],88)</f>
        <v/>
      </c>
      <c r="CL23">
        <f>SUMIFS(T_TTAFCallOff[PCS],T_TTAFCallOff[Part Name],$A23,T_TTAFCallOff[WeekIndex],89)</f>
        <v/>
      </c>
      <c r="CM23">
        <f>SUMIFS(T_TTAFCallOff[PCS],T_TTAFCallOff[Part Name],$A23,T_TTAFCallOff[WeekIndex],90)</f>
        <v/>
      </c>
      <c r="CN23">
        <f>SUMIFS(T_TTAFCallOff[PCS],T_TTAFCallOff[Part Name],$A23,T_TTAFCallOff[WeekIndex],91)</f>
        <v/>
      </c>
      <c r="CO23">
        <f>SUMIFS(T_TTAFCallOff[PCS],T_TTAFCallOff[Part Name],$A23,T_TTAFCallOff[WeekIndex],92)</f>
        <v/>
      </c>
      <c r="CP23">
        <f>SUMIFS(T_TTAFCallOff[PCS],T_TTAFCallOff[Part Name],$A23,T_TTAFCallOff[WeekIndex],93)</f>
        <v/>
      </c>
      <c r="CQ23">
        <f>SUMIFS(T_TTAFCallOff[PCS],T_TTAFCallOff[Part Name],$A23,T_TTAFCallOff[WeekIndex],94)</f>
        <v/>
      </c>
      <c r="CR23">
        <f>SUMIFS(T_TTAFCallOff[PCS],T_TTAFCallOff[Part Name],$A23,T_TTAFCallOff[WeekIndex],95)</f>
        <v/>
      </c>
      <c r="CS23">
        <f>SUMIFS(T_TTAFCallOff[PCS],T_TTAFCallOff[Part Name],$A23,T_TTAFCallOff[WeekIndex],96)</f>
        <v/>
      </c>
      <c r="CT23">
        <f>SUMIFS(T_TTAFCallOff[PCS],T_TTAFCallOff[Part Name],$A23,T_TTAFCallOff[WeekIndex],97)</f>
        <v/>
      </c>
      <c r="CU23">
        <f>SUMIFS(T_TTAFCallOff[PCS],T_TTAFCallOff[Part Name],$A23,T_TTAFCallOff[WeekIndex],98)</f>
        <v/>
      </c>
      <c r="CV23">
        <f>SUMIFS(T_TTAFCallOff[PCS],T_TTAFCallOff[Part Name],$A23,T_TTAFCallOff[WeekIndex],99)</f>
        <v/>
      </c>
      <c r="CW23">
        <f>SUMIFS(T_TTAFCallOff[PCS],T_TTAFCallOff[Part Name],$A23,T_TTAFCallOff[WeekIndex],100)</f>
        <v/>
      </c>
      <c r="CX23">
        <f>SUMIFS(T_TTAFCallOff[PCS],T_TTAFCallOff[Part Name],$A23,T_TTAFCallOff[WeekIndex],101)</f>
        <v/>
      </c>
      <c r="CY23">
        <f>SUMIFS(T_TTAFCallOff[PCS],T_TTAFCallOff[Part Name],$A23,T_TTAFCallOff[WeekIndex],102)</f>
        <v/>
      </c>
      <c r="CZ23">
        <f>SUMIFS(T_TTAFCallOff[PCS],T_TTAFCallOff[Part Name],$A23,T_TTAFCallOff[WeekIndex],103)</f>
        <v/>
      </c>
      <c r="DA23">
        <f>SUMIFS(T_TTAFCallOff[PCS],T_TTAFCallOff[Part Name],$A23,T_TTAFCallOff[WeekIndex],104)</f>
        <v/>
      </c>
    </row>
    <row r="24">
      <c r="A24" t="inlineStr">
        <is>
          <t>Original Towel</t>
        </is>
      </c>
      <c r="B24">
        <f>SUMIFS(T_TTAFCallOff[PCS],T_TTAFCallOff[Part Name],$A24,T_TTAFCallOff[WeekIndex],1)</f>
        <v/>
      </c>
      <c r="C24">
        <f>SUMIFS(T_TTAFCallOff[PCS],T_TTAFCallOff[Part Name],$A24,T_TTAFCallOff[WeekIndex],2)</f>
        <v/>
      </c>
      <c r="D24">
        <f>SUMIFS(T_TTAFCallOff[PCS],T_TTAFCallOff[Part Name],$A24,T_TTAFCallOff[WeekIndex],3)</f>
        <v/>
      </c>
      <c r="E24">
        <f>SUMIFS(T_TTAFCallOff[PCS],T_TTAFCallOff[Part Name],$A24,T_TTAFCallOff[WeekIndex],4)</f>
        <v/>
      </c>
      <c r="F24">
        <f>SUMIFS(T_TTAFCallOff[PCS],T_TTAFCallOff[Part Name],$A24,T_TTAFCallOff[WeekIndex],5)</f>
        <v/>
      </c>
      <c r="G24">
        <f>SUMIFS(T_TTAFCallOff[PCS],T_TTAFCallOff[Part Name],$A24,T_TTAFCallOff[WeekIndex],6)</f>
        <v/>
      </c>
      <c r="H24">
        <f>SUMIFS(T_TTAFCallOff[PCS],T_TTAFCallOff[Part Name],$A24,T_TTAFCallOff[WeekIndex],7)</f>
        <v/>
      </c>
      <c r="I24">
        <f>SUMIFS(T_TTAFCallOff[PCS],T_TTAFCallOff[Part Name],$A24,T_TTAFCallOff[WeekIndex],8)</f>
        <v/>
      </c>
      <c r="J24">
        <f>SUMIFS(T_TTAFCallOff[PCS],T_TTAFCallOff[Part Name],$A24,T_TTAFCallOff[WeekIndex],9)</f>
        <v/>
      </c>
      <c r="K24">
        <f>SUMIFS(T_TTAFCallOff[PCS],T_TTAFCallOff[Part Name],$A24,T_TTAFCallOff[WeekIndex],10)</f>
        <v/>
      </c>
      <c r="L24">
        <f>SUMIFS(T_TTAFCallOff[PCS],T_TTAFCallOff[Part Name],$A24,T_TTAFCallOff[WeekIndex],11)</f>
        <v/>
      </c>
      <c r="M24">
        <f>SUMIFS(T_TTAFCallOff[PCS],T_TTAFCallOff[Part Name],$A24,T_TTAFCallOff[WeekIndex],12)</f>
        <v/>
      </c>
      <c r="N24">
        <f>SUMIFS(T_TTAFCallOff[PCS],T_TTAFCallOff[Part Name],$A24,T_TTAFCallOff[WeekIndex],13)</f>
        <v/>
      </c>
      <c r="O24">
        <f>SUMIFS(T_TTAFCallOff[PCS],T_TTAFCallOff[Part Name],$A24,T_TTAFCallOff[WeekIndex],14)</f>
        <v/>
      </c>
      <c r="P24">
        <f>SUMIFS(T_TTAFCallOff[PCS],T_TTAFCallOff[Part Name],$A24,T_TTAFCallOff[WeekIndex],15)</f>
        <v/>
      </c>
      <c r="Q24">
        <f>SUMIFS(T_TTAFCallOff[PCS],T_TTAFCallOff[Part Name],$A24,T_TTAFCallOff[WeekIndex],16)</f>
        <v/>
      </c>
      <c r="R24">
        <f>SUMIFS(T_TTAFCallOff[PCS],T_TTAFCallOff[Part Name],$A24,T_TTAFCallOff[WeekIndex],17)</f>
        <v/>
      </c>
      <c r="S24">
        <f>SUMIFS(T_TTAFCallOff[PCS],T_TTAFCallOff[Part Name],$A24,T_TTAFCallOff[WeekIndex],18)</f>
        <v/>
      </c>
      <c r="T24">
        <f>SUMIFS(T_TTAFCallOff[PCS],T_TTAFCallOff[Part Name],$A24,T_TTAFCallOff[WeekIndex],19)</f>
        <v/>
      </c>
      <c r="U24">
        <f>SUMIFS(T_TTAFCallOff[PCS],T_TTAFCallOff[Part Name],$A24,T_TTAFCallOff[WeekIndex],20)</f>
        <v/>
      </c>
      <c r="V24">
        <f>SUMIFS(T_TTAFCallOff[PCS],T_TTAFCallOff[Part Name],$A24,T_TTAFCallOff[WeekIndex],21)</f>
        <v/>
      </c>
      <c r="W24">
        <f>SUMIFS(T_TTAFCallOff[PCS],T_TTAFCallOff[Part Name],$A24,T_TTAFCallOff[WeekIndex],22)</f>
        <v/>
      </c>
      <c r="X24">
        <f>SUMIFS(T_TTAFCallOff[PCS],T_TTAFCallOff[Part Name],$A24,T_TTAFCallOff[WeekIndex],23)</f>
        <v/>
      </c>
      <c r="Y24">
        <f>SUMIFS(T_TTAFCallOff[PCS],T_TTAFCallOff[Part Name],$A24,T_TTAFCallOff[WeekIndex],24)</f>
        <v/>
      </c>
      <c r="Z24">
        <f>SUMIFS(T_TTAFCallOff[PCS],T_TTAFCallOff[Part Name],$A24,T_TTAFCallOff[WeekIndex],25)</f>
        <v/>
      </c>
      <c r="AA24">
        <f>SUMIFS(T_TTAFCallOff[PCS],T_TTAFCallOff[Part Name],$A24,T_TTAFCallOff[WeekIndex],26)</f>
        <v/>
      </c>
      <c r="AB24">
        <f>SUMIFS(T_TTAFCallOff[PCS],T_TTAFCallOff[Part Name],$A24,T_TTAFCallOff[WeekIndex],27)</f>
        <v/>
      </c>
      <c r="AC24">
        <f>SUMIFS(T_TTAFCallOff[PCS],T_TTAFCallOff[Part Name],$A24,T_TTAFCallOff[WeekIndex],28)</f>
        <v/>
      </c>
      <c r="AD24">
        <f>SUMIFS(T_TTAFCallOff[PCS],T_TTAFCallOff[Part Name],$A24,T_TTAFCallOff[WeekIndex],29)</f>
        <v/>
      </c>
      <c r="AE24">
        <f>SUMIFS(T_TTAFCallOff[PCS],T_TTAFCallOff[Part Name],$A24,T_TTAFCallOff[WeekIndex],30)</f>
        <v/>
      </c>
      <c r="AF24">
        <f>SUMIFS(T_TTAFCallOff[PCS],T_TTAFCallOff[Part Name],$A24,T_TTAFCallOff[WeekIndex],31)</f>
        <v/>
      </c>
      <c r="AG24">
        <f>SUMIFS(T_TTAFCallOff[PCS],T_TTAFCallOff[Part Name],$A24,T_TTAFCallOff[WeekIndex],32)</f>
        <v/>
      </c>
      <c r="AH24">
        <f>SUMIFS(T_TTAFCallOff[PCS],T_TTAFCallOff[Part Name],$A24,T_TTAFCallOff[WeekIndex],33)</f>
        <v/>
      </c>
      <c r="AI24">
        <f>SUMIFS(T_TTAFCallOff[PCS],T_TTAFCallOff[Part Name],$A24,T_TTAFCallOff[WeekIndex],34)</f>
        <v/>
      </c>
      <c r="AJ24">
        <f>SUMIFS(T_TTAFCallOff[PCS],T_TTAFCallOff[Part Name],$A24,T_TTAFCallOff[WeekIndex],35)</f>
        <v/>
      </c>
      <c r="AK24">
        <f>SUMIFS(T_TTAFCallOff[PCS],T_TTAFCallOff[Part Name],$A24,T_TTAFCallOff[WeekIndex],36)</f>
        <v/>
      </c>
      <c r="AL24">
        <f>SUMIFS(T_TTAFCallOff[PCS],T_TTAFCallOff[Part Name],$A24,T_TTAFCallOff[WeekIndex],37)</f>
        <v/>
      </c>
      <c r="AM24">
        <f>SUMIFS(T_TTAFCallOff[PCS],T_TTAFCallOff[Part Name],$A24,T_TTAFCallOff[WeekIndex],38)</f>
        <v/>
      </c>
      <c r="AN24">
        <f>SUMIFS(T_TTAFCallOff[PCS],T_TTAFCallOff[Part Name],$A24,T_TTAFCallOff[WeekIndex],39)</f>
        <v/>
      </c>
      <c r="AO24">
        <f>SUMIFS(T_TTAFCallOff[PCS],T_TTAFCallOff[Part Name],$A24,T_TTAFCallOff[WeekIndex],40)</f>
        <v/>
      </c>
      <c r="AP24">
        <f>SUMIFS(T_TTAFCallOff[PCS],T_TTAFCallOff[Part Name],$A24,T_TTAFCallOff[WeekIndex],41)</f>
        <v/>
      </c>
      <c r="AQ24">
        <f>SUMIFS(T_TTAFCallOff[PCS],T_TTAFCallOff[Part Name],$A24,T_TTAFCallOff[WeekIndex],42)</f>
        <v/>
      </c>
      <c r="AR24">
        <f>SUMIFS(T_TTAFCallOff[PCS],T_TTAFCallOff[Part Name],$A24,T_TTAFCallOff[WeekIndex],43)</f>
        <v/>
      </c>
      <c r="AS24">
        <f>SUMIFS(T_TTAFCallOff[PCS],T_TTAFCallOff[Part Name],$A24,T_TTAFCallOff[WeekIndex],44)</f>
        <v/>
      </c>
      <c r="AT24">
        <f>SUMIFS(T_TTAFCallOff[PCS],T_TTAFCallOff[Part Name],$A24,T_TTAFCallOff[WeekIndex],45)</f>
        <v/>
      </c>
      <c r="AU24">
        <f>SUMIFS(T_TTAFCallOff[PCS],T_TTAFCallOff[Part Name],$A24,T_TTAFCallOff[WeekIndex],46)</f>
        <v/>
      </c>
      <c r="AV24">
        <f>SUMIFS(T_TTAFCallOff[PCS],T_TTAFCallOff[Part Name],$A24,T_TTAFCallOff[WeekIndex],47)</f>
        <v/>
      </c>
      <c r="AW24">
        <f>SUMIFS(T_TTAFCallOff[PCS],T_TTAFCallOff[Part Name],$A24,T_TTAFCallOff[WeekIndex],48)</f>
        <v/>
      </c>
      <c r="AX24">
        <f>SUMIFS(T_TTAFCallOff[PCS],T_TTAFCallOff[Part Name],$A24,T_TTAFCallOff[WeekIndex],49)</f>
        <v/>
      </c>
      <c r="AY24">
        <f>SUMIFS(T_TTAFCallOff[PCS],T_TTAFCallOff[Part Name],$A24,T_TTAFCallOff[WeekIndex],50)</f>
        <v/>
      </c>
      <c r="AZ24">
        <f>SUMIFS(T_TTAFCallOff[PCS],T_TTAFCallOff[Part Name],$A24,T_TTAFCallOff[WeekIndex],51)</f>
        <v/>
      </c>
      <c r="BA24">
        <f>SUMIFS(T_TTAFCallOff[PCS],T_TTAFCallOff[Part Name],$A24,T_TTAFCallOff[WeekIndex],52)</f>
        <v/>
      </c>
      <c r="BB24">
        <f>SUMIFS(T_TTAFCallOff[PCS],T_TTAFCallOff[Part Name],$A24,T_TTAFCallOff[WeekIndex],53)</f>
        <v/>
      </c>
      <c r="BC24">
        <f>SUMIFS(T_TTAFCallOff[PCS],T_TTAFCallOff[Part Name],$A24,T_TTAFCallOff[WeekIndex],54)</f>
        <v/>
      </c>
      <c r="BD24">
        <f>SUMIFS(T_TTAFCallOff[PCS],T_TTAFCallOff[Part Name],$A24,T_TTAFCallOff[WeekIndex],55)</f>
        <v/>
      </c>
      <c r="BE24">
        <f>SUMIFS(T_TTAFCallOff[PCS],T_TTAFCallOff[Part Name],$A24,T_TTAFCallOff[WeekIndex],56)</f>
        <v/>
      </c>
      <c r="BF24">
        <f>SUMIFS(T_TTAFCallOff[PCS],T_TTAFCallOff[Part Name],$A24,T_TTAFCallOff[WeekIndex],57)</f>
        <v/>
      </c>
      <c r="BG24">
        <f>SUMIFS(T_TTAFCallOff[PCS],T_TTAFCallOff[Part Name],$A24,T_TTAFCallOff[WeekIndex],58)</f>
        <v/>
      </c>
      <c r="BH24">
        <f>SUMIFS(T_TTAFCallOff[PCS],T_TTAFCallOff[Part Name],$A24,T_TTAFCallOff[WeekIndex],59)</f>
        <v/>
      </c>
      <c r="BI24">
        <f>SUMIFS(T_TTAFCallOff[PCS],T_TTAFCallOff[Part Name],$A24,T_TTAFCallOff[WeekIndex],60)</f>
        <v/>
      </c>
      <c r="BJ24">
        <f>SUMIFS(T_TTAFCallOff[PCS],T_TTAFCallOff[Part Name],$A24,T_TTAFCallOff[WeekIndex],61)</f>
        <v/>
      </c>
      <c r="BK24">
        <f>SUMIFS(T_TTAFCallOff[PCS],T_TTAFCallOff[Part Name],$A24,T_TTAFCallOff[WeekIndex],62)</f>
        <v/>
      </c>
      <c r="BL24">
        <f>SUMIFS(T_TTAFCallOff[PCS],T_TTAFCallOff[Part Name],$A24,T_TTAFCallOff[WeekIndex],63)</f>
        <v/>
      </c>
      <c r="BM24">
        <f>SUMIFS(T_TTAFCallOff[PCS],T_TTAFCallOff[Part Name],$A24,T_TTAFCallOff[WeekIndex],64)</f>
        <v/>
      </c>
      <c r="BN24">
        <f>SUMIFS(T_TTAFCallOff[PCS],T_TTAFCallOff[Part Name],$A24,T_TTAFCallOff[WeekIndex],65)</f>
        <v/>
      </c>
      <c r="BO24">
        <f>SUMIFS(T_TTAFCallOff[PCS],T_TTAFCallOff[Part Name],$A24,T_TTAFCallOff[WeekIndex],66)</f>
        <v/>
      </c>
      <c r="BP24">
        <f>SUMIFS(T_TTAFCallOff[PCS],T_TTAFCallOff[Part Name],$A24,T_TTAFCallOff[WeekIndex],67)</f>
        <v/>
      </c>
      <c r="BQ24">
        <f>SUMIFS(T_TTAFCallOff[PCS],T_TTAFCallOff[Part Name],$A24,T_TTAFCallOff[WeekIndex],68)</f>
        <v/>
      </c>
      <c r="BR24">
        <f>SUMIFS(T_TTAFCallOff[PCS],T_TTAFCallOff[Part Name],$A24,T_TTAFCallOff[WeekIndex],69)</f>
        <v/>
      </c>
      <c r="BS24">
        <f>SUMIFS(T_TTAFCallOff[PCS],T_TTAFCallOff[Part Name],$A24,T_TTAFCallOff[WeekIndex],70)</f>
        <v/>
      </c>
      <c r="BT24">
        <f>SUMIFS(T_TTAFCallOff[PCS],T_TTAFCallOff[Part Name],$A24,T_TTAFCallOff[WeekIndex],71)</f>
        <v/>
      </c>
      <c r="BU24">
        <f>SUMIFS(T_TTAFCallOff[PCS],T_TTAFCallOff[Part Name],$A24,T_TTAFCallOff[WeekIndex],72)</f>
        <v/>
      </c>
      <c r="BV24">
        <f>SUMIFS(T_TTAFCallOff[PCS],T_TTAFCallOff[Part Name],$A24,T_TTAFCallOff[WeekIndex],73)</f>
        <v/>
      </c>
      <c r="BW24">
        <f>SUMIFS(T_TTAFCallOff[PCS],T_TTAFCallOff[Part Name],$A24,T_TTAFCallOff[WeekIndex],74)</f>
        <v/>
      </c>
      <c r="BX24">
        <f>SUMIFS(T_TTAFCallOff[PCS],T_TTAFCallOff[Part Name],$A24,T_TTAFCallOff[WeekIndex],75)</f>
        <v/>
      </c>
      <c r="BY24">
        <f>SUMIFS(T_TTAFCallOff[PCS],T_TTAFCallOff[Part Name],$A24,T_TTAFCallOff[WeekIndex],76)</f>
        <v/>
      </c>
      <c r="BZ24">
        <f>SUMIFS(T_TTAFCallOff[PCS],T_TTAFCallOff[Part Name],$A24,T_TTAFCallOff[WeekIndex],77)</f>
        <v/>
      </c>
      <c r="CA24">
        <f>SUMIFS(T_TTAFCallOff[PCS],T_TTAFCallOff[Part Name],$A24,T_TTAFCallOff[WeekIndex],78)</f>
        <v/>
      </c>
      <c r="CB24">
        <f>SUMIFS(T_TTAFCallOff[PCS],T_TTAFCallOff[Part Name],$A24,T_TTAFCallOff[WeekIndex],79)</f>
        <v/>
      </c>
      <c r="CC24">
        <f>SUMIFS(T_TTAFCallOff[PCS],T_TTAFCallOff[Part Name],$A24,T_TTAFCallOff[WeekIndex],80)</f>
        <v/>
      </c>
      <c r="CD24">
        <f>SUMIFS(T_TTAFCallOff[PCS],T_TTAFCallOff[Part Name],$A24,T_TTAFCallOff[WeekIndex],81)</f>
        <v/>
      </c>
      <c r="CE24">
        <f>SUMIFS(T_TTAFCallOff[PCS],T_TTAFCallOff[Part Name],$A24,T_TTAFCallOff[WeekIndex],82)</f>
        <v/>
      </c>
      <c r="CF24">
        <f>SUMIFS(T_TTAFCallOff[PCS],T_TTAFCallOff[Part Name],$A24,T_TTAFCallOff[WeekIndex],83)</f>
        <v/>
      </c>
      <c r="CG24">
        <f>SUMIFS(T_TTAFCallOff[PCS],T_TTAFCallOff[Part Name],$A24,T_TTAFCallOff[WeekIndex],84)</f>
        <v/>
      </c>
      <c r="CH24">
        <f>SUMIFS(T_TTAFCallOff[PCS],T_TTAFCallOff[Part Name],$A24,T_TTAFCallOff[WeekIndex],85)</f>
        <v/>
      </c>
      <c r="CI24">
        <f>SUMIFS(T_TTAFCallOff[PCS],T_TTAFCallOff[Part Name],$A24,T_TTAFCallOff[WeekIndex],86)</f>
        <v/>
      </c>
      <c r="CJ24">
        <f>SUMIFS(T_TTAFCallOff[PCS],T_TTAFCallOff[Part Name],$A24,T_TTAFCallOff[WeekIndex],87)</f>
        <v/>
      </c>
      <c r="CK24">
        <f>SUMIFS(T_TTAFCallOff[PCS],T_TTAFCallOff[Part Name],$A24,T_TTAFCallOff[WeekIndex],88)</f>
        <v/>
      </c>
      <c r="CL24">
        <f>SUMIFS(T_TTAFCallOff[PCS],T_TTAFCallOff[Part Name],$A24,T_TTAFCallOff[WeekIndex],89)</f>
        <v/>
      </c>
      <c r="CM24">
        <f>SUMIFS(T_TTAFCallOff[PCS],T_TTAFCallOff[Part Name],$A24,T_TTAFCallOff[WeekIndex],90)</f>
        <v/>
      </c>
      <c r="CN24">
        <f>SUMIFS(T_TTAFCallOff[PCS],T_TTAFCallOff[Part Name],$A24,T_TTAFCallOff[WeekIndex],91)</f>
        <v/>
      </c>
      <c r="CO24">
        <f>SUMIFS(T_TTAFCallOff[PCS],T_TTAFCallOff[Part Name],$A24,T_TTAFCallOff[WeekIndex],92)</f>
        <v/>
      </c>
      <c r="CP24">
        <f>SUMIFS(T_TTAFCallOff[PCS],T_TTAFCallOff[Part Name],$A24,T_TTAFCallOff[WeekIndex],93)</f>
        <v/>
      </c>
      <c r="CQ24">
        <f>SUMIFS(T_TTAFCallOff[PCS],T_TTAFCallOff[Part Name],$A24,T_TTAFCallOff[WeekIndex],94)</f>
        <v/>
      </c>
      <c r="CR24">
        <f>SUMIFS(T_TTAFCallOff[PCS],T_TTAFCallOff[Part Name],$A24,T_TTAFCallOff[WeekIndex],95)</f>
        <v/>
      </c>
      <c r="CS24">
        <f>SUMIFS(T_TTAFCallOff[PCS],T_TTAFCallOff[Part Name],$A24,T_TTAFCallOff[WeekIndex],96)</f>
        <v/>
      </c>
      <c r="CT24">
        <f>SUMIFS(T_TTAFCallOff[PCS],T_TTAFCallOff[Part Name],$A24,T_TTAFCallOff[WeekIndex],97)</f>
        <v/>
      </c>
      <c r="CU24">
        <f>SUMIFS(T_TTAFCallOff[PCS],T_TTAFCallOff[Part Name],$A24,T_TTAFCallOff[WeekIndex],98)</f>
        <v/>
      </c>
      <c r="CV24">
        <f>SUMIFS(T_TTAFCallOff[PCS],T_TTAFCallOff[Part Name],$A24,T_TTAFCallOff[WeekIndex],99)</f>
        <v/>
      </c>
      <c r="CW24">
        <f>SUMIFS(T_TTAFCallOff[PCS],T_TTAFCallOff[Part Name],$A24,T_TTAFCallOff[WeekIndex],100)</f>
        <v/>
      </c>
      <c r="CX24">
        <f>SUMIFS(T_TTAFCallOff[PCS],T_TTAFCallOff[Part Name],$A24,T_TTAFCallOff[WeekIndex],101)</f>
        <v/>
      </c>
      <c r="CY24">
        <f>SUMIFS(T_TTAFCallOff[PCS],T_TTAFCallOff[Part Name],$A24,T_TTAFCallOff[WeekIndex],102)</f>
        <v/>
      </c>
      <c r="CZ24">
        <f>SUMIFS(T_TTAFCallOff[PCS],T_TTAFCallOff[Part Name],$A24,T_TTAFCallOff[WeekIndex],103)</f>
        <v/>
      </c>
      <c r="DA24">
        <f>SUMIFS(T_TTAFCallOff[PCS],T_TTAFCallOff[Part Name],$A24,T_TTAFCallOff[WeekIndex],104)</f>
        <v/>
      </c>
    </row>
    <row r="25">
      <c r="A25" t="inlineStr">
        <is>
          <t>CHEM-1200</t>
        </is>
      </c>
      <c r="B25">
        <f>SUMIFS(T_TTAFCallOff[PCS],T_TTAFCallOff[Part Name],$A25,T_TTAFCallOff[WeekIndex],1)</f>
        <v/>
      </c>
      <c r="C25">
        <f>SUMIFS(T_TTAFCallOff[PCS],T_TTAFCallOff[Part Name],$A25,T_TTAFCallOff[WeekIndex],2)</f>
        <v/>
      </c>
      <c r="D25">
        <f>SUMIFS(T_TTAFCallOff[PCS],T_TTAFCallOff[Part Name],$A25,T_TTAFCallOff[WeekIndex],3)</f>
        <v/>
      </c>
      <c r="E25">
        <f>SUMIFS(T_TTAFCallOff[PCS],T_TTAFCallOff[Part Name],$A25,T_TTAFCallOff[WeekIndex],4)</f>
        <v/>
      </c>
      <c r="F25">
        <f>SUMIFS(T_TTAFCallOff[PCS],T_TTAFCallOff[Part Name],$A25,T_TTAFCallOff[WeekIndex],5)</f>
        <v/>
      </c>
      <c r="G25">
        <f>SUMIFS(T_TTAFCallOff[PCS],T_TTAFCallOff[Part Name],$A25,T_TTAFCallOff[WeekIndex],6)</f>
        <v/>
      </c>
      <c r="H25">
        <f>SUMIFS(T_TTAFCallOff[PCS],T_TTAFCallOff[Part Name],$A25,T_TTAFCallOff[WeekIndex],7)</f>
        <v/>
      </c>
      <c r="I25">
        <f>SUMIFS(T_TTAFCallOff[PCS],T_TTAFCallOff[Part Name],$A25,T_TTAFCallOff[WeekIndex],8)</f>
        <v/>
      </c>
      <c r="J25">
        <f>SUMIFS(T_TTAFCallOff[PCS],T_TTAFCallOff[Part Name],$A25,T_TTAFCallOff[WeekIndex],9)</f>
        <v/>
      </c>
      <c r="K25">
        <f>SUMIFS(T_TTAFCallOff[PCS],T_TTAFCallOff[Part Name],$A25,T_TTAFCallOff[WeekIndex],10)</f>
        <v/>
      </c>
      <c r="L25">
        <f>SUMIFS(T_TTAFCallOff[PCS],T_TTAFCallOff[Part Name],$A25,T_TTAFCallOff[WeekIndex],11)</f>
        <v/>
      </c>
      <c r="M25">
        <f>SUMIFS(T_TTAFCallOff[PCS],T_TTAFCallOff[Part Name],$A25,T_TTAFCallOff[WeekIndex],12)</f>
        <v/>
      </c>
      <c r="N25">
        <f>SUMIFS(T_TTAFCallOff[PCS],T_TTAFCallOff[Part Name],$A25,T_TTAFCallOff[WeekIndex],13)</f>
        <v/>
      </c>
      <c r="O25">
        <f>SUMIFS(T_TTAFCallOff[PCS],T_TTAFCallOff[Part Name],$A25,T_TTAFCallOff[WeekIndex],14)</f>
        <v/>
      </c>
      <c r="P25">
        <f>SUMIFS(T_TTAFCallOff[PCS],T_TTAFCallOff[Part Name],$A25,T_TTAFCallOff[WeekIndex],15)</f>
        <v/>
      </c>
      <c r="Q25">
        <f>SUMIFS(T_TTAFCallOff[PCS],T_TTAFCallOff[Part Name],$A25,T_TTAFCallOff[WeekIndex],16)</f>
        <v/>
      </c>
      <c r="R25">
        <f>SUMIFS(T_TTAFCallOff[PCS],T_TTAFCallOff[Part Name],$A25,T_TTAFCallOff[WeekIndex],17)</f>
        <v/>
      </c>
      <c r="S25">
        <f>SUMIFS(T_TTAFCallOff[PCS],T_TTAFCallOff[Part Name],$A25,T_TTAFCallOff[WeekIndex],18)</f>
        <v/>
      </c>
      <c r="T25">
        <f>SUMIFS(T_TTAFCallOff[PCS],T_TTAFCallOff[Part Name],$A25,T_TTAFCallOff[WeekIndex],19)</f>
        <v/>
      </c>
      <c r="U25">
        <f>SUMIFS(T_TTAFCallOff[PCS],T_TTAFCallOff[Part Name],$A25,T_TTAFCallOff[WeekIndex],20)</f>
        <v/>
      </c>
      <c r="V25">
        <f>SUMIFS(T_TTAFCallOff[PCS],T_TTAFCallOff[Part Name],$A25,T_TTAFCallOff[WeekIndex],21)</f>
        <v/>
      </c>
      <c r="W25">
        <f>SUMIFS(T_TTAFCallOff[PCS],T_TTAFCallOff[Part Name],$A25,T_TTAFCallOff[WeekIndex],22)</f>
        <v/>
      </c>
      <c r="X25">
        <f>SUMIFS(T_TTAFCallOff[PCS],T_TTAFCallOff[Part Name],$A25,T_TTAFCallOff[WeekIndex],23)</f>
        <v/>
      </c>
      <c r="Y25">
        <f>SUMIFS(T_TTAFCallOff[PCS],T_TTAFCallOff[Part Name],$A25,T_TTAFCallOff[WeekIndex],24)</f>
        <v/>
      </c>
      <c r="Z25">
        <f>SUMIFS(T_TTAFCallOff[PCS],T_TTAFCallOff[Part Name],$A25,T_TTAFCallOff[WeekIndex],25)</f>
        <v/>
      </c>
      <c r="AA25">
        <f>SUMIFS(T_TTAFCallOff[PCS],T_TTAFCallOff[Part Name],$A25,T_TTAFCallOff[WeekIndex],26)</f>
        <v/>
      </c>
      <c r="AB25">
        <f>SUMIFS(T_TTAFCallOff[PCS],T_TTAFCallOff[Part Name],$A25,T_TTAFCallOff[WeekIndex],27)</f>
        <v/>
      </c>
      <c r="AC25">
        <f>SUMIFS(T_TTAFCallOff[PCS],T_TTAFCallOff[Part Name],$A25,T_TTAFCallOff[WeekIndex],28)</f>
        <v/>
      </c>
      <c r="AD25">
        <f>SUMIFS(T_TTAFCallOff[PCS],T_TTAFCallOff[Part Name],$A25,T_TTAFCallOff[WeekIndex],29)</f>
        <v/>
      </c>
      <c r="AE25">
        <f>SUMIFS(T_TTAFCallOff[PCS],T_TTAFCallOff[Part Name],$A25,T_TTAFCallOff[WeekIndex],30)</f>
        <v/>
      </c>
      <c r="AF25">
        <f>SUMIFS(T_TTAFCallOff[PCS],T_TTAFCallOff[Part Name],$A25,T_TTAFCallOff[WeekIndex],31)</f>
        <v/>
      </c>
      <c r="AG25">
        <f>SUMIFS(T_TTAFCallOff[PCS],T_TTAFCallOff[Part Name],$A25,T_TTAFCallOff[WeekIndex],32)</f>
        <v/>
      </c>
      <c r="AH25">
        <f>SUMIFS(T_TTAFCallOff[PCS],T_TTAFCallOff[Part Name],$A25,T_TTAFCallOff[WeekIndex],33)</f>
        <v/>
      </c>
      <c r="AI25">
        <f>SUMIFS(T_TTAFCallOff[PCS],T_TTAFCallOff[Part Name],$A25,T_TTAFCallOff[WeekIndex],34)</f>
        <v/>
      </c>
      <c r="AJ25">
        <f>SUMIFS(T_TTAFCallOff[PCS],T_TTAFCallOff[Part Name],$A25,T_TTAFCallOff[WeekIndex],35)</f>
        <v/>
      </c>
      <c r="AK25">
        <f>SUMIFS(T_TTAFCallOff[PCS],T_TTAFCallOff[Part Name],$A25,T_TTAFCallOff[WeekIndex],36)</f>
        <v/>
      </c>
      <c r="AL25">
        <f>SUMIFS(T_TTAFCallOff[PCS],T_TTAFCallOff[Part Name],$A25,T_TTAFCallOff[WeekIndex],37)</f>
        <v/>
      </c>
      <c r="AM25">
        <f>SUMIFS(T_TTAFCallOff[PCS],T_TTAFCallOff[Part Name],$A25,T_TTAFCallOff[WeekIndex],38)</f>
        <v/>
      </c>
      <c r="AN25">
        <f>SUMIFS(T_TTAFCallOff[PCS],T_TTAFCallOff[Part Name],$A25,T_TTAFCallOff[WeekIndex],39)</f>
        <v/>
      </c>
      <c r="AO25">
        <f>SUMIFS(T_TTAFCallOff[PCS],T_TTAFCallOff[Part Name],$A25,T_TTAFCallOff[WeekIndex],40)</f>
        <v/>
      </c>
      <c r="AP25">
        <f>SUMIFS(T_TTAFCallOff[PCS],T_TTAFCallOff[Part Name],$A25,T_TTAFCallOff[WeekIndex],41)</f>
        <v/>
      </c>
      <c r="AQ25">
        <f>SUMIFS(T_TTAFCallOff[PCS],T_TTAFCallOff[Part Name],$A25,T_TTAFCallOff[WeekIndex],42)</f>
        <v/>
      </c>
      <c r="AR25">
        <f>SUMIFS(T_TTAFCallOff[PCS],T_TTAFCallOff[Part Name],$A25,T_TTAFCallOff[WeekIndex],43)</f>
        <v/>
      </c>
      <c r="AS25">
        <f>SUMIFS(T_TTAFCallOff[PCS],T_TTAFCallOff[Part Name],$A25,T_TTAFCallOff[WeekIndex],44)</f>
        <v/>
      </c>
      <c r="AT25">
        <f>SUMIFS(T_TTAFCallOff[PCS],T_TTAFCallOff[Part Name],$A25,T_TTAFCallOff[WeekIndex],45)</f>
        <v/>
      </c>
      <c r="AU25">
        <f>SUMIFS(T_TTAFCallOff[PCS],T_TTAFCallOff[Part Name],$A25,T_TTAFCallOff[WeekIndex],46)</f>
        <v/>
      </c>
      <c r="AV25">
        <f>SUMIFS(T_TTAFCallOff[PCS],T_TTAFCallOff[Part Name],$A25,T_TTAFCallOff[WeekIndex],47)</f>
        <v/>
      </c>
      <c r="AW25">
        <f>SUMIFS(T_TTAFCallOff[PCS],T_TTAFCallOff[Part Name],$A25,T_TTAFCallOff[WeekIndex],48)</f>
        <v/>
      </c>
      <c r="AX25">
        <f>SUMIFS(T_TTAFCallOff[PCS],T_TTAFCallOff[Part Name],$A25,T_TTAFCallOff[WeekIndex],49)</f>
        <v/>
      </c>
      <c r="AY25">
        <f>SUMIFS(T_TTAFCallOff[PCS],T_TTAFCallOff[Part Name],$A25,T_TTAFCallOff[WeekIndex],50)</f>
        <v/>
      </c>
      <c r="AZ25">
        <f>SUMIFS(T_TTAFCallOff[PCS],T_TTAFCallOff[Part Name],$A25,T_TTAFCallOff[WeekIndex],51)</f>
        <v/>
      </c>
      <c r="BA25">
        <f>SUMIFS(T_TTAFCallOff[PCS],T_TTAFCallOff[Part Name],$A25,T_TTAFCallOff[WeekIndex],52)</f>
        <v/>
      </c>
      <c r="BB25">
        <f>SUMIFS(T_TTAFCallOff[PCS],T_TTAFCallOff[Part Name],$A25,T_TTAFCallOff[WeekIndex],53)</f>
        <v/>
      </c>
      <c r="BC25">
        <f>SUMIFS(T_TTAFCallOff[PCS],T_TTAFCallOff[Part Name],$A25,T_TTAFCallOff[WeekIndex],54)</f>
        <v/>
      </c>
      <c r="BD25">
        <f>SUMIFS(T_TTAFCallOff[PCS],T_TTAFCallOff[Part Name],$A25,T_TTAFCallOff[WeekIndex],55)</f>
        <v/>
      </c>
      <c r="BE25">
        <f>SUMIFS(T_TTAFCallOff[PCS],T_TTAFCallOff[Part Name],$A25,T_TTAFCallOff[WeekIndex],56)</f>
        <v/>
      </c>
      <c r="BF25">
        <f>SUMIFS(T_TTAFCallOff[PCS],T_TTAFCallOff[Part Name],$A25,T_TTAFCallOff[WeekIndex],57)</f>
        <v/>
      </c>
      <c r="BG25">
        <f>SUMIFS(T_TTAFCallOff[PCS],T_TTAFCallOff[Part Name],$A25,T_TTAFCallOff[WeekIndex],58)</f>
        <v/>
      </c>
      <c r="BH25">
        <f>SUMIFS(T_TTAFCallOff[PCS],T_TTAFCallOff[Part Name],$A25,T_TTAFCallOff[WeekIndex],59)</f>
        <v/>
      </c>
      <c r="BI25">
        <f>SUMIFS(T_TTAFCallOff[PCS],T_TTAFCallOff[Part Name],$A25,T_TTAFCallOff[WeekIndex],60)</f>
        <v/>
      </c>
      <c r="BJ25">
        <f>SUMIFS(T_TTAFCallOff[PCS],T_TTAFCallOff[Part Name],$A25,T_TTAFCallOff[WeekIndex],61)</f>
        <v/>
      </c>
      <c r="BK25">
        <f>SUMIFS(T_TTAFCallOff[PCS],T_TTAFCallOff[Part Name],$A25,T_TTAFCallOff[WeekIndex],62)</f>
        <v/>
      </c>
      <c r="BL25">
        <f>SUMIFS(T_TTAFCallOff[PCS],T_TTAFCallOff[Part Name],$A25,T_TTAFCallOff[WeekIndex],63)</f>
        <v/>
      </c>
      <c r="BM25">
        <f>SUMIFS(T_TTAFCallOff[PCS],T_TTAFCallOff[Part Name],$A25,T_TTAFCallOff[WeekIndex],64)</f>
        <v/>
      </c>
      <c r="BN25">
        <f>SUMIFS(T_TTAFCallOff[PCS],T_TTAFCallOff[Part Name],$A25,T_TTAFCallOff[WeekIndex],65)</f>
        <v/>
      </c>
      <c r="BO25">
        <f>SUMIFS(T_TTAFCallOff[PCS],T_TTAFCallOff[Part Name],$A25,T_TTAFCallOff[WeekIndex],66)</f>
        <v/>
      </c>
      <c r="BP25">
        <f>SUMIFS(T_TTAFCallOff[PCS],T_TTAFCallOff[Part Name],$A25,T_TTAFCallOff[WeekIndex],67)</f>
        <v/>
      </c>
      <c r="BQ25">
        <f>SUMIFS(T_TTAFCallOff[PCS],T_TTAFCallOff[Part Name],$A25,T_TTAFCallOff[WeekIndex],68)</f>
        <v/>
      </c>
      <c r="BR25">
        <f>SUMIFS(T_TTAFCallOff[PCS],T_TTAFCallOff[Part Name],$A25,T_TTAFCallOff[WeekIndex],69)</f>
        <v/>
      </c>
      <c r="BS25">
        <f>SUMIFS(T_TTAFCallOff[PCS],T_TTAFCallOff[Part Name],$A25,T_TTAFCallOff[WeekIndex],70)</f>
        <v/>
      </c>
      <c r="BT25">
        <f>SUMIFS(T_TTAFCallOff[PCS],T_TTAFCallOff[Part Name],$A25,T_TTAFCallOff[WeekIndex],71)</f>
        <v/>
      </c>
      <c r="BU25">
        <f>SUMIFS(T_TTAFCallOff[PCS],T_TTAFCallOff[Part Name],$A25,T_TTAFCallOff[WeekIndex],72)</f>
        <v/>
      </c>
      <c r="BV25">
        <f>SUMIFS(T_TTAFCallOff[PCS],T_TTAFCallOff[Part Name],$A25,T_TTAFCallOff[WeekIndex],73)</f>
        <v/>
      </c>
      <c r="BW25">
        <f>SUMIFS(T_TTAFCallOff[PCS],T_TTAFCallOff[Part Name],$A25,T_TTAFCallOff[WeekIndex],74)</f>
        <v/>
      </c>
      <c r="BX25">
        <f>SUMIFS(T_TTAFCallOff[PCS],T_TTAFCallOff[Part Name],$A25,T_TTAFCallOff[WeekIndex],75)</f>
        <v/>
      </c>
      <c r="BY25">
        <f>SUMIFS(T_TTAFCallOff[PCS],T_TTAFCallOff[Part Name],$A25,T_TTAFCallOff[WeekIndex],76)</f>
        <v/>
      </c>
      <c r="BZ25">
        <f>SUMIFS(T_TTAFCallOff[PCS],T_TTAFCallOff[Part Name],$A25,T_TTAFCallOff[WeekIndex],77)</f>
        <v/>
      </c>
      <c r="CA25">
        <f>SUMIFS(T_TTAFCallOff[PCS],T_TTAFCallOff[Part Name],$A25,T_TTAFCallOff[WeekIndex],78)</f>
        <v/>
      </c>
      <c r="CB25">
        <f>SUMIFS(T_TTAFCallOff[PCS],T_TTAFCallOff[Part Name],$A25,T_TTAFCallOff[WeekIndex],79)</f>
        <v/>
      </c>
      <c r="CC25">
        <f>SUMIFS(T_TTAFCallOff[PCS],T_TTAFCallOff[Part Name],$A25,T_TTAFCallOff[WeekIndex],80)</f>
        <v/>
      </c>
      <c r="CD25">
        <f>SUMIFS(T_TTAFCallOff[PCS],T_TTAFCallOff[Part Name],$A25,T_TTAFCallOff[WeekIndex],81)</f>
        <v/>
      </c>
      <c r="CE25">
        <f>SUMIFS(T_TTAFCallOff[PCS],T_TTAFCallOff[Part Name],$A25,T_TTAFCallOff[WeekIndex],82)</f>
        <v/>
      </c>
      <c r="CF25">
        <f>SUMIFS(T_TTAFCallOff[PCS],T_TTAFCallOff[Part Name],$A25,T_TTAFCallOff[WeekIndex],83)</f>
        <v/>
      </c>
      <c r="CG25">
        <f>SUMIFS(T_TTAFCallOff[PCS],T_TTAFCallOff[Part Name],$A25,T_TTAFCallOff[WeekIndex],84)</f>
        <v/>
      </c>
      <c r="CH25">
        <f>SUMIFS(T_TTAFCallOff[PCS],T_TTAFCallOff[Part Name],$A25,T_TTAFCallOff[WeekIndex],85)</f>
        <v/>
      </c>
      <c r="CI25">
        <f>SUMIFS(T_TTAFCallOff[PCS],T_TTAFCallOff[Part Name],$A25,T_TTAFCallOff[WeekIndex],86)</f>
        <v/>
      </c>
      <c r="CJ25">
        <f>SUMIFS(T_TTAFCallOff[PCS],T_TTAFCallOff[Part Name],$A25,T_TTAFCallOff[WeekIndex],87)</f>
        <v/>
      </c>
      <c r="CK25">
        <f>SUMIFS(T_TTAFCallOff[PCS],T_TTAFCallOff[Part Name],$A25,T_TTAFCallOff[WeekIndex],88)</f>
        <v/>
      </c>
      <c r="CL25">
        <f>SUMIFS(T_TTAFCallOff[PCS],T_TTAFCallOff[Part Name],$A25,T_TTAFCallOff[WeekIndex],89)</f>
        <v/>
      </c>
      <c r="CM25">
        <f>SUMIFS(T_TTAFCallOff[PCS],T_TTAFCallOff[Part Name],$A25,T_TTAFCallOff[WeekIndex],90)</f>
        <v/>
      </c>
      <c r="CN25">
        <f>SUMIFS(T_TTAFCallOff[PCS],T_TTAFCallOff[Part Name],$A25,T_TTAFCallOff[WeekIndex],91)</f>
        <v/>
      </c>
      <c r="CO25">
        <f>SUMIFS(T_TTAFCallOff[PCS],T_TTAFCallOff[Part Name],$A25,T_TTAFCallOff[WeekIndex],92)</f>
        <v/>
      </c>
      <c r="CP25">
        <f>SUMIFS(T_TTAFCallOff[PCS],T_TTAFCallOff[Part Name],$A25,T_TTAFCallOff[WeekIndex],93)</f>
        <v/>
      </c>
      <c r="CQ25">
        <f>SUMIFS(T_TTAFCallOff[PCS],T_TTAFCallOff[Part Name],$A25,T_TTAFCallOff[WeekIndex],94)</f>
        <v/>
      </c>
      <c r="CR25">
        <f>SUMIFS(T_TTAFCallOff[PCS],T_TTAFCallOff[Part Name],$A25,T_TTAFCallOff[WeekIndex],95)</f>
        <v/>
      </c>
      <c r="CS25">
        <f>SUMIFS(T_TTAFCallOff[PCS],T_TTAFCallOff[Part Name],$A25,T_TTAFCallOff[WeekIndex],96)</f>
        <v/>
      </c>
      <c r="CT25">
        <f>SUMIFS(T_TTAFCallOff[PCS],T_TTAFCallOff[Part Name],$A25,T_TTAFCallOff[WeekIndex],97)</f>
        <v/>
      </c>
      <c r="CU25">
        <f>SUMIFS(T_TTAFCallOff[PCS],T_TTAFCallOff[Part Name],$A25,T_TTAFCallOff[WeekIndex],98)</f>
        <v/>
      </c>
      <c r="CV25">
        <f>SUMIFS(T_TTAFCallOff[PCS],T_TTAFCallOff[Part Name],$A25,T_TTAFCallOff[WeekIndex],99)</f>
        <v/>
      </c>
      <c r="CW25">
        <f>SUMIFS(T_TTAFCallOff[PCS],T_TTAFCallOff[Part Name],$A25,T_TTAFCallOff[WeekIndex],100)</f>
        <v/>
      </c>
      <c r="CX25">
        <f>SUMIFS(T_TTAFCallOff[PCS],T_TTAFCallOff[Part Name],$A25,T_TTAFCallOff[WeekIndex],101)</f>
        <v/>
      </c>
      <c r="CY25">
        <f>SUMIFS(T_TTAFCallOff[PCS],T_TTAFCallOff[Part Name],$A25,T_TTAFCallOff[WeekIndex],102)</f>
        <v/>
      </c>
      <c r="CZ25">
        <f>SUMIFS(T_TTAFCallOff[PCS],T_TTAFCallOff[Part Name],$A25,T_TTAFCallOff[WeekIndex],103)</f>
        <v/>
      </c>
      <c r="DA25">
        <f>SUMIFS(T_TTAFCallOff[PCS],T_TTAFCallOff[Part Name],$A25,T_TTAFCallOff[WeekIndex],104)</f>
        <v/>
      </c>
    </row>
    <row r="26">
      <c r="A26" t="inlineStr">
        <is>
          <t>CHEM-1830</t>
        </is>
      </c>
      <c r="B26">
        <f>SUMIFS(T_TTAFCallOff[PCS],T_TTAFCallOff[Part Name],$A26,T_TTAFCallOff[WeekIndex],1)</f>
        <v/>
      </c>
      <c r="C26">
        <f>SUMIFS(T_TTAFCallOff[PCS],T_TTAFCallOff[Part Name],$A26,T_TTAFCallOff[WeekIndex],2)</f>
        <v/>
      </c>
      <c r="D26">
        <f>SUMIFS(T_TTAFCallOff[PCS],T_TTAFCallOff[Part Name],$A26,T_TTAFCallOff[WeekIndex],3)</f>
        <v/>
      </c>
      <c r="E26">
        <f>SUMIFS(T_TTAFCallOff[PCS],T_TTAFCallOff[Part Name],$A26,T_TTAFCallOff[WeekIndex],4)</f>
        <v/>
      </c>
      <c r="F26">
        <f>SUMIFS(T_TTAFCallOff[PCS],T_TTAFCallOff[Part Name],$A26,T_TTAFCallOff[WeekIndex],5)</f>
        <v/>
      </c>
      <c r="G26">
        <f>SUMIFS(T_TTAFCallOff[PCS],T_TTAFCallOff[Part Name],$A26,T_TTAFCallOff[WeekIndex],6)</f>
        <v/>
      </c>
      <c r="H26">
        <f>SUMIFS(T_TTAFCallOff[PCS],T_TTAFCallOff[Part Name],$A26,T_TTAFCallOff[WeekIndex],7)</f>
        <v/>
      </c>
      <c r="I26">
        <f>SUMIFS(T_TTAFCallOff[PCS],T_TTAFCallOff[Part Name],$A26,T_TTAFCallOff[WeekIndex],8)</f>
        <v/>
      </c>
      <c r="J26">
        <f>SUMIFS(T_TTAFCallOff[PCS],T_TTAFCallOff[Part Name],$A26,T_TTAFCallOff[WeekIndex],9)</f>
        <v/>
      </c>
      <c r="K26">
        <f>SUMIFS(T_TTAFCallOff[PCS],T_TTAFCallOff[Part Name],$A26,T_TTAFCallOff[WeekIndex],10)</f>
        <v/>
      </c>
      <c r="L26">
        <f>SUMIFS(T_TTAFCallOff[PCS],T_TTAFCallOff[Part Name],$A26,T_TTAFCallOff[WeekIndex],11)</f>
        <v/>
      </c>
      <c r="M26">
        <f>SUMIFS(T_TTAFCallOff[PCS],T_TTAFCallOff[Part Name],$A26,T_TTAFCallOff[WeekIndex],12)</f>
        <v/>
      </c>
      <c r="N26">
        <f>SUMIFS(T_TTAFCallOff[PCS],T_TTAFCallOff[Part Name],$A26,T_TTAFCallOff[WeekIndex],13)</f>
        <v/>
      </c>
      <c r="O26">
        <f>SUMIFS(T_TTAFCallOff[PCS],T_TTAFCallOff[Part Name],$A26,T_TTAFCallOff[WeekIndex],14)</f>
        <v/>
      </c>
      <c r="P26">
        <f>SUMIFS(T_TTAFCallOff[PCS],T_TTAFCallOff[Part Name],$A26,T_TTAFCallOff[WeekIndex],15)</f>
        <v/>
      </c>
      <c r="Q26">
        <f>SUMIFS(T_TTAFCallOff[PCS],T_TTAFCallOff[Part Name],$A26,T_TTAFCallOff[WeekIndex],16)</f>
        <v/>
      </c>
      <c r="R26">
        <f>SUMIFS(T_TTAFCallOff[PCS],T_TTAFCallOff[Part Name],$A26,T_TTAFCallOff[WeekIndex],17)</f>
        <v/>
      </c>
      <c r="S26">
        <f>SUMIFS(T_TTAFCallOff[PCS],T_TTAFCallOff[Part Name],$A26,T_TTAFCallOff[WeekIndex],18)</f>
        <v/>
      </c>
      <c r="T26">
        <f>SUMIFS(T_TTAFCallOff[PCS],T_TTAFCallOff[Part Name],$A26,T_TTAFCallOff[WeekIndex],19)</f>
        <v/>
      </c>
      <c r="U26">
        <f>SUMIFS(T_TTAFCallOff[PCS],T_TTAFCallOff[Part Name],$A26,T_TTAFCallOff[WeekIndex],20)</f>
        <v/>
      </c>
      <c r="V26">
        <f>SUMIFS(T_TTAFCallOff[PCS],T_TTAFCallOff[Part Name],$A26,T_TTAFCallOff[WeekIndex],21)</f>
        <v/>
      </c>
      <c r="W26">
        <f>SUMIFS(T_TTAFCallOff[PCS],T_TTAFCallOff[Part Name],$A26,T_TTAFCallOff[WeekIndex],22)</f>
        <v/>
      </c>
      <c r="X26">
        <f>SUMIFS(T_TTAFCallOff[PCS],T_TTAFCallOff[Part Name],$A26,T_TTAFCallOff[WeekIndex],23)</f>
        <v/>
      </c>
      <c r="Y26">
        <f>SUMIFS(T_TTAFCallOff[PCS],T_TTAFCallOff[Part Name],$A26,T_TTAFCallOff[WeekIndex],24)</f>
        <v/>
      </c>
      <c r="Z26">
        <f>SUMIFS(T_TTAFCallOff[PCS],T_TTAFCallOff[Part Name],$A26,T_TTAFCallOff[WeekIndex],25)</f>
        <v/>
      </c>
      <c r="AA26">
        <f>SUMIFS(T_TTAFCallOff[PCS],T_TTAFCallOff[Part Name],$A26,T_TTAFCallOff[WeekIndex],26)</f>
        <v/>
      </c>
      <c r="AB26">
        <f>SUMIFS(T_TTAFCallOff[PCS],T_TTAFCallOff[Part Name],$A26,T_TTAFCallOff[WeekIndex],27)</f>
        <v/>
      </c>
      <c r="AC26">
        <f>SUMIFS(T_TTAFCallOff[PCS],T_TTAFCallOff[Part Name],$A26,T_TTAFCallOff[WeekIndex],28)</f>
        <v/>
      </c>
      <c r="AD26">
        <f>SUMIFS(T_TTAFCallOff[PCS],T_TTAFCallOff[Part Name],$A26,T_TTAFCallOff[WeekIndex],29)</f>
        <v/>
      </c>
      <c r="AE26">
        <f>SUMIFS(T_TTAFCallOff[PCS],T_TTAFCallOff[Part Name],$A26,T_TTAFCallOff[WeekIndex],30)</f>
        <v/>
      </c>
      <c r="AF26">
        <f>SUMIFS(T_TTAFCallOff[PCS],T_TTAFCallOff[Part Name],$A26,T_TTAFCallOff[WeekIndex],31)</f>
        <v/>
      </c>
      <c r="AG26">
        <f>SUMIFS(T_TTAFCallOff[PCS],T_TTAFCallOff[Part Name],$A26,T_TTAFCallOff[WeekIndex],32)</f>
        <v/>
      </c>
      <c r="AH26">
        <f>SUMIFS(T_TTAFCallOff[PCS],T_TTAFCallOff[Part Name],$A26,T_TTAFCallOff[WeekIndex],33)</f>
        <v/>
      </c>
      <c r="AI26">
        <f>SUMIFS(T_TTAFCallOff[PCS],T_TTAFCallOff[Part Name],$A26,T_TTAFCallOff[WeekIndex],34)</f>
        <v/>
      </c>
      <c r="AJ26">
        <f>SUMIFS(T_TTAFCallOff[PCS],T_TTAFCallOff[Part Name],$A26,T_TTAFCallOff[WeekIndex],35)</f>
        <v/>
      </c>
      <c r="AK26">
        <f>SUMIFS(T_TTAFCallOff[PCS],T_TTAFCallOff[Part Name],$A26,T_TTAFCallOff[WeekIndex],36)</f>
        <v/>
      </c>
      <c r="AL26">
        <f>SUMIFS(T_TTAFCallOff[PCS],T_TTAFCallOff[Part Name],$A26,T_TTAFCallOff[WeekIndex],37)</f>
        <v/>
      </c>
      <c r="AM26">
        <f>SUMIFS(T_TTAFCallOff[PCS],T_TTAFCallOff[Part Name],$A26,T_TTAFCallOff[WeekIndex],38)</f>
        <v/>
      </c>
      <c r="AN26">
        <f>SUMIFS(T_TTAFCallOff[PCS],T_TTAFCallOff[Part Name],$A26,T_TTAFCallOff[WeekIndex],39)</f>
        <v/>
      </c>
      <c r="AO26">
        <f>SUMIFS(T_TTAFCallOff[PCS],T_TTAFCallOff[Part Name],$A26,T_TTAFCallOff[WeekIndex],40)</f>
        <v/>
      </c>
      <c r="AP26">
        <f>SUMIFS(T_TTAFCallOff[PCS],T_TTAFCallOff[Part Name],$A26,T_TTAFCallOff[WeekIndex],41)</f>
        <v/>
      </c>
      <c r="AQ26">
        <f>SUMIFS(T_TTAFCallOff[PCS],T_TTAFCallOff[Part Name],$A26,T_TTAFCallOff[WeekIndex],42)</f>
        <v/>
      </c>
      <c r="AR26">
        <f>SUMIFS(T_TTAFCallOff[PCS],T_TTAFCallOff[Part Name],$A26,T_TTAFCallOff[WeekIndex],43)</f>
        <v/>
      </c>
      <c r="AS26">
        <f>SUMIFS(T_TTAFCallOff[PCS],T_TTAFCallOff[Part Name],$A26,T_TTAFCallOff[WeekIndex],44)</f>
        <v/>
      </c>
      <c r="AT26">
        <f>SUMIFS(T_TTAFCallOff[PCS],T_TTAFCallOff[Part Name],$A26,T_TTAFCallOff[WeekIndex],45)</f>
        <v/>
      </c>
      <c r="AU26">
        <f>SUMIFS(T_TTAFCallOff[PCS],T_TTAFCallOff[Part Name],$A26,T_TTAFCallOff[WeekIndex],46)</f>
        <v/>
      </c>
      <c r="AV26">
        <f>SUMIFS(T_TTAFCallOff[PCS],T_TTAFCallOff[Part Name],$A26,T_TTAFCallOff[WeekIndex],47)</f>
        <v/>
      </c>
      <c r="AW26">
        <f>SUMIFS(T_TTAFCallOff[PCS],T_TTAFCallOff[Part Name],$A26,T_TTAFCallOff[WeekIndex],48)</f>
        <v/>
      </c>
      <c r="AX26">
        <f>SUMIFS(T_TTAFCallOff[PCS],T_TTAFCallOff[Part Name],$A26,T_TTAFCallOff[WeekIndex],49)</f>
        <v/>
      </c>
      <c r="AY26">
        <f>SUMIFS(T_TTAFCallOff[PCS],T_TTAFCallOff[Part Name],$A26,T_TTAFCallOff[WeekIndex],50)</f>
        <v/>
      </c>
      <c r="AZ26">
        <f>SUMIFS(T_TTAFCallOff[PCS],T_TTAFCallOff[Part Name],$A26,T_TTAFCallOff[WeekIndex],51)</f>
        <v/>
      </c>
      <c r="BA26">
        <f>SUMIFS(T_TTAFCallOff[PCS],T_TTAFCallOff[Part Name],$A26,T_TTAFCallOff[WeekIndex],52)</f>
        <v/>
      </c>
      <c r="BB26">
        <f>SUMIFS(T_TTAFCallOff[PCS],T_TTAFCallOff[Part Name],$A26,T_TTAFCallOff[WeekIndex],53)</f>
        <v/>
      </c>
      <c r="BC26">
        <f>SUMIFS(T_TTAFCallOff[PCS],T_TTAFCallOff[Part Name],$A26,T_TTAFCallOff[WeekIndex],54)</f>
        <v/>
      </c>
      <c r="BD26">
        <f>SUMIFS(T_TTAFCallOff[PCS],T_TTAFCallOff[Part Name],$A26,T_TTAFCallOff[WeekIndex],55)</f>
        <v/>
      </c>
      <c r="BE26">
        <f>SUMIFS(T_TTAFCallOff[PCS],T_TTAFCallOff[Part Name],$A26,T_TTAFCallOff[WeekIndex],56)</f>
        <v/>
      </c>
      <c r="BF26">
        <f>SUMIFS(T_TTAFCallOff[PCS],T_TTAFCallOff[Part Name],$A26,T_TTAFCallOff[WeekIndex],57)</f>
        <v/>
      </c>
      <c r="BG26">
        <f>SUMIFS(T_TTAFCallOff[PCS],T_TTAFCallOff[Part Name],$A26,T_TTAFCallOff[WeekIndex],58)</f>
        <v/>
      </c>
      <c r="BH26">
        <f>SUMIFS(T_TTAFCallOff[PCS],T_TTAFCallOff[Part Name],$A26,T_TTAFCallOff[WeekIndex],59)</f>
        <v/>
      </c>
      <c r="BI26">
        <f>SUMIFS(T_TTAFCallOff[PCS],T_TTAFCallOff[Part Name],$A26,T_TTAFCallOff[WeekIndex],60)</f>
        <v/>
      </c>
      <c r="BJ26">
        <f>SUMIFS(T_TTAFCallOff[PCS],T_TTAFCallOff[Part Name],$A26,T_TTAFCallOff[WeekIndex],61)</f>
        <v/>
      </c>
      <c r="BK26">
        <f>SUMIFS(T_TTAFCallOff[PCS],T_TTAFCallOff[Part Name],$A26,T_TTAFCallOff[WeekIndex],62)</f>
        <v/>
      </c>
      <c r="BL26">
        <f>SUMIFS(T_TTAFCallOff[PCS],T_TTAFCallOff[Part Name],$A26,T_TTAFCallOff[WeekIndex],63)</f>
        <v/>
      </c>
      <c r="BM26">
        <f>SUMIFS(T_TTAFCallOff[PCS],T_TTAFCallOff[Part Name],$A26,T_TTAFCallOff[WeekIndex],64)</f>
        <v/>
      </c>
      <c r="BN26">
        <f>SUMIFS(T_TTAFCallOff[PCS],T_TTAFCallOff[Part Name],$A26,T_TTAFCallOff[WeekIndex],65)</f>
        <v/>
      </c>
      <c r="BO26">
        <f>SUMIFS(T_TTAFCallOff[PCS],T_TTAFCallOff[Part Name],$A26,T_TTAFCallOff[WeekIndex],66)</f>
        <v/>
      </c>
      <c r="BP26">
        <f>SUMIFS(T_TTAFCallOff[PCS],T_TTAFCallOff[Part Name],$A26,T_TTAFCallOff[WeekIndex],67)</f>
        <v/>
      </c>
      <c r="BQ26">
        <f>SUMIFS(T_TTAFCallOff[PCS],T_TTAFCallOff[Part Name],$A26,T_TTAFCallOff[WeekIndex],68)</f>
        <v/>
      </c>
      <c r="BR26">
        <f>SUMIFS(T_TTAFCallOff[PCS],T_TTAFCallOff[Part Name],$A26,T_TTAFCallOff[WeekIndex],69)</f>
        <v/>
      </c>
      <c r="BS26">
        <f>SUMIFS(T_TTAFCallOff[PCS],T_TTAFCallOff[Part Name],$A26,T_TTAFCallOff[WeekIndex],70)</f>
        <v/>
      </c>
      <c r="BT26">
        <f>SUMIFS(T_TTAFCallOff[PCS],T_TTAFCallOff[Part Name],$A26,T_TTAFCallOff[WeekIndex],71)</f>
        <v/>
      </c>
      <c r="BU26">
        <f>SUMIFS(T_TTAFCallOff[PCS],T_TTAFCallOff[Part Name],$A26,T_TTAFCallOff[WeekIndex],72)</f>
        <v/>
      </c>
      <c r="BV26">
        <f>SUMIFS(T_TTAFCallOff[PCS],T_TTAFCallOff[Part Name],$A26,T_TTAFCallOff[WeekIndex],73)</f>
        <v/>
      </c>
      <c r="BW26">
        <f>SUMIFS(T_TTAFCallOff[PCS],T_TTAFCallOff[Part Name],$A26,T_TTAFCallOff[WeekIndex],74)</f>
        <v/>
      </c>
      <c r="BX26">
        <f>SUMIFS(T_TTAFCallOff[PCS],T_TTAFCallOff[Part Name],$A26,T_TTAFCallOff[WeekIndex],75)</f>
        <v/>
      </c>
      <c r="BY26">
        <f>SUMIFS(T_TTAFCallOff[PCS],T_TTAFCallOff[Part Name],$A26,T_TTAFCallOff[WeekIndex],76)</f>
        <v/>
      </c>
      <c r="BZ26">
        <f>SUMIFS(T_TTAFCallOff[PCS],T_TTAFCallOff[Part Name],$A26,T_TTAFCallOff[WeekIndex],77)</f>
        <v/>
      </c>
      <c r="CA26">
        <f>SUMIFS(T_TTAFCallOff[PCS],T_TTAFCallOff[Part Name],$A26,T_TTAFCallOff[WeekIndex],78)</f>
        <v/>
      </c>
      <c r="CB26">
        <f>SUMIFS(T_TTAFCallOff[PCS],T_TTAFCallOff[Part Name],$A26,T_TTAFCallOff[WeekIndex],79)</f>
        <v/>
      </c>
      <c r="CC26">
        <f>SUMIFS(T_TTAFCallOff[PCS],T_TTAFCallOff[Part Name],$A26,T_TTAFCallOff[WeekIndex],80)</f>
        <v/>
      </c>
      <c r="CD26">
        <f>SUMIFS(T_TTAFCallOff[PCS],T_TTAFCallOff[Part Name],$A26,T_TTAFCallOff[WeekIndex],81)</f>
        <v/>
      </c>
      <c r="CE26">
        <f>SUMIFS(T_TTAFCallOff[PCS],T_TTAFCallOff[Part Name],$A26,T_TTAFCallOff[WeekIndex],82)</f>
        <v/>
      </c>
      <c r="CF26">
        <f>SUMIFS(T_TTAFCallOff[PCS],T_TTAFCallOff[Part Name],$A26,T_TTAFCallOff[WeekIndex],83)</f>
        <v/>
      </c>
      <c r="CG26">
        <f>SUMIFS(T_TTAFCallOff[PCS],T_TTAFCallOff[Part Name],$A26,T_TTAFCallOff[WeekIndex],84)</f>
        <v/>
      </c>
      <c r="CH26">
        <f>SUMIFS(T_TTAFCallOff[PCS],T_TTAFCallOff[Part Name],$A26,T_TTAFCallOff[WeekIndex],85)</f>
        <v/>
      </c>
      <c r="CI26">
        <f>SUMIFS(T_TTAFCallOff[PCS],T_TTAFCallOff[Part Name],$A26,T_TTAFCallOff[WeekIndex],86)</f>
        <v/>
      </c>
      <c r="CJ26">
        <f>SUMIFS(T_TTAFCallOff[PCS],T_TTAFCallOff[Part Name],$A26,T_TTAFCallOff[WeekIndex],87)</f>
        <v/>
      </c>
      <c r="CK26">
        <f>SUMIFS(T_TTAFCallOff[PCS],T_TTAFCallOff[Part Name],$A26,T_TTAFCallOff[WeekIndex],88)</f>
        <v/>
      </c>
      <c r="CL26">
        <f>SUMIFS(T_TTAFCallOff[PCS],T_TTAFCallOff[Part Name],$A26,T_TTAFCallOff[WeekIndex],89)</f>
        <v/>
      </c>
      <c r="CM26">
        <f>SUMIFS(T_TTAFCallOff[PCS],T_TTAFCallOff[Part Name],$A26,T_TTAFCallOff[WeekIndex],90)</f>
        <v/>
      </c>
      <c r="CN26">
        <f>SUMIFS(T_TTAFCallOff[PCS],T_TTAFCallOff[Part Name],$A26,T_TTAFCallOff[WeekIndex],91)</f>
        <v/>
      </c>
      <c r="CO26">
        <f>SUMIFS(T_TTAFCallOff[PCS],T_TTAFCallOff[Part Name],$A26,T_TTAFCallOff[WeekIndex],92)</f>
        <v/>
      </c>
      <c r="CP26">
        <f>SUMIFS(T_TTAFCallOff[PCS],T_TTAFCallOff[Part Name],$A26,T_TTAFCallOff[WeekIndex],93)</f>
        <v/>
      </c>
      <c r="CQ26">
        <f>SUMIFS(T_TTAFCallOff[PCS],T_TTAFCallOff[Part Name],$A26,T_TTAFCallOff[WeekIndex],94)</f>
        <v/>
      </c>
      <c r="CR26">
        <f>SUMIFS(T_TTAFCallOff[PCS],T_TTAFCallOff[Part Name],$A26,T_TTAFCallOff[WeekIndex],95)</f>
        <v/>
      </c>
      <c r="CS26">
        <f>SUMIFS(T_TTAFCallOff[PCS],T_TTAFCallOff[Part Name],$A26,T_TTAFCallOff[WeekIndex],96)</f>
        <v/>
      </c>
      <c r="CT26">
        <f>SUMIFS(T_TTAFCallOff[PCS],T_TTAFCallOff[Part Name],$A26,T_TTAFCallOff[WeekIndex],97)</f>
        <v/>
      </c>
      <c r="CU26">
        <f>SUMIFS(T_TTAFCallOff[PCS],T_TTAFCallOff[Part Name],$A26,T_TTAFCallOff[WeekIndex],98)</f>
        <v/>
      </c>
      <c r="CV26">
        <f>SUMIFS(T_TTAFCallOff[PCS],T_TTAFCallOff[Part Name],$A26,T_TTAFCallOff[WeekIndex],99)</f>
        <v/>
      </c>
      <c r="CW26">
        <f>SUMIFS(T_TTAFCallOff[PCS],T_TTAFCallOff[Part Name],$A26,T_TTAFCallOff[WeekIndex],100)</f>
        <v/>
      </c>
      <c r="CX26">
        <f>SUMIFS(T_TTAFCallOff[PCS],T_TTAFCallOff[Part Name],$A26,T_TTAFCallOff[WeekIndex],101)</f>
        <v/>
      </c>
      <c r="CY26">
        <f>SUMIFS(T_TTAFCallOff[PCS],T_TTAFCallOff[Part Name],$A26,T_TTAFCallOff[WeekIndex],102)</f>
        <v/>
      </c>
      <c r="CZ26">
        <f>SUMIFS(T_TTAFCallOff[PCS],T_TTAFCallOff[Part Name],$A26,T_TTAFCallOff[WeekIndex],103)</f>
        <v/>
      </c>
      <c r="DA26">
        <f>SUMIFS(T_TTAFCallOff[PCS],T_TTAFCallOff[Part Name],$A26,T_TTAFCallOff[WeekIndex],104)</f>
        <v/>
      </c>
    </row>
    <row r="27">
      <c r="A27" t="inlineStr">
        <is>
          <t>CHEM-1680</t>
        </is>
      </c>
      <c r="B27">
        <f>SUMIFS(T_TTAFCallOff[PCS],T_TTAFCallOff[Part Name],$A27,T_TTAFCallOff[WeekIndex],1)</f>
        <v/>
      </c>
      <c r="C27">
        <f>SUMIFS(T_TTAFCallOff[PCS],T_TTAFCallOff[Part Name],$A27,T_TTAFCallOff[WeekIndex],2)</f>
        <v/>
      </c>
      <c r="D27">
        <f>SUMIFS(T_TTAFCallOff[PCS],T_TTAFCallOff[Part Name],$A27,T_TTAFCallOff[WeekIndex],3)</f>
        <v/>
      </c>
      <c r="E27">
        <f>SUMIFS(T_TTAFCallOff[PCS],T_TTAFCallOff[Part Name],$A27,T_TTAFCallOff[WeekIndex],4)</f>
        <v/>
      </c>
      <c r="F27">
        <f>SUMIFS(T_TTAFCallOff[PCS],T_TTAFCallOff[Part Name],$A27,T_TTAFCallOff[WeekIndex],5)</f>
        <v/>
      </c>
      <c r="G27">
        <f>SUMIFS(T_TTAFCallOff[PCS],T_TTAFCallOff[Part Name],$A27,T_TTAFCallOff[WeekIndex],6)</f>
        <v/>
      </c>
      <c r="H27">
        <f>SUMIFS(T_TTAFCallOff[PCS],T_TTAFCallOff[Part Name],$A27,T_TTAFCallOff[WeekIndex],7)</f>
        <v/>
      </c>
      <c r="I27">
        <f>SUMIFS(T_TTAFCallOff[PCS],T_TTAFCallOff[Part Name],$A27,T_TTAFCallOff[WeekIndex],8)</f>
        <v/>
      </c>
      <c r="J27">
        <f>SUMIFS(T_TTAFCallOff[PCS],T_TTAFCallOff[Part Name],$A27,T_TTAFCallOff[WeekIndex],9)</f>
        <v/>
      </c>
      <c r="K27">
        <f>SUMIFS(T_TTAFCallOff[PCS],T_TTAFCallOff[Part Name],$A27,T_TTAFCallOff[WeekIndex],10)</f>
        <v/>
      </c>
      <c r="L27">
        <f>SUMIFS(T_TTAFCallOff[PCS],T_TTAFCallOff[Part Name],$A27,T_TTAFCallOff[WeekIndex],11)</f>
        <v/>
      </c>
      <c r="M27">
        <f>SUMIFS(T_TTAFCallOff[PCS],T_TTAFCallOff[Part Name],$A27,T_TTAFCallOff[WeekIndex],12)</f>
        <v/>
      </c>
      <c r="N27">
        <f>SUMIFS(T_TTAFCallOff[PCS],T_TTAFCallOff[Part Name],$A27,T_TTAFCallOff[WeekIndex],13)</f>
        <v/>
      </c>
      <c r="O27">
        <f>SUMIFS(T_TTAFCallOff[PCS],T_TTAFCallOff[Part Name],$A27,T_TTAFCallOff[WeekIndex],14)</f>
        <v/>
      </c>
      <c r="P27">
        <f>SUMIFS(T_TTAFCallOff[PCS],T_TTAFCallOff[Part Name],$A27,T_TTAFCallOff[WeekIndex],15)</f>
        <v/>
      </c>
      <c r="Q27">
        <f>SUMIFS(T_TTAFCallOff[PCS],T_TTAFCallOff[Part Name],$A27,T_TTAFCallOff[WeekIndex],16)</f>
        <v/>
      </c>
      <c r="R27">
        <f>SUMIFS(T_TTAFCallOff[PCS],T_TTAFCallOff[Part Name],$A27,T_TTAFCallOff[WeekIndex],17)</f>
        <v/>
      </c>
      <c r="S27">
        <f>SUMIFS(T_TTAFCallOff[PCS],T_TTAFCallOff[Part Name],$A27,T_TTAFCallOff[WeekIndex],18)</f>
        <v/>
      </c>
      <c r="T27">
        <f>SUMIFS(T_TTAFCallOff[PCS],T_TTAFCallOff[Part Name],$A27,T_TTAFCallOff[WeekIndex],19)</f>
        <v/>
      </c>
      <c r="U27">
        <f>SUMIFS(T_TTAFCallOff[PCS],T_TTAFCallOff[Part Name],$A27,T_TTAFCallOff[WeekIndex],20)</f>
        <v/>
      </c>
      <c r="V27">
        <f>SUMIFS(T_TTAFCallOff[PCS],T_TTAFCallOff[Part Name],$A27,T_TTAFCallOff[WeekIndex],21)</f>
        <v/>
      </c>
      <c r="W27">
        <f>SUMIFS(T_TTAFCallOff[PCS],T_TTAFCallOff[Part Name],$A27,T_TTAFCallOff[WeekIndex],22)</f>
        <v/>
      </c>
      <c r="X27">
        <f>SUMIFS(T_TTAFCallOff[PCS],T_TTAFCallOff[Part Name],$A27,T_TTAFCallOff[WeekIndex],23)</f>
        <v/>
      </c>
      <c r="Y27">
        <f>SUMIFS(T_TTAFCallOff[PCS],T_TTAFCallOff[Part Name],$A27,T_TTAFCallOff[WeekIndex],24)</f>
        <v/>
      </c>
      <c r="Z27">
        <f>SUMIFS(T_TTAFCallOff[PCS],T_TTAFCallOff[Part Name],$A27,T_TTAFCallOff[WeekIndex],25)</f>
        <v/>
      </c>
      <c r="AA27">
        <f>SUMIFS(T_TTAFCallOff[PCS],T_TTAFCallOff[Part Name],$A27,T_TTAFCallOff[WeekIndex],26)</f>
        <v/>
      </c>
      <c r="AB27">
        <f>SUMIFS(T_TTAFCallOff[PCS],T_TTAFCallOff[Part Name],$A27,T_TTAFCallOff[WeekIndex],27)</f>
        <v/>
      </c>
      <c r="AC27">
        <f>SUMIFS(T_TTAFCallOff[PCS],T_TTAFCallOff[Part Name],$A27,T_TTAFCallOff[WeekIndex],28)</f>
        <v/>
      </c>
      <c r="AD27">
        <f>SUMIFS(T_TTAFCallOff[PCS],T_TTAFCallOff[Part Name],$A27,T_TTAFCallOff[WeekIndex],29)</f>
        <v/>
      </c>
      <c r="AE27">
        <f>SUMIFS(T_TTAFCallOff[PCS],T_TTAFCallOff[Part Name],$A27,T_TTAFCallOff[WeekIndex],30)</f>
        <v/>
      </c>
      <c r="AF27">
        <f>SUMIFS(T_TTAFCallOff[PCS],T_TTAFCallOff[Part Name],$A27,T_TTAFCallOff[WeekIndex],31)</f>
        <v/>
      </c>
      <c r="AG27">
        <f>SUMIFS(T_TTAFCallOff[PCS],T_TTAFCallOff[Part Name],$A27,T_TTAFCallOff[WeekIndex],32)</f>
        <v/>
      </c>
      <c r="AH27">
        <f>SUMIFS(T_TTAFCallOff[PCS],T_TTAFCallOff[Part Name],$A27,T_TTAFCallOff[WeekIndex],33)</f>
        <v/>
      </c>
      <c r="AI27">
        <f>SUMIFS(T_TTAFCallOff[PCS],T_TTAFCallOff[Part Name],$A27,T_TTAFCallOff[WeekIndex],34)</f>
        <v/>
      </c>
      <c r="AJ27">
        <f>SUMIFS(T_TTAFCallOff[PCS],T_TTAFCallOff[Part Name],$A27,T_TTAFCallOff[WeekIndex],35)</f>
        <v/>
      </c>
      <c r="AK27">
        <f>SUMIFS(T_TTAFCallOff[PCS],T_TTAFCallOff[Part Name],$A27,T_TTAFCallOff[WeekIndex],36)</f>
        <v/>
      </c>
      <c r="AL27">
        <f>SUMIFS(T_TTAFCallOff[PCS],T_TTAFCallOff[Part Name],$A27,T_TTAFCallOff[WeekIndex],37)</f>
        <v/>
      </c>
      <c r="AM27">
        <f>SUMIFS(T_TTAFCallOff[PCS],T_TTAFCallOff[Part Name],$A27,T_TTAFCallOff[WeekIndex],38)</f>
        <v/>
      </c>
      <c r="AN27">
        <f>SUMIFS(T_TTAFCallOff[PCS],T_TTAFCallOff[Part Name],$A27,T_TTAFCallOff[WeekIndex],39)</f>
        <v/>
      </c>
      <c r="AO27">
        <f>SUMIFS(T_TTAFCallOff[PCS],T_TTAFCallOff[Part Name],$A27,T_TTAFCallOff[WeekIndex],40)</f>
        <v/>
      </c>
      <c r="AP27">
        <f>SUMIFS(T_TTAFCallOff[PCS],T_TTAFCallOff[Part Name],$A27,T_TTAFCallOff[WeekIndex],41)</f>
        <v/>
      </c>
      <c r="AQ27">
        <f>SUMIFS(T_TTAFCallOff[PCS],T_TTAFCallOff[Part Name],$A27,T_TTAFCallOff[WeekIndex],42)</f>
        <v/>
      </c>
      <c r="AR27">
        <f>SUMIFS(T_TTAFCallOff[PCS],T_TTAFCallOff[Part Name],$A27,T_TTAFCallOff[WeekIndex],43)</f>
        <v/>
      </c>
      <c r="AS27">
        <f>SUMIFS(T_TTAFCallOff[PCS],T_TTAFCallOff[Part Name],$A27,T_TTAFCallOff[WeekIndex],44)</f>
        <v/>
      </c>
      <c r="AT27">
        <f>SUMIFS(T_TTAFCallOff[PCS],T_TTAFCallOff[Part Name],$A27,T_TTAFCallOff[WeekIndex],45)</f>
        <v/>
      </c>
      <c r="AU27">
        <f>SUMIFS(T_TTAFCallOff[PCS],T_TTAFCallOff[Part Name],$A27,T_TTAFCallOff[WeekIndex],46)</f>
        <v/>
      </c>
      <c r="AV27">
        <f>SUMIFS(T_TTAFCallOff[PCS],T_TTAFCallOff[Part Name],$A27,T_TTAFCallOff[WeekIndex],47)</f>
        <v/>
      </c>
      <c r="AW27">
        <f>SUMIFS(T_TTAFCallOff[PCS],T_TTAFCallOff[Part Name],$A27,T_TTAFCallOff[WeekIndex],48)</f>
        <v/>
      </c>
      <c r="AX27">
        <f>SUMIFS(T_TTAFCallOff[PCS],T_TTAFCallOff[Part Name],$A27,T_TTAFCallOff[WeekIndex],49)</f>
        <v/>
      </c>
      <c r="AY27">
        <f>SUMIFS(T_TTAFCallOff[PCS],T_TTAFCallOff[Part Name],$A27,T_TTAFCallOff[WeekIndex],50)</f>
        <v/>
      </c>
      <c r="AZ27">
        <f>SUMIFS(T_TTAFCallOff[PCS],T_TTAFCallOff[Part Name],$A27,T_TTAFCallOff[WeekIndex],51)</f>
        <v/>
      </c>
      <c r="BA27">
        <f>SUMIFS(T_TTAFCallOff[PCS],T_TTAFCallOff[Part Name],$A27,T_TTAFCallOff[WeekIndex],52)</f>
        <v/>
      </c>
      <c r="BB27">
        <f>SUMIFS(T_TTAFCallOff[PCS],T_TTAFCallOff[Part Name],$A27,T_TTAFCallOff[WeekIndex],53)</f>
        <v/>
      </c>
      <c r="BC27">
        <f>SUMIFS(T_TTAFCallOff[PCS],T_TTAFCallOff[Part Name],$A27,T_TTAFCallOff[WeekIndex],54)</f>
        <v/>
      </c>
      <c r="BD27">
        <f>SUMIFS(T_TTAFCallOff[PCS],T_TTAFCallOff[Part Name],$A27,T_TTAFCallOff[WeekIndex],55)</f>
        <v/>
      </c>
      <c r="BE27">
        <f>SUMIFS(T_TTAFCallOff[PCS],T_TTAFCallOff[Part Name],$A27,T_TTAFCallOff[WeekIndex],56)</f>
        <v/>
      </c>
      <c r="BF27">
        <f>SUMIFS(T_TTAFCallOff[PCS],T_TTAFCallOff[Part Name],$A27,T_TTAFCallOff[WeekIndex],57)</f>
        <v/>
      </c>
      <c r="BG27">
        <f>SUMIFS(T_TTAFCallOff[PCS],T_TTAFCallOff[Part Name],$A27,T_TTAFCallOff[WeekIndex],58)</f>
        <v/>
      </c>
      <c r="BH27">
        <f>SUMIFS(T_TTAFCallOff[PCS],T_TTAFCallOff[Part Name],$A27,T_TTAFCallOff[WeekIndex],59)</f>
        <v/>
      </c>
      <c r="BI27">
        <f>SUMIFS(T_TTAFCallOff[PCS],T_TTAFCallOff[Part Name],$A27,T_TTAFCallOff[WeekIndex],60)</f>
        <v/>
      </c>
      <c r="BJ27">
        <f>SUMIFS(T_TTAFCallOff[PCS],T_TTAFCallOff[Part Name],$A27,T_TTAFCallOff[WeekIndex],61)</f>
        <v/>
      </c>
      <c r="BK27">
        <f>SUMIFS(T_TTAFCallOff[PCS],T_TTAFCallOff[Part Name],$A27,T_TTAFCallOff[WeekIndex],62)</f>
        <v/>
      </c>
      <c r="BL27">
        <f>SUMIFS(T_TTAFCallOff[PCS],T_TTAFCallOff[Part Name],$A27,T_TTAFCallOff[WeekIndex],63)</f>
        <v/>
      </c>
      <c r="BM27">
        <f>SUMIFS(T_TTAFCallOff[PCS],T_TTAFCallOff[Part Name],$A27,T_TTAFCallOff[WeekIndex],64)</f>
        <v/>
      </c>
      <c r="BN27">
        <f>SUMIFS(T_TTAFCallOff[PCS],T_TTAFCallOff[Part Name],$A27,T_TTAFCallOff[WeekIndex],65)</f>
        <v/>
      </c>
      <c r="BO27">
        <f>SUMIFS(T_TTAFCallOff[PCS],T_TTAFCallOff[Part Name],$A27,T_TTAFCallOff[WeekIndex],66)</f>
        <v/>
      </c>
      <c r="BP27">
        <f>SUMIFS(T_TTAFCallOff[PCS],T_TTAFCallOff[Part Name],$A27,T_TTAFCallOff[WeekIndex],67)</f>
        <v/>
      </c>
      <c r="BQ27">
        <f>SUMIFS(T_TTAFCallOff[PCS],T_TTAFCallOff[Part Name],$A27,T_TTAFCallOff[WeekIndex],68)</f>
        <v/>
      </c>
      <c r="BR27">
        <f>SUMIFS(T_TTAFCallOff[PCS],T_TTAFCallOff[Part Name],$A27,T_TTAFCallOff[WeekIndex],69)</f>
        <v/>
      </c>
      <c r="BS27">
        <f>SUMIFS(T_TTAFCallOff[PCS],T_TTAFCallOff[Part Name],$A27,T_TTAFCallOff[WeekIndex],70)</f>
        <v/>
      </c>
      <c r="BT27">
        <f>SUMIFS(T_TTAFCallOff[PCS],T_TTAFCallOff[Part Name],$A27,T_TTAFCallOff[WeekIndex],71)</f>
        <v/>
      </c>
      <c r="BU27">
        <f>SUMIFS(T_TTAFCallOff[PCS],T_TTAFCallOff[Part Name],$A27,T_TTAFCallOff[WeekIndex],72)</f>
        <v/>
      </c>
      <c r="BV27">
        <f>SUMIFS(T_TTAFCallOff[PCS],T_TTAFCallOff[Part Name],$A27,T_TTAFCallOff[WeekIndex],73)</f>
        <v/>
      </c>
      <c r="BW27">
        <f>SUMIFS(T_TTAFCallOff[PCS],T_TTAFCallOff[Part Name],$A27,T_TTAFCallOff[WeekIndex],74)</f>
        <v/>
      </c>
      <c r="BX27">
        <f>SUMIFS(T_TTAFCallOff[PCS],T_TTAFCallOff[Part Name],$A27,T_TTAFCallOff[WeekIndex],75)</f>
        <v/>
      </c>
      <c r="BY27">
        <f>SUMIFS(T_TTAFCallOff[PCS],T_TTAFCallOff[Part Name],$A27,T_TTAFCallOff[WeekIndex],76)</f>
        <v/>
      </c>
      <c r="BZ27">
        <f>SUMIFS(T_TTAFCallOff[PCS],T_TTAFCallOff[Part Name],$A27,T_TTAFCallOff[WeekIndex],77)</f>
        <v/>
      </c>
      <c r="CA27">
        <f>SUMIFS(T_TTAFCallOff[PCS],T_TTAFCallOff[Part Name],$A27,T_TTAFCallOff[WeekIndex],78)</f>
        <v/>
      </c>
      <c r="CB27">
        <f>SUMIFS(T_TTAFCallOff[PCS],T_TTAFCallOff[Part Name],$A27,T_TTAFCallOff[WeekIndex],79)</f>
        <v/>
      </c>
      <c r="CC27">
        <f>SUMIFS(T_TTAFCallOff[PCS],T_TTAFCallOff[Part Name],$A27,T_TTAFCallOff[WeekIndex],80)</f>
        <v/>
      </c>
      <c r="CD27">
        <f>SUMIFS(T_TTAFCallOff[PCS],T_TTAFCallOff[Part Name],$A27,T_TTAFCallOff[WeekIndex],81)</f>
        <v/>
      </c>
      <c r="CE27">
        <f>SUMIFS(T_TTAFCallOff[PCS],T_TTAFCallOff[Part Name],$A27,T_TTAFCallOff[WeekIndex],82)</f>
        <v/>
      </c>
      <c r="CF27">
        <f>SUMIFS(T_TTAFCallOff[PCS],T_TTAFCallOff[Part Name],$A27,T_TTAFCallOff[WeekIndex],83)</f>
        <v/>
      </c>
      <c r="CG27">
        <f>SUMIFS(T_TTAFCallOff[PCS],T_TTAFCallOff[Part Name],$A27,T_TTAFCallOff[WeekIndex],84)</f>
        <v/>
      </c>
      <c r="CH27">
        <f>SUMIFS(T_TTAFCallOff[PCS],T_TTAFCallOff[Part Name],$A27,T_TTAFCallOff[WeekIndex],85)</f>
        <v/>
      </c>
      <c r="CI27">
        <f>SUMIFS(T_TTAFCallOff[PCS],T_TTAFCallOff[Part Name],$A27,T_TTAFCallOff[WeekIndex],86)</f>
        <v/>
      </c>
      <c r="CJ27">
        <f>SUMIFS(T_TTAFCallOff[PCS],T_TTAFCallOff[Part Name],$A27,T_TTAFCallOff[WeekIndex],87)</f>
        <v/>
      </c>
      <c r="CK27">
        <f>SUMIFS(T_TTAFCallOff[PCS],T_TTAFCallOff[Part Name],$A27,T_TTAFCallOff[WeekIndex],88)</f>
        <v/>
      </c>
      <c r="CL27">
        <f>SUMIFS(T_TTAFCallOff[PCS],T_TTAFCallOff[Part Name],$A27,T_TTAFCallOff[WeekIndex],89)</f>
        <v/>
      </c>
      <c r="CM27">
        <f>SUMIFS(T_TTAFCallOff[PCS],T_TTAFCallOff[Part Name],$A27,T_TTAFCallOff[WeekIndex],90)</f>
        <v/>
      </c>
      <c r="CN27">
        <f>SUMIFS(T_TTAFCallOff[PCS],T_TTAFCallOff[Part Name],$A27,T_TTAFCallOff[WeekIndex],91)</f>
        <v/>
      </c>
      <c r="CO27">
        <f>SUMIFS(T_TTAFCallOff[PCS],T_TTAFCallOff[Part Name],$A27,T_TTAFCallOff[WeekIndex],92)</f>
        <v/>
      </c>
      <c r="CP27">
        <f>SUMIFS(T_TTAFCallOff[PCS],T_TTAFCallOff[Part Name],$A27,T_TTAFCallOff[WeekIndex],93)</f>
        <v/>
      </c>
      <c r="CQ27">
        <f>SUMIFS(T_TTAFCallOff[PCS],T_TTAFCallOff[Part Name],$A27,T_TTAFCallOff[WeekIndex],94)</f>
        <v/>
      </c>
      <c r="CR27">
        <f>SUMIFS(T_TTAFCallOff[PCS],T_TTAFCallOff[Part Name],$A27,T_TTAFCallOff[WeekIndex],95)</f>
        <v/>
      </c>
      <c r="CS27">
        <f>SUMIFS(T_TTAFCallOff[PCS],T_TTAFCallOff[Part Name],$A27,T_TTAFCallOff[WeekIndex],96)</f>
        <v/>
      </c>
      <c r="CT27">
        <f>SUMIFS(T_TTAFCallOff[PCS],T_TTAFCallOff[Part Name],$A27,T_TTAFCallOff[WeekIndex],97)</f>
        <v/>
      </c>
      <c r="CU27">
        <f>SUMIFS(T_TTAFCallOff[PCS],T_TTAFCallOff[Part Name],$A27,T_TTAFCallOff[WeekIndex],98)</f>
        <v/>
      </c>
      <c r="CV27">
        <f>SUMIFS(T_TTAFCallOff[PCS],T_TTAFCallOff[Part Name],$A27,T_TTAFCallOff[WeekIndex],99)</f>
        <v/>
      </c>
      <c r="CW27">
        <f>SUMIFS(T_TTAFCallOff[PCS],T_TTAFCallOff[Part Name],$A27,T_TTAFCallOff[WeekIndex],100)</f>
        <v/>
      </c>
      <c r="CX27">
        <f>SUMIFS(T_TTAFCallOff[PCS],T_TTAFCallOff[Part Name],$A27,T_TTAFCallOff[WeekIndex],101)</f>
        <v/>
      </c>
      <c r="CY27">
        <f>SUMIFS(T_TTAFCallOff[PCS],T_TTAFCallOff[Part Name],$A27,T_TTAFCallOff[WeekIndex],102)</f>
        <v/>
      </c>
      <c r="CZ27">
        <f>SUMIFS(T_TTAFCallOff[PCS],T_TTAFCallOff[Part Name],$A27,T_TTAFCallOff[WeekIndex],103)</f>
        <v/>
      </c>
      <c r="DA27">
        <f>SUMIFS(T_TTAFCallOff[PCS],T_TTAFCallOff[Part Name],$A27,T_TTAFCallOff[WeekIndex],104)</f>
        <v/>
      </c>
    </row>
    <row r="28">
      <c r="A28" t="inlineStr">
        <is>
          <t>CHEM-1820</t>
        </is>
      </c>
      <c r="B28">
        <f>SUMIFS(T_TTAFCallOff[PCS],T_TTAFCallOff[Part Name],$A28,T_TTAFCallOff[WeekIndex],1)</f>
        <v/>
      </c>
      <c r="C28">
        <f>SUMIFS(T_TTAFCallOff[PCS],T_TTAFCallOff[Part Name],$A28,T_TTAFCallOff[WeekIndex],2)</f>
        <v/>
      </c>
      <c r="D28">
        <f>SUMIFS(T_TTAFCallOff[PCS],T_TTAFCallOff[Part Name],$A28,T_TTAFCallOff[WeekIndex],3)</f>
        <v/>
      </c>
      <c r="E28">
        <f>SUMIFS(T_TTAFCallOff[PCS],T_TTAFCallOff[Part Name],$A28,T_TTAFCallOff[WeekIndex],4)</f>
        <v/>
      </c>
      <c r="F28">
        <f>SUMIFS(T_TTAFCallOff[PCS],T_TTAFCallOff[Part Name],$A28,T_TTAFCallOff[WeekIndex],5)</f>
        <v/>
      </c>
      <c r="G28">
        <f>SUMIFS(T_TTAFCallOff[PCS],T_TTAFCallOff[Part Name],$A28,T_TTAFCallOff[WeekIndex],6)</f>
        <v/>
      </c>
      <c r="H28">
        <f>SUMIFS(T_TTAFCallOff[PCS],T_TTAFCallOff[Part Name],$A28,T_TTAFCallOff[WeekIndex],7)</f>
        <v/>
      </c>
      <c r="I28">
        <f>SUMIFS(T_TTAFCallOff[PCS],T_TTAFCallOff[Part Name],$A28,T_TTAFCallOff[WeekIndex],8)</f>
        <v/>
      </c>
      <c r="J28">
        <f>SUMIFS(T_TTAFCallOff[PCS],T_TTAFCallOff[Part Name],$A28,T_TTAFCallOff[WeekIndex],9)</f>
        <v/>
      </c>
      <c r="K28">
        <f>SUMIFS(T_TTAFCallOff[PCS],T_TTAFCallOff[Part Name],$A28,T_TTAFCallOff[WeekIndex],10)</f>
        <v/>
      </c>
      <c r="L28">
        <f>SUMIFS(T_TTAFCallOff[PCS],T_TTAFCallOff[Part Name],$A28,T_TTAFCallOff[WeekIndex],11)</f>
        <v/>
      </c>
      <c r="M28">
        <f>SUMIFS(T_TTAFCallOff[PCS],T_TTAFCallOff[Part Name],$A28,T_TTAFCallOff[WeekIndex],12)</f>
        <v/>
      </c>
      <c r="N28">
        <f>SUMIFS(T_TTAFCallOff[PCS],T_TTAFCallOff[Part Name],$A28,T_TTAFCallOff[WeekIndex],13)</f>
        <v/>
      </c>
      <c r="O28">
        <f>SUMIFS(T_TTAFCallOff[PCS],T_TTAFCallOff[Part Name],$A28,T_TTAFCallOff[WeekIndex],14)</f>
        <v/>
      </c>
      <c r="P28">
        <f>SUMIFS(T_TTAFCallOff[PCS],T_TTAFCallOff[Part Name],$A28,T_TTAFCallOff[WeekIndex],15)</f>
        <v/>
      </c>
      <c r="Q28">
        <f>SUMIFS(T_TTAFCallOff[PCS],T_TTAFCallOff[Part Name],$A28,T_TTAFCallOff[WeekIndex],16)</f>
        <v/>
      </c>
      <c r="R28">
        <f>SUMIFS(T_TTAFCallOff[PCS],T_TTAFCallOff[Part Name],$A28,T_TTAFCallOff[WeekIndex],17)</f>
        <v/>
      </c>
      <c r="S28">
        <f>SUMIFS(T_TTAFCallOff[PCS],T_TTAFCallOff[Part Name],$A28,T_TTAFCallOff[WeekIndex],18)</f>
        <v/>
      </c>
      <c r="T28">
        <f>SUMIFS(T_TTAFCallOff[PCS],T_TTAFCallOff[Part Name],$A28,T_TTAFCallOff[WeekIndex],19)</f>
        <v/>
      </c>
      <c r="U28">
        <f>SUMIFS(T_TTAFCallOff[PCS],T_TTAFCallOff[Part Name],$A28,T_TTAFCallOff[WeekIndex],20)</f>
        <v/>
      </c>
      <c r="V28">
        <f>SUMIFS(T_TTAFCallOff[PCS],T_TTAFCallOff[Part Name],$A28,T_TTAFCallOff[WeekIndex],21)</f>
        <v/>
      </c>
      <c r="W28">
        <f>SUMIFS(T_TTAFCallOff[PCS],T_TTAFCallOff[Part Name],$A28,T_TTAFCallOff[WeekIndex],22)</f>
        <v/>
      </c>
      <c r="X28">
        <f>SUMIFS(T_TTAFCallOff[PCS],T_TTAFCallOff[Part Name],$A28,T_TTAFCallOff[WeekIndex],23)</f>
        <v/>
      </c>
      <c r="Y28">
        <f>SUMIFS(T_TTAFCallOff[PCS],T_TTAFCallOff[Part Name],$A28,T_TTAFCallOff[WeekIndex],24)</f>
        <v/>
      </c>
      <c r="Z28">
        <f>SUMIFS(T_TTAFCallOff[PCS],T_TTAFCallOff[Part Name],$A28,T_TTAFCallOff[WeekIndex],25)</f>
        <v/>
      </c>
      <c r="AA28">
        <f>SUMIFS(T_TTAFCallOff[PCS],T_TTAFCallOff[Part Name],$A28,T_TTAFCallOff[WeekIndex],26)</f>
        <v/>
      </c>
      <c r="AB28">
        <f>SUMIFS(T_TTAFCallOff[PCS],T_TTAFCallOff[Part Name],$A28,T_TTAFCallOff[WeekIndex],27)</f>
        <v/>
      </c>
      <c r="AC28">
        <f>SUMIFS(T_TTAFCallOff[PCS],T_TTAFCallOff[Part Name],$A28,T_TTAFCallOff[WeekIndex],28)</f>
        <v/>
      </c>
      <c r="AD28">
        <f>SUMIFS(T_TTAFCallOff[PCS],T_TTAFCallOff[Part Name],$A28,T_TTAFCallOff[WeekIndex],29)</f>
        <v/>
      </c>
      <c r="AE28">
        <f>SUMIFS(T_TTAFCallOff[PCS],T_TTAFCallOff[Part Name],$A28,T_TTAFCallOff[WeekIndex],30)</f>
        <v/>
      </c>
      <c r="AF28">
        <f>SUMIFS(T_TTAFCallOff[PCS],T_TTAFCallOff[Part Name],$A28,T_TTAFCallOff[WeekIndex],31)</f>
        <v/>
      </c>
      <c r="AG28">
        <f>SUMIFS(T_TTAFCallOff[PCS],T_TTAFCallOff[Part Name],$A28,T_TTAFCallOff[WeekIndex],32)</f>
        <v/>
      </c>
      <c r="AH28">
        <f>SUMIFS(T_TTAFCallOff[PCS],T_TTAFCallOff[Part Name],$A28,T_TTAFCallOff[WeekIndex],33)</f>
        <v/>
      </c>
      <c r="AI28">
        <f>SUMIFS(T_TTAFCallOff[PCS],T_TTAFCallOff[Part Name],$A28,T_TTAFCallOff[WeekIndex],34)</f>
        <v/>
      </c>
      <c r="AJ28">
        <f>SUMIFS(T_TTAFCallOff[PCS],T_TTAFCallOff[Part Name],$A28,T_TTAFCallOff[WeekIndex],35)</f>
        <v/>
      </c>
      <c r="AK28">
        <f>SUMIFS(T_TTAFCallOff[PCS],T_TTAFCallOff[Part Name],$A28,T_TTAFCallOff[WeekIndex],36)</f>
        <v/>
      </c>
      <c r="AL28">
        <f>SUMIFS(T_TTAFCallOff[PCS],T_TTAFCallOff[Part Name],$A28,T_TTAFCallOff[WeekIndex],37)</f>
        <v/>
      </c>
      <c r="AM28">
        <f>SUMIFS(T_TTAFCallOff[PCS],T_TTAFCallOff[Part Name],$A28,T_TTAFCallOff[WeekIndex],38)</f>
        <v/>
      </c>
      <c r="AN28">
        <f>SUMIFS(T_TTAFCallOff[PCS],T_TTAFCallOff[Part Name],$A28,T_TTAFCallOff[WeekIndex],39)</f>
        <v/>
      </c>
      <c r="AO28">
        <f>SUMIFS(T_TTAFCallOff[PCS],T_TTAFCallOff[Part Name],$A28,T_TTAFCallOff[WeekIndex],40)</f>
        <v/>
      </c>
      <c r="AP28">
        <f>SUMIFS(T_TTAFCallOff[PCS],T_TTAFCallOff[Part Name],$A28,T_TTAFCallOff[WeekIndex],41)</f>
        <v/>
      </c>
      <c r="AQ28">
        <f>SUMIFS(T_TTAFCallOff[PCS],T_TTAFCallOff[Part Name],$A28,T_TTAFCallOff[WeekIndex],42)</f>
        <v/>
      </c>
      <c r="AR28">
        <f>SUMIFS(T_TTAFCallOff[PCS],T_TTAFCallOff[Part Name],$A28,T_TTAFCallOff[WeekIndex],43)</f>
        <v/>
      </c>
      <c r="AS28">
        <f>SUMIFS(T_TTAFCallOff[PCS],T_TTAFCallOff[Part Name],$A28,T_TTAFCallOff[WeekIndex],44)</f>
        <v/>
      </c>
      <c r="AT28">
        <f>SUMIFS(T_TTAFCallOff[PCS],T_TTAFCallOff[Part Name],$A28,T_TTAFCallOff[WeekIndex],45)</f>
        <v/>
      </c>
      <c r="AU28">
        <f>SUMIFS(T_TTAFCallOff[PCS],T_TTAFCallOff[Part Name],$A28,T_TTAFCallOff[WeekIndex],46)</f>
        <v/>
      </c>
      <c r="AV28">
        <f>SUMIFS(T_TTAFCallOff[PCS],T_TTAFCallOff[Part Name],$A28,T_TTAFCallOff[WeekIndex],47)</f>
        <v/>
      </c>
      <c r="AW28">
        <f>SUMIFS(T_TTAFCallOff[PCS],T_TTAFCallOff[Part Name],$A28,T_TTAFCallOff[WeekIndex],48)</f>
        <v/>
      </c>
      <c r="AX28">
        <f>SUMIFS(T_TTAFCallOff[PCS],T_TTAFCallOff[Part Name],$A28,T_TTAFCallOff[WeekIndex],49)</f>
        <v/>
      </c>
      <c r="AY28">
        <f>SUMIFS(T_TTAFCallOff[PCS],T_TTAFCallOff[Part Name],$A28,T_TTAFCallOff[WeekIndex],50)</f>
        <v/>
      </c>
      <c r="AZ28">
        <f>SUMIFS(T_TTAFCallOff[PCS],T_TTAFCallOff[Part Name],$A28,T_TTAFCallOff[WeekIndex],51)</f>
        <v/>
      </c>
      <c r="BA28">
        <f>SUMIFS(T_TTAFCallOff[PCS],T_TTAFCallOff[Part Name],$A28,T_TTAFCallOff[WeekIndex],52)</f>
        <v/>
      </c>
      <c r="BB28">
        <f>SUMIFS(T_TTAFCallOff[PCS],T_TTAFCallOff[Part Name],$A28,T_TTAFCallOff[WeekIndex],53)</f>
        <v/>
      </c>
      <c r="BC28">
        <f>SUMIFS(T_TTAFCallOff[PCS],T_TTAFCallOff[Part Name],$A28,T_TTAFCallOff[WeekIndex],54)</f>
        <v/>
      </c>
      <c r="BD28">
        <f>SUMIFS(T_TTAFCallOff[PCS],T_TTAFCallOff[Part Name],$A28,T_TTAFCallOff[WeekIndex],55)</f>
        <v/>
      </c>
      <c r="BE28">
        <f>SUMIFS(T_TTAFCallOff[PCS],T_TTAFCallOff[Part Name],$A28,T_TTAFCallOff[WeekIndex],56)</f>
        <v/>
      </c>
      <c r="BF28">
        <f>SUMIFS(T_TTAFCallOff[PCS],T_TTAFCallOff[Part Name],$A28,T_TTAFCallOff[WeekIndex],57)</f>
        <v/>
      </c>
      <c r="BG28">
        <f>SUMIFS(T_TTAFCallOff[PCS],T_TTAFCallOff[Part Name],$A28,T_TTAFCallOff[WeekIndex],58)</f>
        <v/>
      </c>
      <c r="BH28">
        <f>SUMIFS(T_TTAFCallOff[PCS],T_TTAFCallOff[Part Name],$A28,T_TTAFCallOff[WeekIndex],59)</f>
        <v/>
      </c>
      <c r="BI28">
        <f>SUMIFS(T_TTAFCallOff[PCS],T_TTAFCallOff[Part Name],$A28,T_TTAFCallOff[WeekIndex],60)</f>
        <v/>
      </c>
      <c r="BJ28">
        <f>SUMIFS(T_TTAFCallOff[PCS],T_TTAFCallOff[Part Name],$A28,T_TTAFCallOff[WeekIndex],61)</f>
        <v/>
      </c>
      <c r="BK28">
        <f>SUMIFS(T_TTAFCallOff[PCS],T_TTAFCallOff[Part Name],$A28,T_TTAFCallOff[WeekIndex],62)</f>
        <v/>
      </c>
      <c r="BL28">
        <f>SUMIFS(T_TTAFCallOff[PCS],T_TTAFCallOff[Part Name],$A28,T_TTAFCallOff[WeekIndex],63)</f>
        <v/>
      </c>
      <c r="BM28">
        <f>SUMIFS(T_TTAFCallOff[PCS],T_TTAFCallOff[Part Name],$A28,T_TTAFCallOff[WeekIndex],64)</f>
        <v/>
      </c>
      <c r="BN28">
        <f>SUMIFS(T_TTAFCallOff[PCS],T_TTAFCallOff[Part Name],$A28,T_TTAFCallOff[WeekIndex],65)</f>
        <v/>
      </c>
      <c r="BO28">
        <f>SUMIFS(T_TTAFCallOff[PCS],T_TTAFCallOff[Part Name],$A28,T_TTAFCallOff[WeekIndex],66)</f>
        <v/>
      </c>
      <c r="BP28">
        <f>SUMIFS(T_TTAFCallOff[PCS],T_TTAFCallOff[Part Name],$A28,T_TTAFCallOff[WeekIndex],67)</f>
        <v/>
      </c>
      <c r="BQ28">
        <f>SUMIFS(T_TTAFCallOff[PCS],T_TTAFCallOff[Part Name],$A28,T_TTAFCallOff[WeekIndex],68)</f>
        <v/>
      </c>
      <c r="BR28">
        <f>SUMIFS(T_TTAFCallOff[PCS],T_TTAFCallOff[Part Name],$A28,T_TTAFCallOff[WeekIndex],69)</f>
        <v/>
      </c>
      <c r="BS28">
        <f>SUMIFS(T_TTAFCallOff[PCS],T_TTAFCallOff[Part Name],$A28,T_TTAFCallOff[WeekIndex],70)</f>
        <v/>
      </c>
      <c r="BT28">
        <f>SUMIFS(T_TTAFCallOff[PCS],T_TTAFCallOff[Part Name],$A28,T_TTAFCallOff[WeekIndex],71)</f>
        <v/>
      </c>
      <c r="BU28">
        <f>SUMIFS(T_TTAFCallOff[PCS],T_TTAFCallOff[Part Name],$A28,T_TTAFCallOff[WeekIndex],72)</f>
        <v/>
      </c>
      <c r="BV28">
        <f>SUMIFS(T_TTAFCallOff[PCS],T_TTAFCallOff[Part Name],$A28,T_TTAFCallOff[WeekIndex],73)</f>
        <v/>
      </c>
      <c r="BW28">
        <f>SUMIFS(T_TTAFCallOff[PCS],T_TTAFCallOff[Part Name],$A28,T_TTAFCallOff[WeekIndex],74)</f>
        <v/>
      </c>
      <c r="BX28">
        <f>SUMIFS(T_TTAFCallOff[PCS],T_TTAFCallOff[Part Name],$A28,T_TTAFCallOff[WeekIndex],75)</f>
        <v/>
      </c>
      <c r="BY28">
        <f>SUMIFS(T_TTAFCallOff[PCS],T_TTAFCallOff[Part Name],$A28,T_TTAFCallOff[WeekIndex],76)</f>
        <v/>
      </c>
      <c r="BZ28">
        <f>SUMIFS(T_TTAFCallOff[PCS],T_TTAFCallOff[Part Name],$A28,T_TTAFCallOff[WeekIndex],77)</f>
        <v/>
      </c>
      <c r="CA28">
        <f>SUMIFS(T_TTAFCallOff[PCS],T_TTAFCallOff[Part Name],$A28,T_TTAFCallOff[WeekIndex],78)</f>
        <v/>
      </c>
      <c r="CB28">
        <f>SUMIFS(T_TTAFCallOff[PCS],T_TTAFCallOff[Part Name],$A28,T_TTAFCallOff[WeekIndex],79)</f>
        <v/>
      </c>
      <c r="CC28">
        <f>SUMIFS(T_TTAFCallOff[PCS],T_TTAFCallOff[Part Name],$A28,T_TTAFCallOff[WeekIndex],80)</f>
        <v/>
      </c>
      <c r="CD28">
        <f>SUMIFS(T_TTAFCallOff[PCS],T_TTAFCallOff[Part Name],$A28,T_TTAFCallOff[WeekIndex],81)</f>
        <v/>
      </c>
      <c r="CE28">
        <f>SUMIFS(T_TTAFCallOff[PCS],T_TTAFCallOff[Part Name],$A28,T_TTAFCallOff[WeekIndex],82)</f>
        <v/>
      </c>
      <c r="CF28">
        <f>SUMIFS(T_TTAFCallOff[PCS],T_TTAFCallOff[Part Name],$A28,T_TTAFCallOff[WeekIndex],83)</f>
        <v/>
      </c>
      <c r="CG28">
        <f>SUMIFS(T_TTAFCallOff[PCS],T_TTAFCallOff[Part Name],$A28,T_TTAFCallOff[WeekIndex],84)</f>
        <v/>
      </c>
      <c r="CH28">
        <f>SUMIFS(T_TTAFCallOff[PCS],T_TTAFCallOff[Part Name],$A28,T_TTAFCallOff[WeekIndex],85)</f>
        <v/>
      </c>
      <c r="CI28">
        <f>SUMIFS(T_TTAFCallOff[PCS],T_TTAFCallOff[Part Name],$A28,T_TTAFCallOff[WeekIndex],86)</f>
        <v/>
      </c>
      <c r="CJ28">
        <f>SUMIFS(T_TTAFCallOff[PCS],T_TTAFCallOff[Part Name],$A28,T_TTAFCallOff[WeekIndex],87)</f>
        <v/>
      </c>
      <c r="CK28">
        <f>SUMIFS(T_TTAFCallOff[PCS],T_TTAFCallOff[Part Name],$A28,T_TTAFCallOff[WeekIndex],88)</f>
        <v/>
      </c>
      <c r="CL28">
        <f>SUMIFS(T_TTAFCallOff[PCS],T_TTAFCallOff[Part Name],$A28,T_TTAFCallOff[WeekIndex],89)</f>
        <v/>
      </c>
      <c r="CM28">
        <f>SUMIFS(T_TTAFCallOff[PCS],T_TTAFCallOff[Part Name],$A28,T_TTAFCallOff[WeekIndex],90)</f>
        <v/>
      </c>
      <c r="CN28">
        <f>SUMIFS(T_TTAFCallOff[PCS],T_TTAFCallOff[Part Name],$A28,T_TTAFCallOff[WeekIndex],91)</f>
        <v/>
      </c>
      <c r="CO28">
        <f>SUMIFS(T_TTAFCallOff[PCS],T_TTAFCallOff[Part Name],$A28,T_TTAFCallOff[WeekIndex],92)</f>
        <v/>
      </c>
      <c r="CP28">
        <f>SUMIFS(T_TTAFCallOff[PCS],T_TTAFCallOff[Part Name],$A28,T_TTAFCallOff[WeekIndex],93)</f>
        <v/>
      </c>
      <c r="CQ28">
        <f>SUMIFS(T_TTAFCallOff[PCS],T_TTAFCallOff[Part Name],$A28,T_TTAFCallOff[WeekIndex],94)</f>
        <v/>
      </c>
      <c r="CR28">
        <f>SUMIFS(T_TTAFCallOff[PCS],T_TTAFCallOff[Part Name],$A28,T_TTAFCallOff[WeekIndex],95)</f>
        <v/>
      </c>
      <c r="CS28">
        <f>SUMIFS(T_TTAFCallOff[PCS],T_TTAFCallOff[Part Name],$A28,T_TTAFCallOff[WeekIndex],96)</f>
        <v/>
      </c>
      <c r="CT28">
        <f>SUMIFS(T_TTAFCallOff[PCS],T_TTAFCallOff[Part Name],$A28,T_TTAFCallOff[WeekIndex],97)</f>
        <v/>
      </c>
      <c r="CU28">
        <f>SUMIFS(T_TTAFCallOff[PCS],T_TTAFCallOff[Part Name],$A28,T_TTAFCallOff[WeekIndex],98)</f>
        <v/>
      </c>
      <c r="CV28">
        <f>SUMIFS(T_TTAFCallOff[PCS],T_TTAFCallOff[Part Name],$A28,T_TTAFCallOff[WeekIndex],99)</f>
        <v/>
      </c>
      <c r="CW28">
        <f>SUMIFS(T_TTAFCallOff[PCS],T_TTAFCallOff[Part Name],$A28,T_TTAFCallOff[WeekIndex],100)</f>
        <v/>
      </c>
      <c r="CX28">
        <f>SUMIFS(T_TTAFCallOff[PCS],T_TTAFCallOff[Part Name],$A28,T_TTAFCallOff[WeekIndex],101)</f>
        <v/>
      </c>
      <c r="CY28">
        <f>SUMIFS(T_TTAFCallOff[PCS],T_TTAFCallOff[Part Name],$A28,T_TTAFCallOff[WeekIndex],102)</f>
        <v/>
      </c>
      <c r="CZ28">
        <f>SUMIFS(T_TTAFCallOff[PCS],T_TTAFCallOff[Part Name],$A28,T_TTAFCallOff[WeekIndex],103)</f>
        <v/>
      </c>
      <c r="DA28">
        <f>SUMIFS(T_TTAFCallOff[PCS],T_TTAFCallOff[Part Name],$A28,T_TTAFCallOff[WeekIndex],104)</f>
        <v/>
      </c>
    </row>
    <row r="29">
      <c r="A29" t="inlineStr">
        <is>
          <t>CHEM-1840</t>
        </is>
      </c>
      <c r="B29">
        <f>SUMIFS(T_TTAFCallOff[PCS],T_TTAFCallOff[Part Name],$A29,T_TTAFCallOff[WeekIndex],1)</f>
        <v/>
      </c>
      <c r="C29">
        <f>SUMIFS(T_TTAFCallOff[PCS],T_TTAFCallOff[Part Name],$A29,T_TTAFCallOff[WeekIndex],2)</f>
        <v/>
      </c>
      <c r="D29">
        <f>SUMIFS(T_TTAFCallOff[PCS],T_TTAFCallOff[Part Name],$A29,T_TTAFCallOff[WeekIndex],3)</f>
        <v/>
      </c>
      <c r="E29">
        <f>SUMIFS(T_TTAFCallOff[PCS],T_TTAFCallOff[Part Name],$A29,T_TTAFCallOff[WeekIndex],4)</f>
        <v/>
      </c>
      <c r="F29">
        <f>SUMIFS(T_TTAFCallOff[PCS],T_TTAFCallOff[Part Name],$A29,T_TTAFCallOff[WeekIndex],5)</f>
        <v/>
      </c>
      <c r="G29">
        <f>SUMIFS(T_TTAFCallOff[PCS],T_TTAFCallOff[Part Name],$A29,T_TTAFCallOff[WeekIndex],6)</f>
        <v/>
      </c>
      <c r="H29">
        <f>SUMIFS(T_TTAFCallOff[PCS],T_TTAFCallOff[Part Name],$A29,T_TTAFCallOff[WeekIndex],7)</f>
        <v/>
      </c>
      <c r="I29">
        <f>SUMIFS(T_TTAFCallOff[PCS],T_TTAFCallOff[Part Name],$A29,T_TTAFCallOff[WeekIndex],8)</f>
        <v/>
      </c>
      <c r="J29">
        <f>SUMIFS(T_TTAFCallOff[PCS],T_TTAFCallOff[Part Name],$A29,T_TTAFCallOff[WeekIndex],9)</f>
        <v/>
      </c>
      <c r="K29">
        <f>SUMIFS(T_TTAFCallOff[PCS],T_TTAFCallOff[Part Name],$A29,T_TTAFCallOff[WeekIndex],10)</f>
        <v/>
      </c>
      <c r="L29">
        <f>SUMIFS(T_TTAFCallOff[PCS],T_TTAFCallOff[Part Name],$A29,T_TTAFCallOff[WeekIndex],11)</f>
        <v/>
      </c>
      <c r="M29">
        <f>SUMIFS(T_TTAFCallOff[PCS],T_TTAFCallOff[Part Name],$A29,T_TTAFCallOff[WeekIndex],12)</f>
        <v/>
      </c>
      <c r="N29">
        <f>SUMIFS(T_TTAFCallOff[PCS],T_TTAFCallOff[Part Name],$A29,T_TTAFCallOff[WeekIndex],13)</f>
        <v/>
      </c>
      <c r="O29">
        <f>SUMIFS(T_TTAFCallOff[PCS],T_TTAFCallOff[Part Name],$A29,T_TTAFCallOff[WeekIndex],14)</f>
        <v/>
      </c>
      <c r="P29">
        <f>SUMIFS(T_TTAFCallOff[PCS],T_TTAFCallOff[Part Name],$A29,T_TTAFCallOff[WeekIndex],15)</f>
        <v/>
      </c>
      <c r="Q29">
        <f>SUMIFS(T_TTAFCallOff[PCS],T_TTAFCallOff[Part Name],$A29,T_TTAFCallOff[WeekIndex],16)</f>
        <v/>
      </c>
      <c r="R29">
        <f>SUMIFS(T_TTAFCallOff[PCS],T_TTAFCallOff[Part Name],$A29,T_TTAFCallOff[WeekIndex],17)</f>
        <v/>
      </c>
      <c r="S29">
        <f>SUMIFS(T_TTAFCallOff[PCS],T_TTAFCallOff[Part Name],$A29,T_TTAFCallOff[WeekIndex],18)</f>
        <v/>
      </c>
      <c r="T29">
        <f>SUMIFS(T_TTAFCallOff[PCS],T_TTAFCallOff[Part Name],$A29,T_TTAFCallOff[WeekIndex],19)</f>
        <v/>
      </c>
      <c r="U29">
        <f>SUMIFS(T_TTAFCallOff[PCS],T_TTAFCallOff[Part Name],$A29,T_TTAFCallOff[WeekIndex],20)</f>
        <v/>
      </c>
      <c r="V29">
        <f>SUMIFS(T_TTAFCallOff[PCS],T_TTAFCallOff[Part Name],$A29,T_TTAFCallOff[WeekIndex],21)</f>
        <v/>
      </c>
      <c r="W29">
        <f>SUMIFS(T_TTAFCallOff[PCS],T_TTAFCallOff[Part Name],$A29,T_TTAFCallOff[WeekIndex],22)</f>
        <v/>
      </c>
      <c r="X29">
        <f>SUMIFS(T_TTAFCallOff[PCS],T_TTAFCallOff[Part Name],$A29,T_TTAFCallOff[WeekIndex],23)</f>
        <v/>
      </c>
      <c r="Y29">
        <f>SUMIFS(T_TTAFCallOff[PCS],T_TTAFCallOff[Part Name],$A29,T_TTAFCallOff[WeekIndex],24)</f>
        <v/>
      </c>
      <c r="Z29">
        <f>SUMIFS(T_TTAFCallOff[PCS],T_TTAFCallOff[Part Name],$A29,T_TTAFCallOff[WeekIndex],25)</f>
        <v/>
      </c>
      <c r="AA29">
        <f>SUMIFS(T_TTAFCallOff[PCS],T_TTAFCallOff[Part Name],$A29,T_TTAFCallOff[WeekIndex],26)</f>
        <v/>
      </c>
      <c r="AB29">
        <f>SUMIFS(T_TTAFCallOff[PCS],T_TTAFCallOff[Part Name],$A29,T_TTAFCallOff[WeekIndex],27)</f>
        <v/>
      </c>
      <c r="AC29">
        <f>SUMIFS(T_TTAFCallOff[PCS],T_TTAFCallOff[Part Name],$A29,T_TTAFCallOff[WeekIndex],28)</f>
        <v/>
      </c>
      <c r="AD29">
        <f>SUMIFS(T_TTAFCallOff[PCS],T_TTAFCallOff[Part Name],$A29,T_TTAFCallOff[WeekIndex],29)</f>
        <v/>
      </c>
      <c r="AE29">
        <f>SUMIFS(T_TTAFCallOff[PCS],T_TTAFCallOff[Part Name],$A29,T_TTAFCallOff[WeekIndex],30)</f>
        <v/>
      </c>
      <c r="AF29">
        <f>SUMIFS(T_TTAFCallOff[PCS],T_TTAFCallOff[Part Name],$A29,T_TTAFCallOff[WeekIndex],31)</f>
        <v/>
      </c>
      <c r="AG29">
        <f>SUMIFS(T_TTAFCallOff[PCS],T_TTAFCallOff[Part Name],$A29,T_TTAFCallOff[WeekIndex],32)</f>
        <v/>
      </c>
      <c r="AH29">
        <f>SUMIFS(T_TTAFCallOff[PCS],T_TTAFCallOff[Part Name],$A29,T_TTAFCallOff[WeekIndex],33)</f>
        <v/>
      </c>
      <c r="AI29">
        <f>SUMIFS(T_TTAFCallOff[PCS],T_TTAFCallOff[Part Name],$A29,T_TTAFCallOff[WeekIndex],34)</f>
        <v/>
      </c>
      <c r="AJ29">
        <f>SUMIFS(T_TTAFCallOff[PCS],T_TTAFCallOff[Part Name],$A29,T_TTAFCallOff[WeekIndex],35)</f>
        <v/>
      </c>
      <c r="AK29">
        <f>SUMIFS(T_TTAFCallOff[PCS],T_TTAFCallOff[Part Name],$A29,T_TTAFCallOff[WeekIndex],36)</f>
        <v/>
      </c>
      <c r="AL29">
        <f>SUMIFS(T_TTAFCallOff[PCS],T_TTAFCallOff[Part Name],$A29,T_TTAFCallOff[WeekIndex],37)</f>
        <v/>
      </c>
      <c r="AM29">
        <f>SUMIFS(T_TTAFCallOff[PCS],T_TTAFCallOff[Part Name],$A29,T_TTAFCallOff[WeekIndex],38)</f>
        <v/>
      </c>
      <c r="AN29">
        <f>SUMIFS(T_TTAFCallOff[PCS],T_TTAFCallOff[Part Name],$A29,T_TTAFCallOff[WeekIndex],39)</f>
        <v/>
      </c>
      <c r="AO29">
        <f>SUMIFS(T_TTAFCallOff[PCS],T_TTAFCallOff[Part Name],$A29,T_TTAFCallOff[WeekIndex],40)</f>
        <v/>
      </c>
      <c r="AP29">
        <f>SUMIFS(T_TTAFCallOff[PCS],T_TTAFCallOff[Part Name],$A29,T_TTAFCallOff[WeekIndex],41)</f>
        <v/>
      </c>
      <c r="AQ29">
        <f>SUMIFS(T_TTAFCallOff[PCS],T_TTAFCallOff[Part Name],$A29,T_TTAFCallOff[WeekIndex],42)</f>
        <v/>
      </c>
      <c r="AR29">
        <f>SUMIFS(T_TTAFCallOff[PCS],T_TTAFCallOff[Part Name],$A29,T_TTAFCallOff[WeekIndex],43)</f>
        <v/>
      </c>
      <c r="AS29">
        <f>SUMIFS(T_TTAFCallOff[PCS],T_TTAFCallOff[Part Name],$A29,T_TTAFCallOff[WeekIndex],44)</f>
        <v/>
      </c>
      <c r="AT29">
        <f>SUMIFS(T_TTAFCallOff[PCS],T_TTAFCallOff[Part Name],$A29,T_TTAFCallOff[WeekIndex],45)</f>
        <v/>
      </c>
      <c r="AU29">
        <f>SUMIFS(T_TTAFCallOff[PCS],T_TTAFCallOff[Part Name],$A29,T_TTAFCallOff[WeekIndex],46)</f>
        <v/>
      </c>
      <c r="AV29">
        <f>SUMIFS(T_TTAFCallOff[PCS],T_TTAFCallOff[Part Name],$A29,T_TTAFCallOff[WeekIndex],47)</f>
        <v/>
      </c>
      <c r="AW29">
        <f>SUMIFS(T_TTAFCallOff[PCS],T_TTAFCallOff[Part Name],$A29,T_TTAFCallOff[WeekIndex],48)</f>
        <v/>
      </c>
      <c r="AX29">
        <f>SUMIFS(T_TTAFCallOff[PCS],T_TTAFCallOff[Part Name],$A29,T_TTAFCallOff[WeekIndex],49)</f>
        <v/>
      </c>
      <c r="AY29">
        <f>SUMIFS(T_TTAFCallOff[PCS],T_TTAFCallOff[Part Name],$A29,T_TTAFCallOff[WeekIndex],50)</f>
        <v/>
      </c>
      <c r="AZ29">
        <f>SUMIFS(T_TTAFCallOff[PCS],T_TTAFCallOff[Part Name],$A29,T_TTAFCallOff[WeekIndex],51)</f>
        <v/>
      </c>
      <c r="BA29">
        <f>SUMIFS(T_TTAFCallOff[PCS],T_TTAFCallOff[Part Name],$A29,T_TTAFCallOff[WeekIndex],52)</f>
        <v/>
      </c>
      <c r="BB29">
        <f>SUMIFS(T_TTAFCallOff[PCS],T_TTAFCallOff[Part Name],$A29,T_TTAFCallOff[WeekIndex],53)</f>
        <v/>
      </c>
      <c r="BC29">
        <f>SUMIFS(T_TTAFCallOff[PCS],T_TTAFCallOff[Part Name],$A29,T_TTAFCallOff[WeekIndex],54)</f>
        <v/>
      </c>
      <c r="BD29">
        <f>SUMIFS(T_TTAFCallOff[PCS],T_TTAFCallOff[Part Name],$A29,T_TTAFCallOff[WeekIndex],55)</f>
        <v/>
      </c>
      <c r="BE29">
        <f>SUMIFS(T_TTAFCallOff[PCS],T_TTAFCallOff[Part Name],$A29,T_TTAFCallOff[WeekIndex],56)</f>
        <v/>
      </c>
      <c r="BF29">
        <f>SUMIFS(T_TTAFCallOff[PCS],T_TTAFCallOff[Part Name],$A29,T_TTAFCallOff[WeekIndex],57)</f>
        <v/>
      </c>
      <c r="BG29">
        <f>SUMIFS(T_TTAFCallOff[PCS],T_TTAFCallOff[Part Name],$A29,T_TTAFCallOff[WeekIndex],58)</f>
        <v/>
      </c>
      <c r="BH29">
        <f>SUMIFS(T_TTAFCallOff[PCS],T_TTAFCallOff[Part Name],$A29,T_TTAFCallOff[WeekIndex],59)</f>
        <v/>
      </c>
      <c r="BI29">
        <f>SUMIFS(T_TTAFCallOff[PCS],T_TTAFCallOff[Part Name],$A29,T_TTAFCallOff[WeekIndex],60)</f>
        <v/>
      </c>
      <c r="BJ29">
        <f>SUMIFS(T_TTAFCallOff[PCS],T_TTAFCallOff[Part Name],$A29,T_TTAFCallOff[WeekIndex],61)</f>
        <v/>
      </c>
      <c r="BK29">
        <f>SUMIFS(T_TTAFCallOff[PCS],T_TTAFCallOff[Part Name],$A29,T_TTAFCallOff[WeekIndex],62)</f>
        <v/>
      </c>
      <c r="BL29">
        <f>SUMIFS(T_TTAFCallOff[PCS],T_TTAFCallOff[Part Name],$A29,T_TTAFCallOff[WeekIndex],63)</f>
        <v/>
      </c>
      <c r="BM29">
        <f>SUMIFS(T_TTAFCallOff[PCS],T_TTAFCallOff[Part Name],$A29,T_TTAFCallOff[WeekIndex],64)</f>
        <v/>
      </c>
      <c r="BN29">
        <f>SUMIFS(T_TTAFCallOff[PCS],T_TTAFCallOff[Part Name],$A29,T_TTAFCallOff[WeekIndex],65)</f>
        <v/>
      </c>
      <c r="BO29">
        <f>SUMIFS(T_TTAFCallOff[PCS],T_TTAFCallOff[Part Name],$A29,T_TTAFCallOff[WeekIndex],66)</f>
        <v/>
      </c>
      <c r="BP29">
        <f>SUMIFS(T_TTAFCallOff[PCS],T_TTAFCallOff[Part Name],$A29,T_TTAFCallOff[WeekIndex],67)</f>
        <v/>
      </c>
      <c r="BQ29">
        <f>SUMIFS(T_TTAFCallOff[PCS],T_TTAFCallOff[Part Name],$A29,T_TTAFCallOff[WeekIndex],68)</f>
        <v/>
      </c>
      <c r="BR29">
        <f>SUMIFS(T_TTAFCallOff[PCS],T_TTAFCallOff[Part Name],$A29,T_TTAFCallOff[WeekIndex],69)</f>
        <v/>
      </c>
      <c r="BS29">
        <f>SUMIFS(T_TTAFCallOff[PCS],T_TTAFCallOff[Part Name],$A29,T_TTAFCallOff[WeekIndex],70)</f>
        <v/>
      </c>
      <c r="BT29">
        <f>SUMIFS(T_TTAFCallOff[PCS],T_TTAFCallOff[Part Name],$A29,T_TTAFCallOff[WeekIndex],71)</f>
        <v/>
      </c>
      <c r="BU29">
        <f>SUMIFS(T_TTAFCallOff[PCS],T_TTAFCallOff[Part Name],$A29,T_TTAFCallOff[WeekIndex],72)</f>
        <v/>
      </c>
      <c r="BV29">
        <f>SUMIFS(T_TTAFCallOff[PCS],T_TTAFCallOff[Part Name],$A29,T_TTAFCallOff[WeekIndex],73)</f>
        <v/>
      </c>
      <c r="BW29">
        <f>SUMIFS(T_TTAFCallOff[PCS],T_TTAFCallOff[Part Name],$A29,T_TTAFCallOff[WeekIndex],74)</f>
        <v/>
      </c>
      <c r="BX29">
        <f>SUMIFS(T_TTAFCallOff[PCS],T_TTAFCallOff[Part Name],$A29,T_TTAFCallOff[WeekIndex],75)</f>
        <v/>
      </c>
      <c r="BY29">
        <f>SUMIFS(T_TTAFCallOff[PCS],T_TTAFCallOff[Part Name],$A29,T_TTAFCallOff[WeekIndex],76)</f>
        <v/>
      </c>
      <c r="BZ29">
        <f>SUMIFS(T_TTAFCallOff[PCS],T_TTAFCallOff[Part Name],$A29,T_TTAFCallOff[WeekIndex],77)</f>
        <v/>
      </c>
      <c r="CA29">
        <f>SUMIFS(T_TTAFCallOff[PCS],T_TTAFCallOff[Part Name],$A29,T_TTAFCallOff[WeekIndex],78)</f>
        <v/>
      </c>
      <c r="CB29">
        <f>SUMIFS(T_TTAFCallOff[PCS],T_TTAFCallOff[Part Name],$A29,T_TTAFCallOff[WeekIndex],79)</f>
        <v/>
      </c>
      <c r="CC29">
        <f>SUMIFS(T_TTAFCallOff[PCS],T_TTAFCallOff[Part Name],$A29,T_TTAFCallOff[WeekIndex],80)</f>
        <v/>
      </c>
      <c r="CD29">
        <f>SUMIFS(T_TTAFCallOff[PCS],T_TTAFCallOff[Part Name],$A29,T_TTAFCallOff[WeekIndex],81)</f>
        <v/>
      </c>
      <c r="CE29">
        <f>SUMIFS(T_TTAFCallOff[PCS],T_TTAFCallOff[Part Name],$A29,T_TTAFCallOff[WeekIndex],82)</f>
        <v/>
      </c>
      <c r="CF29">
        <f>SUMIFS(T_TTAFCallOff[PCS],T_TTAFCallOff[Part Name],$A29,T_TTAFCallOff[WeekIndex],83)</f>
        <v/>
      </c>
      <c r="CG29">
        <f>SUMIFS(T_TTAFCallOff[PCS],T_TTAFCallOff[Part Name],$A29,T_TTAFCallOff[WeekIndex],84)</f>
        <v/>
      </c>
      <c r="CH29">
        <f>SUMIFS(T_TTAFCallOff[PCS],T_TTAFCallOff[Part Name],$A29,T_TTAFCallOff[WeekIndex],85)</f>
        <v/>
      </c>
      <c r="CI29">
        <f>SUMIFS(T_TTAFCallOff[PCS],T_TTAFCallOff[Part Name],$A29,T_TTAFCallOff[WeekIndex],86)</f>
        <v/>
      </c>
      <c r="CJ29">
        <f>SUMIFS(T_TTAFCallOff[PCS],T_TTAFCallOff[Part Name],$A29,T_TTAFCallOff[WeekIndex],87)</f>
        <v/>
      </c>
      <c r="CK29">
        <f>SUMIFS(T_TTAFCallOff[PCS],T_TTAFCallOff[Part Name],$A29,T_TTAFCallOff[WeekIndex],88)</f>
        <v/>
      </c>
      <c r="CL29">
        <f>SUMIFS(T_TTAFCallOff[PCS],T_TTAFCallOff[Part Name],$A29,T_TTAFCallOff[WeekIndex],89)</f>
        <v/>
      </c>
      <c r="CM29">
        <f>SUMIFS(T_TTAFCallOff[PCS],T_TTAFCallOff[Part Name],$A29,T_TTAFCallOff[WeekIndex],90)</f>
        <v/>
      </c>
      <c r="CN29">
        <f>SUMIFS(T_TTAFCallOff[PCS],T_TTAFCallOff[Part Name],$A29,T_TTAFCallOff[WeekIndex],91)</f>
        <v/>
      </c>
      <c r="CO29">
        <f>SUMIFS(T_TTAFCallOff[PCS],T_TTAFCallOff[Part Name],$A29,T_TTAFCallOff[WeekIndex],92)</f>
        <v/>
      </c>
      <c r="CP29">
        <f>SUMIFS(T_TTAFCallOff[PCS],T_TTAFCallOff[Part Name],$A29,T_TTAFCallOff[WeekIndex],93)</f>
        <v/>
      </c>
      <c r="CQ29">
        <f>SUMIFS(T_TTAFCallOff[PCS],T_TTAFCallOff[Part Name],$A29,T_TTAFCallOff[WeekIndex],94)</f>
        <v/>
      </c>
      <c r="CR29">
        <f>SUMIFS(T_TTAFCallOff[PCS],T_TTAFCallOff[Part Name],$A29,T_TTAFCallOff[WeekIndex],95)</f>
        <v/>
      </c>
      <c r="CS29">
        <f>SUMIFS(T_TTAFCallOff[PCS],T_TTAFCallOff[Part Name],$A29,T_TTAFCallOff[WeekIndex],96)</f>
        <v/>
      </c>
      <c r="CT29">
        <f>SUMIFS(T_TTAFCallOff[PCS],T_TTAFCallOff[Part Name],$A29,T_TTAFCallOff[WeekIndex],97)</f>
        <v/>
      </c>
      <c r="CU29">
        <f>SUMIFS(T_TTAFCallOff[PCS],T_TTAFCallOff[Part Name],$A29,T_TTAFCallOff[WeekIndex],98)</f>
        <v/>
      </c>
      <c r="CV29">
        <f>SUMIFS(T_TTAFCallOff[PCS],T_TTAFCallOff[Part Name],$A29,T_TTAFCallOff[WeekIndex],99)</f>
        <v/>
      </c>
      <c r="CW29">
        <f>SUMIFS(T_TTAFCallOff[PCS],T_TTAFCallOff[Part Name],$A29,T_TTAFCallOff[WeekIndex],100)</f>
        <v/>
      </c>
      <c r="CX29">
        <f>SUMIFS(T_TTAFCallOff[PCS],T_TTAFCallOff[Part Name],$A29,T_TTAFCallOff[WeekIndex],101)</f>
        <v/>
      </c>
      <c r="CY29">
        <f>SUMIFS(T_TTAFCallOff[PCS],T_TTAFCallOff[Part Name],$A29,T_TTAFCallOff[WeekIndex],102)</f>
        <v/>
      </c>
      <c r="CZ29">
        <f>SUMIFS(T_TTAFCallOff[PCS],T_TTAFCallOff[Part Name],$A29,T_TTAFCallOff[WeekIndex],103)</f>
        <v/>
      </c>
      <c r="DA29">
        <f>SUMIFS(T_TTAFCallOff[PCS],T_TTAFCallOff[Part Name],$A29,T_TTAFCallOff[WeekIndex],104)</f>
        <v/>
      </c>
    </row>
    <row r="30">
      <c r="A30" t="inlineStr">
        <is>
          <t>TDJ</t>
        </is>
      </c>
      <c r="B30">
        <f>SUMIFS(T_TTAFCallOff[PCS],T_TTAFCallOff[Part Name],$A30,T_TTAFCallOff[WeekIndex],1)</f>
        <v/>
      </c>
      <c r="C30">
        <f>SUMIFS(T_TTAFCallOff[PCS],T_TTAFCallOff[Part Name],$A30,T_TTAFCallOff[WeekIndex],2)</f>
        <v/>
      </c>
      <c r="D30">
        <f>SUMIFS(T_TTAFCallOff[PCS],T_TTAFCallOff[Part Name],$A30,T_TTAFCallOff[WeekIndex],3)</f>
        <v/>
      </c>
      <c r="E30">
        <f>SUMIFS(T_TTAFCallOff[PCS],T_TTAFCallOff[Part Name],$A30,T_TTAFCallOff[WeekIndex],4)</f>
        <v/>
      </c>
      <c r="F30">
        <f>SUMIFS(T_TTAFCallOff[PCS],T_TTAFCallOff[Part Name],$A30,T_TTAFCallOff[WeekIndex],5)</f>
        <v/>
      </c>
      <c r="G30">
        <f>SUMIFS(T_TTAFCallOff[PCS],T_TTAFCallOff[Part Name],$A30,T_TTAFCallOff[WeekIndex],6)</f>
        <v/>
      </c>
      <c r="H30">
        <f>SUMIFS(T_TTAFCallOff[PCS],T_TTAFCallOff[Part Name],$A30,T_TTAFCallOff[WeekIndex],7)</f>
        <v/>
      </c>
      <c r="I30">
        <f>SUMIFS(T_TTAFCallOff[PCS],T_TTAFCallOff[Part Name],$A30,T_TTAFCallOff[WeekIndex],8)</f>
        <v/>
      </c>
      <c r="J30">
        <f>SUMIFS(T_TTAFCallOff[PCS],T_TTAFCallOff[Part Name],$A30,T_TTAFCallOff[WeekIndex],9)</f>
        <v/>
      </c>
      <c r="K30">
        <f>SUMIFS(T_TTAFCallOff[PCS],T_TTAFCallOff[Part Name],$A30,T_TTAFCallOff[WeekIndex],10)</f>
        <v/>
      </c>
      <c r="L30">
        <f>SUMIFS(T_TTAFCallOff[PCS],T_TTAFCallOff[Part Name],$A30,T_TTAFCallOff[WeekIndex],11)</f>
        <v/>
      </c>
      <c r="M30">
        <f>SUMIFS(T_TTAFCallOff[PCS],T_TTAFCallOff[Part Name],$A30,T_TTAFCallOff[WeekIndex],12)</f>
        <v/>
      </c>
      <c r="N30">
        <f>SUMIFS(T_TTAFCallOff[PCS],T_TTAFCallOff[Part Name],$A30,T_TTAFCallOff[WeekIndex],13)</f>
        <v/>
      </c>
      <c r="O30">
        <f>SUMIFS(T_TTAFCallOff[PCS],T_TTAFCallOff[Part Name],$A30,T_TTAFCallOff[WeekIndex],14)</f>
        <v/>
      </c>
      <c r="P30">
        <f>SUMIFS(T_TTAFCallOff[PCS],T_TTAFCallOff[Part Name],$A30,T_TTAFCallOff[WeekIndex],15)</f>
        <v/>
      </c>
      <c r="Q30">
        <f>SUMIFS(T_TTAFCallOff[PCS],T_TTAFCallOff[Part Name],$A30,T_TTAFCallOff[WeekIndex],16)</f>
        <v/>
      </c>
      <c r="R30">
        <f>SUMIFS(T_TTAFCallOff[PCS],T_TTAFCallOff[Part Name],$A30,T_TTAFCallOff[WeekIndex],17)</f>
        <v/>
      </c>
      <c r="S30">
        <f>SUMIFS(T_TTAFCallOff[PCS],T_TTAFCallOff[Part Name],$A30,T_TTAFCallOff[WeekIndex],18)</f>
        <v/>
      </c>
      <c r="T30">
        <f>SUMIFS(T_TTAFCallOff[PCS],T_TTAFCallOff[Part Name],$A30,T_TTAFCallOff[WeekIndex],19)</f>
        <v/>
      </c>
      <c r="U30">
        <f>SUMIFS(T_TTAFCallOff[PCS],T_TTAFCallOff[Part Name],$A30,T_TTAFCallOff[WeekIndex],20)</f>
        <v/>
      </c>
      <c r="V30">
        <f>SUMIFS(T_TTAFCallOff[PCS],T_TTAFCallOff[Part Name],$A30,T_TTAFCallOff[WeekIndex],21)</f>
        <v/>
      </c>
      <c r="W30">
        <f>SUMIFS(T_TTAFCallOff[PCS],T_TTAFCallOff[Part Name],$A30,T_TTAFCallOff[WeekIndex],22)</f>
        <v/>
      </c>
      <c r="X30">
        <f>SUMIFS(T_TTAFCallOff[PCS],T_TTAFCallOff[Part Name],$A30,T_TTAFCallOff[WeekIndex],23)</f>
        <v/>
      </c>
      <c r="Y30">
        <f>SUMIFS(T_TTAFCallOff[PCS],T_TTAFCallOff[Part Name],$A30,T_TTAFCallOff[WeekIndex],24)</f>
        <v/>
      </c>
      <c r="Z30">
        <f>SUMIFS(T_TTAFCallOff[PCS],T_TTAFCallOff[Part Name],$A30,T_TTAFCallOff[WeekIndex],25)</f>
        <v/>
      </c>
      <c r="AA30">
        <f>SUMIFS(T_TTAFCallOff[PCS],T_TTAFCallOff[Part Name],$A30,T_TTAFCallOff[WeekIndex],26)</f>
        <v/>
      </c>
      <c r="AB30">
        <f>SUMIFS(T_TTAFCallOff[PCS],T_TTAFCallOff[Part Name],$A30,T_TTAFCallOff[WeekIndex],27)</f>
        <v/>
      </c>
      <c r="AC30">
        <f>SUMIFS(T_TTAFCallOff[PCS],T_TTAFCallOff[Part Name],$A30,T_TTAFCallOff[WeekIndex],28)</f>
        <v/>
      </c>
      <c r="AD30">
        <f>SUMIFS(T_TTAFCallOff[PCS],T_TTAFCallOff[Part Name],$A30,T_TTAFCallOff[WeekIndex],29)</f>
        <v/>
      </c>
      <c r="AE30">
        <f>SUMIFS(T_TTAFCallOff[PCS],T_TTAFCallOff[Part Name],$A30,T_TTAFCallOff[WeekIndex],30)</f>
        <v/>
      </c>
      <c r="AF30">
        <f>SUMIFS(T_TTAFCallOff[PCS],T_TTAFCallOff[Part Name],$A30,T_TTAFCallOff[WeekIndex],31)</f>
        <v/>
      </c>
      <c r="AG30">
        <f>SUMIFS(T_TTAFCallOff[PCS],T_TTAFCallOff[Part Name],$A30,T_TTAFCallOff[WeekIndex],32)</f>
        <v/>
      </c>
      <c r="AH30">
        <f>SUMIFS(T_TTAFCallOff[PCS],T_TTAFCallOff[Part Name],$A30,T_TTAFCallOff[WeekIndex],33)</f>
        <v/>
      </c>
      <c r="AI30">
        <f>SUMIFS(T_TTAFCallOff[PCS],T_TTAFCallOff[Part Name],$A30,T_TTAFCallOff[WeekIndex],34)</f>
        <v/>
      </c>
      <c r="AJ30">
        <f>SUMIFS(T_TTAFCallOff[PCS],T_TTAFCallOff[Part Name],$A30,T_TTAFCallOff[WeekIndex],35)</f>
        <v/>
      </c>
      <c r="AK30">
        <f>SUMIFS(T_TTAFCallOff[PCS],T_TTAFCallOff[Part Name],$A30,T_TTAFCallOff[WeekIndex],36)</f>
        <v/>
      </c>
      <c r="AL30">
        <f>SUMIFS(T_TTAFCallOff[PCS],T_TTAFCallOff[Part Name],$A30,T_TTAFCallOff[WeekIndex],37)</f>
        <v/>
      </c>
      <c r="AM30">
        <f>SUMIFS(T_TTAFCallOff[PCS],T_TTAFCallOff[Part Name],$A30,T_TTAFCallOff[WeekIndex],38)</f>
        <v/>
      </c>
      <c r="AN30">
        <f>SUMIFS(T_TTAFCallOff[PCS],T_TTAFCallOff[Part Name],$A30,T_TTAFCallOff[WeekIndex],39)</f>
        <v/>
      </c>
      <c r="AO30">
        <f>SUMIFS(T_TTAFCallOff[PCS],T_TTAFCallOff[Part Name],$A30,T_TTAFCallOff[WeekIndex],40)</f>
        <v/>
      </c>
      <c r="AP30">
        <f>SUMIFS(T_TTAFCallOff[PCS],T_TTAFCallOff[Part Name],$A30,T_TTAFCallOff[WeekIndex],41)</f>
        <v/>
      </c>
      <c r="AQ30">
        <f>SUMIFS(T_TTAFCallOff[PCS],T_TTAFCallOff[Part Name],$A30,T_TTAFCallOff[WeekIndex],42)</f>
        <v/>
      </c>
      <c r="AR30">
        <f>SUMIFS(T_TTAFCallOff[PCS],T_TTAFCallOff[Part Name],$A30,T_TTAFCallOff[WeekIndex],43)</f>
        <v/>
      </c>
      <c r="AS30">
        <f>SUMIFS(T_TTAFCallOff[PCS],T_TTAFCallOff[Part Name],$A30,T_TTAFCallOff[WeekIndex],44)</f>
        <v/>
      </c>
      <c r="AT30">
        <f>SUMIFS(T_TTAFCallOff[PCS],T_TTAFCallOff[Part Name],$A30,T_TTAFCallOff[WeekIndex],45)</f>
        <v/>
      </c>
      <c r="AU30">
        <f>SUMIFS(T_TTAFCallOff[PCS],T_TTAFCallOff[Part Name],$A30,T_TTAFCallOff[WeekIndex],46)</f>
        <v/>
      </c>
      <c r="AV30">
        <f>SUMIFS(T_TTAFCallOff[PCS],T_TTAFCallOff[Part Name],$A30,T_TTAFCallOff[WeekIndex],47)</f>
        <v/>
      </c>
      <c r="AW30">
        <f>SUMIFS(T_TTAFCallOff[PCS],T_TTAFCallOff[Part Name],$A30,T_TTAFCallOff[WeekIndex],48)</f>
        <v/>
      </c>
      <c r="AX30">
        <f>SUMIFS(T_TTAFCallOff[PCS],T_TTAFCallOff[Part Name],$A30,T_TTAFCallOff[WeekIndex],49)</f>
        <v/>
      </c>
      <c r="AY30">
        <f>SUMIFS(T_TTAFCallOff[PCS],T_TTAFCallOff[Part Name],$A30,T_TTAFCallOff[WeekIndex],50)</f>
        <v/>
      </c>
      <c r="AZ30">
        <f>SUMIFS(T_TTAFCallOff[PCS],T_TTAFCallOff[Part Name],$A30,T_TTAFCallOff[WeekIndex],51)</f>
        <v/>
      </c>
      <c r="BA30">
        <f>SUMIFS(T_TTAFCallOff[PCS],T_TTAFCallOff[Part Name],$A30,T_TTAFCallOff[WeekIndex],52)</f>
        <v/>
      </c>
      <c r="BB30">
        <f>SUMIFS(T_TTAFCallOff[PCS],T_TTAFCallOff[Part Name],$A30,T_TTAFCallOff[WeekIndex],53)</f>
        <v/>
      </c>
      <c r="BC30">
        <f>SUMIFS(T_TTAFCallOff[PCS],T_TTAFCallOff[Part Name],$A30,T_TTAFCallOff[WeekIndex],54)</f>
        <v/>
      </c>
      <c r="BD30">
        <f>SUMIFS(T_TTAFCallOff[PCS],T_TTAFCallOff[Part Name],$A30,T_TTAFCallOff[WeekIndex],55)</f>
        <v/>
      </c>
      <c r="BE30">
        <f>SUMIFS(T_TTAFCallOff[PCS],T_TTAFCallOff[Part Name],$A30,T_TTAFCallOff[WeekIndex],56)</f>
        <v/>
      </c>
      <c r="BF30">
        <f>SUMIFS(T_TTAFCallOff[PCS],T_TTAFCallOff[Part Name],$A30,T_TTAFCallOff[WeekIndex],57)</f>
        <v/>
      </c>
      <c r="BG30">
        <f>SUMIFS(T_TTAFCallOff[PCS],T_TTAFCallOff[Part Name],$A30,T_TTAFCallOff[WeekIndex],58)</f>
        <v/>
      </c>
      <c r="BH30">
        <f>SUMIFS(T_TTAFCallOff[PCS],T_TTAFCallOff[Part Name],$A30,T_TTAFCallOff[WeekIndex],59)</f>
        <v/>
      </c>
      <c r="BI30">
        <f>SUMIFS(T_TTAFCallOff[PCS],T_TTAFCallOff[Part Name],$A30,T_TTAFCallOff[WeekIndex],60)</f>
        <v/>
      </c>
      <c r="BJ30">
        <f>SUMIFS(T_TTAFCallOff[PCS],T_TTAFCallOff[Part Name],$A30,T_TTAFCallOff[WeekIndex],61)</f>
        <v/>
      </c>
      <c r="BK30">
        <f>SUMIFS(T_TTAFCallOff[PCS],T_TTAFCallOff[Part Name],$A30,T_TTAFCallOff[WeekIndex],62)</f>
        <v/>
      </c>
      <c r="BL30">
        <f>SUMIFS(T_TTAFCallOff[PCS],T_TTAFCallOff[Part Name],$A30,T_TTAFCallOff[WeekIndex],63)</f>
        <v/>
      </c>
      <c r="BM30">
        <f>SUMIFS(T_TTAFCallOff[PCS],T_TTAFCallOff[Part Name],$A30,T_TTAFCallOff[WeekIndex],64)</f>
        <v/>
      </c>
      <c r="BN30">
        <f>SUMIFS(T_TTAFCallOff[PCS],T_TTAFCallOff[Part Name],$A30,T_TTAFCallOff[WeekIndex],65)</f>
        <v/>
      </c>
      <c r="BO30">
        <f>SUMIFS(T_TTAFCallOff[PCS],T_TTAFCallOff[Part Name],$A30,T_TTAFCallOff[WeekIndex],66)</f>
        <v/>
      </c>
      <c r="BP30">
        <f>SUMIFS(T_TTAFCallOff[PCS],T_TTAFCallOff[Part Name],$A30,T_TTAFCallOff[WeekIndex],67)</f>
        <v/>
      </c>
      <c r="BQ30">
        <f>SUMIFS(T_TTAFCallOff[PCS],T_TTAFCallOff[Part Name],$A30,T_TTAFCallOff[WeekIndex],68)</f>
        <v/>
      </c>
      <c r="BR30">
        <f>SUMIFS(T_TTAFCallOff[PCS],T_TTAFCallOff[Part Name],$A30,T_TTAFCallOff[WeekIndex],69)</f>
        <v/>
      </c>
      <c r="BS30">
        <f>SUMIFS(T_TTAFCallOff[PCS],T_TTAFCallOff[Part Name],$A30,T_TTAFCallOff[WeekIndex],70)</f>
        <v/>
      </c>
      <c r="BT30">
        <f>SUMIFS(T_TTAFCallOff[PCS],T_TTAFCallOff[Part Name],$A30,T_TTAFCallOff[WeekIndex],71)</f>
        <v/>
      </c>
      <c r="BU30">
        <f>SUMIFS(T_TTAFCallOff[PCS],T_TTAFCallOff[Part Name],$A30,T_TTAFCallOff[WeekIndex],72)</f>
        <v/>
      </c>
      <c r="BV30">
        <f>SUMIFS(T_TTAFCallOff[PCS],T_TTAFCallOff[Part Name],$A30,T_TTAFCallOff[WeekIndex],73)</f>
        <v/>
      </c>
      <c r="BW30">
        <f>SUMIFS(T_TTAFCallOff[PCS],T_TTAFCallOff[Part Name],$A30,T_TTAFCallOff[WeekIndex],74)</f>
        <v/>
      </c>
      <c r="BX30">
        <f>SUMIFS(T_TTAFCallOff[PCS],T_TTAFCallOff[Part Name],$A30,T_TTAFCallOff[WeekIndex],75)</f>
        <v/>
      </c>
      <c r="BY30">
        <f>SUMIFS(T_TTAFCallOff[PCS],T_TTAFCallOff[Part Name],$A30,T_TTAFCallOff[WeekIndex],76)</f>
        <v/>
      </c>
      <c r="BZ30">
        <f>SUMIFS(T_TTAFCallOff[PCS],T_TTAFCallOff[Part Name],$A30,T_TTAFCallOff[WeekIndex],77)</f>
        <v/>
      </c>
      <c r="CA30">
        <f>SUMIFS(T_TTAFCallOff[PCS],T_TTAFCallOff[Part Name],$A30,T_TTAFCallOff[WeekIndex],78)</f>
        <v/>
      </c>
      <c r="CB30">
        <f>SUMIFS(T_TTAFCallOff[PCS],T_TTAFCallOff[Part Name],$A30,T_TTAFCallOff[WeekIndex],79)</f>
        <v/>
      </c>
      <c r="CC30">
        <f>SUMIFS(T_TTAFCallOff[PCS],T_TTAFCallOff[Part Name],$A30,T_TTAFCallOff[WeekIndex],80)</f>
        <v/>
      </c>
      <c r="CD30">
        <f>SUMIFS(T_TTAFCallOff[PCS],T_TTAFCallOff[Part Name],$A30,T_TTAFCallOff[WeekIndex],81)</f>
        <v/>
      </c>
      <c r="CE30">
        <f>SUMIFS(T_TTAFCallOff[PCS],T_TTAFCallOff[Part Name],$A30,T_TTAFCallOff[WeekIndex],82)</f>
        <v/>
      </c>
      <c r="CF30">
        <f>SUMIFS(T_TTAFCallOff[PCS],T_TTAFCallOff[Part Name],$A30,T_TTAFCallOff[WeekIndex],83)</f>
        <v/>
      </c>
      <c r="CG30">
        <f>SUMIFS(T_TTAFCallOff[PCS],T_TTAFCallOff[Part Name],$A30,T_TTAFCallOff[WeekIndex],84)</f>
        <v/>
      </c>
      <c r="CH30">
        <f>SUMIFS(T_TTAFCallOff[PCS],T_TTAFCallOff[Part Name],$A30,T_TTAFCallOff[WeekIndex],85)</f>
        <v/>
      </c>
      <c r="CI30">
        <f>SUMIFS(T_TTAFCallOff[PCS],T_TTAFCallOff[Part Name],$A30,T_TTAFCallOff[WeekIndex],86)</f>
        <v/>
      </c>
      <c r="CJ30">
        <f>SUMIFS(T_TTAFCallOff[PCS],T_TTAFCallOff[Part Name],$A30,T_TTAFCallOff[WeekIndex],87)</f>
        <v/>
      </c>
      <c r="CK30">
        <f>SUMIFS(T_TTAFCallOff[PCS],T_TTAFCallOff[Part Name],$A30,T_TTAFCallOff[WeekIndex],88)</f>
        <v/>
      </c>
      <c r="CL30">
        <f>SUMIFS(T_TTAFCallOff[PCS],T_TTAFCallOff[Part Name],$A30,T_TTAFCallOff[WeekIndex],89)</f>
        <v/>
      </c>
      <c r="CM30">
        <f>SUMIFS(T_TTAFCallOff[PCS],T_TTAFCallOff[Part Name],$A30,T_TTAFCallOff[WeekIndex],90)</f>
        <v/>
      </c>
      <c r="CN30">
        <f>SUMIFS(T_TTAFCallOff[PCS],T_TTAFCallOff[Part Name],$A30,T_TTAFCallOff[WeekIndex],91)</f>
        <v/>
      </c>
      <c r="CO30">
        <f>SUMIFS(T_TTAFCallOff[PCS],T_TTAFCallOff[Part Name],$A30,T_TTAFCallOff[WeekIndex],92)</f>
        <v/>
      </c>
      <c r="CP30">
        <f>SUMIFS(T_TTAFCallOff[PCS],T_TTAFCallOff[Part Name],$A30,T_TTAFCallOff[WeekIndex],93)</f>
        <v/>
      </c>
      <c r="CQ30">
        <f>SUMIFS(T_TTAFCallOff[PCS],T_TTAFCallOff[Part Name],$A30,T_TTAFCallOff[WeekIndex],94)</f>
        <v/>
      </c>
      <c r="CR30">
        <f>SUMIFS(T_TTAFCallOff[PCS],T_TTAFCallOff[Part Name],$A30,T_TTAFCallOff[WeekIndex],95)</f>
        <v/>
      </c>
      <c r="CS30">
        <f>SUMIFS(T_TTAFCallOff[PCS],T_TTAFCallOff[Part Name],$A30,T_TTAFCallOff[WeekIndex],96)</f>
        <v/>
      </c>
      <c r="CT30">
        <f>SUMIFS(T_TTAFCallOff[PCS],T_TTAFCallOff[Part Name],$A30,T_TTAFCallOff[WeekIndex],97)</f>
        <v/>
      </c>
      <c r="CU30">
        <f>SUMIFS(T_TTAFCallOff[PCS],T_TTAFCallOff[Part Name],$A30,T_TTAFCallOff[WeekIndex],98)</f>
        <v/>
      </c>
      <c r="CV30">
        <f>SUMIFS(T_TTAFCallOff[PCS],T_TTAFCallOff[Part Name],$A30,T_TTAFCallOff[WeekIndex],99)</f>
        <v/>
      </c>
      <c r="CW30">
        <f>SUMIFS(T_TTAFCallOff[PCS],T_TTAFCallOff[Part Name],$A30,T_TTAFCallOff[WeekIndex],100)</f>
        <v/>
      </c>
      <c r="CX30">
        <f>SUMIFS(T_TTAFCallOff[PCS],T_TTAFCallOff[Part Name],$A30,T_TTAFCallOff[WeekIndex],101)</f>
        <v/>
      </c>
      <c r="CY30">
        <f>SUMIFS(T_TTAFCallOff[PCS],T_TTAFCallOff[Part Name],$A30,T_TTAFCallOff[WeekIndex],102)</f>
        <v/>
      </c>
      <c r="CZ30">
        <f>SUMIFS(T_TTAFCallOff[PCS],T_TTAFCallOff[Part Name],$A30,T_TTAFCallOff[WeekIndex],103)</f>
        <v/>
      </c>
      <c r="DA30">
        <f>SUMIFS(T_TTAFCallOff[PCS],T_TTAFCallOff[Part Name],$A30,T_TTAFCallOff[WeekIndex],104)</f>
        <v/>
      </c>
    </row>
    <row r="31">
      <c r="A31" t="inlineStr">
        <is>
          <t>CHEM-1730</t>
        </is>
      </c>
      <c r="B31">
        <f>SUMIFS(T_TTAFCallOff[PCS],T_TTAFCallOff[Part Name],$A31,T_TTAFCallOff[WeekIndex],1)</f>
        <v/>
      </c>
      <c r="C31">
        <f>SUMIFS(T_TTAFCallOff[PCS],T_TTAFCallOff[Part Name],$A31,T_TTAFCallOff[WeekIndex],2)</f>
        <v/>
      </c>
      <c r="D31">
        <f>SUMIFS(T_TTAFCallOff[PCS],T_TTAFCallOff[Part Name],$A31,T_TTAFCallOff[WeekIndex],3)</f>
        <v/>
      </c>
      <c r="E31">
        <f>SUMIFS(T_TTAFCallOff[PCS],T_TTAFCallOff[Part Name],$A31,T_TTAFCallOff[WeekIndex],4)</f>
        <v/>
      </c>
      <c r="F31">
        <f>SUMIFS(T_TTAFCallOff[PCS],T_TTAFCallOff[Part Name],$A31,T_TTAFCallOff[WeekIndex],5)</f>
        <v/>
      </c>
      <c r="G31">
        <f>SUMIFS(T_TTAFCallOff[PCS],T_TTAFCallOff[Part Name],$A31,T_TTAFCallOff[WeekIndex],6)</f>
        <v/>
      </c>
      <c r="H31">
        <f>SUMIFS(T_TTAFCallOff[PCS],T_TTAFCallOff[Part Name],$A31,T_TTAFCallOff[WeekIndex],7)</f>
        <v/>
      </c>
      <c r="I31">
        <f>SUMIFS(T_TTAFCallOff[PCS],T_TTAFCallOff[Part Name],$A31,T_TTAFCallOff[WeekIndex],8)</f>
        <v/>
      </c>
      <c r="J31">
        <f>SUMIFS(T_TTAFCallOff[PCS],T_TTAFCallOff[Part Name],$A31,T_TTAFCallOff[WeekIndex],9)</f>
        <v/>
      </c>
      <c r="K31">
        <f>SUMIFS(T_TTAFCallOff[PCS],T_TTAFCallOff[Part Name],$A31,T_TTAFCallOff[WeekIndex],10)</f>
        <v/>
      </c>
      <c r="L31">
        <f>SUMIFS(T_TTAFCallOff[PCS],T_TTAFCallOff[Part Name],$A31,T_TTAFCallOff[WeekIndex],11)</f>
        <v/>
      </c>
      <c r="M31">
        <f>SUMIFS(T_TTAFCallOff[PCS],T_TTAFCallOff[Part Name],$A31,T_TTAFCallOff[WeekIndex],12)</f>
        <v/>
      </c>
      <c r="N31">
        <f>SUMIFS(T_TTAFCallOff[PCS],T_TTAFCallOff[Part Name],$A31,T_TTAFCallOff[WeekIndex],13)</f>
        <v/>
      </c>
      <c r="O31">
        <f>SUMIFS(T_TTAFCallOff[PCS],T_TTAFCallOff[Part Name],$A31,T_TTAFCallOff[WeekIndex],14)</f>
        <v/>
      </c>
      <c r="P31">
        <f>SUMIFS(T_TTAFCallOff[PCS],T_TTAFCallOff[Part Name],$A31,T_TTAFCallOff[WeekIndex],15)</f>
        <v/>
      </c>
      <c r="Q31">
        <f>SUMIFS(T_TTAFCallOff[PCS],T_TTAFCallOff[Part Name],$A31,T_TTAFCallOff[WeekIndex],16)</f>
        <v/>
      </c>
      <c r="R31">
        <f>SUMIFS(T_TTAFCallOff[PCS],T_TTAFCallOff[Part Name],$A31,T_TTAFCallOff[WeekIndex],17)</f>
        <v/>
      </c>
      <c r="S31">
        <f>SUMIFS(T_TTAFCallOff[PCS],T_TTAFCallOff[Part Name],$A31,T_TTAFCallOff[WeekIndex],18)</f>
        <v/>
      </c>
      <c r="T31">
        <f>SUMIFS(T_TTAFCallOff[PCS],T_TTAFCallOff[Part Name],$A31,T_TTAFCallOff[WeekIndex],19)</f>
        <v/>
      </c>
      <c r="U31">
        <f>SUMIFS(T_TTAFCallOff[PCS],T_TTAFCallOff[Part Name],$A31,T_TTAFCallOff[WeekIndex],20)</f>
        <v/>
      </c>
      <c r="V31">
        <f>SUMIFS(T_TTAFCallOff[PCS],T_TTAFCallOff[Part Name],$A31,T_TTAFCallOff[WeekIndex],21)</f>
        <v/>
      </c>
      <c r="W31">
        <f>SUMIFS(T_TTAFCallOff[PCS],T_TTAFCallOff[Part Name],$A31,T_TTAFCallOff[WeekIndex],22)</f>
        <v/>
      </c>
      <c r="X31">
        <f>SUMIFS(T_TTAFCallOff[PCS],T_TTAFCallOff[Part Name],$A31,T_TTAFCallOff[WeekIndex],23)</f>
        <v/>
      </c>
      <c r="Y31">
        <f>SUMIFS(T_TTAFCallOff[PCS],T_TTAFCallOff[Part Name],$A31,T_TTAFCallOff[WeekIndex],24)</f>
        <v/>
      </c>
      <c r="Z31">
        <f>SUMIFS(T_TTAFCallOff[PCS],T_TTAFCallOff[Part Name],$A31,T_TTAFCallOff[WeekIndex],25)</f>
        <v/>
      </c>
      <c r="AA31">
        <f>SUMIFS(T_TTAFCallOff[PCS],T_TTAFCallOff[Part Name],$A31,T_TTAFCallOff[WeekIndex],26)</f>
        <v/>
      </c>
      <c r="AB31">
        <f>SUMIFS(T_TTAFCallOff[PCS],T_TTAFCallOff[Part Name],$A31,T_TTAFCallOff[WeekIndex],27)</f>
        <v/>
      </c>
      <c r="AC31">
        <f>SUMIFS(T_TTAFCallOff[PCS],T_TTAFCallOff[Part Name],$A31,T_TTAFCallOff[WeekIndex],28)</f>
        <v/>
      </c>
      <c r="AD31">
        <f>SUMIFS(T_TTAFCallOff[PCS],T_TTAFCallOff[Part Name],$A31,T_TTAFCallOff[WeekIndex],29)</f>
        <v/>
      </c>
      <c r="AE31">
        <f>SUMIFS(T_TTAFCallOff[PCS],T_TTAFCallOff[Part Name],$A31,T_TTAFCallOff[WeekIndex],30)</f>
        <v/>
      </c>
      <c r="AF31">
        <f>SUMIFS(T_TTAFCallOff[PCS],T_TTAFCallOff[Part Name],$A31,T_TTAFCallOff[WeekIndex],31)</f>
        <v/>
      </c>
      <c r="AG31">
        <f>SUMIFS(T_TTAFCallOff[PCS],T_TTAFCallOff[Part Name],$A31,T_TTAFCallOff[WeekIndex],32)</f>
        <v/>
      </c>
      <c r="AH31">
        <f>SUMIFS(T_TTAFCallOff[PCS],T_TTAFCallOff[Part Name],$A31,T_TTAFCallOff[WeekIndex],33)</f>
        <v/>
      </c>
      <c r="AI31">
        <f>SUMIFS(T_TTAFCallOff[PCS],T_TTAFCallOff[Part Name],$A31,T_TTAFCallOff[WeekIndex],34)</f>
        <v/>
      </c>
      <c r="AJ31">
        <f>SUMIFS(T_TTAFCallOff[PCS],T_TTAFCallOff[Part Name],$A31,T_TTAFCallOff[WeekIndex],35)</f>
        <v/>
      </c>
      <c r="AK31">
        <f>SUMIFS(T_TTAFCallOff[PCS],T_TTAFCallOff[Part Name],$A31,T_TTAFCallOff[WeekIndex],36)</f>
        <v/>
      </c>
      <c r="AL31">
        <f>SUMIFS(T_TTAFCallOff[PCS],T_TTAFCallOff[Part Name],$A31,T_TTAFCallOff[WeekIndex],37)</f>
        <v/>
      </c>
      <c r="AM31">
        <f>SUMIFS(T_TTAFCallOff[PCS],T_TTAFCallOff[Part Name],$A31,T_TTAFCallOff[WeekIndex],38)</f>
        <v/>
      </c>
      <c r="AN31">
        <f>SUMIFS(T_TTAFCallOff[PCS],T_TTAFCallOff[Part Name],$A31,T_TTAFCallOff[WeekIndex],39)</f>
        <v/>
      </c>
      <c r="AO31">
        <f>SUMIFS(T_TTAFCallOff[PCS],T_TTAFCallOff[Part Name],$A31,T_TTAFCallOff[WeekIndex],40)</f>
        <v/>
      </c>
      <c r="AP31">
        <f>SUMIFS(T_TTAFCallOff[PCS],T_TTAFCallOff[Part Name],$A31,T_TTAFCallOff[WeekIndex],41)</f>
        <v/>
      </c>
      <c r="AQ31">
        <f>SUMIFS(T_TTAFCallOff[PCS],T_TTAFCallOff[Part Name],$A31,T_TTAFCallOff[WeekIndex],42)</f>
        <v/>
      </c>
      <c r="AR31">
        <f>SUMIFS(T_TTAFCallOff[PCS],T_TTAFCallOff[Part Name],$A31,T_TTAFCallOff[WeekIndex],43)</f>
        <v/>
      </c>
      <c r="AS31">
        <f>SUMIFS(T_TTAFCallOff[PCS],T_TTAFCallOff[Part Name],$A31,T_TTAFCallOff[WeekIndex],44)</f>
        <v/>
      </c>
      <c r="AT31">
        <f>SUMIFS(T_TTAFCallOff[PCS],T_TTAFCallOff[Part Name],$A31,T_TTAFCallOff[WeekIndex],45)</f>
        <v/>
      </c>
      <c r="AU31">
        <f>SUMIFS(T_TTAFCallOff[PCS],T_TTAFCallOff[Part Name],$A31,T_TTAFCallOff[WeekIndex],46)</f>
        <v/>
      </c>
      <c r="AV31">
        <f>SUMIFS(T_TTAFCallOff[PCS],T_TTAFCallOff[Part Name],$A31,T_TTAFCallOff[WeekIndex],47)</f>
        <v/>
      </c>
      <c r="AW31">
        <f>SUMIFS(T_TTAFCallOff[PCS],T_TTAFCallOff[Part Name],$A31,T_TTAFCallOff[WeekIndex],48)</f>
        <v/>
      </c>
      <c r="AX31">
        <f>SUMIFS(T_TTAFCallOff[PCS],T_TTAFCallOff[Part Name],$A31,T_TTAFCallOff[WeekIndex],49)</f>
        <v/>
      </c>
      <c r="AY31">
        <f>SUMIFS(T_TTAFCallOff[PCS],T_TTAFCallOff[Part Name],$A31,T_TTAFCallOff[WeekIndex],50)</f>
        <v/>
      </c>
      <c r="AZ31">
        <f>SUMIFS(T_TTAFCallOff[PCS],T_TTAFCallOff[Part Name],$A31,T_TTAFCallOff[WeekIndex],51)</f>
        <v/>
      </c>
      <c r="BA31">
        <f>SUMIFS(T_TTAFCallOff[PCS],T_TTAFCallOff[Part Name],$A31,T_TTAFCallOff[WeekIndex],52)</f>
        <v/>
      </c>
      <c r="BB31">
        <f>SUMIFS(T_TTAFCallOff[PCS],T_TTAFCallOff[Part Name],$A31,T_TTAFCallOff[WeekIndex],53)</f>
        <v/>
      </c>
      <c r="BC31">
        <f>SUMIFS(T_TTAFCallOff[PCS],T_TTAFCallOff[Part Name],$A31,T_TTAFCallOff[WeekIndex],54)</f>
        <v/>
      </c>
      <c r="BD31">
        <f>SUMIFS(T_TTAFCallOff[PCS],T_TTAFCallOff[Part Name],$A31,T_TTAFCallOff[WeekIndex],55)</f>
        <v/>
      </c>
      <c r="BE31">
        <f>SUMIFS(T_TTAFCallOff[PCS],T_TTAFCallOff[Part Name],$A31,T_TTAFCallOff[WeekIndex],56)</f>
        <v/>
      </c>
      <c r="BF31">
        <f>SUMIFS(T_TTAFCallOff[PCS],T_TTAFCallOff[Part Name],$A31,T_TTAFCallOff[WeekIndex],57)</f>
        <v/>
      </c>
      <c r="BG31">
        <f>SUMIFS(T_TTAFCallOff[PCS],T_TTAFCallOff[Part Name],$A31,T_TTAFCallOff[WeekIndex],58)</f>
        <v/>
      </c>
      <c r="BH31">
        <f>SUMIFS(T_TTAFCallOff[PCS],T_TTAFCallOff[Part Name],$A31,T_TTAFCallOff[WeekIndex],59)</f>
        <v/>
      </c>
      <c r="BI31">
        <f>SUMIFS(T_TTAFCallOff[PCS],T_TTAFCallOff[Part Name],$A31,T_TTAFCallOff[WeekIndex],60)</f>
        <v/>
      </c>
      <c r="BJ31">
        <f>SUMIFS(T_TTAFCallOff[PCS],T_TTAFCallOff[Part Name],$A31,T_TTAFCallOff[WeekIndex],61)</f>
        <v/>
      </c>
      <c r="BK31">
        <f>SUMIFS(T_TTAFCallOff[PCS],T_TTAFCallOff[Part Name],$A31,T_TTAFCallOff[WeekIndex],62)</f>
        <v/>
      </c>
      <c r="BL31">
        <f>SUMIFS(T_TTAFCallOff[PCS],T_TTAFCallOff[Part Name],$A31,T_TTAFCallOff[WeekIndex],63)</f>
        <v/>
      </c>
      <c r="BM31">
        <f>SUMIFS(T_TTAFCallOff[PCS],T_TTAFCallOff[Part Name],$A31,T_TTAFCallOff[WeekIndex],64)</f>
        <v/>
      </c>
      <c r="BN31">
        <f>SUMIFS(T_TTAFCallOff[PCS],T_TTAFCallOff[Part Name],$A31,T_TTAFCallOff[WeekIndex],65)</f>
        <v/>
      </c>
      <c r="BO31">
        <f>SUMIFS(T_TTAFCallOff[PCS],T_TTAFCallOff[Part Name],$A31,T_TTAFCallOff[WeekIndex],66)</f>
        <v/>
      </c>
      <c r="BP31">
        <f>SUMIFS(T_TTAFCallOff[PCS],T_TTAFCallOff[Part Name],$A31,T_TTAFCallOff[WeekIndex],67)</f>
        <v/>
      </c>
      <c r="BQ31">
        <f>SUMIFS(T_TTAFCallOff[PCS],T_TTAFCallOff[Part Name],$A31,T_TTAFCallOff[WeekIndex],68)</f>
        <v/>
      </c>
      <c r="BR31">
        <f>SUMIFS(T_TTAFCallOff[PCS],T_TTAFCallOff[Part Name],$A31,T_TTAFCallOff[WeekIndex],69)</f>
        <v/>
      </c>
      <c r="BS31">
        <f>SUMIFS(T_TTAFCallOff[PCS],T_TTAFCallOff[Part Name],$A31,T_TTAFCallOff[WeekIndex],70)</f>
        <v/>
      </c>
      <c r="BT31">
        <f>SUMIFS(T_TTAFCallOff[PCS],T_TTAFCallOff[Part Name],$A31,T_TTAFCallOff[WeekIndex],71)</f>
        <v/>
      </c>
      <c r="BU31">
        <f>SUMIFS(T_TTAFCallOff[PCS],T_TTAFCallOff[Part Name],$A31,T_TTAFCallOff[WeekIndex],72)</f>
        <v/>
      </c>
      <c r="BV31">
        <f>SUMIFS(T_TTAFCallOff[PCS],T_TTAFCallOff[Part Name],$A31,T_TTAFCallOff[WeekIndex],73)</f>
        <v/>
      </c>
      <c r="BW31">
        <f>SUMIFS(T_TTAFCallOff[PCS],T_TTAFCallOff[Part Name],$A31,T_TTAFCallOff[WeekIndex],74)</f>
        <v/>
      </c>
      <c r="BX31">
        <f>SUMIFS(T_TTAFCallOff[PCS],T_TTAFCallOff[Part Name],$A31,T_TTAFCallOff[WeekIndex],75)</f>
        <v/>
      </c>
      <c r="BY31">
        <f>SUMIFS(T_TTAFCallOff[PCS],T_TTAFCallOff[Part Name],$A31,T_TTAFCallOff[WeekIndex],76)</f>
        <v/>
      </c>
      <c r="BZ31">
        <f>SUMIFS(T_TTAFCallOff[PCS],T_TTAFCallOff[Part Name],$A31,T_TTAFCallOff[WeekIndex],77)</f>
        <v/>
      </c>
      <c r="CA31">
        <f>SUMIFS(T_TTAFCallOff[PCS],T_TTAFCallOff[Part Name],$A31,T_TTAFCallOff[WeekIndex],78)</f>
        <v/>
      </c>
      <c r="CB31">
        <f>SUMIFS(T_TTAFCallOff[PCS],T_TTAFCallOff[Part Name],$A31,T_TTAFCallOff[WeekIndex],79)</f>
        <v/>
      </c>
      <c r="CC31">
        <f>SUMIFS(T_TTAFCallOff[PCS],T_TTAFCallOff[Part Name],$A31,T_TTAFCallOff[WeekIndex],80)</f>
        <v/>
      </c>
      <c r="CD31">
        <f>SUMIFS(T_TTAFCallOff[PCS],T_TTAFCallOff[Part Name],$A31,T_TTAFCallOff[WeekIndex],81)</f>
        <v/>
      </c>
      <c r="CE31">
        <f>SUMIFS(T_TTAFCallOff[PCS],T_TTAFCallOff[Part Name],$A31,T_TTAFCallOff[WeekIndex],82)</f>
        <v/>
      </c>
      <c r="CF31">
        <f>SUMIFS(T_TTAFCallOff[PCS],T_TTAFCallOff[Part Name],$A31,T_TTAFCallOff[WeekIndex],83)</f>
        <v/>
      </c>
      <c r="CG31">
        <f>SUMIFS(T_TTAFCallOff[PCS],T_TTAFCallOff[Part Name],$A31,T_TTAFCallOff[WeekIndex],84)</f>
        <v/>
      </c>
      <c r="CH31">
        <f>SUMIFS(T_TTAFCallOff[PCS],T_TTAFCallOff[Part Name],$A31,T_TTAFCallOff[WeekIndex],85)</f>
        <v/>
      </c>
      <c r="CI31">
        <f>SUMIFS(T_TTAFCallOff[PCS],T_TTAFCallOff[Part Name],$A31,T_TTAFCallOff[WeekIndex],86)</f>
        <v/>
      </c>
      <c r="CJ31">
        <f>SUMIFS(T_TTAFCallOff[PCS],T_TTAFCallOff[Part Name],$A31,T_TTAFCallOff[WeekIndex],87)</f>
        <v/>
      </c>
      <c r="CK31">
        <f>SUMIFS(T_TTAFCallOff[PCS],T_TTAFCallOff[Part Name],$A31,T_TTAFCallOff[WeekIndex],88)</f>
        <v/>
      </c>
      <c r="CL31">
        <f>SUMIFS(T_TTAFCallOff[PCS],T_TTAFCallOff[Part Name],$A31,T_TTAFCallOff[WeekIndex],89)</f>
        <v/>
      </c>
      <c r="CM31">
        <f>SUMIFS(T_TTAFCallOff[PCS],T_TTAFCallOff[Part Name],$A31,T_TTAFCallOff[WeekIndex],90)</f>
        <v/>
      </c>
      <c r="CN31">
        <f>SUMIFS(T_TTAFCallOff[PCS],T_TTAFCallOff[Part Name],$A31,T_TTAFCallOff[WeekIndex],91)</f>
        <v/>
      </c>
      <c r="CO31">
        <f>SUMIFS(T_TTAFCallOff[PCS],T_TTAFCallOff[Part Name],$A31,T_TTAFCallOff[WeekIndex],92)</f>
        <v/>
      </c>
      <c r="CP31">
        <f>SUMIFS(T_TTAFCallOff[PCS],T_TTAFCallOff[Part Name],$A31,T_TTAFCallOff[WeekIndex],93)</f>
        <v/>
      </c>
      <c r="CQ31">
        <f>SUMIFS(T_TTAFCallOff[PCS],T_TTAFCallOff[Part Name],$A31,T_TTAFCallOff[WeekIndex],94)</f>
        <v/>
      </c>
      <c r="CR31">
        <f>SUMIFS(T_TTAFCallOff[PCS],T_TTAFCallOff[Part Name],$A31,T_TTAFCallOff[WeekIndex],95)</f>
        <v/>
      </c>
      <c r="CS31">
        <f>SUMIFS(T_TTAFCallOff[PCS],T_TTAFCallOff[Part Name],$A31,T_TTAFCallOff[WeekIndex],96)</f>
        <v/>
      </c>
      <c r="CT31">
        <f>SUMIFS(T_TTAFCallOff[PCS],T_TTAFCallOff[Part Name],$A31,T_TTAFCallOff[WeekIndex],97)</f>
        <v/>
      </c>
      <c r="CU31">
        <f>SUMIFS(T_TTAFCallOff[PCS],T_TTAFCallOff[Part Name],$A31,T_TTAFCallOff[WeekIndex],98)</f>
        <v/>
      </c>
      <c r="CV31">
        <f>SUMIFS(T_TTAFCallOff[PCS],T_TTAFCallOff[Part Name],$A31,T_TTAFCallOff[WeekIndex],99)</f>
        <v/>
      </c>
      <c r="CW31">
        <f>SUMIFS(T_TTAFCallOff[PCS],T_TTAFCallOff[Part Name],$A31,T_TTAFCallOff[WeekIndex],100)</f>
        <v/>
      </c>
      <c r="CX31">
        <f>SUMIFS(T_TTAFCallOff[PCS],T_TTAFCallOff[Part Name],$A31,T_TTAFCallOff[WeekIndex],101)</f>
        <v/>
      </c>
      <c r="CY31">
        <f>SUMIFS(T_TTAFCallOff[PCS],T_TTAFCallOff[Part Name],$A31,T_TTAFCallOff[WeekIndex],102)</f>
        <v/>
      </c>
      <c r="CZ31">
        <f>SUMIFS(T_TTAFCallOff[PCS],T_TTAFCallOff[Part Name],$A31,T_TTAFCallOff[WeekIndex],103)</f>
        <v/>
      </c>
      <c r="DA31">
        <f>SUMIFS(T_TTAFCallOff[PCS],T_TTAFCallOff[Part Name],$A31,T_TTAFCallOff[WeekIndex],104)</f>
        <v/>
      </c>
    </row>
    <row r="32">
      <c r="A32" t="inlineStr">
        <is>
          <t>CHEM-1430</t>
        </is>
      </c>
      <c r="B32">
        <f>SUMIFS(T_TTAFCallOff[PCS],T_TTAFCallOff[Part Name],$A32,T_TTAFCallOff[WeekIndex],1)</f>
        <v/>
      </c>
      <c r="C32">
        <f>SUMIFS(T_TTAFCallOff[PCS],T_TTAFCallOff[Part Name],$A32,T_TTAFCallOff[WeekIndex],2)</f>
        <v/>
      </c>
      <c r="D32">
        <f>SUMIFS(T_TTAFCallOff[PCS],T_TTAFCallOff[Part Name],$A32,T_TTAFCallOff[WeekIndex],3)</f>
        <v/>
      </c>
      <c r="E32">
        <f>SUMIFS(T_TTAFCallOff[PCS],T_TTAFCallOff[Part Name],$A32,T_TTAFCallOff[WeekIndex],4)</f>
        <v/>
      </c>
      <c r="F32">
        <f>SUMIFS(T_TTAFCallOff[PCS],T_TTAFCallOff[Part Name],$A32,T_TTAFCallOff[WeekIndex],5)</f>
        <v/>
      </c>
      <c r="G32">
        <f>SUMIFS(T_TTAFCallOff[PCS],T_TTAFCallOff[Part Name],$A32,T_TTAFCallOff[WeekIndex],6)</f>
        <v/>
      </c>
      <c r="H32">
        <f>SUMIFS(T_TTAFCallOff[PCS],T_TTAFCallOff[Part Name],$A32,T_TTAFCallOff[WeekIndex],7)</f>
        <v/>
      </c>
      <c r="I32">
        <f>SUMIFS(T_TTAFCallOff[PCS],T_TTAFCallOff[Part Name],$A32,T_TTAFCallOff[WeekIndex],8)</f>
        <v/>
      </c>
      <c r="J32">
        <f>SUMIFS(T_TTAFCallOff[PCS],T_TTAFCallOff[Part Name],$A32,T_TTAFCallOff[WeekIndex],9)</f>
        <v/>
      </c>
      <c r="K32">
        <f>SUMIFS(T_TTAFCallOff[PCS],T_TTAFCallOff[Part Name],$A32,T_TTAFCallOff[WeekIndex],10)</f>
        <v/>
      </c>
      <c r="L32">
        <f>SUMIFS(T_TTAFCallOff[PCS],T_TTAFCallOff[Part Name],$A32,T_TTAFCallOff[WeekIndex],11)</f>
        <v/>
      </c>
      <c r="M32">
        <f>SUMIFS(T_TTAFCallOff[PCS],T_TTAFCallOff[Part Name],$A32,T_TTAFCallOff[WeekIndex],12)</f>
        <v/>
      </c>
      <c r="N32">
        <f>SUMIFS(T_TTAFCallOff[PCS],T_TTAFCallOff[Part Name],$A32,T_TTAFCallOff[WeekIndex],13)</f>
        <v/>
      </c>
      <c r="O32">
        <f>SUMIFS(T_TTAFCallOff[PCS],T_TTAFCallOff[Part Name],$A32,T_TTAFCallOff[WeekIndex],14)</f>
        <v/>
      </c>
      <c r="P32">
        <f>SUMIFS(T_TTAFCallOff[PCS],T_TTAFCallOff[Part Name],$A32,T_TTAFCallOff[WeekIndex],15)</f>
        <v/>
      </c>
      <c r="Q32">
        <f>SUMIFS(T_TTAFCallOff[PCS],T_TTAFCallOff[Part Name],$A32,T_TTAFCallOff[WeekIndex],16)</f>
        <v/>
      </c>
      <c r="R32">
        <f>SUMIFS(T_TTAFCallOff[PCS],T_TTAFCallOff[Part Name],$A32,T_TTAFCallOff[WeekIndex],17)</f>
        <v/>
      </c>
      <c r="S32">
        <f>SUMIFS(T_TTAFCallOff[PCS],T_TTAFCallOff[Part Name],$A32,T_TTAFCallOff[WeekIndex],18)</f>
        <v/>
      </c>
      <c r="T32">
        <f>SUMIFS(T_TTAFCallOff[PCS],T_TTAFCallOff[Part Name],$A32,T_TTAFCallOff[WeekIndex],19)</f>
        <v/>
      </c>
      <c r="U32">
        <f>SUMIFS(T_TTAFCallOff[PCS],T_TTAFCallOff[Part Name],$A32,T_TTAFCallOff[WeekIndex],20)</f>
        <v/>
      </c>
      <c r="V32">
        <f>SUMIFS(T_TTAFCallOff[PCS],T_TTAFCallOff[Part Name],$A32,T_TTAFCallOff[WeekIndex],21)</f>
        <v/>
      </c>
      <c r="W32">
        <f>SUMIFS(T_TTAFCallOff[PCS],T_TTAFCallOff[Part Name],$A32,T_TTAFCallOff[WeekIndex],22)</f>
        <v/>
      </c>
      <c r="X32">
        <f>SUMIFS(T_TTAFCallOff[PCS],T_TTAFCallOff[Part Name],$A32,T_TTAFCallOff[WeekIndex],23)</f>
        <v/>
      </c>
      <c r="Y32">
        <f>SUMIFS(T_TTAFCallOff[PCS],T_TTAFCallOff[Part Name],$A32,T_TTAFCallOff[WeekIndex],24)</f>
        <v/>
      </c>
      <c r="Z32">
        <f>SUMIFS(T_TTAFCallOff[PCS],T_TTAFCallOff[Part Name],$A32,T_TTAFCallOff[WeekIndex],25)</f>
        <v/>
      </c>
      <c r="AA32">
        <f>SUMIFS(T_TTAFCallOff[PCS],T_TTAFCallOff[Part Name],$A32,T_TTAFCallOff[WeekIndex],26)</f>
        <v/>
      </c>
      <c r="AB32">
        <f>SUMIFS(T_TTAFCallOff[PCS],T_TTAFCallOff[Part Name],$A32,T_TTAFCallOff[WeekIndex],27)</f>
        <v/>
      </c>
      <c r="AC32">
        <f>SUMIFS(T_TTAFCallOff[PCS],T_TTAFCallOff[Part Name],$A32,T_TTAFCallOff[WeekIndex],28)</f>
        <v/>
      </c>
      <c r="AD32">
        <f>SUMIFS(T_TTAFCallOff[PCS],T_TTAFCallOff[Part Name],$A32,T_TTAFCallOff[WeekIndex],29)</f>
        <v/>
      </c>
      <c r="AE32">
        <f>SUMIFS(T_TTAFCallOff[PCS],T_TTAFCallOff[Part Name],$A32,T_TTAFCallOff[WeekIndex],30)</f>
        <v/>
      </c>
      <c r="AF32">
        <f>SUMIFS(T_TTAFCallOff[PCS],T_TTAFCallOff[Part Name],$A32,T_TTAFCallOff[WeekIndex],31)</f>
        <v/>
      </c>
      <c r="AG32">
        <f>SUMIFS(T_TTAFCallOff[PCS],T_TTAFCallOff[Part Name],$A32,T_TTAFCallOff[WeekIndex],32)</f>
        <v/>
      </c>
      <c r="AH32">
        <f>SUMIFS(T_TTAFCallOff[PCS],T_TTAFCallOff[Part Name],$A32,T_TTAFCallOff[WeekIndex],33)</f>
        <v/>
      </c>
      <c r="AI32">
        <f>SUMIFS(T_TTAFCallOff[PCS],T_TTAFCallOff[Part Name],$A32,T_TTAFCallOff[WeekIndex],34)</f>
        <v/>
      </c>
      <c r="AJ32">
        <f>SUMIFS(T_TTAFCallOff[PCS],T_TTAFCallOff[Part Name],$A32,T_TTAFCallOff[WeekIndex],35)</f>
        <v/>
      </c>
      <c r="AK32">
        <f>SUMIFS(T_TTAFCallOff[PCS],T_TTAFCallOff[Part Name],$A32,T_TTAFCallOff[WeekIndex],36)</f>
        <v/>
      </c>
      <c r="AL32">
        <f>SUMIFS(T_TTAFCallOff[PCS],T_TTAFCallOff[Part Name],$A32,T_TTAFCallOff[WeekIndex],37)</f>
        <v/>
      </c>
      <c r="AM32">
        <f>SUMIFS(T_TTAFCallOff[PCS],T_TTAFCallOff[Part Name],$A32,T_TTAFCallOff[WeekIndex],38)</f>
        <v/>
      </c>
      <c r="AN32">
        <f>SUMIFS(T_TTAFCallOff[PCS],T_TTAFCallOff[Part Name],$A32,T_TTAFCallOff[WeekIndex],39)</f>
        <v/>
      </c>
      <c r="AO32">
        <f>SUMIFS(T_TTAFCallOff[PCS],T_TTAFCallOff[Part Name],$A32,T_TTAFCallOff[WeekIndex],40)</f>
        <v/>
      </c>
      <c r="AP32">
        <f>SUMIFS(T_TTAFCallOff[PCS],T_TTAFCallOff[Part Name],$A32,T_TTAFCallOff[WeekIndex],41)</f>
        <v/>
      </c>
      <c r="AQ32">
        <f>SUMIFS(T_TTAFCallOff[PCS],T_TTAFCallOff[Part Name],$A32,T_TTAFCallOff[WeekIndex],42)</f>
        <v/>
      </c>
      <c r="AR32">
        <f>SUMIFS(T_TTAFCallOff[PCS],T_TTAFCallOff[Part Name],$A32,T_TTAFCallOff[WeekIndex],43)</f>
        <v/>
      </c>
      <c r="AS32">
        <f>SUMIFS(T_TTAFCallOff[PCS],T_TTAFCallOff[Part Name],$A32,T_TTAFCallOff[WeekIndex],44)</f>
        <v/>
      </c>
      <c r="AT32">
        <f>SUMIFS(T_TTAFCallOff[PCS],T_TTAFCallOff[Part Name],$A32,T_TTAFCallOff[WeekIndex],45)</f>
        <v/>
      </c>
      <c r="AU32">
        <f>SUMIFS(T_TTAFCallOff[PCS],T_TTAFCallOff[Part Name],$A32,T_TTAFCallOff[WeekIndex],46)</f>
        <v/>
      </c>
      <c r="AV32">
        <f>SUMIFS(T_TTAFCallOff[PCS],T_TTAFCallOff[Part Name],$A32,T_TTAFCallOff[WeekIndex],47)</f>
        <v/>
      </c>
      <c r="AW32">
        <f>SUMIFS(T_TTAFCallOff[PCS],T_TTAFCallOff[Part Name],$A32,T_TTAFCallOff[WeekIndex],48)</f>
        <v/>
      </c>
      <c r="AX32">
        <f>SUMIFS(T_TTAFCallOff[PCS],T_TTAFCallOff[Part Name],$A32,T_TTAFCallOff[WeekIndex],49)</f>
        <v/>
      </c>
      <c r="AY32">
        <f>SUMIFS(T_TTAFCallOff[PCS],T_TTAFCallOff[Part Name],$A32,T_TTAFCallOff[WeekIndex],50)</f>
        <v/>
      </c>
      <c r="AZ32">
        <f>SUMIFS(T_TTAFCallOff[PCS],T_TTAFCallOff[Part Name],$A32,T_TTAFCallOff[WeekIndex],51)</f>
        <v/>
      </c>
      <c r="BA32">
        <f>SUMIFS(T_TTAFCallOff[PCS],T_TTAFCallOff[Part Name],$A32,T_TTAFCallOff[WeekIndex],52)</f>
        <v/>
      </c>
      <c r="BB32">
        <f>SUMIFS(T_TTAFCallOff[PCS],T_TTAFCallOff[Part Name],$A32,T_TTAFCallOff[WeekIndex],53)</f>
        <v/>
      </c>
      <c r="BC32">
        <f>SUMIFS(T_TTAFCallOff[PCS],T_TTAFCallOff[Part Name],$A32,T_TTAFCallOff[WeekIndex],54)</f>
        <v/>
      </c>
      <c r="BD32">
        <f>SUMIFS(T_TTAFCallOff[PCS],T_TTAFCallOff[Part Name],$A32,T_TTAFCallOff[WeekIndex],55)</f>
        <v/>
      </c>
      <c r="BE32">
        <f>SUMIFS(T_TTAFCallOff[PCS],T_TTAFCallOff[Part Name],$A32,T_TTAFCallOff[WeekIndex],56)</f>
        <v/>
      </c>
      <c r="BF32">
        <f>SUMIFS(T_TTAFCallOff[PCS],T_TTAFCallOff[Part Name],$A32,T_TTAFCallOff[WeekIndex],57)</f>
        <v/>
      </c>
      <c r="BG32">
        <f>SUMIFS(T_TTAFCallOff[PCS],T_TTAFCallOff[Part Name],$A32,T_TTAFCallOff[WeekIndex],58)</f>
        <v/>
      </c>
      <c r="BH32">
        <f>SUMIFS(T_TTAFCallOff[PCS],T_TTAFCallOff[Part Name],$A32,T_TTAFCallOff[WeekIndex],59)</f>
        <v/>
      </c>
      <c r="BI32">
        <f>SUMIFS(T_TTAFCallOff[PCS],T_TTAFCallOff[Part Name],$A32,T_TTAFCallOff[WeekIndex],60)</f>
        <v/>
      </c>
      <c r="BJ32">
        <f>SUMIFS(T_TTAFCallOff[PCS],T_TTAFCallOff[Part Name],$A32,T_TTAFCallOff[WeekIndex],61)</f>
        <v/>
      </c>
      <c r="BK32">
        <f>SUMIFS(T_TTAFCallOff[PCS],T_TTAFCallOff[Part Name],$A32,T_TTAFCallOff[WeekIndex],62)</f>
        <v/>
      </c>
      <c r="BL32">
        <f>SUMIFS(T_TTAFCallOff[PCS],T_TTAFCallOff[Part Name],$A32,T_TTAFCallOff[WeekIndex],63)</f>
        <v/>
      </c>
      <c r="BM32">
        <f>SUMIFS(T_TTAFCallOff[PCS],T_TTAFCallOff[Part Name],$A32,T_TTAFCallOff[WeekIndex],64)</f>
        <v/>
      </c>
      <c r="BN32">
        <f>SUMIFS(T_TTAFCallOff[PCS],T_TTAFCallOff[Part Name],$A32,T_TTAFCallOff[WeekIndex],65)</f>
        <v/>
      </c>
      <c r="BO32">
        <f>SUMIFS(T_TTAFCallOff[PCS],T_TTAFCallOff[Part Name],$A32,T_TTAFCallOff[WeekIndex],66)</f>
        <v/>
      </c>
      <c r="BP32">
        <f>SUMIFS(T_TTAFCallOff[PCS],T_TTAFCallOff[Part Name],$A32,T_TTAFCallOff[WeekIndex],67)</f>
        <v/>
      </c>
      <c r="BQ32">
        <f>SUMIFS(T_TTAFCallOff[PCS],T_TTAFCallOff[Part Name],$A32,T_TTAFCallOff[WeekIndex],68)</f>
        <v/>
      </c>
      <c r="BR32">
        <f>SUMIFS(T_TTAFCallOff[PCS],T_TTAFCallOff[Part Name],$A32,T_TTAFCallOff[WeekIndex],69)</f>
        <v/>
      </c>
      <c r="BS32">
        <f>SUMIFS(T_TTAFCallOff[PCS],T_TTAFCallOff[Part Name],$A32,T_TTAFCallOff[WeekIndex],70)</f>
        <v/>
      </c>
      <c r="BT32">
        <f>SUMIFS(T_TTAFCallOff[PCS],T_TTAFCallOff[Part Name],$A32,T_TTAFCallOff[WeekIndex],71)</f>
        <v/>
      </c>
      <c r="BU32">
        <f>SUMIFS(T_TTAFCallOff[PCS],T_TTAFCallOff[Part Name],$A32,T_TTAFCallOff[WeekIndex],72)</f>
        <v/>
      </c>
      <c r="BV32">
        <f>SUMIFS(T_TTAFCallOff[PCS],T_TTAFCallOff[Part Name],$A32,T_TTAFCallOff[WeekIndex],73)</f>
        <v/>
      </c>
      <c r="BW32">
        <f>SUMIFS(T_TTAFCallOff[PCS],T_TTAFCallOff[Part Name],$A32,T_TTAFCallOff[WeekIndex],74)</f>
        <v/>
      </c>
      <c r="BX32">
        <f>SUMIFS(T_TTAFCallOff[PCS],T_TTAFCallOff[Part Name],$A32,T_TTAFCallOff[WeekIndex],75)</f>
        <v/>
      </c>
      <c r="BY32">
        <f>SUMIFS(T_TTAFCallOff[PCS],T_TTAFCallOff[Part Name],$A32,T_TTAFCallOff[WeekIndex],76)</f>
        <v/>
      </c>
      <c r="BZ32">
        <f>SUMIFS(T_TTAFCallOff[PCS],T_TTAFCallOff[Part Name],$A32,T_TTAFCallOff[WeekIndex],77)</f>
        <v/>
      </c>
      <c r="CA32">
        <f>SUMIFS(T_TTAFCallOff[PCS],T_TTAFCallOff[Part Name],$A32,T_TTAFCallOff[WeekIndex],78)</f>
        <v/>
      </c>
      <c r="CB32">
        <f>SUMIFS(T_TTAFCallOff[PCS],T_TTAFCallOff[Part Name],$A32,T_TTAFCallOff[WeekIndex],79)</f>
        <v/>
      </c>
      <c r="CC32">
        <f>SUMIFS(T_TTAFCallOff[PCS],T_TTAFCallOff[Part Name],$A32,T_TTAFCallOff[WeekIndex],80)</f>
        <v/>
      </c>
      <c r="CD32">
        <f>SUMIFS(T_TTAFCallOff[PCS],T_TTAFCallOff[Part Name],$A32,T_TTAFCallOff[WeekIndex],81)</f>
        <v/>
      </c>
      <c r="CE32">
        <f>SUMIFS(T_TTAFCallOff[PCS],T_TTAFCallOff[Part Name],$A32,T_TTAFCallOff[WeekIndex],82)</f>
        <v/>
      </c>
      <c r="CF32">
        <f>SUMIFS(T_TTAFCallOff[PCS],T_TTAFCallOff[Part Name],$A32,T_TTAFCallOff[WeekIndex],83)</f>
        <v/>
      </c>
      <c r="CG32">
        <f>SUMIFS(T_TTAFCallOff[PCS],T_TTAFCallOff[Part Name],$A32,T_TTAFCallOff[WeekIndex],84)</f>
        <v/>
      </c>
      <c r="CH32">
        <f>SUMIFS(T_TTAFCallOff[PCS],T_TTAFCallOff[Part Name],$A32,T_TTAFCallOff[WeekIndex],85)</f>
        <v/>
      </c>
      <c r="CI32">
        <f>SUMIFS(T_TTAFCallOff[PCS],T_TTAFCallOff[Part Name],$A32,T_TTAFCallOff[WeekIndex],86)</f>
        <v/>
      </c>
      <c r="CJ32">
        <f>SUMIFS(T_TTAFCallOff[PCS],T_TTAFCallOff[Part Name],$A32,T_TTAFCallOff[WeekIndex],87)</f>
        <v/>
      </c>
      <c r="CK32">
        <f>SUMIFS(T_TTAFCallOff[PCS],T_TTAFCallOff[Part Name],$A32,T_TTAFCallOff[WeekIndex],88)</f>
        <v/>
      </c>
      <c r="CL32">
        <f>SUMIFS(T_TTAFCallOff[PCS],T_TTAFCallOff[Part Name],$A32,T_TTAFCallOff[WeekIndex],89)</f>
        <v/>
      </c>
      <c r="CM32">
        <f>SUMIFS(T_TTAFCallOff[PCS],T_TTAFCallOff[Part Name],$A32,T_TTAFCallOff[WeekIndex],90)</f>
        <v/>
      </c>
      <c r="CN32">
        <f>SUMIFS(T_TTAFCallOff[PCS],T_TTAFCallOff[Part Name],$A32,T_TTAFCallOff[WeekIndex],91)</f>
        <v/>
      </c>
      <c r="CO32">
        <f>SUMIFS(T_TTAFCallOff[PCS],T_TTAFCallOff[Part Name],$A32,T_TTAFCallOff[WeekIndex],92)</f>
        <v/>
      </c>
      <c r="CP32">
        <f>SUMIFS(T_TTAFCallOff[PCS],T_TTAFCallOff[Part Name],$A32,T_TTAFCallOff[WeekIndex],93)</f>
        <v/>
      </c>
      <c r="CQ32">
        <f>SUMIFS(T_TTAFCallOff[PCS],T_TTAFCallOff[Part Name],$A32,T_TTAFCallOff[WeekIndex],94)</f>
        <v/>
      </c>
      <c r="CR32">
        <f>SUMIFS(T_TTAFCallOff[PCS],T_TTAFCallOff[Part Name],$A32,T_TTAFCallOff[WeekIndex],95)</f>
        <v/>
      </c>
      <c r="CS32">
        <f>SUMIFS(T_TTAFCallOff[PCS],T_TTAFCallOff[Part Name],$A32,T_TTAFCallOff[WeekIndex],96)</f>
        <v/>
      </c>
      <c r="CT32">
        <f>SUMIFS(T_TTAFCallOff[PCS],T_TTAFCallOff[Part Name],$A32,T_TTAFCallOff[WeekIndex],97)</f>
        <v/>
      </c>
      <c r="CU32">
        <f>SUMIFS(T_TTAFCallOff[PCS],T_TTAFCallOff[Part Name],$A32,T_TTAFCallOff[WeekIndex],98)</f>
        <v/>
      </c>
      <c r="CV32">
        <f>SUMIFS(T_TTAFCallOff[PCS],T_TTAFCallOff[Part Name],$A32,T_TTAFCallOff[WeekIndex],99)</f>
        <v/>
      </c>
      <c r="CW32">
        <f>SUMIFS(T_TTAFCallOff[PCS],T_TTAFCallOff[Part Name],$A32,T_TTAFCallOff[WeekIndex],100)</f>
        <v/>
      </c>
      <c r="CX32">
        <f>SUMIFS(T_TTAFCallOff[PCS],T_TTAFCallOff[Part Name],$A32,T_TTAFCallOff[WeekIndex],101)</f>
        <v/>
      </c>
      <c r="CY32">
        <f>SUMIFS(T_TTAFCallOff[PCS],T_TTAFCallOff[Part Name],$A32,T_TTAFCallOff[WeekIndex],102)</f>
        <v/>
      </c>
      <c r="CZ32">
        <f>SUMIFS(T_TTAFCallOff[PCS],T_TTAFCallOff[Part Name],$A32,T_TTAFCallOff[WeekIndex],103)</f>
        <v/>
      </c>
      <c r="DA32">
        <f>SUMIFS(T_TTAFCallOff[PCS],T_TTAFCallOff[Part Name],$A32,T_TTAFCallOff[WeekIndex],104)</f>
        <v/>
      </c>
    </row>
    <row r="33">
      <c r="A33" t="inlineStr">
        <is>
          <t>CHEM-1480</t>
        </is>
      </c>
      <c r="B33">
        <f>SUMIFS(T_TTAFCallOff[PCS],T_TTAFCallOff[Part Name],$A33,T_TTAFCallOff[WeekIndex],1)</f>
        <v/>
      </c>
      <c r="C33">
        <f>SUMIFS(T_TTAFCallOff[PCS],T_TTAFCallOff[Part Name],$A33,T_TTAFCallOff[WeekIndex],2)</f>
        <v/>
      </c>
      <c r="D33">
        <f>SUMIFS(T_TTAFCallOff[PCS],T_TTAFCallOff[Part Name],$A33,T_TTAFCallOff[WeekIndex],3)</f>
        <v/>
      </c>
      <c r="E33">
        <f>SUMIFS(T_TTAFCallOff[PCS],T_TTAFCallOff[Part Name],$A33,T_TTAFCallOff[WeekIndex],4)</f>
        <v/>
      </c>
      <c r="F33">
        <f>SUMIFS(T_TTAFCallOff[PCS],T_TTAFCallOff[Part Name],$A33,T_TTAFCallOff[WeekIndex],5)</f>
        <v/>
      </c>
      <c r="G33">
        <f>SUMIFS(T_TTAFCallOff[PCS],T_TTAFCallOff[Part Name],$A33,T_TTAFCallOff[WeekIndex],6)</f>
        <v/>
      </c>
      <c r="H33">
        <f>SUMIFS(T_TTAFCallOff[PCS],T_TTAFCallOff[Part Name],$A33,T_TTAFCallOff[WeekIndex],7)</f>
        <v/>
      </c>
      <c r="I33">
        <f>SUMIFS(T_TTAFCallOff[PCS],T_TTAFCallOff[Part Name],$A33,T_TTAFCallOff[WeekIndex],8)</f>
        <v/>
      </c>
      <c r="J33">
        <f>SUMIFS(T_TTAFCallOff[PCS],T_TTAFCallOff[Part Name],$A33,T_TTAFCallOff[WeekIndex],9)</f>
        <v/>
      </c>
      <c r="K33">
        <f>SUMIFS(T_TTAFCallOff[PCS],T_TTAFCallOff[Part Name],$A33,T_TTAFCallOff[WeekIndex],10)</f>
        <v/>
      </c>
      <c r="L33">
        <f>SUMIFS(T_TTAFCallOff[PCS],T_TTAFCallOff[Part Name],$A33,T_TTAFCallOff[WeekIndex],11)</f>
        <v/>
      </c>
      <c r="M33">
        <f>SUMIFS(T_TTAFCallOff[PCS],T_TTAFCallOff[Part Name],$A33,T_TTAFCallOff[WeekIndex],12)</f>
        <v/>
      </c>
      <c r="N33">
        <f>SUMIFS(T_TTAFCallOff[PCS],T_TTAFCallOff[Part Name],$A33,T_TTAFCallOff[WeekIndex],13)</f>
        <v/>
      </c>
      <c r="O33">
        <f>SUMIFS(T_TTAFCallOff[PCS],T_TTAFCallOff[Part Name],$A33,T_TTAFCallOff[WeekIndex],14)</f>
        <v/>
      </c>
      <c r="P33">
        <f>SUMIFS(T_TTAFCallOff[PCS],T_TTAFCallOff[Part Name],$A33,T_TTAFCallOff[WeekIndex],15)</f>
        <v/>
      </c>
      <c r="Q33">
        <f>SUMIFS(T_TTAFCallOff[PCS],T_TTAFCallOff[Part Name],$A33,T_TTAFCallOff[WeekIndex],16)</f>
        <v/>
      </c>
      <c r="R33">
        <f>SUMIFS(T_TTAFCallOff[PCS],T_TTAFCallOff[Part Name],$A33,T_TTAFCallOff[WeekIndex],17)</f>
        <v/>
      </c>
      <c r="S33">
        <f>SUMIFS(T_TTAFCallOff[PCS],T_TTAFCallOff[Part Name],$A33,T_TTAFCallOff[WeekIndex],18)</f>
        <v/>
      </c>
      <c r="T33">
        <f>SUMIFS(T_TTAFCallOff[PCS],T_TTAFCallOff[Part Name],$A33,T_TTAFCallOff[WeekIndex],19)</f>
        <v/>
      </c>
      <c r="U33">
        <f>SUMIFS(T_TTAFCallOff[PCS],T_TTAFCallOff[Part Name],$A33,T_TTAFCallOff[WeekIndex],20)</f>
        <v/>
      </c>
      <c r="V33">
        <f>SUMIFS(T_TTAFCallOff[PCS],T_TTAFCallOff[Part Name],$A33,T_TTAFCallOff[WeekIndex],21)</f>
        <v/>
      </c>
      <c r="W33">
        <f>SUMIFS(T_TTAFCallOff[PCS],T_TTAFCallOff[Part Name],$A33,T_TTAFCallOff[WeekIndex],22)</f>
        <v/>
      </c>
      <c r="X33">
        <f>SUMIFS(T_TTAFCallOff[PCS],T_TTAFCallOff[Part Name],$A33,T_TTAFCallOff[WeekIndex],23)</f>
        <v/>
      </c>
      <c r="Y33">
        <f>SUMIFS(T_TTAFCallOff[PCS],T_TTAFCallOff[Part Name],$A33,T_TTAFCallOff[WeekIndex],24)</f>
        <v/>
      </c>
      <c r="Z33">
        <f>SUMIFS(T_TTAFCallOff[PCS],T_TTAFCallOff[Part Name],$A33,T_TTAFCallOff[WeekIndex],25)</f>
        <v/>
      </c>
      <c r="AA33">
        <f>SUMIFS(T_TTAFCallOff[PCS],T_TTAFCallOff[Part Name],$A33,T_TTAFCallOff[WeekIndex],26)</f>
        <v/>
      </c>
      <c r="AB33">
        <f>SUMIFS(T_TTAFCallOff[PCS],T_TTAFCallOff[Part Name],$A33,T_TTAFCallOff[WeekIndex],27)</f>
        <v/>
      </c>
      <c r="AC33">
        <f>SUMIFS(T_TTAFCallOff[PCS],T_TTAFCallOff[Part Name],$A33,T_TTAFCallOff[WeekIndex],28)</f>
        <v/>
      </c>
      <c r="AD33">
        <f>SUMIFS(T_TTAFCallOff[PCS],T_TTAFCallOff[Part Name],$A33,T_TTAFCallOff[WeekIndex],29)</f>
        <v/>
      </c>
      <c r="AE33">
        <f>SUMIFS(T_TTAFCallOff[PCS],T_TTAFCallOff[Part Name],$A33,T_TTAFCallOff[WeekIndex],30)</f>
        <v/>
      </c>
      <c r="AF33">
        <f>SUMIFS(T_TTAFCallOff[PCS],T_TTAFCallOff[Part Name],$A33,T_TTAFCallOff[WeekIndex],31)</f>
        <v/>
      </c>
      <c r="AG33">
        <f>SUMIFS(T_TTAFCallOff[PCS],T_TTAFCallOff[Part Name],$A33,T_TTAFCallOff[WeekIndex],32)</f>
        <v/>
      </c>
      <c r="AH33">
        <f>SUMIFS(T_TTAFCallOff[PCS],T_TTAFCallOff[Part Name],$A33,T_TTAFCallOff[WeekIndex],33)</f>
        <v/>
      </c>
      <c r="AI33">
        <f>SUMIFS(T_TTAFCallOff[PCS],T_TTAFCallOff[Part Name],$A33,T_TTAFCallOff[WeekIndex],34)</f>
        <v/>
      </c>
      <c r="AJ33">
        <f>SUMIFS(T_TTAFCallOff[PCS],T_TTAFCallOff[Part Name],$A33,T_TTAFCallOff[WeekIndex],35)</f>
        <v/>
      </c>
      <c r="AK33">
        <f>SUMIFS(T_TTAFCallOff[PCS],T_TTAFCallOff[Part Name],$A33,T_TTAFCallOff[WeekIndex],36)</f>
        <v/>
      </c>
      <c r="AL33">
        <f>SUMIFS(T_TTAFCallOff[PCS],T_TTAFCallOff[Part Name],$A33,T_TTAFCallOff[WeekIndex],37)</f>
        <v/>
      </c>
      <c r="AM33">
        <f>SUMIFS(T_TTAFCallOff[PCS],T_TTAFCallOff[Part Name],$A33,T_TTAFCallOff[WeekIndex],38)</f>
        <v/>
      </c>
      <c r="AN33">
        <f>SUMIFS(T_TTAFCallOff[PCS],T_TTAFCallOff[Part Name],$A33,T_TTAFCallOff[WeekIndex],39)</f>
        <v/>
      </c>
      <c r="AO33">
        <f>SUMIFS(T_TTAFCallOff[PCS],T_TTAFCallOff[Part Name],$A33,T_TTAFCallOff[WeekIndex],40)</f>
        <v/>
      </c>
      <c r="AP33">
        <f>SUMIFS(T_TTAFCallOff[PCS],T_TTAFCallOff[Part Name],$A33,T_TTAFCallOff[WeekIndex],41)</f>
        <v/>
      </c>
      <c r="AQ33">
        <f>SUMIFS(T_TTAFCallOff[PCS],T_TTAFCallOff[Part Name],$A33,T_TTAFCallOff[WeekIndex],42)</f>
        <v/>
      </c>
      <c r="AR33">
        <f>SUMIFS(T_TTAFCallOff[PCS],T_TTAFCallOff[Part Name],$A33,T_TTAFCallOff[WeekIndex],43)</f>
        <v/>
      </c>
      <c r="AS33">
        <f>SUMIFS(T_TTAFCallOff[PCS],T_TTAFCallOff[Part Name],$A33,T_TTAFCallOff[WeekIndex],44)</f>
        <v/>
      </c>
      <c r="AT33">
        <f>SUMIFS(T_TTAFCallOff[PCS],T_TTAFCallOff[Part Name],$A33,T_TTAFCallOff[WeekIndex],45)</f>
        <v/>
      </c>
      <c r="AU33">
        <f>SUMIFS(T_TTAFCallOff[PCS],T_TTAFCallOff[Part Name],$A33,T_TTAFCallOff[WeekIndex],46)</f>
        <v/>
      </c>
      <c r="AV33">
        <f>SUMIFS(T_TTAFCallOff[PCS],T_TTAFCallOff[Part Name],$A33,T_TTAFCallOff[WeekIndex],47)</f>
        <v/>
      </c>
      <c r="AW33">
        <f>SUMIFS(T_TTAFCallOff[PCS],T_TTAFCallOff[Part Name],$A33,T_TTAFCallOff[WeekIndex],48)</f>
        <v/>
      </c>
      <c r="AX33">
        <f>SUMIFS(T_TTAFCallOff[PCS],T_TTAFCallOff[Part Name],$A33,T_TTAFCallOff[WeekIndex],49)</f>
        <v/>
      </c>
      <c r="AY33">
        <f>SUMIFS(T_TTAFCallOff[PCS],T_TTAFCallOff[Part Name],$A33,T_TTAFCallOff[WeekIndex],50)</f>
        <v/>
      </c>
      <c r="AZ33">
        <f>SUMIFS(T_TTAFCallOff[PCS],T_TTAFCallOff[Part Name],$A33,T_TTAFCallOff[WeekIndex],51)</f>
        <v/>
      </c>
      <c r="BA33">
        <f>SUMIFS(T_TTAFCallOff[PCS],T_TTAFCallOff[Part Name],$A33,T_TTAFCallOff[WeekIndex],52)</f>
        <v/>
      </c>
      <c r="BB33">
        <f>SUMIFS(T_TTAFCallOff[PCS],T_TTAFCallOff[Part Name],$A33,T_TTAFCallOff[WeekIndex],53)</f>
        <v/>
      </c>
      <c r="BC33">
        <f>SUMIFS(T_TTAFCallOff[PCS],T_TTAFCallOff[Part Name],$A33,T_TTAFCallOff[WeekIndex],54)</f>
        <v/>
      </c>
      <c r="BD33">
        <f>SUMIFS(T_TTAFCallOff[PCS],T_TTAFCallOff[Part Name],$A33,T_TTAFCallOff[WeekIndex],55)</f>
        <v/>
      </c>
      <c r="BE33">
        <f>SUMIFS(T_TTAFCallOff[PCS],T_TTAFCallOff[Part Name],$A33,T_TTAFCallOff[WeekIndex],56)</f>
        <v/>
      </c>
      <c r="BF33">
        <f>SUMIFS(T_TTAFCallOff[PCS],T_TTAFCallOff[Part Name],$A33,T_TTAFCallOff[WeekIndex],57)</f>
        <v/>
      </c>
      <c r="BG33">
        <f>SUMIFS(T_TTAFCallOff[PCS],T_TTAFCallOff[Part Name],$A33,T_TTAFCallOff[WeekIndex],58)</f>
        <v/>
      </c>
      <c r="BH33">
        <f>SUMIFS(T_TTAFCallOff[PCS],T_TTAFCallOff[Part Name],$A33,T_TTAFCallOff[WeekIndex],59)</f>
        <v/>
      </c>
      <c r="BI33">
        <f>SUMIFS(T_TTAFCallOff[PCS],T_TTAFCallOff[Part Name],$A33,T_TTAFCallOff[WeekIndex],60)</f>
        <v/>
      </c>
      <c r="BJ33">
        <f>SUMIFS(T_TTAFCallOff[PCS],T_TTAFCallOff[Part Name],$A33,T_TTAFCallOff[WeekIndex],61)</f>
        <v/>
      </c>
      <c r="BK33">
        <f>SUMIFS(T_TTAFCallOff[PCS],T_TTAFCallOff[Part Name],$A33,T_TTAFCallOff[WeekIndex],62)</f>
        <v/>
      </c>
      <c r="BL33">
        <f>SUMIFS(T_TTAFCallOff[PCS],T_TTAFCallOff[Part Name],$A33,T_TTAFCallOff[WeekIndex],63)</f>
        <v/>
      </c>
      <c r="BM33">
        <f>SUMIFS(T_TTAFCallOff[PCS],T_TTAFCallOff[Part Name],$A33,T_TTAFCallOff[WeekIndex],64)</f>
        <v/>
      </c>
      <c r="BN33">
        <f>SUMIFS(T_TTAFCallOff[PCS],T_TTAFCallOff[Part Name],$A33,T_TTAFCallOff[WeekIndex],65)</f>
        <v/>
      </c>
      <c r="BO33">
        <f>SUMIFS(T_TTAFCallOff[PCS],T_TTAFCallOff[Part Name],$A33,T_TTAFCallOff[WeekIndex],66)</f>
        <v/>
      </c>
      <c r="BP33">
        <f>SUMIFS(T_TTAFCallOff[PCS],T_TTAFCallOff[Part Name],$A33,T_TTAFCallOff[WeekIndex],67)</f>
        <v/>
      </c>
      <c r="BQ33">
        <f>SUMIFS(T_TTAFCallOff[PCS],T_TTAFCallOff[Part Name],$A33,T_TTAFCallOff[WeekIndex],68)</f>
        <v/>
      </c>
      <c r="BR33">
        <f>SUMIFS(T_TTAFCallOff[PCS],T_TTAFCallOff[Part Name],$A33,T_TTAFCallOff[WeekIndex],69)</f>
        <v/>
      </c>
      <c r="BS33">
        <f>SUMIFS(T_TTAFCallOff[PCS],T_TTAFCallOff[Part Name],$A33,T_TTAFCallOff[WeekIndex],70)</f>
        <v/>
      </c>
      <c r="BT33">
        <f>SUMIFS(T_TTAFCallOff[PCS],T_TTAFCallOff[Part Name],$A33,T_TTAFCallOff[WeekIndex],71)</f>
        <v/>
      </c>
      <c r="BU33">
        <f>SUMIFS(T_TTAFCallOff[PCS],T_TTAFCallOff[Part Name],$A33,T_TTAFCallOff[WeekIndex],72)</f>
        <v/>
      </c>
      <c r="BV33">
        <f>SUMIFS(T_TTAFCallOff[PCS],T_TTAFCallOff[Part Name],$A33,T_TTAFCallOff[WeekIndex],73)</f>
        <v/>
      </c>
      <c r="BW33">
        <f>SUMIFS(T_TTAFCallOff[PCS],T_TTAFCallOff[Part Name],$A33,T_TTAFCallOff[WeekIndex],74)</f>
        <v/>
      </c>
      <c r="BX33">
        <f>SUMIFS(T_TTAFCallOff[PCS],T_TTAFCallOff[Part Name],$A33,T_TTAFCallOff[WeekIndex],75)</f>
        <v/>
      </c>
      <c r="BY33">
        <f>SUMIFS(T_TTAFCallOff[PCS],T_TTAFCallOff[Part Name],$A33,T_TTAFCallOff[WeekIndex],76)</f>
        <v/>
      </c>
      <c r="BZ33">
        <f>SUMIFS(T_TTAFCallOff[PCS],T_TTAFCallOff[Part Name],$A33,T_TTAFCallOff[WeekIndex],77)</f>
        <v/>
      </c>
      <c r="CA33">
        <f>SUMIFS(T_TTAFCallOff[PCS],T_TTAFCallOff[Part Name],$A33,T_TTAFCallOff[WeekIndex],78)</f>
        <v/>
      </c>
      <c r="CB33">
        <f>SUMIFS(T_TTAFCallOff[PCS],T_TTAFCallOff[Part Name],$A33,T_TTAFCallOff[WeekIndex],79)</f>
        <v/>
      </c>
      <c r="CC33">
        <f>SUMIFS(T_TTAFCallOff[PCS],T_TTAFCallOff[Part Name],$A33,T_TTAFCallOff[WeekIndex],80)</f>
        <v/>
      </c>
      <c r="CD33">
        <f>SUMIFS(T_TTAFCallOff[PCS],T_TTAFCallOff[Part Name],$A33,T_TTAFCallOff[WeekIndex],81)</f>
        <v/>
      </c>
      <c r="CE33">
        <f>SUMIFS(T_TTAFCallOff[PCS],T_TTAFCallOff[Part Name],$A33,T_TTAFCallOff[WeekIndex],82)</f>
        <v/>
      </c>
      <c r="CF33">
        <f>SUMIFS(T_TTAFCallOff[PCS],T_TTAFCallOff[Part Name],$A33,T_TTAFCallOff[WeekIndex],83)</f>
        <v/>
      </c>
      <c r="CG33">
        <f>SUMIFS(T_TTAFCallOff[PCS],T_TTAFCallOff[Part Name],$A33,T_TTAFCallOff[WeekIndex],84)</f>
        <v/>
      </c>
      <c r="CH33">
        <f>SUMIFS(T_TTAFCallOff[PCS],T_TTAFCallOff[Part Name],$A33,T_TTAFCallOff[WeekIndex],85)</f>
        <v/>
      </c>
      <c r="CI33">
        <f>SUMIFS(T_TTAFCallOff[PCS],T_TTAFCallOff[Part Name],$A33,T_TTAFCallOff[WeekIndex],86)</f>
        <v/>
      </c>
      <c r="CJ33">
        <f>SUMIFS(T_TTAFCallOff[PCS],T_TTAFCallOff[Part Name],$A33,T_TTAFCallOff[WeekIndex],87)</f>
        <v/>
      </c>
      <c r="CK33">
        <f>SUMIFS(T_TTAFCallOff[PCS],T_TTAFCallOff[Part Name],$A33,T_TTAFCallOff[WeekIndex],88)</f>
        <v/>
      </c>
      <c r="CL33">
        <f>SUMIFS(T_TTAFCallOff[PCS],T_TTAFCallOff[Part Name],$A33,T_TTAFCallOff[WeekIndex],89)</f>
        <v/>
      </c>
      <c r="CM33">
        <f>SUMIFS(T_TTAFCallOff[PCS],T_TTAFCallOff[Part Name],$A33,T_TTAFCallOff[WeekIndex],90)</f>
        <v/>
      </c>
      <c r="CN33">
        <f>SUMIFS(T_TTAFCallOff[PCS],T_TTAFCallOff[Part Name],$A33,T_TTAFCallOff[WeekIndex],91)</f>
        <v/>
      </c>
      <c r="CO33">
        <f>SUMIFS(T_TTAFCallOff[PCS],T_TTAFCallOff[Part Name],$A33,T_TTAFCallOff[WeekIndex],92)</f>
        <v/>
      </c>
      <c r="CP33">
        <f>SUMIFS(T_TTAFCallOff[PCS],T_TTAFCallOff[Part Name],$A33,T_TTAFCallOff[WeekIndex],93)</f>
        <v/>
      </c>
      <c r="CQ33">
        <f>SUMIFS(T_TTAFCallOff[PCS],T_TTAFCallOff[Part Name],$A33,T_TTAFCallOff[WeekIndex],94)</f>
        <v/>
      </c>
      <c r="CR33">
        <f>SUMIFS(T_TTAFCallOff[PCS],T_TTAFCallOff[Part Name],$A33,T_TTAFCallOff[WeekIndex],95)</f>
        <v/>
      </c>
      <c r="CS33">
        <f>SUMIFS(T_TTAFCallOff[PCS],T_TTAFCallOff[Part Name],$A33,T_TTAFCallOff[WeekIndex],96)</f>
        <v/>
      </c>
      <c r="CT33">
        <f>SUMIFS(T_TTAFCallOff[PCS],T_TTAFCallOff[Part Name],$A33,T_TTAFCallOff[WeekIndex],97)</f>
        <v/>
      </c>
      <c r="CU33">
        <f>SUMIFS(T_TTAFCallOff[PCS],T_TTAFCallOff[Part Name],$A33,T_TTAFCallOff[WeekIndex],98)</f>
        <v/>
      </c>
      <c r="CV33">
        <f>SUMIFS(T_TTAFCallOff[PCS],T_TTAFCallOff[Part Name],$A33,T_TTAFCallOff[WeekIndex],99)</f>
        <v/>
      </c>
      <c r="CW33">
        <f>SUMIFS(T_TTAFCallOff[PCS],T_TTAFCallOff[Part Name],$A33,T_TTAFCallOff[WeekIndex],100)</f>
        <v/>
      </c>
      <c r="CX33">
        <f>SUMIFS(T_TTAFCallOff[PCS],T_TTAFCallOff[Part Name],$A33,T_TTAFCallOff[WeekIndex],101)</f>
        <v/>
      </c>
      <c r="CY33">
        <f>SUMIFS(T_TTAFCallOff[PCS],T_TTAFCallOff[Part Name],$A33,T_TTAFCallOff[WeekIndex],102)</f>
        <v/>
      </c>
      <c r="CZ33">
        <f>SUMIFS(T_TTAFCallOff[PCS],T_TTAFCallOff[Part Name],$A33,T_TTAFCallOff[WeekIndex],103)</f>
        <v/>
      </c>
      <c r="DA33">
        <f>SUMIFS(T_TTAFCallOff[PCS],T_TTAFCallOff[Part Name],$A33,T_TTAFCallOff[WeekIndex],104)</f>
        <v/>
      </c>
    </row>
    <row r="34">
      <c r="A34" t="inlineStr">
        <is>
          <t>CHEM-1560</t>
        </is>
      </c>
      <c r="B34">
        <f>SUMIFS(T_TTAFCallOff[PCS],T_TTAFCallOff[Part Name],$A34,T_TTAFCallOff[WeekIndex],1)</f>
        <v/>
      </c>
      <c r="C34">
        <f>SUMIFS(T_TTAFCallOff[PCS],T_TTAFCallOff[Part Name],$A34,T_TTAFCallOff[WeekIndex],2)</f>
        <v/>
      </c>
      <c r="D34">
        <f>SUMIFS(T_TTAFCallOff[PCS],T_TTAFCallOff[Part Name],$A34,T_TTAFCallOff[WeekIndex],3)</f>
        <v/>
      </c>
      <c r="E34">
        <f>SUMIFS(T_TTAFCallOff[PCS],T_TTAFCallOff[Part Name],$A34,T_TTAFCallOff[WeekIndex],4)</f>
        <v/>
      </c>
      <c r="F34">
        <f>SUMIFS(T_TTAFCallOff[PCS],T_TTAFCallOff[Part Name],$A34,T_TTAFCallOff[WeekIndex],5)</f>
        <v/>
      </c>
      <c r="G34">
        <f>SUMIFS(T_TTAFCallOff[PCS],T_TTAFCallOff[Part Name],$A34,T_TTAFCallOff[WeekIndex],6)</f>
        <v/>
      </c>
      <c r="H34">
        <f>SUMIFS(T_TTAFCallOff[PCS],T_TTAFCallOff[Part Name],$A34,T_TTAFCallOff[WeekIndex],7)</f>
        <v/>
      </c>
      <c r="I34">
        <f>SUMIFS(T_TTAFCallOff[PCS],T_TTAFCallOff[Part Name],$A34,T_TTAFCallOff[WeekIndex],8)</f>
        <v/>
      </c>
      <c r="J34">
        <f>SUMIFS(T_TTAFCallOff[PCS],T_TTAFCallOff[Part Name],$A34,T_TTAFCallOff[WeekIndex],9)</f>
        <v/>
      </c>
      <c r="K34">
        <f>SUMIFS(T_TTAFCallOff[PCS],T_TTAFCallOff[Part Name],$A34,T_TTAFCallOff[WeekIndex],10)</f>
        <v/>
      </c>
      <c r="L34">
        <f>SUMIFS(T_TTAFCallOff[PCS],T_TTAFCallOff[Part Name],$A34,T_TTAFCallOff[WeekIndex],11)</f>
        <v/>
      </c>
      <c r="M34">
        <f>SUMIFS(T_TTAFCallOff[PCS],T_TTAFCallOff[Part Name],$A34,T_TTAFCallOff[WeekIndex],12)</f>
        <v/>
      </c>
      <c r="N34">
        <f>SUMIFS(T_TTAFCallOff[PCS],T_TTAFCallOff[Part Name],$A34,T_TTAFCallOff[WeekIndex],13)</f>
        <v/>
      </c>
      <c r="O34">
        <f>SUMIFS(T_TTAFCallOff[PCS],T_TTAFCallOff[Part Name],$A34,T_TTAFCallOff[WeekIndex],14)</f>
        <v/>
      </c>
      <c r="P34">
        <f>SUMIFS(T_TTAFCallOff[PCS],T_TTAFCallOff[Part Name],$A34,T_TTAFCallOff[WeekIndex],15)</f>
        <v/>
      </c>
      <c r="Q34">
        <f>SUMIFS(T_TTAFCallOff[PCS],T_TTAFCallOff[Part Name],$A34,T_TTAFCallOff[WeekIndex],16)</f>
        <v/>
      </c>
      <c r="R34">
        <f>SUMIFS(T_TTAFCallOff[PCS],T_TTAFCallOff[Part Name],$A34,T_TTAFCallOff[WeekIndex],17)</f>
        <v/>
      </c>
      <c r="S34">
        <f>SUMIFS(T_TTAFCallOff[PCS],T_TTAFCallOff[Part Name],$A34,T_TTAFCallOff[WeekIndex],18)</f>
        <v/>
      </c>
      <c r="T34">
        <f>SUMIFS(T_TTAFCallOff[PCS],T_TTAFCallOff[Part Name],$A34,T_TTAFCallOff[WeekIndex],19)</f>
        <v/>
      </c>
      <c r="U34">
        <f>SUMIFS(T_TTAFCallOff[PCS],T_TTAFCallOff[Part Name],$A34,T_TTAFCallOff[WeekIndex],20)</f>
        <v/>
      </c>
      <c r="V34">
        <f>SUMIFS(T_TTAFCallOff[PCS],T_TTAFCallOff[Part Name],$A34,T_TTAFCallOff[WeekIndex],21)</f>
        <v/>
      </c>
      <c r="W34">
        <f>SUMIFS(T_TTAFCallOff[PCS],T_TTAFCallOff[Part Name],$A34,T_TTAFCallOff[WeekIndex],22)</f>
        <v/>
      </c>
      <c r="X34">
        <f>SUMIFS(T_TTAFCallOff[PCS],T_TTAFCallOff[Part Name],$A34,T_TTAFCallOff[WeekIndex],23)</f>
        <v/>
      </c>
      <c r="Y34">
        <f>SUMIFS(T_TTAFCallOff[PCS],T_TTAFCallOff[Part Name],$A34,T_TTAFCallOff[WeekIndex],24)</f>
        <v/>
      </c>
      <c r="Z34">
        <f>SUMIFS(T_TTAFCallOff[PCS],T_TTAFCallOff[Part Name],$A34,T_TTAFCallOff[WeekIndex],25)</f>
        <v/>
      </c>
      <c r="AA34">
        <f>SUMIFS(T_TTAFCallOff[PCS],T_TTAFCallOff[Part Name],$A34,T_TTAFCallOff[WeekIndex],26)</f>
        <v/>
      </c>
      <c r="AB34">
        <f>SUMIFS(T_TTAFCallOff[PCS],T_TTAFCallOff[Part Name],$A34,T_TTAFCallOff[WeekIndex],27)</f>
        <v/>
      </c>
      <c r="AC34">
        <f>SUMIFS(T_TTAFCallOff[PCS],T_TTAFCallOff[Part Name],$A34,T_TTAFCallOff[WeekIndex],28)</f>
        <v/>
      </c>
      <c r="AD34">
        <f>SUMIFS(T_TTAFCallOff[PCS],T_TTAFCallOff[Part Name],$A34,T_TTAFCallOff[WeekIndex],29)</f>
        <v/>
      </c>
      <c r="AE34">
        <f>SUMIFS(T_TTAFCallOff[PCS],T_TTAFCallOff[Part Name],$A34,T_TTAFCallOff[WeekIndex],30)</f>
        <v/>
      </c>
      <c r="AF34">
        <f>SUMIFS(T_TTAFCallOff[PCS],T_TTAFCallOff[Part Name],$A34,T_TTAFCallOff[WeekIndex],31)</f>
        <v/>
      </c>
      <c r="AG34">
        <f>SUMIFS(T_TTAFCallOff[PCS],T_TTAFCallOff[Part Name],$A34,T_TTAFCallOff[WeekIndex],32)</f>
        <v/>
      </c>
      <c r="AH34">
        <f>SUMIFS(T_TTAFCallOff[PCS],T_TTAFCallOff[Part Name],$A34,T_TTAFCallOff[WeekIndex],33)</f>
        <v/>
      </c>
      <c r="AI34">
        <f>SUMIFS(T_TTAFCallOff[PCS],T_TTAFCallOff[Part Name],$A34,T_TTAFCallOff[WeekIndex],34)</f>
        <v/>
      </c>
      <c r="AJ34">
        <f>SUMIFS(T_TTAFCallOff[PCS],T_TTAFCallOff[Part Name],$A34,T_TTAFCallOff[WeekIndex],35)</f>
        <v/>
      </c>
      <c r="AK34">
        <f>SUMIFS(T_TTAFCallOff[PCS],T_TTAFCallOff[Part Name],$A34,T_TTAFCallOff[WeekIndex],36)</f>
        <v/>
      </c>
      <c r="AL34">
        <f>SUMIFS(T_TTAFCallOff[PCS],T_TTAFCallOff[Part Name],$A34,T_TTAFCallOff[WeekIndex],37)</f>
        <v/>
      </c>
      <c r="AM34">
        <f>SUMIFS(T_TTAFCallOff[PCS],T_TTAFCallOff[Part Name],$A34,T_TTAFCallOff[WeekIndex],38)</f>
        <v/>
      </c>
      <c r="AN34">
        <f>SUMIFS(T_TTAFCallOff[PCS],T_TTAFCallOff[Part Name],$A34,T_TTAFCallOff[WeekIndex],39)</f>
        <v/>
      </c>
      <c r="AO34">
        <f>SUMIFS(T_TTAFCallOff[PCS],T_TTAFCallOff[Part Name],$A34,T_TTAFCallOff[WeekIndex],40)</f>
        <v/>
      </c>
      <c r="AP34">
        <f>SUMIFS(T_TTAFCallOff[PCS],T_TTAFCallOff[Part Name],$A34,T_TTAFCallOff[WeekIndex],41)</f>
        <v/>
      </c>
      <c r="AQ34">
        <f>SUMIFS(T_TTAFCallOff[PCS],T_TTAFCallOff[Part Name],$A34,T_TTAFCallOff[WeekIndex],42)</f>
        <v/>
      </c>
      <c r="AR34">
        <f>SUMIFS(T_TTAFCallOff[PCS],T_TTAFCallOff[Part Name],$A34,T_TTAFCallOff[WeekIndex],43)</f>
        <v/>
      </c>
      <c r="AS34">
        <f>SUMIFS(T_TTAFCallOff[PCS],T_TTAFCallOff[Part Name],$A34,T_TTAFCallOff[WeekIndex],44)</f>
        <v/>
      </c>
      <c r="AT34">
        <f>SUMIFS(T_TTAFCallOff[PCS],T_TTAFCallOff[Part Name],$A34,T_TTAFCallOff[WeekIndex],45)</f>
        <v/>
      </c>
      <c r="AU34">
        <f>SUMIFS(T_TTAFCallOff[PCS],T_TTAFCallOff[Part Name],$A34,T_TTAFCallOff[WeekIndex],46)</f>
        <v/>
      </c>
      <c r="AV34">
        <f>SUMIFS(T_TTAFCallOff[PCS],T_TTAFCallOff[Part Name],$A34,T_TTAFCallOff[WeekIndex],47)</f>
        <v/>
      </c>
      <c r="AW34">
        <f>SUMIFS(T_TTAFCallOff[PCS],T_TTAFCallOff[Part Name],$A34,T_TTAFCallOff[WeekIndex],48)</f>
        <v/>
      </c>
      <c r="AX34">
        <f>SUMIFS(T_TTAFCallOff[PCS],T_TTAFCallOff[Part Name],$A34,T_TTAFCallOff[WeekIndex],49)</f>
        <v/>
      </c>
      <c r="AY34">
        <f>SUMIFS(T_TTAFCallOff[PCS],T_TTAFCallOff[Part Name],$A34,T_TTAFCallOff[WeekIndex],50)</f>
        <v/>
      </c>
      <c r="AZ34">
        <f>SUMIFS(T_TTAFCallOff[PCS],T_TTAFCallOff[Part Name],$A34,T_TTAFCallOff[WeekIndex],51)</f>
        <v/>
      </c>
      <c r="BA34">
        <f>SUMIFS(T_TTAFCallOff[PCS],T_TTAFCallOff[Part Name],$A34,T_TTAFCallOff[WeekIndex],52)</f>
        <v/>
      </c>
      <c r="BB34">
        <f>SUMIFS(T_TTAFCallOff[PCS],T_TTAFCallOff[Part Name],$A34,T_TTAFCallOff[WeekIndex],53)</f>
        <v/>
      </c>
      <c r="BC34">
        <f>SUMIFS(T_TTAFCallOff[PCS],T_TTAFCallOff[Part Name],$A34,T_TTAFCallOff[WeekIndex],54)</f>
        <v/>
      </c>
      <c r="BD34">
        <f>SUMIFS(T_TTAFCallOff[PCS],T_TTAFCallOff[Part Name],$A34,T_TTAFCallOff[WeekIndex],55)</f>
        <v/>
      </c>
      <c r="BE34">
        <f>SUMIFS(T_TTAFCallOff[PCS],T_TTAFCallOff[Part Name],$A34,T_TTAFCallOff[WeekIndex],56)</f>
        <v/>
      </c>
      <c r="BF34">
        <f>SUMIFS(T_TTAFCallOff[PCS],T_TTAFCallOff[Part Name],$A34,T_TTAFCallOff[WeekIndex],57)</f>
        <v/>
      </c>
      <c r="BG34">
        <f>SUMIFS(T_TTAFCallOff[PCS],T_TTAFCallOff[Part Name],$A34,T_TTAFCallOff[WeekIndex],58)</f>
        <v/>
      </c>
      <c r="BH34">
        <f>SUMIFS(T_TTAFCallOff[PCS],T_TTAFCallOff[Part Name],$A34,T_TTAFCallOff[WeekIndex],59)</f>
        <v/>
      </c>
      <c r="BI34">
        <f>SUMIFS(T_TTAFCallOff[PCS],T_TTAFCallOff[Part Name],$A34,T_TTAFCallOff[WeekIndex],60)</f>
        <v/>
      </c>
      <c r="BJ34">
        <f>SUMIFS(T_TTAFCallOff[PCS],T_TTAFCallOff[Part Name],$A34,T_TTAFCallOff[WeekIndex],61)</f>
        <v/>
      </c>
      <c r="BK34">
        <f>SUMIFS(T_TTAFCallOff[PCS],T_TTAFCallOff[Part Name],$A34,T_TTAFCallOff[WeekIndex],62)</f>
        <v/>
      </c>
      <c r="BL34">
        <f>SUMIFS(T_TTAFCallOff[PCS],T_TTAFCallOff[Part Name],$A34,T_TTAFCallOff[WeekIndex],63)</f>
        <v/>
      </c>
      <c r="BM34">
        <f>SUMIFS(T_TTAFCallOff[PCS],T_TTAFCallOff[Part Name],$A34,T_TTAFCallOff[WeekIndex],64)</f>
        <v/>
      </c>
      <c r="BN34">
        <f>SUMIFS(T_TTAFCallOff[PCS],T_TTAFCallOff[Part Name],$A34,T_TTAFCallOff[WeekIndex],65)</f>
        <v/>
      </c>
      <c r="BO34">
        <f>SUMIFS(T_TTAFCallOff[PCS],T_TTAFCallOff[Part Name],$A34,T_TTAFCallOff[WeekIndex],66)</f>
        <v/>
      </c>
      <c r="BP34">
        <f>SUMIFS(T_TTAFCallOff[PCS],T_TTAFCallOff[Part Name],$A34,T_TTAFCallOff[WeekIndex],67)</f>
        <v/>
      </c>
      <c r="BQ34">
        <f>SUMIFS(T_TTAFCallOff[PCS],T_TTAFCallOff[Part Name],$A34,T_TTAFCallOff[WeekIndex],68)</f>
        <v/>
      </c>
      <c r="BR34">
        <f>SUMIFS(T_TTAFCallOff[PCS],T_TTAFCallOff[Part Name],$A34,T_TTAFCallOff[WeekIndex],69)</f>
        <v/>
      </c>
      <c r="BS34">
        <f>SUMIFS(T_TTAFCallOff[PCS],T_TTAFCallOff[Part Name],$A34,T_TTAFCallOff[WeekIndex],70)</f>
        <v/>
      </c>
      <c r="BT34">
        <f>SUMIFS(T_TTAFCallOff[PCS],T_TTAFCallOff[Part Name],$A34,T_TTAFCallOff[WeekIndex],71)</f>
        <v/>
      </c>
      <c r="BU34">
        <f>SUMIFS(T_TTAFCallOff[PCS],T_TTAFCallOff[Part Name],$A34,T_TTAFCallOff[WeekIndex],72)</f>
        <v/>
      </c>
      <c r="BV34">
        <f>SUMIFS(T_TTAFCallOff[PCS],T_TTAFCallOff[Part Name],$A34,T_TTAFCallOff[WeekIndex],73)</f>
        <v/>
      </c>
      <c r="BW34">
        <f>SUMIFS(T_TTAFCallOff[PCS],T_TTAFCallOff[Part Name],$A34,T_TTAFCallOff[WeekIndex],74)</f>
        <v/>
      </c>
      <c r="BX34">
        <f>SUMIFS(T_TTAFCallOff[PCS],T_TTAFCallOff[Part Name],$A34,T_TTAFCallOff[WeekIndex],75)</f>
        <v/>
      </c>
      <c r="BY34">
        <f>SUMIFS(T_TTAFCallOff[PCS],T_TTAFCallOff[Part Name],$A34,T_TTAFCallOff[WeekIndex],76)</f>
        <v/>
      </c>
      <c r="BZ34">
        <f>SUMIFS(T_TTAFCallOff[PCS],T_TTAFCallOff[Part Name],$A34,T_TTAFCallOff[WeekIndex],77)</f>
        <v/>
      </c>
      <c r="CA34">
        <f>SUMIFS(T_TTAFCallOff[PCS],T_TTAFCallOff[Part Name],$A34,T_TTAFCallOff[WeekIndex],78)</f>
        <v/>
      </c>
      <c r="CB34">
        <f>SUMIFS(T_TTAFCallOff[PCS],T_TTAFCallOff[Part Name],$A34,T_TTAFCallOff[WeekIndex],79)</f>
        <v/>
      </c>
      <c r="CC34">
        <f>SUMIFS(T_TTAFCallOff[PCS],T_TTAFCallOff[Part Name],$A34,T_TTAFCallOff[WeekIndex],80)</f>
        <v/>
      </c>
      <c r="CD34">
        <f>SUMIFS(T_TTAFCallOff[PCS],T_TTAFCallOff[Part Name],$A34,T_TTAFCallOff[WeekIndex],81)</f>
        <v/>
      </c>
      <c r="CE34">
        <f>SUMIFS(T_TTAFCallOff[PCS],T_TTAFCallOff[Part Name],$A34,T_TTAFCallOff[WeekIndex],82)</f>
        <v/>
      </c>
      <c r="CF34">
        <f>SUMIFS(T_TTAFCallOff[PCS],T_TTAFCallOff[Part Name],$A34,T_TTAFCallOff[WeekIndex],83)</f>
        <v/>
      </c>
      <c r="CG34">
        <f>SUMIFS(T_TTAFCallOff[PCS],T_TTAFCallOff[Part Name],$A34,T_TTAFCallOff[WeekIndex],84)</f>
        <v/>
      </c>
      <c r="CH34">
        <f>SUMIFS(T_TTAFCallOff[PCS],T_TTAFCallOff[Part Name],$A34,T_TTAFCallOff[WeekIndex],85)</f>
        <v/>
      </c>
      <c r="CI34">
        <f>SUMIFS(T_TTAFCallOff[PCS],T_TTAFCallOff[Part Name],$A34,T_TTAFCallOff[WeekIndex],86)</f>
        <v/>
      </c>
      <c r="CJ34">
        <f>SUMIFS(T_TTAFCallOff[PCS],T_TTAFCallOff[Part Name],$A34,T_TTAFCallOff[WeekIndex],87)</f>
        <v/>
      </c>
      <c r="CK34">
        <f>SUMIFS(T_TTAFCallOff[PCS],T_TTAFCallOff[Part Name],$A34,T_TTAFCallOff[WeekIndex],88)</f>
        <v/>
      </c>
      <c r="CL34">
        <f>SUMIFS(T_TTAFCallOff[PCS],T_TTAFCallOff[Part Name],$A34,T_TTAFCallOff[WeekIndex],89)</f>
        <v/>
      </c>
      <c r="CM34">
        <f>SUMIFS(T_TTAFCallOff[PCS],T_TTAFCallOff[Part Name],$A34,T_TTAFCallOff[WeekIndex],90)</f>
        <v/>
      </c>
      <c r="CN34">
        <f>SUMIFS(T_TTAFCallOff[PCS],T_TTAFCallOff[Part Name],$A34,T_TTAFCallOff[WeekIndex],91)</f>
        <v/>
      </c>
      <c r="CO34">
        <f>SUMIFS(T_TTAFCallOff[PCS],T_TTAFCallOff[Part Name],$A34,T_TTAFCallOff[WeekIndex],92)</f>
        <v/>
      </c>
      <c r="CP34">
        <f>SUMIFS(T_TTAFCallOff[PCS],T_TTAFCallOff[Part Name],$A34,T_TTAFCallOff[WeekIndex],93)</f>
        <v/>
      </c>
      <c r="CQ34">
        <f>SUMIFS(T_TTAFCallOff[PCS],T_TTAFCallOff[Part Name],$A34,T_TTAFCallOff[WeekIndex],94)</f>
        <v/>
      </c>
      <c r="CR34">
        <f>SUMIFS(T_TTAFCallOff[PCS],T_TTAFCallOff[Part Name],$A34,T_TTAFCallOff[WeekIndex],95)</f>
        <v/>
      </c>
      <c r="CS34">
        <f>SUMIFS(T_TTAFCallOff[PCS],T_TTAFCallOff[Part Name],$A34,T_TTAFCallOff[WeekIndex],96)</f>
        <v/>
      </c>
      <c r="CT34">
        <f>SUMIFS(T_TTAFCallOff[PCS],T_TTAFCallOff[Part Name],$A34,T_TTAFCallOff[WeekIndex],97)</f>
        <v/>
      </c>
      <c r="CU34">
        <f>SUMIFS(T_TTAFCallOff[PCS],T_TTAFCallOff[Part Name],$A34,T_TTAFCallOff[WeekIndex],98)</f>
        <v/>
      </c>
      <c r="CV34">
        <f>SUMIFS(T_TTAFCallOff[PCS],T_TTAFCallOff[Part Name],$A34,T_TTAFCallOff[WeekIndex],99)</f>
        <v/>
      </c>
      <c r="CW34">
        <f>SUMIFS(T_TTAFCallOff[PCS],T_TTAFCallOff[Part Name],$A34,T_TTAFCallOff[WeekIndex],100)</f>
        <v/>
      </c>
      <c r="CX34">
        <f>SUMIFS(T_TTAFCallOff[PCS],T_TTAFCallOff[Part Name],$A34,T_TTAFCallOff[WeekIndex],101)</f>
        <v/>
      </c>
      <c r="CY34">
        <f>SUMIFS(T_TTAFCallOff[PCS],T_TTAFCallOff[Part Name],$A34,T_TTAFCallOff[WeekIndex],102)</f>
        <v/>
      </c>
      <c r="CZ34">
        <f>SUMIFS(T_TTAFCallOff[PCS],T_TTAFCallOff[Part Name],$A34,T_TTAFCallOff[WeekIndex],103)</f>
        <v/>
      </c>
      <c r="DA34">
        <f>SUMIFS(T_TTAFCallOff[PCS],T_TTAFCallOff[Part Name],$A34,T_TTAFCallOff[WeekIndex],104)</f>
        <v/>
      </c>
    </row>
    <row r="35">
      <c r="A35" t="inlineStr">
        <is>
          <t>CHEM-1510</t>
        </is>
      </c>
      <c r="B35">
        <f>SUMIFS(T_TTAFCallOff[PCS],T_TTAFCallOff[Part Name],$A35,T_TTAFCallOff[WeekIndex],1)</f>
        <v/>
      </c>
      <c r="C35">
        <f>SUMIFS(T_TTAFCallOff[PCS],T_TTAFCallOff[Part Name],$A35,T_TTAFCallOff[WeekIndex],2)</f>
        <v/>
      </c>
      <c r="D35">
        <f>SUMIFS(T_TTAFCallOff[PCS],T_TTAFCallOff[Part Name],$A35,T_TTAFCallOff[WeekIndex],3)</f>
        <v/>
      </c>
      <c r="E35">
        <f>SUMIFS(T_TTAFCallOff[PCS],T_TTAFCallOff[Part Name],$A35,T_TTAFCallOff[WeekIndex],4)</f>
        <v/>
      </c>
      <c r="F35">
        <f>SUMIFS(T_TTAFCallOff[PCS],T_TTAFCallOff[Part Name],$A35,T_TTAFCallOff[WeekIndex],5)</f>
        <v/>
      </c>
      <c r="G35">
        <f>SUMIFS(T_TTAFCallOff[PCS],T_TTAFCallOff[Part Name],$A35,T_TTAFCallOff[WeekIndex],6)</f>
        <v/>
      </c>
      <c r="H35">
        <f>SUMIFS(T_TTAFCallOff[PCS],T_TTAFCallOff[Part Name],$A35,T_TTAFCallOff[WeekIndex],7)</f>
        <v/>
      </c>
      <c r="I35">
        <f>SUMIFS(T_TTAFCallOff[PCS],T_TTAFCallOff[Part Name],$A35,T_TTAFCallOff[WeekIndex],8)</f>
        <v/>
      </c>
      <c r="J35">
        <f>SUMIFS(T_TTAFCallOff[PCS],T_TTAFCallOff[Part Name],$A35,T_TTAFCallOff[WeekIndex],9)</f>
        <v/>
      </c>
      <c r="K35">
        <f>SUMIFS(T_TTAFCallOff[PCS],T_TTAFCallOff[Part Name],$A35,T_TTAFCallOff[WeekIndex],10)</f>
        <v/>
      </c>
      <c r="L35">
        <f>SUMIFS(T_TTAFCallOff[PCS],T_TTAFCallOff[Part Name],$A35,T_TTAFCallOff[WeekIndex],11)</f>
        <v/>
      </c>
      <c r="M35">
        <f>SUMIFS(T_TTAFCallOff[PCS],T_TTAFCallOff[Part Name],$A35,T_TTAFCallOff[WeekIndex],12)</f>
        <v/>
      </c>
      <c r="N35">
        <f>SUMIFS(T_TTAFCallOff[PCS],T_TTAFCallOff[Part Name],$A35,T_TTAFCallOff[WeekIndex],13)</f>
        <v/>
      </c>
      <c r="O35">
        <f>SUMIFS(T_TTAFCallOff[PCS],T_TTAFCallOff[Part Name],$A35,T_TTAFCallOff[WeekIndex],14)</f>
        <v/>
      </c>
      <c r="P35">
        <f>SUMIFS(T_TTAFCallOff[PCS],T_TTAFCallOff[Part Name],$A35,T_TTAFCallOff[WeekIndex],15)</f>
        <v/>
      </c>
      <c r="Q35">
        <f>SUMIFS(T_TTAFCallOff[PCS],T_TTAFCallOff[Part Name],$A35,T_TTAFCallOff[WeekIndex],16)</f>
        <v/>
      </c>
      <c r="R35">
        <f>SUMIFS(T_TTAFCallOff[PCS],T_TTAFCallOff[Part Name],$A35,T_TTAFCallOff[WeekIndex],17)</f>
        <v/>
      </c>
      <c r="S35">
        <f>SUMIFS(T_TTAFCallOff[PCS],T_TTAFCallOff[Part Name],$A35,T_TTAFCallOff[WeekIndex],18)</f>
        <v/>
      </c>
      <c r="T35">
        <f>SUMIFS(T_TTAFCallOff[PCS],T_TTAFCallOff[Part Name],$A35,T_TTAFCallOff[WeekIndex],19)</f>
        <v/>
      </c>
      <c r="U35">
        <f>SUMIFS(T_TTAFCallOff[PCS],T_TTAFCallOff[Part Name],$A35,T_TTAFCallOff[WeekIndex],20)</f>
        <v/>
      </c>
      <c r="V35">
        <f>SUMIFS(T_TTAFCallOff[PCS],T_TTAFCallOff[Part Name],$A35,T_TTAFCallOff[WeekIndex],21)</f>
        <v/>
      </c>
      <c r="W35">
        <f>SUMIFS(T_TTAFCallOff[PCS],T_TTAFCallOff[Part Name],$A35,T_TTAFCallOff[WeekIndex],22)</f>
        <v/>
      </c>
      <c r="X35">
        <f>SUMIFS(T_TTAFCallOff[PCS],T_TTAFCallOff[Part Name],$A35,T_TTAFCallOff[WeekIndex],23)</f>
        <v/>
      </c>
      <c r="Y35">
        <f>SUMIFS(T_TTAFCallOff[PCS],T_TTAFCallOff[Part Name],$A35,T_TTAFCallOff[WeekIndex],24)</f>
        <v/>
      </c>
      <c r="Z35">
        <f>SUMIFS(T_TTAFCallOff[PCS],T_TTAFCallOff[Part Name],$A35,T_TTAFCallOff[WeekIndex],25)</f>
        <v/>
      </c>
      <c r="AA35">
        <f>SUMIFS(T_TTAFCallOff[PCS],T_TTAFCallOff[Part Name],$A35,T_TTAFCallOff[WeekIndex],26)</f>
        <v/>
      </c>
      <c r="AB35">
        <f>SUMIFS(T_TTAFCallOff[PCS],T_TTAFCallOff[Part Name],$A35,T_TTAFCallOff[WeekIndex],27)</f>
        <v/>
      </c>
      <c r="AC35">
        <f>SUMIFS(T_TTAFCallOff[PCS],T_TTAFCallOff[Part Name],$A35,T_TTAFCallOff[WeekIndex],28)</f>
        <v/>
      </c>
      <c r="AD35">
        <f>SUMIFS(T_TTAFCallOff[PCS],T_TTAFCallOff[Part Name],$A35,T_TTAFCallOff[WeekIndex],29)</f>
        <v/>
      </c>
      <c r="AE35">
        <f>SUMIFS(T_TTAFCallOff[PCS],T_TTAFCallOff[Part Name],$A35,T_TTAFCallOff[WeekIndex],30)</f>
        <v/>
      </c>
      <c r="AF35">
        <f>SUMIFS(T_TTAFCallOff[PCS],T_TTAFCallOff[Part Name],$A35,T_TTAFCallOff[WeekIndex],31)</f>
        <v/>
      </c>
      <c r="AG35">
        <f>SUMIFS(T_TTAFCallOff[PCS],T_TTAFCallOff[Part Name],$A35,T_TTAFCallOff[WeekIndex],32)</f>
        <v/>
      </c>
      <c r="AH35">
        <f>SUMIFS(T_TTAFCallOff[PCS],T_TTAFCallOff[Part Name],$A35,T_TTAFCallOff[WeekIndex],33)</f>
        <v/>
      </c>
      <c r="AI35">
        <f>SUMIFS(T_TTAFCallOff[PCS],T_TTAFCallOff[Part Name],$A35,T_TTAFCallOff[WeekIndex],34)</f>
        <v/>
      </c>
      <c r="AJ35">
        <f>SUMIFS(T_TTAFCallOff[PCS],T_TTAFCallOff[Part Name],$A35,T_TTAFCallOff[WeekIndex],35)</f>
        <v/>
      </c>
      <c r="AK35">
        <f>SUMIFS(T_TTAFCallOff[PCS],T_TTAFCallOff[Part Name],$A35,T_TTAFCallOff[WeekIndex],36)</f>
        <v/>
      </c>
      <c r="AL35">
        <f>SUMIFS(T_TTAFCallOff[PCS],T_TTAFCallOff[Part Name],$A35,T_TTAFCallOff[WeekIndex],37)</f>
        <v/>
      </c>
      <c r="AM35">
        <f>SUMIFS(T_TTAFCallOff[PCS],T_TTAFCallOff[Part Name],$A35,T_TTAFCallOff[WeekIndex],38)</f>
        <v/>
      </c>
      <c r="AN35">
        <f>SUMIFS(T_TTAFCallOff[PCS],T_TTAFCallOff[Part Name],$A35,T_TTAFCallOff[WeekIndex],39)</f>
        <v/>
      </c>
      <c r="AO35">
        <f>SUMIFS(T_TTAFCallOff[PCS],T_TTAFCallOff[Part Name],$A35,T_TTAFCallOff[WeekIndex],40)</f>
        <v/>
      </c>
      <c r="AP35">
        <f>SUMIFS(T_TTAFCallOff[PCS],T_TTAFCallOff[Part Name],$A35,T_TTAFCallOff[WeekIndex],41)</f>
        <v/>
      </c>
      <c r="AQ35">
        <f>SUMIFS(T_TTAFCallOff[PCS],T_TTAFCallOff[Part Name],$A35,T_TTAFCallOff[WeekIndex],42)</f>
        <v/>
      </c>
      <c r="AR35">
        <f>SUMIFS(T_TTAFCallOff[PCS],T_TTAFCallOff[Part Name],$A35,T_TTAFCallOff[WeekIndex],43)</f>
        <v/>
      </c>
      <c r="AS35">
        <f>SUMIFS(T_TTAFCallOff[PCS],T_TTAFCallOff[Part Name],$A35,T_TTAFCallOff[WeekIndex],44)</f>
        <v/>
      </c>
      <c r="AT35">
        <f>SUMIFS(T_TTAFCallOff[PCS],T_TTAFCallOff[Part Name],$A35,T_TTAFCallOff[WeekIndex],45)</f>
        <v/>
      </c>
      <c r="AU35">
        <f>SUMIFS(T_TTAFCallOff[PCS],T_TTAFCallOff[Part Name],$A35,T_TTAFCallOff[WeekIndex],46)</f>
        <v/>
      </c>
      <c r="AV35">
        <f>SUMIFS(T_TTAFCallOff[PCS],T_TTAFCallOff[Part Name],$A35,T_TTAFCallOff[WeekIndex],47)</f>
        <v/>
      </c>
      <c r="AW35">
        <f>SUMIFS(T_TTAFCallOff[PCS],T_TTAFCallOff[Part Name],$A35,T_TTAFCallOff[WeekIndex],48)</f>
        <v/>
      </c>
      <c r="AX35">
        <f>SUMIFS(T_TTAFCallOff[PCS],T_TTAFCallOff[Part Name],$A35,T_TTAFCallOff[WeekIndex],49)</f>
        <v/>
      </c>
      <c r="AY35">
        <f>SUMIFS(T_TTAFCallOff[PCS],T_TTAFCallOff[Part Name],$A35,T_TTAFCallOff[WeekIndex],50)</f>
        <v/>
      </c>
      <c r="AZ35">
        <f>SUMIFS(T_TTAFCallOff[PCS],T_TTAFCallOff[Part Name],$A35,T_TTAFCallOff[WeekIndex],51)</f>
        <v/>
      </c>
      <c r="BA35">
        <f>SUMIFS(T_TTAFCallOff[PCS],T_TTAFCallOff[Part Name],$A35,T_TTAFCallOff[WeekIndex],52)</f>
        <v/>
      </c>
      <c r="BB35">
        <f>SUMIFS(T_TTAFCallOff[PCS],T_TTAFCallOff[Part Name],$A35,T_TTAFCallOff[WeekIndex],53)</f>
        <v/>
      </c>
      <c r="BC35">
        <f>SUMIFS(T_TTAFCallOff[PCS],T_TTAFCallOff[Part Name],$A35,T_TTAFCallOff[WeekIndex],54)</f>
        <v/>
      </c>
      <c r="BD35">
        <f>SUMIFS(T_TTAFCallOff[PCS],T_TTAFCallOff[Part Name],$A35,T_TTAFCallOff[WeekIndex],55)</f>
        <v/>
      </c>
      <c r="BE35">
        <f>SUMIFS(T_TTAFCallOff[PCS],T_TTAFCallOff[Part Name],$A35,T_TTAFCallOff[WeekIndex],56)</f>
        <v/>
      </c>
      <c r="BF35">
        <f>SUMIFS(T_TTAFCallOff[PCS],T_TTAFCallOff[Part Name],$A35,T_TTAFCallOff[WeekIndex],57)</f>
        <v/>
      </c>
      <c r="BG35">
        <f>SUMIFS(T_TTAFCallOff[PCS],T_TTAFCallOff[Part Name],$A35,T_TTAFCallOff[WeekIndex],58)</f>
        <v/>
      </c>
      <c r="BH35">
        <f>SUMIFS(T_TTAFCallOff[PCS],T_TTAFCallOff[Part Name],$A35,T_TTAFCallOff[WeekIndex],59)</f>
        <v/>
      </c>
      <c r="BI35">
        <f>SUMIFS(T_TTAFCallOff[PCS],T_TTAFCallOff[Part Name],$A35,T_TTAFCallOff[WeekIndex],60)</f>
        <v/>
      </c>
      <c r="BJ35">
        <f>SUMIFS(T_TTAFCallOff[PCS],T_TTAFCallOff[Part Name],$A35,T_TTAFCallOff[WeekIndex],61)</f>
        <v/>
      </c>
      <c r="BK35">
        <f>SUMIFS(T_TTAFCallOff[PCS],T_TTAFCallOff[Part Name],$A35,T_TTAFCallOff[WeekIndex],62)</f>
        <v/>
      </c>
      <c r="BL35">
        <f>SUMIFS(T_TTAFCallOff[PCS],T_TTAFCallOff[Part Name],$A35,T_TTAFCallOff[WeekIndex],63)</f>
        <v/>
      </c>
      <c r="BM35">
        <f>SUMIFS(T_TTAFCallOff[PCS],T_TTAFCallOff[Part Name],$A35,T_TTAFCallOff[WeekIndex],64)</f>
        <v/>
      </c>
      <c r="BN35">
        <f>SUMIFS(T_TTAFCallOff[PCS],T_TTAFCallOff[Part Name],$A35,T_TTAFCallOff[WeekIndex],65)</f>
        <v/>
      </c>
      <c r="BO35">
        <f>SUMIFS(T_TTAFCallOff[PCS],T_TTAFCallOff[Part Name],$A35,T_TTAFCallOff[WeekIndex],66)</f>
        <v/>
      </c>
      <c r="BP35">
        <f>SUMIFS(T_TTAFCallOff[PCS],T_TTAFCallOff[Part Name],$A35,T_TTAFCallOff[WeekIndex],67)</f>
        <v/>
      </c>
      <c r="BQ35">
        <f>SUMIFS(T_TTAFCallOff[PCS],T_TTAFCallOff[Part Name],$A35,T_TTAFCallOff[WeekIndex],68)</f>
        <v/>
      </c>
      <c r="BR35">
        <f>SUMIFS(T_TTAFCallOff[PCS],T_TTAFCallOff[Part Name],$A35,T_TTAFCallOff[WeekIndex],69)</f>
        <v/>
      </c>
      <c r="BS35">
        <f>SUMIFS(T_TTAFCallOff[PCS],T_TTAFCallOff[Part Name],$A35,T_TTAFCallOff[WeekIndex],70)</f>
        <v/>
      </c>
      <c r="BT35">
        <f>SUMIFS(T_TTAFCallOff[PCS],T_TTAFCallOff[Part Name],$A35,T_TTAFCallOff[WeekIndex],71)</f>
        <v/>
      </c>
      <c r="BU35">
        <f>SUMIFS(T_TTAFCallOff[PCS],T_TTAFCallOff[Part Name],$A35,T_TTAFCallOff[WeekIndex],72)</f>
        <v/>
      </c>
      <c r="BV35">
        <f>SUMIFS(T_TTAFCallOff[PCS],T_TTAFCallOff[Part Name],$A35,T_TTAFCallOff[WeekIndex],73)</f>
        <v/>
      </c>
      <c r="BW35">
        <f>SUMIFS(T_TTAFCallOff[PCS],T_TTAFCallOff[Part Name],$A35,T_TTAFCallOff[WeekIndex],74)</f>
        <v/>
      </c>
      <c r="BX35">
        <f>SUMIFS(T_TTAFCallOff[PCS],T_TTAFCallOff[Part Name],$A35,T_TTAFCallOff[WeekIndex],75)</f>
        <v/>
      </c>
      <c r="BY35">
        <f>SUMIFS(T_TTAFCallOff[PCS],T_TTAFCallOff[Part Name],$A35,T_TTAFCallOff[WeekIndex],76)</f>
        <v/>
      </c>
      <c r="BZ35">
        <f>SUMIFS(T_TTAFCallOff[PCS],T_TTAFCallOff[Part Name],$A35,T_TTAFCallOff[WeekIndex],77)</f>
        <v/>
      </c>
      <c r="CA35">
        <f>SUMIFS(T_TTAFCallOff[PCS],T_TTAFCallOff[Part Name],$A35,T_TTAFCallOff[WeekIndex],78)</f>
        <v/>
      </c>
      <c r="CB35">
        <f>SUMIFS(T_TTAFCallOff[PCS],T_TTAFCallOff[Part Name],$A35,T_TTAFCallOff[WeekIndex],79)</f>
        <v/>
      </c>
      <c r="CC35">
        <f>SUMIFS(T_TTAFCallOff[PCS],T_TTAFCallOff[Part Name],$A35,T_TTAFCallOff[WeekIndex],80)</f>
        <v/>
      </c>
      <c r="CD35">
        <f>SUMIFS(T_TTAFCallOff[PCS],T_TTAFCallOff[Part Name],$A35,T_TTAFCallOff[WeekIndex],81)</f>
        <v/>
      </c>
      <c r="CE35">
        <f>SUMIFS(T_TTAFCallOff[PCS],T_TTAFCallOff[Part Name],$A35,T_TTAFCallOff[WeekIndex],82)</f>
        <v/>
      </c>
      <c r="CF35">
        <f>SUMIFS(T_TTAFCallOff[PCS],T_TTAFCallOff[Part Name],$A35,T_TTAFCallOff[WeekIndex],83)</f>
        <v/>
      </c>
      <c r="CG35">
        <f>SUMIFS(T_TTAFCallOff[PCS],T_TTAFCallOff[Part Name],$A35,T_TTAFCallOff[WeekIndex],84)</f>
        <v/>
      </c>
      <c r="CH35">
        <f>SUMIFS(T_TTAFCallOff[PCS],T_TTAFCallOff[Part Name],$A35,T_TTAFCallOff[WeekIndex],85)</f>
        <v/>
      </c>
      <c r="CI35">
        <f>SUMIFS(T_TTAFCallOff[PCS],T_TTAFCallOff[Part Name],$A35,T_TTAFCallOff[WeekIndex],86)</f>
        <v/>
      </c>
      <c r="CJ35">
        <f>SUMIFS(T_TTAFCallOff[PCS],T_TTAFCallOff[Part Name],$A35,T_TTAFCallOff[WeekIndex],87)</f>
        <v/>
      </c>
      <c r="CK35">
        <f>SUMIFS(T_TTAFCallOff[PCS],T_TTAFCallOff[Part Name],$A35,T_TTAFCallOff[WeekIndex],88)</f>
        <v/>
      </c>
      <c r="CL35">
        <f>SUMIFS(T_TTAFCallOff[PCS],T_TTAFCallOff[Part Name],$A35,T_TTAFCallOff[WeekIndex],89)</f>
        <v/>
      </c>
      <c r="CM35">
        <f>SUMIFS(T_TTAFCallOff[PCS],T_TTAFCallOff[Part Name],$A35,T_TTAFCallOff[WeekIndex],90)</f>
        <v/>
      </c>
      <c r="CN35">
        <f>SUMIFS(T_TTAFCallOff[PCS],T_TTAFCallOff[Part Name],$A35,T_TTAFCallOff[WeekIndex],91)</f>
        <v/>
      </c>
      <c r="CO35">
        <f>SUMIFS(T_TTAFCallOff[PCS],T_TTAFCallOff[Part Name],$A35,T_TTAFCallOff[WeekIndex],92)</f>
        <v/>
      </c>
      <c r="CP35">
        <f>SUMIFS(T_TTAFCallOff[PCS],T_TTAFCallOff[Part Name],$A35,T_TTAFCallOff[WeekIndex],93)</f>
        <v/>
      </c>
      <c r="CQ35">
        <f>SUMIFS(T_TTAFCallOff[PCS],T_TTAFCallOff[Part Name],$A35,T_TTAFCallOff[WeekIndex],94)</f>
        <v/>
      </c>
      <c r="CR35">
        <f>SUMIFS(T_TTAFCallOff[PCS],T_TTAFCallOff[Part Name],$A35,T_TTAFCallOff[WeekIndex],95)</f>
        <v/>
      </c>
      <c r="CS35">
        <f>SUMIFS(T_TTAFCallOff[PCS],T_TTAFCallOff[Part Name],$A35,T_TTAFCallOff[WeekIndex],96)</f>
        <v/>
      </c>
      <c r="CT35">
        <f>SUMIFS(T_TTAFCallOff[PCS],T_TTAFCallOff[Part Name],$A35,T_TTAFCallOff[WeekIndex],97)</f>
        <v/>
      </c>
      <c r="CU35">
        <f>SUMIFS(T_TTAFCallOff[PCS],T_TTAFCallOff[Part Name],$A35,T_TTAFCallOff[WeekIndex],98)</f>
        <v/>
      </c>
      <c r="CV35">
        <f>SUMIFS(T_TTAFCallOff[PCS],T_TTAFCallOff[Part Name],$A35,T_TTAFCallOff[WeekIndex],99)</f>
        <v/>
      </c>
      <c r="CW35">
        <f>SUMIFS(T_TTAFCallOff[PCS],T_TTAFCallOff[Part Name],$A35,T_TTAFCallOff[WeekIndex],100)</f>
        <v/>
      </c>
      <c r="CX35">
        <f>SUMIFS(T_TTAFCallOff[PCS],T_TTAFCallOff[Part Name],$A35,T_TTAFCallOff[WeekIndex],101)</f>
        <v/>
      </c>
      <c r="CY35">
        <f>SUMIFS(T_TTAFCallOff[PCS],T_TTAFCallOff[Part Name],$A35,T_TTAFCallOff[WeekIndex],102)</f>
        <v/>
      </c>
      <c r="CZ35">
        <f>SUMIFS(T_TTAFCallOff[PCS],T_TTAFCallOff[Part Name],$A35,T_TTAFCallOff[WeekIndex],103)</f>
        <v/>
      </c>
      <c r="DA35">
        <f>SUMIFS(T_TTAFCallOff[PCS],T_TTAFCallOff[Part Name],$A35,T_TTAFCallOff[WeekIndex],104)</f>
        <v/>
      </c>
    </row>
    <row r="36">
      <c r="A36" t="inlineStr">
        <is>
          <t>CHEM-1770</t>
        </is>
      </c>
      <c r="B36">
        <f>SUMIFS(T_TTAFCallOff[PCS],T_TTAFCallOff[Part Name],$A36,T_TTAFCallOff[WeekIndex],1)</f>
        <v/>
      </c>
      <c r="C36">
        <f>SUMIFS(T_TTAFCallOff[PCS],T_TTAFCallOff[Part Name],$A36,T_TTAFCallOff[WeekIndex],2)</f>
        <v/>
      </c>
      <c r="D36">
        <f>SUMIFS(T_TTAFCallOff[PCS],T_TTAFCallOff[Part Name],$A36,T_TTAFCallOff[WeekIndex],3)</f>
        <v/>
      </c>
      <c r="E36">
        <f>SUMIFS(T_TTAFCallOff[PCS],T_TTAFCallOff[Part Name],$A36,T_TTAFCallOff[WeekIndex],4)</f>
        <v/>
      </c>
      <c r="F36">
        <f>SUMIFS(T_TTAFCallOff[PCS],T_TTAFCallOff[Part Name],$A36,T_TTAFCallOff[WeekIndex],5)</f>
        <v/>
      </c>
      <c r="G36">
        <f>SUMIFS(T_TTAFCallOff[PCS],T_TTAFCallOff[Part Name],$A36,T_TTAFCallOff[WeekIndex],6)</f>
        <v/>
      </c>
      <c r="H36">
        <f>SUMIFS(T_TTAFCallOff[PCS],T_TTAFCallOff[Part Name],$A36,T_TTAFCallOff[WeekIndex],7)</f>
        <v/>
      </c>
      <c r="I36">
        <f>SUMIFS(T_TTAFCallOff[PCS],T_TTAFCallOff[Part Name],$A36,T_TTAFCallOff[WeekIndex],8)</f>
        <v/>
      </c>
      <c r="J36">
        <f>SUMIFS(T_TTAFCallOff[PCS],T_TTAFCallOff[Part Name],$A36,T_TTAFCallOff[WeekIndex],9)</f>
        <v/>
      </c>
      <c r="K36">
        <f>SUMIFS(T_TTAFCallOff[PCS],T_TTAFCallOff[Part Name],$A36,T_TTAFCallOff[WeekIndex],10)</f>
        <v/>
      </c>
      <c r="L36">
        <f>SUMIFS(T_TTAFCallOff[PCS],T_TTAFCallOff[Part Name],$A36,T_TTAFCallOff[WeekIndex],11)</f>
        <v/>
      </c>
      <c r="M36">
        <f>SUMIFS(T_TTAFCallOff[PCS],T_TTAFCallOff[Part Name],$A36,T_TTAFCallOff[WeekIndex],12)</f>
        <v/>
      </c>
      <c r="N36">
        <f>SUMIFS(T_TTAFCallOff[PCS],T_TTAFCallOff[Part Name],$A36,T_TTAFCallOff[WeekIndex],13)</f>
        <v/>
      </c>
      <c r="O36">
        <f>SUMIFS(T_TTAFCallOff[PCS],T_TTAFCallOff[Part Name],$A36,T_TTAFCallOff[WeekIndex],14)</f>
        <v/>
      </c>
      <c r="P36">
        <f>SUMIFS(T_TTAFCallOff[PCS],T_TTAFCallOff[Part Name],$A36,T_TTAFCallOff[WeekIndex],15)</f>
        <v/>
      </c>
      <c r="Q36">
        <f>SUMIFS(T_TTAFCallOff[PCS],T_TTAFCallOff[Part Name],$A36,T_TTAFCallOff[WeekIndex],16)</f>
        <v/>
      </c>
      <c r="R36">
        <f>SUMIFS(T_TTAFCallOff[PCS],T_TTAFCallOff[Part Name],$A36,T_TTAFCallOff[WeekIndex],17)</f>
        <v/>
      </c>
      <c r="S36">
        <f>SUMIFS(T_TTAFCallOff[PCS],T_TTAFCallOff[Part Name],$A36,T_TTAFCallOff[WeekIndex],18)</f>
        <v/>
      </c>
      <c r="T36">
        <f>SUMIFS(T_TTAFCallOff[PCS],T_TTAFCallOff[Part Name],$A36,T_TTAFCallOff[WeekIndex],19)</f>
        <v/>
      </c>
      <c r="U36">
        <f>SUMIFS(T_TTAFCallOff[PCS],T_TTAFCallOff[Part Name],$A36,T_TTAFCallOff[WeekIndex],20)</f>
        <v/>
      </c>
      <c r="V36">
        <f>SUMIFS(T_TTAFCallOff[PCS],T_TTAFCallOff[Part Name],$A36,T_TTAFCallOff[WeekIndex],21)</f>
        <v/>
      </c>
      <c r="W36">
        <f>SUMIFS(T_TTAFCallOff[PCS],T_TTAFCallOff[Part Name],$A36,T_TTAFCallOff[WeekIndex],22)</f>
        <v/>
      </c>
      <c r="X36">
        <f>SUMIFS(T_TTAFCallOff[PCS],T_TTAFCallOff[Part Name],$A36,T_TTAFCallOff[WeekIndex],23)</f>
        <v/>
      </c>
      <c r="Y36">
        <f>SUMIFS(T_TTAFCallOff[PCS],T_TTAFCallOff[Part Name],$A36,T_TTAFCallOff[WeekIndex],24)</f>
        <v/>
      </c>
      <c r="Z36">
        <f>SUMIFS(T_TTAFCallOff[PCS],T_TTAFCallOff[Part Name],$A36,T_TTAFCallOff[WeekIndex],25)</f>
        <v/>
      </c>
      <c r="AA36">
        <f>SUMIFS(T_TTAFCallOff[PCS],T_TTAFCallOff[Part Name],$A36,T_TTAFCallOff[WeekIndex],26)</f>
        <v/>
      </c>
      <c r="AB36">
        <f>SUMIFS(T_TTAFCallOff[PCS],T_TTAFCallOff[Part Name],$A36,T_TTAFCallOff[WeekIndex],27)</f>
        <v/>
      </c>
      <c r="AC36">
        <f>SUMIFS(T_TTAFCallOff[PCS],T_TTAFCallOff[Part Name],$A36,T_TTAFCallOff[WeekIndex],28)</f>
        <v/>
      </c>
      <c r="AD36">
        <f>SUMIFS(T_TTAFCallOff[PCS],T_TTAFCallOff[Part Name],$A36,T_TTAFCallOff[WeekIndex],29)</f>
        <v/>
      </c>
      <c r="AE36">
        <f>SUMIFS(T_TTAFCallOff[PCS],T_TTAFCallOff[Part Name],$A36,T_TTAFCallOff[WeekIndex],30)</f>
        <v/>
      </c>
      <c r="AF36">
        <f>SUMIFS(T_TTAFCallOff[PCS],T_TTAFCallOff[Part Name],$A36,T_TTAFCallOff[WeekIndex],31)</f>
        <v/>
      </c>
      <c r="AG36">
        <f>SUMIFS(T_TTAFCallOff[PCS],T_TTAFCallOff[Part Name],$A36,T_TTAFCallOff[WeekIndex],32)</f>
        <v/>
      </c>
      <c r="AH36">
        <f>SUMIFS(T_TTAFCallOff[PCS],T_TTAFCallOff[Part Name],$A36,T_TTAFCallOff[WeekIndex],33)</f>
        <v/>
      </c>
      <c r="AI36">
        <f>SUMIFS(T_TTAFCallOff[PCS],T_TTAFCallOff[Part Name],$A36,T_TTAFCallOff[WeekIndex],34)</f>
        <v/>
      </c>
      <c r="AJ36">
        <f>SUMIFS(T_TTAFCallOff[PCS],T_TTAFCallOff[Part Name],$A36,T_TTAFCallOff[WeekIndex],35)</f>
        <v/>
      </c>
      <c r="AK36">
        <f>SUMIFS(T_TTAFCallOff[PCS],T_TTAFCallOff[Part Name],$A36,T_TTAFCallOff[WeekIndex],36)</f>
        <v/>
      </c>
      <c r="AL36">
        <f>SUMIFS(T_TTAFCallOff[PCS],T_TTAFCallOff[Part Name],$A36,T_TTAFCallOff[WeekIndex],37)</f>
        <v/>
      </c>
      <c r="AM36">
        <f>SUMIFS(T_TTAFCallOff[PCS],T_TTAFCallOff[Part Name],$A36,T_TTAFCallOff[WeekIndex],38)</f>
        <v/>
      </c>
      <c r="AN36">
        <f>SUMIFS(T_TTAFCallOff[PCS],T_TTAFCallOff[Part Name],$A36,T_TTAFCallOff[WeekIndex],39)</f>
        <v/>
      </c>
      <c r="AO36">
        <f>SUMIFS(T_TTAFCallOff[PCS],T_TTAFCallOff[Part Name],$A36,T_TTAFCallOff[WeekIndex],40)</f>
        <v/>
      </c>
      <c r="AP36">
        <f>SUMIFS(T_TTAFCallOff[PCS],T_TTAFCallOff[Part Name],$A36,T_TTAFCallOff[WeekIndex],41)</f>
        <v/>
      </c>
      <c r="AQ36">
        <f>SUMIFS(T_TTAFCallOff[PCS],T_TTAFCallOff[Part Name],$A36,T_TTAFCallOff[WeekIndex],42)</f>
        <v/>
      </c>
      <c r="AR36">
        <f>SUMIFS(T_TTAFCallOff[PCS],T_TTAFCallOff[Part Name],$A36,T_TTAFCallOff[WeekIndex],43)</f>
        <v/>
      </c>
      <c r="AS36">
        <f>SUMIFS(T_TTAFCallOff[PCS],T_TTAFCallOff[Part Name],$A36,T_TTAFCallOff[WeekIndex],44)</f>
        <v/>
      </c>
      <c r="AT36">
        <f>SUMIFS(T_TTAFCallOff[PCS],T_TTAFCallOff[Part Name],$A36,T_TTAFCallOff[WeekIndex],45)</f>
        <v/>
      </c>
      <c r="AU36">
        <f>SUMIFS(T_TTAFCallOff[PCS],T_TTAFCallOff[Part Name],$A36,T_TTAFCallOff[WeekIndex],46)</f>
        <v/>
      </c>
      <c r="AV36">
        <f>SUMIFS(T_TTAFCallOff[PCS],T_TTAFCallOff[Part Name],$A36,T_TTAFCallOff[WeekIndex],47)</f>
        <v/>
      </c>
      <c r="AW36">
        <f>SUMIFS(T_TTAFCallOff[PCS],T_TTAFCallOff[Part Name],$A36,T_TTAFCallOff[WeekIndex],48)</f>
        <v/>
      </c>
      <c r="AX36">
        <f>SUMIFS(T_TTAFCallOff[PCS],T_TTAFCallOff[Part Name],$A36,T_TTAFCallOff[WeekIndex],49)</f>
        <v/>
      </c>
      <c r="AY36">
        <f>SUMIFS(T_TTAFCallOff[PCS],T_TTAFCallOff[Part Name],$A36,T_TTAFCallOff[WeekIndex],50)</f>
        <v/>
      </c>
      <c r="AZ36">
        <f>SUMIFS(T_TTAFCallOff[PCS],T_TTAFCallOff[Part Name],$A36,T_TTAFCallOff[WeekIndex],51)</f>
        <v/>
      </c>
      <c r="BA36">
        <f>SUMIFS(T_TTAFCallOff[PCS],T_TTAFCallOff[Part Name],$A36,T_TTAFCallOff[WeekIndex],52)</f>
        <v/>
      </c>
      <c r="BB36">
        <f>SUMIFS(T_TTAFCallOff[PCS],T_TTAFCallOff[Part Name],$A36,T_TTAFCallOff[WeekIndex],53)</f>
        <v/>
      </c>
      <c r="BC36">
        <f>SUMIFS(T_TTAFCallOff[PCS],T_TTAFCallOff[Part Name],$A36,T_TTAFCallOff[WeekIndex],54)</f>
        <v/>
      </c>
      <c r="BD36">
        <f>SUMIFS(T_TTAFCallOff[PCS],T_TTAFCallOff[Part Name],$A36,T_TTAFCallOff[WeekIndex],55)</f>
        <v/>
      </c>
      <c r="BE36">
        <f>SUMIFS(T_TTAFCallOff[PCS],T_TTAFCallOff[Part Name],$A36,T_TTAFCallOff[WeekIndex],56)</f>
        <v/>
      </c>
      <c r="BF36">
        <f>SUMIFS(T_TTAFCallOff[PCS],T_TTAFCallOff[Part Name],$A36,T_TTAFCallOff[WeekIndex],57)</f>
        <v/>
      </c>
      <c r="BG36">
        <f>SUMIFS(T_TTAFCallOff[PCS],T_TTAFCallOff[Part Name],$A36,T_TTAFCallOff[WeekIndex],58)</f>
        <v/>
      </c>
      <c r="BH36">
        <f>SUMIFS(T_TTAFCallOff[PCS],T_TTAFCallOff[Part Name],$A36,T_TTAFCallOff[WeekIndex],59)</f>
        <v/>
      </c>
      <c r="BI36">
        <f>SUMIFS(T_TTAFCallOff[PCS],T_TTAFCallOff[Part Name],$A36,T_TTAFCallOff[WeekIndex],60)</f>
        <v/>
      </c>
      <c r="BJ36">
        <f>SUMIFS(T_TTAFCallOff[PCS],T_TTAFCallOff[Part Name],$A36,T_TTAFCallOff[WeekIndex],61)</f>
        <v/>
      </c>
      <c r="BK36">
        <f>SUMIFS(T_TTAFCallOff[PCS],T_TTAFCallOff[Part Name],$A36,T_TTAFCallOff[WeekIndex],62)</f>
        <v/>
      </c>
      <c r="BL36">
        <f>SUMIFS(T_TTAFCallOff[PCS],T_TTAFCallOff[Part Name],$A36,T_TTAFCallOff[WeekIndex],63)</f>
        <v/>
      </c>
      <c r="BM36">
        <f>SUMIFS(T_TTAFCallOff[PCS],T_TTAFCallOff[Part Name],$A36,T_TTAFCallOff[WeekIndex],64)</f>
        <v/>
      </c>
      <c r="BN36">
        <f>SUMIFS(T_TTAFCallOff[PCS],T_TTAFCallOff[Part Name],$A36,T_TTAFCallOff[WeekIndex],65)</f>
        <v/>
      </c>
      <c r="BO36">
        <f>SUMIFS(T_TTAFCallOff[PCS],T_TTAFCallOff[Part Name],$A36,T_TTAFCallOff[WeekIndex],66)</f>
        <v/>
      </c>
      <c r="BP36">
        <f>SUMIFS(T_TTAFCallOff[PCS],T_TTAFCallOff[Part Name],$A36,T_TTAFCallOff[WeekIndex],67)</f>
        <v/>
      </c>
      <c r="BQ36">
        <f>SUMIFS(T_TTAFCallOff[PCS],T_TTAFCallOff[Part Name],$A36,T_TTAFCallOff[WeekIndex],68)</f>
        <v/>
      </c>
      <c r="BR36">
        <f>SUMIFS(T_TTAFCallOff[PCS],T_TTAFCallOff[Part Name],$A36,T_TTAFCallOff[WeekIndex],69)</f>
        <v/>
      </c>
      <c r="BS36">
        <f>SUMIFS(T_TTAFCallOff[PCS],T_TTAFCallOff[Part Name],$A36,T_TTAFCallOff[WeekIndex],70)</f>
        <v/>
      </c>
      <c r="BT36">
        <f>SUMIFS(T_TTAFCallOff[PCS],T_TTAFCallOff[Part Name],$A36,T_TTAFCallOff[WeekIndex],71)</f>
        <v/>
      </c>
      <c r="BU36">
        <f>SUMIFS(T_TTAFCallOff[PCS],T_TTAFCallOff[Part Name],$A36,T_TTAFCallOff[WeekIndex],72)</f>
        <v/>
      </c>
      <c r="BV36">
        <f>SUMIFS(T_TTAFCallOff[PCS],T_TTAFCallOff[Part Name],$A36,T_TTAFCallOff[WeekIndex],73)</f>
        <v/>
      </c>
      <c r="BW36">
        <f>SUMIFS(T_TTAFCallOff[PCS],T_TTAFCallOff[Part Name],$A36,T_TTAFCallOff[WeekIndex],74)</f>
        <v/>
      </c>
      <c r="BX36">
        <f>SUMIFS(T_TTAFCallOff[PCS],T_TTAFCallOff[Part Name],$A36,T_TTAFCallOff[WeekIndex],75)</f>
        <v/>
      </c>
      <c r="BY36">
        <f>SUMIFS(T_TTAFCallOff[PCS],T_TTAFCallOff[Part Name],$A36,T_TTAFCallOff[WeekIndex],76)</f>
        <v/>
      </c>
      <c r="BZ36">
        <f>SUMIFS(T_TTAFCallOff[PCS],T_TTAFCallOff[Part Name],$A36,T_TTAFCallOff[WeekIndex],77)</f>
        <v/>
      </c>
      <c r="CA36">
        <f>SUMIFS(T_TTAFCallOff[PCS],T_TTAFCallOff[Part Name],$A36,T_TTAFCallOff[WeekIndex],78)</f>
        <v/>
      </c>
      <c r="CB36">
        <f>SUMIFS(T_TTAFCallOff[PCS],T_TTAFCallOff[Part Name],$A36,T_TTAFCallOff[WeekIndex],79)</f>
        <v/>
      </c>
      <c r="CC36">
        <f>SUMIFS(T_TTAFCallOff[PCS],T_TTAFCallOff[Part Name],$A36,T_TTAFCallOff[WeekIndex],80)</f>
        <v/>
      </c>
      <c r="CD36">
        <f>SUMIFS(T_TTAFCallOff[PCS],T_TTAFCallOff[Part Name],$A36,T_TTAFCallOff[WeekIndex],81)</f>
        <v/>
      </c>
      <c r="CE36">
        <f>SUMIFS(T_TTAFCallOff[PCS],T_TTAFCallOff[Part Name],$A36,T_TTAFCallOff[WeekIndex],82)</f>
        <v/>
      </c>
      <c r="CF36">
        <f>SUMIFS(T_TTAFCallOff[PCS],T_TTAFCallOff[Part Name],$A36,T_TTAFCallOff[WeekIndex],83)</f>
        <v/>
      </c>
      <c r="CG36">
        <f>SUMIFS(T_TTAFCallOff[PCS],T_TTAFCallOff[Part Name],$A36,T_TTAFCallOff[WeekIndex],84)</f>
        <v/>
      </c>
      <c r="CH36">
        <f>SUMIFS(T_TTAFCallOff[PCS],T_TTAFCallOff[Part Name],$A36,T_TTAFCallOff[WeekIndex],85)</f>
        <v/>
      </c>
      <c r="CI36">
        <f>SUMIFS(T_TTAFCallOff[PCS],T_TTAFCallOff[Part Name],$A36,T_TTAFCallOff[WeekIndex],86)</f>
        <v/>
      </c>
      <c r="CJ36">
        <f>SUMIFS(T_TTAFCallOff[PCS],T_TTAFCallOff[Part Name],$A36,T_TTAFCallOff[WeekIndex],87)</f>
        <v/>
      </c>
      <c r="CK36">
        <f>SUMIFS(T_TTAFCallOff[PCS],T_TTAFCallOff[Part Name],$A36,T_TTAFCallOff[WeekIndex],88)</f>
        <v/>
      </c>
      <c r="CL36">
        <f>SUMIFS(T_TTAFCallOff[PCS],T_TTAFCallOff[Part Name],$A36,T_TTAFCallOff[WeekIndex],89)</f>
        <v/>
      </c>
      <c r="CM36">
        <f>SUMIFS(T_TTAFCallOff[PCS],T_TTAFCallOff[Part Name],$A36,T_TTAFCallOff[WeekIndex],90)</f>
        <v/>
      </c>
      <c r="CN36">
        <f>SUMIFS(T_TTAFCallOff[PCS],T_TTAFCallOff[Part Name],$A36,T_TTAFCallOff[WeekIndex],91)</f>
        <v/>
      </c>
      <c r="CO36">
        <f>SUMIFS(T_TTAFCallOff[PCS],T_TTAFCallOff[Part Name],$A36,T_TTAFCallOff[WeekIndex],92)</f>
        <v/>
      </c>
      <c r="CP36">
        <f>SUMIFS(T_TTAFCallOff[PCS],T_TTAFCallOff[Part Name],$A36,T_TTAFCallOff[WeekIndex],93)</f>
        <v/>
      </c>
      <c r="CQ36">
        <f>SUMIFS(T_TTAFCallOff[PCS],T_TTAFCallOff[Part Name],$A36,T_TTAFCallOff[WeekIndex],94)</f>
        <v/>
      </c>
      <c r="CR36">
        <f>SUMIFS(T_TTAFCallOff[PCS],T_TTAFCallOff[Part Name],$A36,T_TTAFCallOff[WeekIndex],95)</f>
        <v/>
      </c>
      <c r="CS36">
        <f>SUMIFS(T_TTAFCallOff[PCS],T_TTAFCallOff[Part Name],$A36,T_TTAFCallOff[WeekIndex],96)</f>
        <v/>
      </c>
      <c r="CT36">
        <f>SUMIFS(T_TTAFCallOff[PCS],T_TTAFCallOff[Part Name],$A36,T_TTAFCallOff[WeekIndex],97)</f>
        <v/>
      </c>
      <c r="CU36">
        <f>SUMIFS(T_TTAFCallOff[PCS],T_TTAFCallOff[Part Name],$A36,T_TTAFCallOff[WeekIndex],98)</f>
        <v/>
      </c>
      <c r="CV36">
        <f>SUMIFS(T_TTAFCallOff[PCS],T_TTAFCallOff[Part Name],$A36,T_TTAFCallOff[WeekIndex],99)</f>
        <v/>
      </c>
      <c r="CW36">
        <f>SUMIFS(T_TTAFCallOff[PCS],T_TTAFCallOff[Part Name],$A36,T_TTAFCallOff[WeekIndex],100)</f>
        <v/>
      </c>
      <c r="CX36">
        <f>SUMIFS(T_TTAFCallOff[PCS],T_TTAFCallOff[Part Name],$A36,T_TTAFCallOff[WeekIndex],101)</f>
        <v/>
      </c>
      <c r="CY36">
        <f>SUMIFS(T_TTAFCallOff[PCS],T_TTAFCallOff[Part Name],$A36,T_TTAFCallOff[WeekIndex],102)</f>
        <v/>
      </c>
      <c r="CZ36">
        <f>SUMIFS(T_TTAFCallOff[PCS],T_TTAFCallOff[Part Name],$A36,T_TTAFCallOff[WeekIndex],103)</f>
        <v/>
      </c>
      <c r="DA36">
        <f>SUMIFS(T_TTAFCallOff[PCS],T_TTAFCallOff[Part Name],$A36,T_TTAFCallOff[WeekIndex],104)</f>
        <v/>
      </c>
    </row>
    <row r="37">
      <c r="A37" t="inlineStr">
        <is>
          <t>CHEM-1020</t>
        </is>
      </c>
      <c r="B37">
        <f>SUMIFS(T_TTAFCallOff[PCS],T_TTAFCallOff[Part Name],$A37,T_TTAFCallOff[WeekIndex],1)</f>
        <v/>
      </c>
      <c r="C37">
        <f>SUMIFS(T_TTAFCallOff[PCS],T_TTAFCallOff[Part Name],$A37,T_TTAFCallOff[WeekIndex],2)</f>
        <v/>
      </c>
      <c r="D37">
        <f>SUMIFS(T_TTAFCallOff[PCS],T_TTAFCallOff[Part Name],$A37,T_TTAFCallOff[WeekIndex],3)</f>
        <v/>
      </c>
      <c r="E37">
        <f>SUMIFS(T_TTAFCallOff[PCS],T_TTAFCallOff[Part Name],$A37,T_TTAFCallOff[WeekIndex],4)</f>
        <v/>
      </c>
      <c r="F37">
        <f>SUMIFS(T_TTAFCallOff[PCS],T_TTAFCallOff[Part Name],$A37,T_TTAFCallOff[WeekIndex],5)</f>
        <v/>
      </c>
      <c r="G37">
        <f>SUMIFS(T_TTAFCallOff[PCS],T_TTAFCallOff[Part Name],$A37,T_TTAFCallOff[WeekIndex],6)</f>
        <v/>
      </c>
      <c r="H37">
        <f>SUMIFS(T_TTAFCallOff[PCS],T_TTAFCallOff[Part Name],$A37,T_TTAFCallOff[WeekIndex],7)</f>
        <v/>
      </c>
      <c r="I37">
        <f>SUMIFS(T_TTAFCallOff[PCS],T_TTAFCallOff[Part Name],$A37,T_TTAFCallOff[WeekIndex],8)</f>
        <v/>
      </c>
      <c r="J37">
        <f>SUMIFS(T_TTAFCallOff[PCS],T_TTAFCallOff[Part Name],$A37,T_TTAFCallOff[WeekIndex],9)</f>
        <v/>
      </c>
      <c r="K37">
        <f>SUMIFS(T_TTAFCallOff[PCS],T_TTAFCallOff[Part Name],$A37,T_TTAFCallOff[WeekIndex],10)</f>
        <v/>
      </c>
      <c r="L37">
        <f>SUMIFS(T_TTAFCallOff[PCS],T_TTAFCallOff[Part Name],$A37,T_TTAFCallOff[WeekIndex],11)</f>
        <v/>
      </c>
      <c r="M37">
        <f>SUMIFS(T_TTAFCallOff[PCS],T_TTAFCallOff[Part Name],$A37,T_TTAFCallOff[WeekIndex],12)</f>
        <v/>
      </c>
      <c r="N37">
        <f>SUMIFS(T_TTAFCallOff[PCS],T_TTAFCallOff[Part Name],$A37,T_TTAFCallOff[WeekIndex],13)</f>
        <v/>
      </c>
      <c r="O37">
        <f>SUMIFS(T_TTAFCallOff[PCS],T_TTAFCallOff[Part Name],$A37,T_TTAFCallOff[WeekIndex],14)</f>
        <v/>
      </c>
      <c r="P37">
        <f>SUMIFS(T_TTAFCallOff[PCS],T_TTAFCallOff[Part Name],$A37,T_TTAFCallOff[WeekIndex],15)</f>
        <v/>
      </c>
      <c r="Q37">
        <f>SUMIFS(T_TTAFCallOff[PCS],T_TTAFCallOff[Part Name],$A37,T_TTAFCallOff[WeekIndex],16)</f>
        <v/>
      </c>
      <c r="R37">
        <f>SUMIFS(T_TTAFCallOff[PCS],T_TTAFCallOff[Part Name],$A37,T_TTAFCallOff[WeekIndex],17)</f>
        <v/>
      </c>
      <c r="S37">
        <f>SUMIFS(T_TTAFCallOff[PCS],T_TTAFCallOff[Part Name],$A37,T_TTAFCallOff[WeekIndex],18)</f>
        <v/>
      </c>
      <c r="T37">
        <f>SUMIFS(T_TTAFCallOff[PCS],T_TTAFCallOff[Part Name],$A37,T_TTAFCallOff[WeekIndex],19)</f>
        <v/>
      </c>
      <c r="U37">
        <f>SUMIFS(T_TTAFCallOff[PCS],T_TTAFCallOff[Part Name],$A37,T_TTAFCallOff[WeekIndex],20)</f>
        <v/>
      </c>
      <c r="V37">
        <f>SUMIFS(T_TTAFCallOff[PCS],T_TTAFCallOff[Part Name],$A37,T_TTAFCallOff[WeekIndex],21)</f>
        <v/>
      </c>
      <c r="W37">
        <f>SUMIFS(T_TTAFCallOff[PCS],T_TTAFCallOff[Part Name],$A37,T_TTAFCallOff[WeekIndex],22)</f>
        <v/>
      </c>
      <c r="X37">
        <f>SUMIFS(T_TTAFCallOff[PCS],T_TTAFCallOff[Part Name],$A37,T_TTAFCallOff[WeekIndex],23)</f>
        <v/>
      </c>
      <c r="Y37">
        <f>SUMIFS(T_TTAFCallOff[PCS],T_TTAFCallOff[Part Name],$A37,T_TTAFCallOff[WeekIndex],24)</f>
        <v/>
      </c>
      <c r="Z37">
        <f>SUMIFS(T_TTAFCallOff[PCS],T_TTAFCallOff[Part Name],$A37,T_TTAFCallOff[WeekIndex],25)</f>
        <v/>
      </c>
      <c r="AA37">
        <f>SUMIFS(T_TTAFCallOff[PCS],T_TTAFCallOff[Part Name],$A37,T_TTAFCallOff[WeekIndex],26)</f>
        <v/>
      </c>
      <c r="AB37">
        <f>SUMIFS(T_TTAFCallOff[PCS],T_TTAFCallOff[Part Name],$A37,T_TTAFCallOff[WeekIndex],27)</f>
        <v/>
      </c>
      <c r="AC37">
        <f>SUMIFS(T_TTAFCallOff[PCS],T_TTAFCallOff[Part Name],$A37,T_TTAFCallOff[WeekIndex],28)</f>
        <v/>
      </c>
      <c r="AD37">
        <f>SUMIFS(T_TTAFCallOff[PCS],T_TTAFCallOff[Part Name],$A37,T_TTAFCallOff[WeekIndex],29)</f>
        <v/>
      </c>
      <c r="AE37">
        <f>SUMIFS(T_TTAFCallOff[PCS],T_TTAFCallOff[Part Name],$A37,T_TTAFCallOff[WeekIndex],30)</f>
        <v/>
      </c>
      <c r="AF37">
        <f>SUMIFS(T_TTAFCallOff[PCS],T_TTAFCallOff[Part Name],$A37,T_TTAFCallOff[WeekIndex],31)</f>
        <v/>
      </c>
      <c r="AG37">
        <f>SUMIFS(T_TTAFCallOff[PCS],T_TTAFCallOff[Part Name],$A37,T_TTAFCallOff[WeekIndex],32)</f>
        <v/>
      </c>
      <c r="AH37">
        <f>SUMIFS(T_TTAFCallOff[PCS],T_TTAFCallOff[Part Name],$A37,T_TTAFCallOff[WeekIndex],33)</f>
        <v/>
      </c>
      <c r="AI37">
        <f>SUMIFS(T_TTAFCallOff[PCS],T_TTAFCallOff[Part Name],$A37,T_TTAFCallOff[WeekIndex],34)</f>
        <v/>
      </c>
      <c r="AJ37">
        <f>SUMIFS(T_TTAFCallOff[PCS],T_TTAFCallOff[Part Name],$A37,T_TTAFCallOff[WeekIndex],35)</f>
        <v/>
      </c>
      <c r="AK37">
        <f>SUMIFS(T_TTAFCallOff[PCS],T_TTAFCallOff[Part Name],$A37,T_TTAFCallOff[WeekIndex],36)</f>
        <v/>
      </c>
      <c r="AL37">
        <f>SUMIFS(T_TTAFCallOff[PCS],T_TTAFCallOff[Part Name],$A37,T_TTAFCallOff[WeekIndex],37)</f>
        <v/>
      </c>
      <c r="AM37">
        <f>SUMIFS(T_TTAFCallOff[PCS],T_TTAFCallOff[Part Name],$A37,T_TTAFCallOff[WeekIndex],38)</f>
        <v/>
      </c>
      <c r="AN37">
        <f>SUMIFS(T_TTAFCallOff[PCS],T_TTAFCallOff[Part Name],$A37,T_TTAFCallOff[WeekIndex],39)</f>
        <v/>
      </c>
      <c r="AO37">
        <f>SUMIFS(T_TTAFCallOff[PCS],T_TTAFCallOff[Part Name],$A37,T_TTAFCallOff[WeekIndex],40)</f>
        <v/>
      </c>
      <c r="AP37">
        <f>SUMIFS(T_TTAFCallOff[PCS],T_TTAFCallOff[Part Name],$A37,T_TTAFCallOff[WeekIndex],41)</f>
        <v/>
      </c>
      <c r="AQ37">
        <f>SUMIFS(T_TTAFCallOff[PCS],T_TTAFCallOff[Part Name],$A37,T_TTAFCallOff[WeekIndex],42)</f>
        <v/>
      </c>
      <c r="AR37">
        <f>SUMIFS(T_TTAFCallOff[PCS],T_TTAFCallOff[Part Name],$A37,T_TTAFCallOff[WeekIndex],43)</f>
        <v/>
      </c>
      <c r="AS37">
        <f>SUMIFS(T_TTAFCallOff[PCS],T_TTAFCallOff[Part Name],$A37,T_TTAFCallOff[WeekIndex],44)</f>
        <v/>
      </c>
      <c r="AT37">
        <f>SUMIFS(T_TTAFCallOff[PCS],T_TTAFCallOff[Part Name],$A37,T_TTAFCallOff[WeekIndex],45)</f>
        <v/>
      </c>
      <c r="AU37">
        <f>SUMIFS(T_TTAFCallOff[PCS],T_TTAFCallOff[Part Name],$A37,T_TTAFCallOff[WeekIndex],46)</f>
        <v/>
      </c>
      <c r="AV37">
        <f>SUMIFS(T_TTAFCallOff[PCS],T_TTAFCallOff[Part Name],$A37,T_TTAFCallOff[WeekIndex],47)</f>
        <v/>
      </c>
      <c r="AW37">
        <f>SUMIFS(T_TTAFCallOff[PCS],T_TTAFCallOff[Part Name],$A37,T_TTAFCallOff[WeekIndex],48)</f>
        <v/>
      </c>
      <c r="AX37">
        <f>SUMIFS(T_TTAFCallOff[PCS],T_TTAFCallOff[Part Name],$A37,T_TTAFCallOff[WeekIndex],49)</f>
        <v/>
      </c>
      <c r="AY37">
        <f>SUMIFS(T_TTAFCallOff[PCS],T_TTAFCallOff[Part Name],$A37,T_TTAFCallOff[WeekIndex],50)</f>
        <v/>
      </c>
      <c r="AZ37">
        <f>SUMIFS(T_TTAFCallOff[PCS],T_TTAFCallOff[Part Name],$A37,T_TTAFCallOff[WeekIndex],51)</f>
        <v/>
      </c>
      <c r="BA37">
        <f>SUMIFS(T_TTAFCallOff[PCS],T_TTAFCallOff[Part Name],$A37,T_TTAFCallOff[WeekIndex],52)</f>
        <v/>
      </c>
      <c r="BB37">
        <f>SUMIFS(T_TTAFCallOff[PCS],T_TTAFCallOff[Part Name],$A37,T_TTAFCallOff[WeekIndex],53)</f>
        <v/>
      </c>
      <c r="BC37">
        <f>SUMIFS(T_TTAFCallOff[PCS],T_TTAFCallOff[Part Name],$A37,T_TTAFCallOff[WeekIndex],54)</f>
        <v/>
      </c>
      <c r="BD37">
        <f>SUMIFS(T_TTAFCallOff[PCS],T_TTAFCallOff[Part Name],$A37,T_TTAFCallOff[WeekIndex],55)</f>
        <v/>
      </c>
      <c r="BE37">
        <f>SUMIFS(T_TTAFCallOff[PCS],T_TTAFCallOff[Part Name],$A37,T_TTAFCallOff[WeekIndex],56)</f>
        <v/>
      </c>
      <c r="BF37">
        <f>SUMIFS(T_TTAFCallOff[PCS],T_TTAFCallOff[Part Name],$A37,T_TTAFCallOff[WeekIndex],57)</f>
        <v/>
      </c>
      <c r="BG37">
        <f>SUMIFS(T_TTAFCallOff[PCS],T_TTAFCallOff[Part Name],$A37,T_TTAFCallOff[WeekIndex],58)</f>
        <v/>
      </c>
      <c r="BH37">
        <f>SUMIFS(T_TTAFCallOff[PCS],T_TTAFCallOff[Part Name],$A37,T_TTAFCallOff[WeekIndex],59)</f>
        <v/>
      </c>
      <c r="BI37">
        <f>SUMIFS(T_TTAFCallOff[PCS],T_TTAFCallOff[Part Name],$A37,T_TTAFCallOff[WeekIndex],60)</f>
        <v/>
      </c>
      <c r="BJ37">
        <f>SUMIFS(T_TTAFCallOff[PCS],T_TTAFCallOff[Part Name],$A37,T_TTAFCallOff[WeekIndex],61)</f>
        <v/>
      </c>
      <c r="BK37">
        <f>SUMIFS(T_TTAFCallOff[PCS],T_TTAFCallOff[Part Name],$A37,T_TTAFCallOff[WeekIndex],62)</f>
        <v/>
      </c>
      <c r="BL37">
        <f>SUMIFS(T_TTAFCallOff[PCS],T_TTAFCallOff[Part Name],$A37,T_TTAFCallOff[WeekIndex],63)</f>
        <v/>
      </c>
      <c r="BM37">
        <f>SUMIFS(T_TTAFCallOff[PCS],T_TTAFCallOff[Part Name],$A37,T_TTAFCallOff[WeekIndex],64)</f>
        <v/>
      </c>
      <c r="BN37">
        <f>SUMIFS(T_TTAFCallOff[PCS],T_TTAFCallOff[Part Name],$A37,T_TTAFCallOff[WeekIndex],65)</f>
        <v/>
      </c>
      <c r="BO37">
        <f>SUMIFS(T_TTAFCallOff[PCS],T_TTAFCallOff[Part Name],$A37,T_TTAFCallOff[WeekIndex],66)</f>
        <v/>
      </c>
      <c r="BP37">
        <f>SUMIFS(T_TTAFCallOff[PCS],T_TTAFCallOff[Part Name],$A37,T_TTAFCallOff[WeekIndex],67)</f>
        <v/>
      </c>
      <c r="BQ37">
        <f>SUMIFS(T_TTAFCallOff[PCS],T_TTAFCallOff[Part Name],$A37,T_TTAFCallOff[WeekIndex],68)</f>
        <v/>
      </c>
      <c r="BR37">
        <f>SUMIFS(T_TTAFCallOff[PCS],T_TTAFCallOff[Part Name],$A37,T_TTAFCallOff[WeekIndex],69)</f>
        <v/>
      </c>
      <c r="BS37">
        <f>SUMIFS(T_TTAFCallOff[PCS],T_TTAFCallOff[Part Name],$A37,T_TTAFCallOff[WeekIndex],70)</f>
        <v/>
      </c>
      <c r="BT37">
        <f>SUMIFS(T_TTAFCallOff[PCS],T_TTAFCallOff[Part Name],$A37,T_TTAFCallOff[WeekIndex],71)</f>
        <v/>
      </c>
      <c r="BU37">
        <f>SUMIFS(T_TTAFCallOff[PCS],T_TTAFCallOff[Part Name],$A37,T_TTAFCallOff[WeekIndex],72)</f>
        <v/>
      </c>
      <c r="BV37">
        <f>SUMIFS(T_TTAFCallOff[PCS],T_TTAFCallOff[Part Name],$A37,T_TTAFCallOff[WeekIndex],73)</f>
        <v/>
      </c>
      <c r="BW37">
        <f>SUMIFS(T_TTAFCallOff[PCS],T_TTAFCallOff[Part Name],$A37,T_TTAFCallOff[WeekIndex],74)</f>
        <v/>
      </c>
      <c r="BX37">
        <f>SUMIFS(T_TTAFCallOff[PCS],T_TTAFCallOff[Part Name],$A37,T_TTAFCallOff[WeekIndex],75)</f>
        <v/>
      </c>
      <c r="BY37">
        <f>SUMIFS(T_TTAFCallOff[PCS],T_TTAFCallOff[Part Name],$A37,T_TTAFCallOff[WeekIndex],76)</f>
        <v/>
      </c>
      <c r="BZ37">
        <f>SUMIFS(T_TTAFCallOff[PCS],T_TTAFCallOff[Part Name],$A37,T_TTAFCallOff[WeekIndex],77)</f>
        <v/>
      </c>
      <c r="CA37">
        <f>SUMIFS(T_TTAFCallOff[PCS],T_TTAFCallOff[Part Name],$A37,T_TTAFCallOff[WeekIndex],78)</f>
        <v/>
      </c>
      <c r="CB37">
        <f>SUMIFS(T_TTAFCallOff[PCS],T_TTAFCallOff[Part Name],$A37,T_TTAFCallOff[WeekIndex],79)</f>
        <v/>
      </c>
      <c r="CC37">
        <f>SUMIFS(T_TTAFCallOff[PCS],T_TTAFCallOff[Part Name],$A37,T_TTAFCallOff[WeekIndex],80)</f>
        <v/>
      </c>
      <c r="CD37">
        <f>SUMIFS(T_TTAFCallOff[PCS],T_TTAFCallOff[Part Name],$A37,T_TTAFCallOff[WeekIndex],81)</f>
        <v/>
      </c>
      <c r="CE37">
        <f>SUMIFS(T_TTAFCallOff[PCS],T_TTAFCallOff[Part Name],$A37,T_TTAFCallOff[WeekIndex],82)</f>
        <v/>
      </c>
      <c r="CF37">
        <f>SUMIFS(T_TTAFCallOff[PCS],T_TTAFCallOff[Part Name],$A37,T_TTAFCallOff[WeekIndex],83)</f>
        <v/>
      </c>
      <c r="CG37">
        <f>SUMIFS(T_TTAFCallOff[PCS],T_TTAFCallOff[Part Name],$A37,T_TTAFCallOff[WeekIndex],84)</f>
        <v/>
      </c>
      <c r="CH37">
        <f>SUMIFS(T_TTAFCallOff[PCS],T_TTAFCallOff[Part Name],$A37,T_TTAFCallOff[WeekIndex],85)</f>
        <v/>
      </c>
      <c r="CI37">
        <f>SUMIFS(T_TTAFCallOff[PCS],T_TTAFCallOff[Part Name],$A37,T_TTAFCallOff[WeekIndex],86)</f>
        <v/>
      </c>
      <c r="CJ37">
        <f>SUMIFS(T_TTAFCallOff[PCS],T_TTAFCallOff[Part Name],$A37,T_TTAFCallOff[WeekIndex],87)</f>
        <v/>
      </c>
      <c r="CK37">
        <f>SUMIFS(T_TTAFCallOff[PCS],T_TTAFCallOff[Part Name],$A37,T_TTAFCallOff[WeekIndex],88)</f>
        <v/>
      </c>
      <c r="CL37">
        <f>SUMIFS(T_TTAFCallOff[PCS],T_TTAFCallOff[Part Name],$A37,T_TTAFCallOff[WeekIndex],89)</f>
        <v/>
      </c>
      <c r="CM37">
        <f>SUMIFS(T_TTAFCallOff[PCS],T_TTAFCallOff[Part Name],$A37,T_TTAFCallOff[WeekIndex],90)</f>
        <v/>
      </c>
      <c r="CN37">
        <f>SUMIFS(T_TTAFCallOff[PCS],T_TTAFCallOff[Part Name],$A37,T_TTAFCallOff[WeekIndex],91)</f>
        <v/>
      </c>
      <c r="CO37">
        <f>SUMIFS(T_TTAFCallOff[PCS],T_TTAFCallOff[Part Name],$A37,T_TTAFCallOff[WeekIndex],92)</f>
        <v/>
      </c>
      <c r="CP37">
        <f>SUMIFS(T_TTAFCallOff[PCS],T_TTAFCallOff[Part Name],$A37,T_TTAFCallOff[WeekIndex],93)</f>
        <v/>
      </c>
      <c r="CQ37">
        <f>SUMIFS(T_TTAFCallOff[PCS],T_TTAFCallOff[Part Name],$A37,T_TTAFCallOff[WeekIndex],94)</f>
        <v/>
      </c>
      <c r="CR37">
        <f>SUMIFS(T_TTAFCallOff[PCS],T_TTAFCallOff[Part Name],$A37,T_TTAFCallOff[WeekIndex],95)</f>
        <v/>
      </c>
      <c r="CS37">
        <f>SUMIFS(T_TTAFCallOff[PCS],T_TTAFCallOff[Part Name],$A37,T_TTAFCallOff[WeekIndex],96)</f>
        <v/>
      </c>
      <c r="CT37">
        <f>SUMIFS(T_TTAFCallOff[PCS],T_TTAFCallOff[Part Name],$A37,T_TTAFCallOff[WeekIndex],97)</f>
        <v/>
      </c>
      <c r="CU37">
        <f>SUMIFS(T_TTAFCallOff[PCS],T_TTAFCallOff[Part Name],$A37,T_TTAFCallOff[WeekIndex],98)</f>
        <v/>
      </c>
      <c r="CV37">
        <f>SUMIFS(T_TTAFCallOff[PCS],T_TTAFCallOff[Part Name],$A37,T_TTAFCallOff[WeekIndex],99)</f>
        <v/>
      </c>
      <c r="CW37">
        <f>SUMIFS(T_TTAFCallOff[PCS],T_TTAFCallOff[Part Name],$A37,T_TTAFCallOff[WeekIndex],100)</f>
        <v/>
      </c>
      <c r="CX37">
        <f>SUMIFS(T_TTAFCallOff[PCS],T_TTAFCallOff[Part Name],$A37,T_TTAFCallOff[WeekIndex],101)</f>
        <v/>
      </c>
      <c r="CY37">
        <f>SUMIFS(T_TTAFCallOff[PCS],T_TTAFCallOff[Part Name],$A37,T_TTAFCallOff[WeekIndex],102)</f>
        <v/>
      </c>
      <c r="CZ37">
        <f>SUMIFS(T_TTAFCallOff[PCS],T_TTAFCallOff[Part Name],$A37,T_TTAFCallOff[WeekIndex],103)</f>
        <v/>
      </c>
      <c r="DA37">
        <f>SUMIFS(T_TTAFCallOff[PCS],T_TTAFCallOff[Part Name],$A37,T_TTAFCallOff[WeekIndex],104)</f>
        <v/>
      </c>
    </row>
    <row r="38">
      <c r="A38" t="inlineStr">
        <is>
          <t>Ester Film</t>
        </is>
      </c>
      <c r="B38">
        <f>SUMIFS(T_TTAFCallOff[PCS],T_TTAFCallOff[Part Name],$A38,T_TTAFCallOff[WeekIndex],1)</f>
        <v/>
      </c>
      <c r="C38">
        <f>SUMIFS(T_TTAFCallOff[PCS],T_TTAFCallOff[Part Name],$A38,T_TTAFCallOff[WeekIndex],2)</f>
        <v/>
      </c>
      <c r="D38">
        <f>SUMIFS(T_TTAFCallOff[PCS],T_TTAFCallOff[Part Name],$A38,T_TTAFCallOff[WeekIndex],3)</f>
        <v/>
      </c>
      <c r="E38">
        <f>SUMIFS(T_TTAFCallOff[PCS],T_TTAFCallOff[Part Name],$A38,T_TTAFCallOff[WeekIndex],4)</f>
        <v/>
      </c>
      <c r="F38">
        <f>SUMIFS(T_TTAFCallOff[PCS],T_TTAFCallOff[Part Name],$A38,T_TTAFCallOff[WeekIndex],5)</f>
        <v/>
      </c>
      <c r="G38">
        <f>SUMIFS(T_TTAFCallOff[PCS],T_TTAFCallOff[Part Name],$A38,T_TTAFCallOff[WeekIndex],6)</f>
        <v/>
      </c>
      <c r="H38">
        <f>SUMIFS(T_TTAFCallOff[PCS],T_TTAFCallOff[Part Name],$A38,T_TTAFCallOff[WeekIndex],7)</f>
        <v/>
      </c>
      <c r="I38">
        <f>SUMIFS(T_TTAFCallOff[PCS],T_TTAFCallOff[Part Name],$A38,T_TTAFCallOff[WeekIndex],8)</f>
        <v/>
      </c>
      <c r="J38">
        <f>SUMIFS(T_TTAFCallOff[PCS],T_TTAFCallOff[Part Name],$A38,T_TTAFCallOff[WeekIndex],9)</f>
        <v/>
      </c>
      <c r="K38">
        <f>SUMIFS(T_TTAFCallOff[PCS],T_TTAFCallOff[Part Name],$A38,T_TTAFCallOff[WeekIndex],10)</f>
        <v/>
      </c>
      <c r="L38">
        <f>SUMIFS(T_TTAFCallOff[PCS],T_TTAFCallOff[Part Name],$A38,T_TTAFCallOff[WeekIndex],11)</f>
        <v/>
      </c>
      <c r="M38">
        <f>SUMIFS(T_TTAFCallOff[PCS],T_TTAFCallOff[Part Name],$A38,T_TTAFCallOff[WeekIndex],12)</f>
        <v/>
      </c>
      <c r="N38">
        <f>SUMIFS(T_TTAFCallOff[PCS],T_TTAFCallOff[Part Name],$A38,T_TTAFCallOff[WeekIndex],13)</f>
        <v/>
      </c>
      <c r="O38">
        <f>SUMIFS(T_TTAFCallOff[PCS],T_TTAFCallOff[Part Name],$A38,T_TTAFCallOff[WeekIndex],14)</f>
        <v/>
      </c>
      <c r="P38">
        <f>SUMIFS(T_TTAFCallOff[PCS],T_TTAFCallOff[Part Name],$A38,T_TTAFCallOff[WeekIndex],15)</f>
        <v/>
      </c>
      <c r="Q38">
        <f>SUMIFS(T_TTAFCallOff[PCS],T_TTAFCallOff[Part Name],$A38,T_TTAFCallOff[WeekIndex],16)</f>
        <v/>
      </c>
      <c r="R38">
        <f>SUMIFS(T_TTAFCallOff[PCS],T_TTAFCallOff[Part Name],$A38,T_TTAFCallOff[WeekIndex],17)</f>
        <v/>
      </c>
      <c r="S38">
        <f>SUMIFS(T_TTAFCallOff[PCS],T_TTAFCallOff[Part Name],$A38,T_TTAFCallOff[WeekIndex],18)</f>
        <v/>
      </c>
      <c r="T38">
        <f>SUMIFS(T_TTAFCallOff[PCS],T_TTAFCallOff[Part Name],$A38,T_TTAFCallOff[WeekIndex],19)</f>
        <v/>
      </c>
      <c r="U38">
        <f>SUMIFS(T_TTAFCallOff[PCS],T_TTAFCallOff[Part Name],$A38,T_TTAFCallOff[WeekIndex],20)</f>
        <v/>
      </c>
      <c r="V38">
        <f>SUMIFS(T_TTAFCallOff[PCS],T_TTAFCallOff[Part Name],$A38,T_TTAFCallOff[WeekIndex],21)</f>
        <v/>
      </c>
      <c r="W38">
        <f>SUMIFS(T_TTAFCallOff[PCS],T_TTAFCallOff[Part Name],$A38,T_TTAFCallOff[WeekIndex],22)</f>
        <v/>
      </c>
      <c r="X38">
        <f>SUMIFS(T_TTAFCallOff[PCS],T_TTAFCallOff[Part Name],$A38,T_TTAFCallOff[WeekIndex],23)</f>
        <v/>
      </c>
      <c r="Y38">
        <f>SUMIFS(T_TTAFCallOff[PCS],T_TTAFCallOff[Part Name],$A38,T_TTAFCallOff[WeekIndex],24)</f>
        <v/>
      </c>
      <c r="Z38">
        <f>SUMIFS(T_TTAFCallOff[PCS],T_TTAFCallOff[Part Name],$A38,T_TTAFCallOff[WeekIndex],25)</f>
        <v/>
      </c>
      <c r="AA38">
        <f>SUMIFS(T_TTAFCallOff[PCS],T_TTAFCallOff[Part Name],$A38,T_TTAFCallOff[WeekIndex],26)</f>
        <v/>
      </c>
      <c r="AB38">
        <f>SUMIFS(T_TTAFCallOff[PCS],T_TTAFCallOff[Part Name],$A38,T_TTAFCallOff[WeekIndex],27)</f>
        <v/>
      </c>
      <c r="AC38">
        <f>SUMIFS(T_TTAFCallOff[PCS],T_TTAFCallOff[Part Name],$A38,T_TTAFCallOff[WeekIndex],28)</f>
        <v/>
      </c>
      <c r="AD38">
        <f>SUMIFS(T_TTAFCallOff[PCS],T_TTAFCallOff[Part Name],$A38,T_TTAFCallOff[WeekIndex],29)</f>
        <v/>
      </c>
      <c r="AE38">
        <f>SUMIFS(T_TTAFCallOff[PCS],T_TTAFCallOff[Part Name],$A38,T_TTAFCallOff[WeekIndex],30)</f>
        <v/>
      </c>
      <c r="AF38">
        <f>SUMIFS(T_TTAFCallOff[PCS],T_TTAFCallOff[Part Name],$A38,T_TTAFCallOff[WeekIndex],31)</f>
        <v/>
      </c>
      <c r="AG38">
        <f>SUMIFS(T_TTAFCallOff[PCS],T_TTAFCallOff[Part Name],$A38,T_TTAFCallOff[WeekIndex],32)</f>
        <v/>
      </c>
      <c r="AH38">
        <f>SUMIFS(T_TTAFCallOff[PCS],T_TTAFCallOff[Part Name],$A38,T_TTAFCallOff[WeekIndex],33)</f>
        <v/>
      </c>
      <c r="AI38">
        <f>SUMIFS(T_TTAFCallOff[PCS],T_TTAFCallOff[Part Name],$A38,T_TTAFCallOff[WeekIndex],34)</f>
        <v/>
      </c>
      <c r="AJ38">
        <f>SUMIFS(T_TTAFCallOff[PCS],T_TTAFCallOff[Part Name],$A38,T_TTAFCallOff[WeekIndex],35)</f>
        <v/>
      </c>
      <c r="AK38">
        <f>SUMIFS(T_TTAFCallOff[PCS],T_TTAFCallOff[Part Name],$A38,T_TTAFCallOff[WeekIndex],36)</f>
        <v/>
      </c>
      <c r="AL38">
        <f>SUMIFS(T_TTAFCallOff[PCS],T_TTAFCallOff[Part Name],$A38,T_TTAFCallOff[WeekIndex],37)</f>
        <v/>
      </c>
      <c r="AM38">
        <f>SUMIFS(T_TTAFCallOff[PCS],T_TTAFCallOff[Part Name],$A38,T_TTAFCallOff[WeekIndex],38)</f>
        <v/>
      </c>
      <c r="AN38">
        <f>SUMIFS(T_TTAFCallOff[PCS],T_TTAFCallOff[Part Name],$A38,T_TTAFCallOff[WeekIndex],39)</f>
        <v/>
      </c>
      <c r="AO38">
        <f>SUMIFS(T_TTAFCallOff[PCS],T_TTAFCallOff[Part Name],$A38,T_TTAFCallOff[WeekIndex],40)</f>
        <v/>
      </c>
      <c r="AP38">
        <f>SUMIFS(T_TTAFCallOff[PCS],T_TTAFCallOff[Part Name],$A38,T_TTAFCallOff[WeekIndex],41)</f>
        <v/>
      </c>
      <c r="AQ38">
        <f>SUMIFS(T_TTAFCallOff[PCS],T_TTAFCallOff[Part Name],$A38,T_TTAFCallOff[WeekIndex],42)</f>
        <v/>
      </c>
      <c r="AR38">
        <f>SUMIFS(T_TTAFCallOff[PCS],T_TTAFCallOff[Part Name],$A38,T_TTAFCallOff[WeekIndex],43)</f>
        <v/>
      </c>
      <c r="AS38">
        <f>SUMIFS(T_TTAFCallOff[PCS],T_TTAFCallOff[Part Name],$A38,T_TTAFCallOff[WeekIndex],44)</f>
        <v/>
      </c>
      <c r="AT38">
        <f>SUMIFS(T_TTAFCallOff[PCS],T_TTAFCallOff[Part Name],$A38,T_TTAFCallOff[WeekIndex],45)</f>
        <v/>
      </c>
      <c r="AU38">
        <f>SUMIFS(T_TTAFCallOff[PCS],T_TTAFCallOff[Part Name],$A38,T_TTAFCallOff[WeekIndex],46)</f>
        <v/>
      </c>
      <c r="AV38">
        <f>SUMIFS(T_TTAFCallOff[PCS],T_TTAFCallOff[Part Name],$A38,T_TTAFCallOff[WeekIndex],47)</f>
        <v/>
      </c>
      <c r="AW38">
        <f>SUMIFS(T_TTAFCallOff[PCS],T_TTAFCallOff[Part Name],$A38,T_TTAFCallOff[WeekIndex],48)</f>
        <v/>
      </c>
      <c r="AX38">
        <f>SUMIFS(T_TTAFCallOff[PCS],T_TTAFCallOff[Part Name],$A38,T_TTAFCallOff[WeekIndex],49)</f>
        <v/>
      </c>
      <c r="AY38">
        <f>SUMIFS(T_TTAFCallOff[PCS],T_TTAFCallOff[Part Name],$A38,T_TTAFCallOff[WeekIndex],50)</f>
        <v/>
      </c>
      <c r="AZ38">
        <f>SUMIFS(T_TTAFCallOff[PCS],T_TTAFCallOff[Part Name],$A38,T_TTAFCallOff[WeekIndex],51)</f>
        <v/>
      </c>
      <c r="BA38">
        <f>SUMIFS(T_TTAFCallOff[PCS],T_TTAFCallOff[Part Name],$A38,T_TTAFCallOff[WeekIndex],52)</f>
        <v/>
      </c>
      <c r="BB38">
        <f>SUMIFS(T_TTAFCallOff[PCS],T_TTAFCallOff[Part Name],$A38,T_TTAFCallOff[WeekIndex],53)</f>
        <v/>
      </c>
      <c r="BC38">
        <f>SUMIFS(T_TTAFCallOff[PCS],T_TTAFCallOff[Part Name],$A38,T_TTAFCallOff[WeekIndex],54)</f>
        <v/>
      </c>
      <c r="BD38">
        <f>SUMIFS(T_TTAFCallOff[PCS],T_TTAFCallOff[Part Name],$A38,T_TTAFCallOff[WeekIndex],55)</f>
        <v/>
      </c>
      <c r="BE38">
        <f>SUMIFS(T_TTAFCallOff[PCS],T_TTAFCallOff[Part Name],$A38,T_TTAFCallOff[WeekIndex],56)</f>
        <v/>
      </c>
      <c r="BF38">
        <f>SUMIFS(T_TTAFCallOff[PCS],T_TTAFCallOff[Part Name],$A38,T_TTAFCallOff[WeekIndex],57)</f>
        <v/>
      </c>
      <c r="BG38">
        <f>SUMIFS(T_TTAFCallOff[PCS],T_TTAFCallOff[Part Name],$A38,T_TTAFCallOff[WeekIndex],58)</f>
        <v/>
      </c>
      <c r="BH38">
        <f>SUMIFS(T_TTAFCallOff[PCS],T_TTAFCallOff[Part Name],$A38,T_TTAFCallOff[WeekIndex],59)</f>
        <v/>
      </c>
      <c r="BI38">
        <f>SUMIFS(T_TTAFCallOff[PCS],T_TTAFCallOff[Part Name],$A38,T_TTAFCallOff[WeekIndex],60)</f>
        <v/>
      </c>
      <c r="BJ38">
        <f>SUMIFS(T_TTAFCallOff[PCS],T_TTAFCallOff[Part Name],$A38,T_TTAFCallOff[WeekIndex],61)</f>
        <v/>
      </c>
      <c r="BK38">
        <f>SUMIFS(T_TTAFCallOff[PCS],T_TTAFCallOff[Part Name],$A38,T_TTAFCallOff[WeekIndex],62)</f>
        <v/>
      </c>
      <c r="BL38">
        <f>SUMIFS(T_TTAFCallOff[PCS],T_TTAFCallOff[Part Name],$A38,T_TTAFCallOff[WeekIndex],63)</f>
        <v/>
      </c>
      <c r="BM38">
        <f>SUMIFS(T_TTAFCallOff[PCS],T_TTAFCallOff[Part Name],$A38,T_TTAFCallOff[WeekIndex],64)</f>
        <v/>
      </c>
      <c r="BN38">
        <f>SUMIFS(T_TTAFCallOff[PCS],T_TTAFCallOff[Part Name],$A38,T_TTAFCallOff[WeekIndex],65)</f>
        <v/>
      </c>
      <c r="BO38">
        <f>SUMIFS(T_TTAFCallOff[PCS],T_TTAFCallOff[Part Name],$A38,T_TTAFCallOff[WeekIndex],66)</f>
        <v/>
      </c>
      <c r="BP38">
        <f>SUMIFS(T_TTAFCallOff[PCS],T_TTAFCallOff[Part Name],$A38,T_TTAFCallOff[WeekIndex],67)</f>
        <v/>
      </c>
      <c r="BQ38">
        <f>SUMIFS(T_TTAFCallOff[PCS],T_TTAFCallOff[Part Name],$A38,T_TTAFCallOff[WeekIndex],68)</f>
        <v/>
      </c>
      <c r="BR38">
        <f>SUMIFS(T_TTAFCallOff[PCS],T_TTAFCallOff[Part Name],$A38,T_TTAFCallOff[WeekIndex],69)</f>
        <v/>
      </c>
      <c r="BS38">
        <f>SUMIFS(T_TTAFCallOff[PCS],T_TTAFCallOff[Part Name],$A38,T_TTAFCallOff[WeekIndex],70)</f>
        <v/>
      </c>
      <c r="BT38">
        <f>SUMIFS(T_TTAFCallOff[PCS],T_TTAFCallOff[Part Name],$A38,T_TTAFCallOff[WeekIndex],71)</f>
        <v/>
      </c>
      <c r="BU38">
        <f>SUMIFS(T_TTAFCallOff[PCS],T_TTAFCallOff[Part Name],$A38,T_TTAFCallOff[WeekIndex],72)</f>
        <v/>
      </c>
      <c r="BV38">
        <f>SUMIFS(T_TTAFCallOff[PCS],T_TTAFCallOff[Part Name],$A38,T_TTAFCallOff[WeekIndex],73)</f>
        <v/>
      </c>
      <c r="BW38">
        <f>SUMIFS(T_TTAFCallOff[PCS],T_TTAFCallOff[Part Name],$A38,T_TTAFCallOff[WeekIndex],74)</f>
        <v/>
      </c>
      <c r="BX38">
        <f>SUMIFS(T_TTAFCallOff[PCS],T_TTAFCallOff[Part Name],$A38,T_TTAFCallOff[WeekIndex],75)</f>
        <v/>
      </c>
      <c r="BY38">
        <f>SUMIFS(T_TTAFCallOff[PCS],T_TTAFCallOff[Part Name],$A38,T_TTAFCallOff[WeekIndex],76)</f>
        <v/>
      </c>
      <c r="BZ38">
        <f>SUMIFS(T_TTAFCallOff[PCS],T_TTAFCallOff[Part Name],$A38,T_TTAFCallOff[WeekIndex],77)</f>
        <v/>
      </c>
      <c r="CA38">
        <f>SUMIFS(T_TTAFCallOff[PCS],T_TTAFCallOff[Part Name],$A38,T_TTAFCallOff[WeekIndex],78)</f>
        <v/>
      </c>
      <c r="CB38">
        <f>SUMIFS(T_TTAFCallOff[PCS],T_TTAFCallOff[Part Name],$A38,T_TTAFCallOff[WeekIndex],79)</f>
        <v/>
      </c>
      <c r="CC38">
        <f>SUMIFS(T_TTAFCallOff[PCS],T_TTAFCallOff[Part Name],$A38,T_TTAFCallOff[WeekIndex],80)</f>
        <v/>
      </c>
      <c r="CD38">
        <f>SUMIFS(T_TTAFCallOff[PCS],T_TTAFCallOff[Part Name],$A38,T_TTAFCallOff[WeekIndex],81)</f>
        <v/>
      </c>
      <c r="CE38">
        <f>SUMIFS(T_TTAFCallOff[PCS],T_TTAFCallOff[Part Name],$A38,T_TTAFCallOff[WeekIndex],82)</f>
        <v/>
      </c>
      <c r="CF38">
        <f>SUMIFS(T_TTAFCallOff[PCS],T_TTAFCallOff[Part Name],$A38,T_TTAFCallOff[WeekIndex],83)</f>
        <v/>
      </c>
      <c r="CG38">
        <f>SUMIFS(T_TTAFCallOff[PCS],T_TTAFCallOff[Part Name],$A38,T_TTAFCallOff[WeekIndex],84)</f>
        <v/>
      </c>
      <c r="CH38">
        <f>SUMIFS(T_TTAFCallOff[PCS],T_TTAFCallOff[Part Name],$A38,T_TTAFCallOff[WeekIndex],85)</f>
        <v/>
      </c>
      <c r="CI38">
        <f>SUMIFS(T_TTAFCallOff[PCS],T_TTAFCallOff[Part Name],$A38,T_TTAFCallOff[WeekIndex],86)</f>
        <v/>
      </c>
      <c r="CJ38">
        <f>SUMIFS(T_TTAFCallOff[PCS],T_TTAFCallOff[Part Name],$A38,T_TTAFCallOff[WeekIndex],87)</f>
        <v/>
      </c>
      <c r="CK38">
        <f>SUMIFS(T_TTAFCallOff[PCS],T_TTAFCallOff[Part Name],$A38,T_TTAFCallOff[WeekIndex],88)</f>
        <v/>
      </c>
      <c r="CL38">
        <f>SUMIFS(T_TTAFCallOff[PCS],T_TTAFCallOff[Part Name],$A38,T_TTAFCallOff[WeekIndex],89)</f>
        <v/>
      </c>
      <c r="CM38">
        <f>SUMIFS(T_TTAFCallOff[PCS],T_TTAFCallOff[Part Name],$A38,T_TTAFCallOff[WeekIndex],90)</f>
        <v/>
      </c>
      <c r="CN38">
        <f>SUMIFS(T_TTAFCallOff[PCS],T_TTAFCallOff[Part Name],$A38,T_TTAFCallOff[WeekIndex],91)</f>
        <v/>
      </c>
      <c r="CO38">
        <f>SUMIFS(T_TTAFCallOff[PCS],T_TTAFCallOff[Part Name],$A38,T_TTAFCallOff[WeekIndex],92)</f>
        <v/>
      </c>
      <c r="CP38">
        <f>SUMIFS(T_TTAFCallOff[PCS],T_TTAFCallOff[Part Name],$A38,T_TTAFCallOff[WeekIndex],93)</f>
        <v/>
      </c>
      <c r="CQ38">
        <f>SUMIFS(T_TTAFCallOff[PCS],T_TTAFCallOff[Part Name],$A38,T_TTAFCallOff[WeekIndex],94)</f>
        <v/>
      </c>
      <c r="CR38">
        <f>SUMIFS(T_TTAFCallOff[PCS],T_TTAFCallOff[Part Name],$A38,T_TTAFCallOff[WeekIndex],95)</f>
        <v/>
      </c>
      <c r="CS38">
        <f>SUMIFS(T_TTAFCallOff[PCS],T_TTAFCallOff[Part Name],$A38,T_TTAFCallOff[WeekIndex],96)</f>
        <v/>
      </c>
      <c r="CT38">
        <f>SUMIFS(T_TTAFCallOff[PCS],T_TTAFCallOff[Part Name],$A38,T_TTAFCallOff[WeekIndex],97)</f>
        <v/>
      </c>
      <c r="CU38">
        <f>SUMIFS(T_TTAFCallOff[PCS],T_TTAFCallOff[Part Name],$A38,T_TTAFCallOff[WeekIndex],98)</f>
        <v/>
      </c>
      <c r="CV38">
        <f>SUMIFS(T_TTAFCallOff[PCS],T_TTAFCallOff[Part Name],$A38,T_TTAFCallOff[WeekIndex],99)</f>
        <v/>
      </c>
      <c r="CW38">
        <f>SUMIFS(T_TTAFCallOff[PCS],T_TTAFCallOff[Part Name],$A38,T_TTAFCallOff[WeekIndex],100)</f>
        <v/>
      </c>
      <c r="CX38">
        <f>SUMIFS(T_TTAFCallOff[PCS],T_TTAFCallOff[Part Name],$A38,T_TTAFCallOff[WeekIndex],101)</f>
        <v/>
      </c>
      <c r="CY38">
        <f>SUMIFS(T_TTAFCallOff[PCS],T_TTAFCallOff[Part Name],$A38,T_TTAFCallOff[WeekIndex],102)</f>
        <v/>
      </c>
      <c r="CZ38">
        <f>SUMIFS(T_TTAFCallOff[PCS],T_TTAFCallOff[Part Name],$A38,T_TTAFCallOff[WeekIndex],103)</f>
        <v/>
      </c>
      <c r="DA38">
        <f>SUMIFS(T_TTAFCallOff[PCS],T_TTAFCallOff[Part Name],$A38,T_TTAFCallOff[WeekIndex],104)</f>
        <v/>
      </c>
    </row>
    <row r="39">
      <c r="A39" t="inlineStr">
        <is>
          <t>PP Film</t>
        </is>
      </c>
      <c r="B39">
        <f>SUMIFS(T_TTAFCallOff[PCS],T_TTAFCallOff[Part Name],$A39,T_TTAFCallOff[WeekIndex],1)</f>
        <v/>
      </c>
      <c r="C39">
        <f>SUMIFS(T_TTAFCallOff[PCS],T_TTAFCallOff[Part Name],$A39,T_TTAFCallOff[WeekIndex],2)</f>
        <v/>
      </c>
      <c r="D39">
        <f>SUMIFS(T_TTAFCallOff[PCS],T_TTAFCallOff[Part Name],$A39,T_TTAFCallOff[WeekIndex],3)</f>
        <v/>
      </c>
      <c r="E39">
        <f>SUMIFS(T_TTAFCallOff[PCS],T_TTAFCallOff[Part Name],$A39,T_TTAFCallOff[WeekIndex],4)</f>
        <v/>
      </c>
      <c r="F39">
        <f>SUMIFS(T_TTAFCallOff[PCS],T_TTAFCallOff[Part Name],$A39,T_TTAFCallOff[WeekIndex],5)</f>
        <v/>
      </c>
      <c r="G39">
        <f>SUMIFS(T_TTAFCallOff[PCS],T_TTAFCallOff[Part Name],$A39,T_TTAFCallOff[WeekIndex],6)</f>
        <v/>
      </c>
      <c r="H39">
        <f>SUMIFS(T_TTAFCallOff[PCS],T_TTAFCallOff[Part Name],$A39,T_TTAFCallOff[WeekIndex],7)</f>
        <v/>
      </c>
      <c r="I39">
        <f>SUMIFS(T_TTAFCallOff[PCS],T_TTAFCallOff[Part Name],$A39,T_TTAFCallOff[WeekIndex],8)</f>
        <v/>
      </c>
      <c r="J39">
        <f>SUMIFS(T_TTAFCallOff[PCS],T_TTAFCallOff[Part Name],$A39,T_TTAFCallOff[WeekIndex],9)</f>
        <v/>
      </c>
      <c r="K39">
        <f>SUMIFS(T_TTAFCallOff[PCS],T_TTAFCallOff[Part Name],$A39,T_TTAFCallOff[WeekIndex],10)</f>
        <v/>
      </c>
      <c r="L39">
        <f>SUMIFS(T_TTAFCallOff[PCS],T_TTAFCallOff[Part Name],$A39,T_TTAFCallOff[WeekIndex],11)</f>
        <v/>
      </c>
      <c r="M39">
        <f>SUMIFS(T_TTAFCallOff[PCS],T_TTAFCallOff[Part Name],$A39,T_TTAFCallOff[WeekIndex],12)</f>
        <v/>
      </c>
      <c r="N39">
        <f>SUMIFS(T_TTAFCallOff[PCS],T_TTAFCallOff[Part Name],$A39,T_TTAFCallOff[WeekIndex],13)</f>
        <v/>
      </c>
      <c r="O39">
        <f>SUMIFS(T_TTAFCallOff[PCS],T_TTAFCallOff[Part Name],$A39,T_TTAFCallOff[WeekIndex],14)</f>
        <v/>
      </c>
      <c r="P39">
        <f>SUMIFS(T_TTAFCallOff[PCS],T_TTAFCallOff[Part Name],$A39,T_TTAFCallOff[WeekIndex],15)</f>
        <v/>
      </c>
      <c r="Q39">
        <f>SUMIFS(T_TTAFCallOff[PCS],T_TTAFCallOff[Part Name],$A39,T_TTAFCallOff[WeekIndex],16)</f>
        <v/>
      </c>
      <c r="R39">
        <f>SUMIFS(T_TTAFCallOff[PCS],T_TTAFCallOff[Part Name],$A39,T_TTAFCallOff[WeekIndex],17)</f>
        <v/>
      </c>
      <c r="S39">
        <f>SUMIFS(T_TTAFCallOff[PCS],T_TTAFCallOff[Part Name],$A39,T_TTAFCallOff[WeekIndex],18)</f>
        <v/>
      </c>
      <c r="T39">
        <f>SUMIFS(T_TTAFCallOff[PCS],T_TTAFCallOff[Part Name],$A39,T_TTAFCallOff[WeekIndex],19)</f>
        <v/>
      </c>
      <c r="U39">
        <f>SUMIFS(T_TTAFCallOff[PCS],T_TTAFCallOff[Part Name],$A39,T_TTAFCallOff[WeekIndex],20)</f>
        <v/>
      </c>
      <c r="V39">
        <f>SUMIFS(T_TTAFCallOff[PCS],T_TTAFCallOff[Part Name],$A39,T_TTAFCallOff[WeekIndex],21)</f>
        <v/>
      </c>
      <c r="W39">
        <f>SUMIFS(T_TTAFCallOff[PCS],T_TTAFCallOff[Part Name],$A39,T_TTAFCallOff[WeekIndex],22)</f>
        <v/>
      </c>
      <c r="X39">
        <f>SUMIFS(T_TTAFCallOff[PCS],T_TTAFCallOff[Part Name],$A39,T_TTAFCallOff[WeekIndex],23)</f>
        <v/>
      </c>
      <c r="Y39">
        <f>SUMIFS(T_TTAFCallOff[PCS],T_TTAFCallOff[Part Name],$A39,T_TTAFCallOff[WeekIndex],24)</f>
        <v/>
      </c>
      <c r="Z39">
        <f>SUMIFS(T_TTAFCallOff[PCS],T_TTAFCallOff[Part Name],$A39,T_TTAFCallOff[WeekIndex],25)</f>
        <v/>
      </c>
      <c r="AA39">
        <f>SUMIFS(T_TTAFCallOff[PCS],T_TTAFCallOff[Part Name],$A39,T_TTAFCallOff[WeekIndex],26)</f>
        <v/>
      </c>
      <c r="AB39">
        <f>SUMIFS(T_TTAFCallOff[PCS],T_TTAFCallOff[Part Name],$A39,T_TTAFCallOff[WeekIndex],27)</f>
        <v/>
      </c>
      <c r="AC39">
        <f>SUMIFS(T_TTAFCallOff[PCS],T_TTAFCallOff[Part Name],$A39,T_TTAFCallOff[WeekIndex],28)</f>
        <v/>
      </c>
      <c r="AD39">
        <f>SUMIFS(T_TTAFCallOff[PCS],T_TTAFCallOff[Part Name],$A39,T_TTAFCallOff[WeekIndex],29)</f>
        <v/>
      </c>
      <c r="AE39">
        <f>SUMIFS(T_TTAFCallOff[PCS],T_TTAFCallOff[Part Name],$A39,T_TTAFCallOff[WeekIndex],30)</f>
        <v/>
      </c>
      <c r="AF39">
        <f>SUMIFS(T_TTAFCallOff[PCS],T_TTAFCallOff[Part Name],$A39,T_TTAFCallOff[WeekIndex],31)</f>
        <v/>
      </c>
      <c r="AG39">
        <f>SUMIFS(T_TTAFCallOff[PCS],T_TTAFCallOff[Part Name],$A39,T_TTAFCallOff[WeekIndex],32)</f>
        <v/>
      </c>
      <c r="AH39">
        <f>SUMIFS(T_TTAFCallOff[PCS],T_TTAFCallOff[Part Name],$A39,T_TTAFCallOff[WeekIndex],33)</f>
        <v/>
      </c>
      <c r="AI39">
        <f>SUMIFS(T_TTAFCallOff[PCS],T_TTAFCallOff[Part Name],$A39,T_TTAFCallOff[WeekIndex],34)</f>
        <v/>
      </c>
      <c r="AJ39">
        <f>SUMIFS(T_TTAFCallOff[PCS],T_TTAFCallOff[Part Name],$A39,T_TTAFCallOff[WeekIndex],35)</f>
        <v/>
      </c>
      <c r="AK39">
        <f>SUMIFS(T_TTAFCallOff[PCS],T_TTAFCallOff[Part Name],$A39,T_TTAFCallOff[WeekIndex],36)</f>
        <v/>
      </c>
      <c r="AL39">
        <f>SUMIFS(T_TTAFCallOff[PCS],T_TTAFCallOff[Part Name],$A39,T_TTAFCallOff[WeekIndex],37)</f>
        <v/>
      </c>
      <c r="AM39">
        <f>SUMIFS(T_TTAFCallOff[PCS],T_TTAFCallOff[Part Name],$A39,T_TTAFCallOff[WeekIndex],38)</f>
        <v/>
      </c>
      <c r="AN39">
        <f>SUMIFS(T_TTAFCallOff[PCS],T_TTAFCallOff[Part Name],$A39,T_TTAFCallOff[WeekIndex],39)</f>
        <v/>
      </c>
      <c r="AO39">
        <f>SUMIFS(T_TTAFCallOff[PCS],T_TTAFCallOff[Part Name],$A39,T_TTAFCallOff[WeekIndex],40)</f>
        <v/>
      </c>
      <c r="AP39">
        <f>SUMIFS(T_TTAFCallOff[PCS],T_TTAFCallOff[Part Name],$A39,T_TTAFCallOff[WeekIndex],41)</f>
        <v/>
      </c>
      <c r="AQ39">
        <f>SUMIFS(T_TTAFCallOff[PCS],T_TTAFCallOff[Part Name],$A39,T_TTAFCallOff[WeekIndex],42)</f>
        <v/>
      </c>
      <c r="AR39">
        <f>SUMIFS(T_TTAFCallOff[PCS],T_TTAFCallOff[Part Name],$A39,T_TTAFCallOff[WeekIndex],43)</f>
        <v/>
      </c>
      <c r="AS39">
        <f>SUMIFS(T_TTAFCallOff[PCS],T_TTAFCallOff[Part Name],$A39,T_TTAFCallOff[WeekIndex],44)</f>
        <v/>
      </c>
      <c r="AT39">
        <f>SUMIFS(T_TTAFCallOff[PCS],T_TTAFCallOff[Part Name],$A39,T_TTAFCallOff[WeekIndex],45)</f>
        <v/>
      </c>
      <c r="AU39">
        <f>SUMIFS(T_TTAFCallOff[PCS],T_TTAFCallOff[Part Name],$A39,T_TTAFCallOff[WeekIndex],46)</f>
        <v/>
      </c>
      <c r="AV39">
        <f>SUMIFS(T_TTAFCallOff[PCS],T_TTAFCallOff[Part Name],$A39,T_TTAFCallOff[WeekIndex],47)</f>
        <v/>
      </c>
      <c r="AW39">
        <f>SUMIFS(T_TTAFCallOff[PCS],T_TTAFCallOff[Part Name],$A39,T_TTAFCallOff[WeekIndex],48)</f>
        <v/>
      </c>
      <c r="AX39">
        <f>SUMIFS(T_TTAFCallOff[PCS],T_TTAFCallOff[Part Name],$A39,T_TTAFCallOff[WeekIndex],49)</f>
        <v/>
      </c>
      <c r="AY39">
        <f>SUMIFS(T_TTAFCallOff[PCS],T_TTAFCallOff[Part Name],$A39,T_TTAFCallOff[WeekIndex],50)</f>
        <v/>
      </c>
      <c r="AZ39">
        <f>SUMIFS(T_TTAFCallOff[PCS],T_TTAFCallOff[Part Name],$A39,T_TTAFCallOff[WeekIndex],51)</f>
        <v/>
      </c>
      <c r="BA39">
        <f>SUMIFS(T_TTAFCallOff[PCS],T_TTAFCallOff[Part Name],$A39,T_TTAFCallOff[WeekIndex],52)</f>
        <v/>
      </c>
      <c r="BB39">
        <f>SUMIFS(T_TTAFCallOff[PCS],T_TTAFCallOff[Part Name],$A39,T_TTAFCallOff[WeekIndex],53)</f>
        <v/>
      </c>
      <c r="BC39">
        <f>SUMIFS(T_TTAFCallOff[PCS],T_TTAFCallOff[Part Name],$A39,T_TTAFCallOff[WeekIndex],54)</f>
        <v/>
      </c>
      <c r="BD39">
        <f>SUMIFS(T_TTAFCallOff[PCS],T_TTAFCallOff[Part Name],$A39,T_TTAFCallOff[WeekIndex],55)</f>
        <v/>
      </c>
      <c r="BE39">
        <f>SUMIFS(T_TTAFCallOff[PCS],T_TTAFCallOff[Part Name],$A39,T_TTAFCallOff[WeekIndex],56)</f>
        <v/>
      </c>
      <c r="BF39">
        <f>SUMIFS(T_TTAFCallOff[PCS],T_TTAFCallOff[Part Name],$A39,T_TTAFCallOff[WeekIndex],57)</f>
        <v/>
      </c>
      <c r="BG39">
        <f>SUMIFS(T_TTAFCallOff[PCS],T_TTAFCallOff[Part Name],$A39,T_TTAFCallOff[WeekIndex],58)</f>
        <v/>
      </c>
      <c r="BH39">
        <f>SUMIFS(T_TTAFCallOff[PCS],T_TTAFCallOff[Part Name],$A39,T_TTAFCallOff[WeekIndex],59)</f>
        <v/>
      </c>
      <c r="BI39">
        <f>SUMIFS(T_TTAFCallOff[PCS],T_TTAFCallOff[Part Name],$A39,T_TTAFCallOff[WeekIndex],60)</f>
        <v/>
      </c>
      <c r="BJ39">
        <f>SUMIFS(T_TTAFCallOff[PCS],T_TTAFCallOff[Part Name],$A39,T_TTAFCallOff[WeekIndex],61)</f>
        <v/>
      </c>
      <c r="BK39">
        <f>SUMIFS(T_TTAFCallOff[PCS],T_TTAFCallOff[Part Name],$A39,T_TTAFCallOff[WeekIndex],62)</f>
        <v/>
      </c>
      <c r="BL39">
        <f>SUMIFS(T_TTAFCallOff[PCS],T_TTAFCallOff[Part Name],$A39,T_TTAFCallOff[WeekIndex],63)</f>
        <v/>
      </c>
      <c r="BM39">
        <f>SUMIFS(T_TTAFCallOff[PCS],T_TTAFCallOff[Part Name],$A39,T_TTAFCallOff[WeekIndex],64)</f>
        <v/>
      </c>
      <c r="BN39">
        <f>SUMIFS(T_TTAFCallOff[PCS],T_TTAFCallOff[Part Name],$A39,T_TTAFCallOff[WeekIndex],65)</f>
        <v/>
      </c>
      <c r="BO39">
        <f>SUMIFS(T_TTAFCallOff[PCS],T_TTAFCallOff[Part Name],$A39,T_TTAFCallOff[WeekIndex],66)</f>
        <v/>
      </c>
      <c r="BP39">
        <f>SUMIFS(T_TTAFCallOff[PCS],T_TTAFCallOff[Part Name],$A39,T_TTAFCallOff[WeekIndex],67)</f>
        <v/>
      </c>
      <c r="BQ39">
        <f>SUMIFS(T_TTAFCallOff[PCS],T_TTAFCallOff[Part Name],$A39,T_TTAFCallOff[WeekIndex],68)</f>
        <v/>
      </c>
      <c r="BR39">
        <f>SUMIFS(T_TTAFCallOff[PCS],T_TTAFCallOff[Part Name],$A39,T_TTAFCallOff[WeekIndex],69)</f>
        <v/>
      </c>
      <c r="BS39">
        <f>SUMIFS(T_TTAFCallOff[PCS],T_TTAFCallOff[Part Name],$A39,T_TTAFCallOff[WeekIndex],70)</f>
        <v/>
      </c>
      <c r="BT39">
        <f>SUMIFS(T_TTAFCallOff[PCS],T_TTAFCallOff[Part Name],$A39,T_TTAFCallOff[WeekIndex],71)</f>
        <v/>
      </c>
      <c r="BU39">
        <f>SUMIFS(T_TTAFCallOff[PCS],T_TTAFCallOff[Part Name],$A39,T_TTAFCallOff[WeekIndex],72)</f>
        <v/>
      </c>
      <c r="BV39">
        <f>SUMIFS(T_TTAFCallOff[PCS],T_TTAFCallOff[Part Name],$A39,T_TTAFCallOff[WeekIndex],73)</f>
        <v/>
      </c>
      <c r="BW39">
        <f>SUMIFS(T_TTAFCallOff[PCS],T_TTAFCallOff[Part Name],$A39,T_TTAFCallOff[WeekIndex],74)</f>
        <v/>
      </c>
      <c r="BX39">
        <f>SUMIFS(T_TTAFCallOff[PCS],T_TTAFCallOff[Part Name],$A39,T_TTAFCallOff[WeekIndex],75)</f>
        <v/>
      </c>
      <c r="BY39">
        <f>SUMIFS(T_TTAFCallOff[PCS],T_TTAFCallOff[Part Name],$A39,T_TTAFCallOff[WeekIndex],76)</f>
        <v/>
      </c>
      <c r="BZ39">
        <f>SUMIFS(T_TTAFCallOff[PCS],T_TTAFCallOff[Part Name],$A39,T_TTAFCallOff[WeekIndex],77)</f>
        <v/>
      </c>
      <c r="CA39">
        <f>SUMIFS(T_TTAFCallOff[PCS],T_TTAFCallOff[Part Name],$A39,T_TTAFCallOff[WeekIndex],78)</f>
        <v/>
      </c>
      <c r="CB39">
        <f>SUMIFS(T_TTAFCallOff[PCS],T_TTAFCallOff[Part Name],$A39,T_TTAFCallOff[WeekIndex],79)</f>
        <v/>
      </c>
      <c r="CC39">
        <f>SUMIFS(T_TTAFCallOff[PCS],T_TTAFCallOff[Part Name],$A39,T_TTAFCallOff[WeekIndex],80)</f>
        <v/>
      </c>
      <c r="CD39">
        <f>SUMIFS(T_TTAFCallOff[PCS],T_TTAFCallOff[Part Name],$A39,T_TTAFCallOff[WeekIndex],81)</f>
        <v/>
      </c>
      <c r="CE39">
        <f>SUMIFS(T_TTAFCallOff[PCS],T_TTAFCallOff[Part Name],$A39,T_TTAFCallOff[WeekIndex],82)</f>
        <v/>
      </c>
      <c r="CF39">
        <f>SUMIFS(T_TTAFCallOff[PCS],T_TTAFCallOff[Part Name],$A39,T_TTAFCallOff[WeekIndex],83)</f>
        <v/>
      </c>
      <c r="CG39">
        <f>SUMIFS(T_TTAFCallOff[PCS],T_TTAFCallOff[Part Name],$A39,T_TTAFCallOff[WeekIndex],84)</f>
        <v/>
      </c>
      <c r="CH39">
        <f>SUMIFS(T_TTAFCallOff[PCS],T_TTAFCallOff[Part Name],$A39,T_TTAFCallOff[WeekIndex],85)</f>
        <v/>
      </c>
      <c r="CI39">
        <f>SUMIFS(T_TTAFCallOff[PCS],T_TTAFCallOff[Part Name],$A39,T_TTAFCallOff[WeekIndex],86)</f>
        <v/>
      </c>
      <c r="CJ39">
        <f>SUMIFS(T_TTAFCallOff[PCS],T_TTAFCallOff[Part Name],$A39,T_TTAFCallOff[WeekIndex],87)</f>
        <v/>
      </c>
      <c r="CK39">
        <f>SUMIFS(T_TTAFCallOff[PCS],T_TTAFCallOff[Part Name],$A39,T_TTAFCallOff[WeekIndex],88)</f>
        <v/>
      </c>
      <c r="CL39">
        <f>SUMIFS(T_TTAFCallOff[PCS],T_TTAFCallOff[Part Name],$A39,T_TTAFCallOff[WeekIndex],89)</f>
        <v/>
      </c>
      <c r="CM39">
        <f>SUMIFS(T_TTAFCallOff[PCS],T_TTAFCallOff[Part Name],$A39,T_TTAFCallOff[WeekIndex],90)</f>
        <v/>
      </c>
      <c r="CN39">
        <f>SUMIFS(T_TTAFCallOff[PCS],T_TTAFCallOff[Part Name],$A39,T_TTAFCallOff[WeekIndex],91)</f>
        <v/>
      </c>
      <c r="CO39">
        <f>SUMIFS(T_TTAFCallOff[PCS],T_TTAFCallOff[Part Name],$A39,T_TTAFCallOff[WeekIndex],92)</f>
        <v/>
      </c>
      <c r="CP39">
        <f>SUMIFS(T_TTAFCallOff[PCS],T_TTAFCallOff[Part Name],$A39,T_TTAFCallOff[WeekIndex],93)</f>
        <v/>
      </c>
      <c r="CQ39">
        <f>SUMIFS(T_TTAFCallOff[PCS],T_TTAFCallOff[Part Name],$A39,T_TTAFCallOff[WeekIndex],94)</f>
        <v/>
      </c>
      <c r="CR39">
        <f>SUMIFS(T_TTAFCallOff[PCS],T_TTAFCallOff[Part Name],$A39,T_TTAFCallOff[WeekIndex],95)</f>
        <v/>
      </c>
      <c r="CS39">
        <f>SUMIFS(T_TTAFCallOff[PCS],T_TTAFCallOff[Part Name],$A39,T_TTAFCallOff[WeekIndex],96)</f>
        <v/>
      </c>
      <c r="CT39">
        <f>SUMIFS(T_TTAFCallOff[PCS],T_TTAFCallOff[Part Name],$A39,T_TTAFCallOff[WeekIndex],97)</f>
        <v/>
      </c>
      <c r="CU39">
        <f>SUMIFS(T_TTAFCallOff[PCS],T_TTAFCallOff[Part Name],$A39,T_TTAFCallOff[WeekIndex],98)</f>
        <v/>
      </c>
      <c r="CV39">
        <f>SUMIFS(T_TTAFCallOff[PCS],T_TTAFCallOff[Part Name],$A39,T_TTAFCallOff[WeekIndex],99)</f>
        <v/>
      </c>
      <c r="CW39">
        <f>SUMIFS(T_TTAFCallOff[PCS],T_TTAFCallOff[Part Name],$A39,T_TTAFCallOff[WeekIndex],100)</f>
        <v/>
      </c>
      <c r="CX39">
        <f>SUMIFS(T_TTAFCallOff[PCS],T_TTAFCallOff[Part Name],$A39,T_TTAFCallOff[WeekIndex],101)</f>
        <v/>
      </c>
      <c r="CY39">
        <f>SUMIFS(T_TTAFCallOff[PCS],T_TTAFCallOff[Part Name],$A39,T_TTAFCallOff[WeekIndex],102)</f>
        <v/>
      </c>
      <c r="CZ39">
        <f>SUMIFS(T_TTAFCallOff[PCS],T_TTAFCallOff[Part Name],$A39,T_TTAFCallOff[WeekIndex],103)</f>
        <v/>
      </c>
      <c r="DA39">
        <f>SUMIFS(T_TTAFCallOff[PCS],T_TTAFCallOff[Part Name],$A39,T_TTAFCallOff[WeekIndex],104)</f>
        <v/>
      </c>
    </row>
    <row r="40">
      <c r="A40" t="inlineStr">
        <is>
          <t>5SN</t>
        </is>
      </c>
      <c r="B40">
        <f>SUMIFS(T_TTAFCallOff[PCS],T_TTAFCallOff[Part Name],$A40,T_TTAFCallOff[WeekIndex],1)</f>
        <v/>
      </c>
      <c r="C40">
        <f>SUMIFS(T_TTAFCallOff[PCS],T_TTAFCallOff[Part Name],$A40,T_TTAFCallOff[WeekIndex],2)</f>
        <v/>
      </c>
      <c r="D40">
        <f>SUMIFS(T_TTAFCallOff[PCS],T_TTAFCallOff[Part Name],$A40,T_TTAFCallOff[WeekIndex],3)</f>
        <v/>
      </c>
      <c r="E40">
        <f>SUMIFS(T_TTAFCallOff[PCS],T_TTAFCallOff[Part Name],$A40,T_TTAFCallOff[WeekIndex],4)</f>
        <v/>
      </c>
      <c r="F40">
        <f>SUMIFS(T_TTAFCallOff[PCS],T_TTAFCallOff[Part Name],$A40,T_TTAFCallOff[WeekIndex],5)</f>
        <v/>
      </c>
      <c r="G40">
        <f>SUMIFS(T_TTAFCallOff[PCS],T_TTAFCallOff[Part Name],$A40,T_TTAFCallOff[WeekIndex],6)</f>
        <v/>
      </c>
      <c r="H40">
        <f>SUMIFS(T_TTAFCallOff[PCS],T_TTAFCallOff[Part Name],$A40,T_TTAFCallOff[WeekIndex],7)</f>
        <v/>
      </c>
      <c r="I40">
        <f>SUMIFS(T_TTAFCallOff[PCS],T_TTAFCallOff[Part Name],$A40,T_TTAFCallOff[WeekIndex],8)</f>
        <v/>
      </c>
      <c r="J40">
        <f>SUMIFS(T_TTAFCallOff[PCS],T_TTAFCallOff[Part Name],$A40,T_TTAFCallOff[WeekIndex],9)</f>
        <v/>
      </c>
      <c r="K40">
        <f>SUMIFS(T_TTAFCallOff[PCS],T_TTAFCallOff[Part Name],$A40,T_TTAFCallOff[WeekIndex],10)</f>
        <v/>
      </c>
      <c r="L40">
        <f>SUMIFS(T_TTAFCallOff[PCS],T_TTAFCallOff[Part Name],$A40,T_TTAFCallOff[WeekIndex],11)</f>
        <v/>
      </c>
      <c r="M40">
        <f>SUMIFS(T_TTAFCallOff[PCS],T_TTAFCallOff[Part Name],$A40,T_TTAFCallOff[WeekIndex],12)</f>
        <v/>
      </c>
      <c r="N40">
        <f>SUMIFS(T_TTAFCallOff[PCS],T_TTAFCallOff[Part Name],$A40,T_TTAFCallOff[WeekIndex],13)</f>
        <v/>
      </c>
      <c r="O40">
        <f>SUMIFS(T_TTAFCallOff[PCS],T_TTAFCallOff[Part Name],$A40,T_TTAFCallOff[WeekIndex],14)</f>
        <v/>
      </c>
      <c r="P40">
        <f>SUMIFS(T_TTAFCallOff[PCS],T_TTAFCallOff[Part Name],$A40,T_TTAFCallOff[WeekIndex],15)</f>
        <v/>
      </c>
      <c r="Q40">
        <f>SUMIFS(T_TTAFCallOff[PCS],T_TTAFCallOff[Part Name],$A40,T_TTAFCallOff[WeekIndex],16)</f>
        <v/>
      </c>
      <c r="R40">
        <f>SUMIFS(T_TTAFCallOff[PCS],T_TTAFCallOff[Part Name],$A40,T_TTAFCallOff[WeekIndex],17)</f>
        <v/>
      </c>
      <c r="S40">
        <f>SUMIFS(T_TTAFCallOff[PCS],T_TTAFCallOff[Part Name],$A40,T_TTAFCallOff[WeekIndex],18)</f>
        <v/>
      </c>
      <c r="T40">
        <f>SUMIFS(T_TTAFCallOff[PCS],T_TTAFCallOff[Part Name],$A40,T_TTAFCallOff[WeekIndex],19)</f>
        <v/>
      </c>
      <c r="U40">
        <f>SUMIFS(T_TTAFCallOff[PCS],T_TTAFCallOff[Part Name],$A40,T_TTAFCallOff[WeekIndex],20)</f>
        <v/>
      </c>
      <c r="V40">
        <f>SUMIFS(T_TTAFCallOff[PCS],T_TTAFCallOff[Part Name],$A40,T_TTAFCallOff[WeekIndex],21)</f>
        <v/>
      </c>
      <c r="W40">
        <f>SUMIFS(T_TTAFCallOff[PCS],T_TTAFCallOff[Part Name],$A40,T_TTAFCallOff[WeekIndex],22)</f>
        <v/>
      </c>
      <c r="X40">
        <f>SUMIFS(T_TTAFCallOff[PCS],T_TTAFCallOff[Part Name],$A40,T_TTAFCallOff[WeekIndex],23)</f>
        <v/>
      </c>
      <c r="Y40">
        <f>SUMIFS(T_TTAFCallOff[PCS],T_TTAFCallOff[Part Name],$A40,T_TTAFCallOff[WeekIndex],24)</f>
        <v/>
      </c>
      <c r="Z40">
        <f>SUMIFS(T_TTAFCallOff[PCS],T_TTAFCallOff[Part Name],$A40,T_TTAFCallOff[WeekIndex],25)</f>
        <v/>
      </c>
      <c r="AA40">
        <f>SUMIFS(T_TTAFCallOff[PCS],T_TTAFCallOff[Part Name],$A40,T_TTAFCallOff[WeekIndex],26)</f>
        <v/>
      </c>
      <c r="AB40">
        <f>SUMIFS(T_TTAFCallOff[PCS],T_TTAFCallOff[Part Name],$A40,T_TTAFCallOff[WeekIndex],27)</f>
        <v/>
      </c>
      <c r="AC40">
        <f>SUMIFS(T_TTAFCallOff[PCS],T_TTAFCallOff[Part Name],$A40,T_TTAFCallOff[WeekIndex],28)</f>
        <v/>
      </c>
      <c r="AD40">
        <f>SUMIFS(T_TTAFCallOff[PCS],T_TTAFCallOff[Part Name],$A40,T_TTAFCallOff[WeekIndex],29)</f>
        <v/>
      </c>
      <c r="AE40">
        <f>SUMIFS(T_TTAFCallOff[PCS],T_TTAFCallOff[Part Name],$A40,T_TTAFCallOff[WeekIndex],30)</f>
        <v/>
      </c>
      <c r="AF40">
        <f>SUMIFS(T_TTAFCallOff[PCS],T_TTAFCallOff[Part Name],$A40,T_TTAFCallOff[WeekIndex],31)</f>
        <v/>
      </c>
      <c r="AG40">
        <f>SUMIFS(T_TTAFCallOff[PCS],T_TTAFCallOff[Part Name],$A40,T_TTAFCallOff[WeekIndex],32)</f>
        <v/>
      </c>
      <c r="AH40">
        <f>SUMIFS(T_TTAFCallOff[PCS],T_TTAFCallOff[Part Name],$A40,T_TTAFCallOff[WeekIndex],33)</f>
        <v/>
      </c>
      <c r="AI40">
        <f>SUMIFS(T_TTAFCallOff[PCS],T_TTAFCallOff[Part Name],$A40,T_TTAFCallOff[WeekIndex],34)</f>
        <v/>
      </c>
      <c r="AJ40">
        <f>SUMIFS(T_TTAFCallOff[PCS],T_TTAFCallOff[Part Name],$A40,T_TTAFCallOff[WeekIndex],35)</f>
        <v/>
      </c>
      <c r="AK40">
        <f>SUMIFS(T_TTAFCallOff[PCS],T_TTAFCallOff[Part Name],$A40,T_TTAFCallOff[WeekIndex],36)</f>
        <v/>
      </c>
      <c r="AL40">
        <f>SUMIFS(T_TTAFCallOff[PCS],T_TTAFCallOff[Part Name],$A40,T_TTAFCallOff[WeekIndex],37)</f>
        <v/>
      </c>
      <c r="AM40">
        <f>SUMIFS(T_TTAFCallOff[PCS],T_TTAFCallOff[Part Name],$A40,T_TTAFCallOff[WeekIndex],38)</f>
        <v/>
      </c>
      <c r="AN40">
        <f>SUMIFS(T_TTAFCallOff[PCS],T_TTAFCallOff[Part Name],$A40,T_TTAFCallOff[WeekIndex],39)</f>
        <v/>
      </c>
      <c r="AO40">
        <f>SUMIFS(T_TTAFCallOff[PCS],T_TTAFCallOff[Part Name],$A40,T_TTAFCallOff[WeekIndex],40)</f>
        <v/>
      </c>
      <c r="AP40">
        <f>SUMIFS(T_TTAFCallOff[PCS],T_TTAFCallOff[Part Name],$A40,T_TTAFCallOff[WeekIndex],41)</f>
        <v/>
      </c>
      <c r="AQ40">
        <f>SUMIFS(T_TTAFCallOff[PCS],T_TTAFCallOff[Part Name],$A40,T_TTAFCallOff[WeekIndex],42)</f>
        <v/>
      </c>
      <c r="AR40">
        <f>SUMIFS(T_TTAFCallOff[PCS],T_TTAFCallOff[Part Name],$A40,T_TTAFCallOff[WeekIndex],43)</f>
        <v/>
      </c>
      <c r="AS40">
        <f>SUMIFS(T_TTAFCallOff[PCS],T_TTAFCallOff[Part Name],$A40,T_TTAFCallOff[WeekIndex],44)</f>
        <v/>
      </c>
      <c r="AT40">
        <f>SUMIFS(T_TTAFCallOff[PCS],T_TTAFCallOff[Part Name],$A40,T_TTAFCallOff[WeekIndex],45)</f>
        <v/>
      </c>
      <c r="AU40">
        <f>SUMIFS(T_TTAFCallOff[PCS],T_TTAFCallOff[Part Name],$A40,T_TTAFCallOff[WeekIndex],46)</f>
        <v/>
      </c>
      <c r="AV40">
        <f>SUMIFS(T_TTAFCallOff[PCS],T_TTAFCallOff[Part Name],$A40,T_TTAFCallOff[WeekIndex],47)</f>
        <v/>
      </c>
      <c r="AW40">
        <f>SUMIFS(T_TTAFCallOff[PCS],T_TTAFCallOff[Part Name],$A40,T_TTAFCallOff[WeekIndex],48)</f>
        <v/>
      </c>
      <c r="AX40">
        <f>SUMIFS(T_TTAFCallOff[PCS],T_TTAFCallOff[Part Name],$A40,T_TTAFCallOff[WeekIndex],49)</f>
        <v/>
      </c>
      <c r="AY40">
        <f>SUMIFS(T_TTAFCallOff[PCS],T_TTAFCallOff[Part Name],$A40,T_TTAFCallOff[WeekIndex],50)</f>
        <v/>
      </c>
      <c r="AZ40">
        <f>SUMIFS(T_TTAFCallOff[PCS],T_TTAFCallOff[Part Name],$A40,T_TTAFCallOff[WeekIndex],51)</f>
        <v/>
      </c>
      <c r="BA40">
        <f>SUMIFS(T_TTAFCallOff[PCS],T_TTAFCallOff[Part Name],$A40,T_TTAFCallOff[WeekIndex],52)</f>
        <v/>
      </c>
      <c r="BB40">
        <f>SUMIFS(T_TTAFCallOff[PCS],T_TTAFCallOff[Part Name],$A40,T_TTAFCallOff[WeekIndex],53)</f>
        <v/>
      </c>
      <c r="BC40">
        <f>SUMIFS(T_TTAFCallOff[PCS],T_TTAFCallOff[Part Name],$A40,T_TTAFCallOff[WeekIndex],54)</f>
        <v/>
      </c>
      <c r="BD40">
        <f>SUMIFS(T_TTAFCallOff[PCS],T_TTAFCallOff[Part Name],$A40,T_TTAFCallOff[WeekIndex],55)</f>
        <v/>
      </c>
      <c r="BE40">
        <f>SUMIFS(T_TTAFCallOff[PCS],T_TTAFCallOff[Part Name],$A40,T_TTAFCallOff[WeekIndex],56)</f>
        <v/>
      </c>
      <c r="BF40">
        <f>SUMIFS(T_TTAFCallOff[PCS],T_TTAFCallOff[Part Name],$A40,T_TTAFCallOff[WeekIndex],57)</f>
        <v/>
      </c>
      <c r="BG40">
        <f>SUMIFS(T_TTAFCallOff[PCS],T_TTAFCallOff[Part Name],$A40,T_TTAFCallOff[WeekIndex],58)</f>
        <v/>
      </c>
      <c r="BH40">
        <f>SUMIFS(T_TTAFCallOff[PCS],T_TTAFCallOff[Part Name],$A40,T_TTAFCallOff[WeekIndex],59)</f>
        <v/>
      </c>
      <c r="BI40">
        <f>SUMIFS(T_TTAFCallOff[PCS],T_TTAFCallOff[Part Name],$A40,T_TTAFCallOff[WeekIndex],60)</f>
        <v/>
      </c>
      <c r="BJ40">
        <f>SUMIFS(T_TTAFCallOff[PCS],T_TTAFCallOff[Part Name],$A40,T_TTAFCallOff[WeekIndex],61)</f>
        <v/>
      </c>
      <c r="BK40">
        <f>SUMIFS(T_TTAFCallOff[PCS],T_TTAFCallOff[Part Name],$A40,T_TTAFCallOff[WeekIndex],62)</f>
        <v/>
      </c>
      <c r="BL40">
        <f>SUMIFS(T_TTAFCallOff[PCS],T_TTAFCallOff[Part Name],$A40,T_TTAFCallOff[WeekIndex],63)</f>
        <v/>
      </c>
      <c r="BM40">
        <f>SUMIFS(T_TTAFCallOff[PCS],T_TTAFCallOff[Part Name],$A40,T_TTAFCallOff[WeekIndex],64)</f>
        <v/>
      </c>
      <c r="BN40">
        <f>SUMIFS(T_TTAFCallOff[PCS],T_TTAFCallOff[Part Name],$A40,T_TTAFCallOff[WeekIndex],65)</f>
        <v/>
      </c>
      <c r="BO40">
        <f>SUMIFS(T_TTAFCallOff[PCS],T_TTAFCallOff[Part Name],$A40,T_TTAFCallOff[WeekIndex],66)</f>
        <v/>
      </c>
      <c r="BP40">
        <f>SUMIFS(T_TTAFCallOff[PCS],T_TTAFCallOff[Part Name],$A40,T_TTAFCallOff[WeekIndex],67)</f>
        <v/>
      </c>
      <c r="BQ40">
        <f>SUMIFS(T_TTAFCallOff[PCS],T_TTAFCallOff[Part Name],$A40,T_TTAFCallOff[WeekIndex],68)</f>
        <v/>
      </c>
      <c r="BR40">
        <f>SUMIFS(T_TTAFCallOff[PCS],T_TTAFCallOff[Part Name],$A40,T_TTAFCallOff[WeekIndex],69)</f>
        <v/>
      </c>
      <c r="BS40">
        <f>SUMIFS(T_TTAFCallOff[PCS],T_TTAFCallOff[Part Name],$A40,T_TTAFCallOff[WeekIndex],70)</f>
        <v/>
      </c>
      <c r="BT40">
        <f>SUMIFS(T_TTAFCallOff[PCS],T_TTAFCallOff[Part Name],$A40,T_TTAFCallOff[WeekIndex],71)</f>
        <v/>
      </c>
      <c r="BU40">
        <f>SUMIFS(T_TTAFCallOff[PCS],T_TTAFCallOff[Part Name],$A40,T_TTAFCallOff[WeekIndex],72)</f>
        <v/>
      </c>
      <c r="BV40">
        <f>SUMIFS(T_TTAFCallOff[PCS],T_TTAFCallOff[Part Name],$A40,T_TTAFCallOff[WeekIndex],73)</f>
        <v/>
      </c>
      <c r="BW40">
        <f>SUMIFS(T_TTAFCallOff[PCS],T_TTAFCallOff[Part Name],$A40,T_TTAFCallOff[WeekIndex],74)</f>
        <v/>
      </c>
      <c r="BX40">
        <f>SUMIFS(T_TTAFCallOff[PCS],T_TTAFCallOff[Part Name],$A40,T_TTAFCallOff[WeekIndex],75)</f>
        <v/>
      </c>
      <c r="BY40">
        <f>SUMIFS(T_TTAFCallOff[PCS],T_TTAFCallOff[Part Name],$A40,T_TTAFCallOff[WeekIndex],76)</f>
        <v/>
      </c>
      <c r="BZ40">
        <f>SUMIFS(T_TTAFCallOff[PCS],T_TTAFCallOff[Part Name],$A40,T_TTAFCallOff[WeekIndex],77)</f>
        <v/>
      </c>
      <c r="CA40">
        <f>SUMIFS(T_TTAFCallOff[PCS],T_TTAFCallOff[Part Name],$A40,T_TTAFCallOff[WeekIndex],78)</f>
        <v/>
      </c>
      <c r="CB40">
        <f>SUMIFS(T_TTAFCallOff[PCS],T_TTAFCallOff[Part Name],$A40,T_TTAFCallOff[WeekIndex],79)</f>
        <v/>
      </c>
      <c r="CC40">
        <f>SUMIFS(T_TTAFCallOff[PCS],T_TTAFCallOff[Part Name],$A40,T_TTAFCallOff[WeekIndex],80)</f>
        <v/>
      </c>
      <c r="CD40">
        <f>SUMIFS(T_TTAFCallOff[PCS],T_TTAFCallOff[Part Name],$A40,T_TTAFCallOff[WeekIndex],81)</f>
        <v/>
      </c>
      <c r="CE40">
        <f>SUMIFS(T_TTAFCallOff[PCS],T_TTAFCallOff[Part Name],$A40,T_TTAFCallOff[WeekIndex],82)</f>
        <v/>
      </c>
      <c r="CF40">
        <f>SUMIFS(T_TTAFCallOff[PCS],T_TTAFCallOff[Part Name],$A40,T_TTAFCallOff[WeekIndex],83)</f>
        <v/>
      </c>
      <c r="CG40">
        <f>SUMIFS(T_TTAFCallOff[PCS],T_TTAFCallOff[Part Name],$A40,T_TTAFCallOff[WeekIndex],84)</f>
        <v/>
      </c>
      <c r="CH40">
        <f>SUMIFS(T_TTAFCallOff[PCS],T_TTAFCallOff[Part Name],$A40,T_TTAFCallOff[WeekIndex],85)</f>
        <v/>
      </c>
      <c r="CI40">
        <f>SUMIFS(T_TTAFCallOff[PCS],T_TTAFCallOff[Part Name],$A40,T_TTAFCallOff[WeekIndex],86)</f>
        <v/>
      </c>
      <c r="CJ40">
        <f>SUMIFS(T_TTAFCallOff[PCS],T_TTAFCallOff[Part Name],$A40,T_TTAFCallOff[WeekIndex],87)</f>
        <v/>
      </c>
      <c r="CK40">
        <f>SUMIFS(T_TTAFCallOff[PCS],T_TTAFCallOff[Part Name],$A40,T_TTAFCallOff[WeekIndex],88)</f>
        <v/>
      </c>
      <c r="CL40">
        <f>SUMIFS(T_TTAFCallOff[PCS],T_TTAFCallOff[Part Name],$A40,T_TTAFCallOff[WeekIndex],89)</f>
        <v/>
      </c>
      <c r="CM40">
        <f>SUMIFS(T_TTAFCallOff[PCS],T_TTAFCallOff[Part Name],$A40,T_TTAFCallOff[WeekIndex],90)</f>
        <v/>
      </c>
      <c r="CN40">
        <f>SUMIFS(T_TTAFCallOff[PCS],T_TTAFCallOff[Part Name],$A40,T_TTAFCallOff[WeekIndex],91)</f>
        <v/>
      </c>
      <c r="CO40">
        <f>SUMIFS(T_TTAFCallOff[PCS],T_TTAFCallOff[Part Name],$A40,T_TTAFCallOff[WeekIndex],92)</f>
        <v/>
      </c>
      <c r="CP40">
        <f>SUMIFS(T_TTAFCallOff[PCS],T_TTAFCallOff[Part Name],$A40,T_TTAFCallOff[WeekIndex],93)</f>
        <v/>
      </c>
      <c r="CQ40">
        <f>SUMIFS(T_TTAFCallOff[PCS],T_TTAFCallOff[Part Name],$A40,T_TTAFCallOff[WeekIndex],94)</f>
        <v/>
      </c>
      <c r="CR40">
        <f>SUMIFS(T_TTAFCallOff[PCS],T_TTAFCallOff[Part Name],$A40,T_TTAFCallOff[WeekIndex],95)</f>
        <v/>
      </c>
      <c r="CS40">
        <f>SUMIFS(T_TTAFCallOff[PCS],T_TTAFCallOff[Part Name],$A40,T_TTAFCallOff[WeekIndex],96)</f>
        <v/>
      </c>
      <c r="CT40">
        <f>SUMIFS(T_TTAFCallOff[PCS],T_TTAFCallOff[Part Name],$A40,T_TTAFCallOff[WeekIndex],97)</f>
        <v/>
      </c>
      <c r="CU40">
        <f>SUMIFS(T_TTAFCallOff[PCS],T_TTAFCallOff[Part Name],$A40,T_TTAFCallOff[WeekIndex],98)</f>
        <v/>
      </c>
      <c r="CV40">
        <f>SUMIFS(T_TTAFCallOff[PCS],T_TTAFCallOff[Part Name],$A40,T_TTAFCallOff[WeekIndex],99)</f>
        <v/>
      </c>
      <c r="CW40">
        <f>SUMIFS(T_TTAFCallOff[PCS],T_TTAFCallOff[Part Name],$A40,T_TTAFCallOff[WeekIndex],100)</f>
        <v/>
      </c>
      <c r="CX40">
        <f>SUMIFS(T_TTAFCallOff[PCS],T_TTAFCallOff[Part Name],$A40,T_TTAFCallOff[WeekIndex],101)</f>
        <v/>
      </c>
      <c r="CY40">
        <f>SUMIFS(T_TTAFCallOff[PCS],T_TTAFCallOff[Part Name],$A40,T_TTAFCallOff[WeekIndex],102)</f>
        <v/>
      </c>
      <c r="CZ40">
        <f>SUMIFS(T_TTAFCallOff[PCS],T_TTAFCallOff[Part Name],$A40,T_TTAFCallOff[WeekIndex],103)</f>
        <v/>
      </c>
      <c r="DA40">
        <f>SUMIFS(T_TTAFCallOff[PCS],T_TTAFCallOff[Part Name],$A40,T_TTAFCallOff[WeekIndex],104)</f>
        <v/>
      </c>
    </row>
    <row r="41">
      <c r="A41" t="inlineStr">
        <is>
          <t>1JN</t>
        </is>
      </c>
      <c r="B41">
        <f>SUMIFS(T_TTAFCallOff[PCS],T_TTAFCallOff[Part Name],$A41,T_TTAFCallOff[WeekIndex],1)</f>
        <v/>
      </c>
      <c r="C41">
        <f>SUMIFS(T_TTAFCallOff[PCS],T_TTAFCallOff[Part Name],$A41,T_TTAFCallOff[WeekIndex],2)</f>
        <v/>
      </c>
      <c r="D41">
        <f>SUMIFS(T_TTAFCallOff[PCS],T_TTAFCallOff[Part Name],$A41,T_TTAFCallOff[WeekIndex],3)</f>
        <v/>
      </c>
      <c r="E41">
        <f>SUMIFS(T_TTAFCallOff[PCS],T_TTAFCallOff[Part Name],$A41,T_TTAFCallOff[WeekIndex],4)</f>
        <v/>
      </c>
      <c r="F41">
        <f>SUMIFS(T_TTAFCallOff[PCS],T_TTAFCallOff[Part Name],$A41,T_TTAFCallOff[WeekIndex],5)</f>
        <v/>
      </c>
      <c r="G41">
        <f>SUMIFS(T_TTAFCallOff[PCS],T_TTAFCallOff[Part Name],$A41,T_TTAFCallOff[WeekIndex],6)</f>
        <v/>
      </c>
      <c r="H41">
        <f>SUMIFS(T_TTAFCallOff[PCS],T_TTAFCallOff[Part Name],$A41,T_TTAFCallOff[WeekIndex],7)</f>
        <v/>
      </c>
      <c r="I41">
        <f>SUMIFS(T_TTAFCallOff[PCS],T_TTAFCallOff[Part Name],$A41,T_TTAFCallOff[WeekIndex],8)</f>
        <v/>
      </c>
      <c r="J41">
        <f>SUMIFS(T_TTAFCallOff[PCS],T_TTAFCallOff[Part Name],$A41,T_TTAFCallOff[WeekIndex],9)</f>
        <v/>
      </c>
      <c r="K41">
        <f>SUMIFS(T_TTAFCallOff[PCS],T_TTAFCallOff[Part Name],$A41,T_TTAFCallOff[WeekIndex],10)</f>
        <v/>
      </c>
      <c r="L41">
        <f>SUMIFS(T_TTAFCallOff[PCS],T_TTAFCallOff[Part Name],$A41,T_TTAFCallOff[WeekIndex],11)</f>
        <v/>
      </c>
      <c r="M41">
        <f>SUMIFS(T_TTAFCallOff[PCS],T_TTAFCallOff[Part Name],$A41,T_TTAFCallOff[WeekIndex],12)</f>
        <v/>
      </c>
      <c r="N41">
        <f>SUMIFS(T_TTAFCallOff[PCS],T_TTAFCallOff[Part Name],$A41,T_TTAFCallOff[WeekIndex],13)</f>
        <v/>
      </c>
      <c r="O41">
        <f>SUMIFS(T_TTAFCallOff[PCS],T_TTAFCallOff[Part Name],$A41,T_TTAFCallOff[WeekIndex],14)</f>
        <v/>
      </c>
      <c r="P41">
        <f>SUMIFS(T_TTAFCallOff[PCS],T_TTAFCallOff[Part Name],$A41,T_TTAFCallOff[WeekIndex],15)</f>
        <v/>
      </c>
      <c r="Q41">
        <f>SUMIFS(T_TTAFCallOff[PCS],T_TTAFCallOff[Part Name],$A41,T_TTAFCallOff[WeekIndex],16)</f>
        <v/>
      </c>
      <c r="R41">
        <f>SUMIFS(T_TTAFCallOff[PCS],T_TTAFCallOff[Part Name],$A41,T_TTAFCallOff[WeekIndex],17)</f>
        <v/>
      </c>
      <c r="S41">
        <f>SUMIFS(T_TTAFCallOff[PCS],T_TTAFCallOff[Part Name],$A41,T_TTAFCallOff[WeekIndex],18)</f>
        <v/>
      </c>
      <c r="T41">
        <f>SUMIFS(T_TTAFCallOff[PCS],T_TTAFCallOff[Part Name],$A41,T_TTAFCallOff[WeekIndex],19)</f>
        <v/>
      </c>
      <c r="U41">
        <f>SUMIFS(T_TTAFCallOff[PCS],T_TTAFCallOff[Part Name],$A41,T_TTAFCallOff[WeekIndex],20)</f>
        <v/>
      </c>
      <c r="V41">
        <f>SUMIFS(T_TTAFCallOff[PCS],T_TTAFCallOff[Part Name],$A41,T_TTAFCallOff[WeekIndex],21)</f>
        <v/>
      </c>
      <c r="W41">
        <f>SUMIFS(T_TTAFCallOff[PCS],T_TTAFCallOff[Part Name],$A41,T_TTAFCallOff[WeekIndex],22)</f>
        <v/>
      </c>
      <c r="X41">
        <f>SUMIFS(T_TTAFCallOff[PCS],T_TTAFCallOff[Part Name],$A41,T_TTAFCallOff[WeekIndex],23)</f>
        <v/>
      </c>
      <c r="Y41">
        <f>SUMIFS(T_TTAFCallOff[PCS],T_TTAFCallOff[Part Name],$A41,T_TTAFCallOff[WeekIndex],24)</f>
        <v/>
      </c>
      <c r="Z41">
        <f>SUMIFS(T_TTAFCallOff[PCS],T_TTAFCallOff[Part Name],$A41,T_TTAFCallOff[WeekIndex],25)</f>
        <v/>
      </c>
      <c r="AA41">
        <f>SUMIFS(T_TTAFCallOff[PCS],T_TTAFCallOff[Part Name],$A41,T_TTAFCallOff[WeekIndex],26)</f>
        <v/>
      </c>
      <c r="AB41">
        <f>SUMIFS(T_TTAFCallOff[PCS],T_TTAFCallOff[Part Name],$A41,T_TTAFCallOff[WeekIndex],27)</f>
        <v/>
      </c>
      <c r="AC41">
        <f>SUMIFS(T_TTAFCallOff[PCS],T_TTAFCallOff[Part Name],$A41,T_TTAFCallOff[WeekIndex],28)</f>
        <v/>
      </c>
      <c r="AD41">
        <f>SUMIFS(T_TTAFCallOff[PCS],T_TTAFCallOff[Part Name],$A41,T_TTAFCallOff[WeekIndex],29)</f>
        <v/>
      </c>
      <c r="AE41">
        <f>SUMIFS(T_TTAFCallOff[PCS],T_TTAFCallOff[Part Name],$A41,T_TTAFCallOff[WeekIndex],30)</f>
        <v/>
      </c>
      <c r="AF41">
        <f>SUMIFS(T_TTAFCallOff[PCS],T_TTAFCallOff[Part Name],$A41,T_TTAFCallOff[WeekIndex],31)</f>
        <v/>
      </c>
      <c r="AG41">
        <f>SUMIFS(T_TTAFCallOff[PCS],T_TTAFCallOff[Part Name],$A41,T_TTAFCallOff[WeekIndex],32)</f>
        <v/>
      </c>
      <c r="AH41">
        <f>SUMIFS(T_TTAFCallOff[PCS],T_TTAFCallOff[Part Name],$A41,T_TTAFCallOff[WeekIndex],33)</f>
        <v/>
      </c>
      <c r="AI41">
        <f>SUMIFS(T_TTAFCallOff[PCS],T_TTAFCallOff[Part Name],$A41,T_TTAFCallOff[WeekIndex],34)</f>
        <v/>
      </c>
      <c r="AJ41">
        <f>SUMIFS(T_TTAFCallOff[PCS],T_TTAFCallOff[Part Name],$A41,T_TTAFCallOff[WeekIndex],35)</f>
        <v/>
      </c>
      <c r="AK41">
        <f>SUMIFS(T_TTAFCallOff[PCS],T_TTAFCallOff[Part Name],$A41,T_TTAFCallOff[WeekIndex],36)</f>
        <v/>
      </c>
      <c r="AL41">
        <f>SUMIFS(T_TTAFCallOff[PCS],T_TTAFCallOff[Part Name],$A41,T_TTAFCallOff[WeekIndex],37)</f>
        <v/>
      </c>
      <c r="AM41">
        <f>SUMIFS(T_TTAFCallOff[PCS],T_TTAFCallOff[Part Name],$A41,T_TTAFCallOff[WeekIndex],38)</f>
        <v/>
      </c>
      <c r="AN41">
        <f>SUMIFS(T_TTAFCallOff[PCS],T_TTAFCallOff[Part Name],$A41,T_TTAFCallOff[WeekIndex],39)</f>
        <v/>
      </c>
      <c r="AO41">
        <f>SUMIFS(T_TTAFCallOff[PCS],T_TTAFCallOff[Part Name],$A41,T_TTAFCallOff[WeekIndex],40)</f>
        <v/>
      </c>
      <c r="AP41">
        <f>SUMIFS(T_TTAFCallOff[PCS],T_TTAFCallOff[Part Name],$A41,T_TTAFCallOff[WeekIndex],41)</f>
        <v/>
      </c>
      <c r="AQ41">
        <f>SUMIFS(T_TTAFCallOff[PCS],T_TTAFCallOff[Part Name],$A41,T_TTAFCallOff[WeekIndex],42)</f>
        <v/>
      </c>
      <c r="AR41">
        <f>SUMIFS(T_TTAFCallOff[PCS],T_TTAFCallOff[Part Name],$A41,T_TTAFCallOff[WeekIndex],43)</f>
        <v/>
      </c>
      <c r="AS41">
        <f>SUMIFS(T_TTAFCallOff[PCS],T_TTAFCallOff[Part Name],$A41,T_TTAFCallOff[WeekIndex],44)</f>
        <v/>
      </c>
      <c r="AT41">
        <f>SUMIFS(T_TTAFCallOff[PCS],T_TTAFCallOff[Part Name],$A41,T_TTAFCallOff[WeekIndex],45)</f>
        <v/>
      </c>
      <c r="AU41">
        <f>SUMIFS(T_TTAFCallOff[PCS],T_TTAFCallOff[Part Name],$A41,T_TTAFCallOff[WeekIndex],46)</f>
        <v/>
      </c>
      <c r="AV41">
        <f>SUMIFS(T_TTAFCallOff[PCS],T_TTAFCallOff[Part Name],$A41,T_TTAFCallOff[WeekIndex],47)</f>
        <v/>
      </c>
      <c r="AW41">
        <f>SUMIFS(T_TTAFCallOff[PCS],T_TTAFCallOff[Part Name],$A41,T_TTAFCallOff[WeekIndex],48)</f>
        <v/>
      </c>
      <c r="AX41">
        <f>SUMIFS(T_TTAFCallOff[PCS],T_TTAFCallOff[Part Name],$A41,T_TTAFCallOff[WeekIndex],49)</f>
        <v/>
      </c>
      <c r="AY41">
        <f>SUMIFS(T_TTAFCallOff[PCS],T_TTAFCallOff[Part Name],$A41,T_TTAFCallOff[WeekIndex],50)</f>
        <v/>
      </c>
      <c r="AZ41">
        <f>SUMIFS(T_TTAFCallOff[PCS],T_TTAFCallOff[Part Name],$A41,T_TTAFCallOff[WeekIndex],51)</f>
        <v/>
      </c>
      <c r="BA41">
        <f>SUMIFS(T_TTAFCallOff[PCS],T_TTAFCallOff[Part Name],$A41,T_TTAFCallOff[WeekIndex],52)</f>
        <v/>
      </c>
      <c r="BB41">
        <f>SUMIFS(T_TTAFCallOff[PCS],T_TTAFCallOff[Part Name],$A41,T_TTAFCallOff[WeekIndex],53)</f>
        <v/>
      </c>
      <c r="BC41">
        <f>SUMIFS(T_TTAFCallOff[PCS],T_TTAFCallOff[Part Name],$A41,T_TTAFCallOff[WeekIndex],54)</f>
        <v/>
      </c>
      <c r="BD41">
        <f>SUMIFS(T_TTAFCallOff[PCS],T_TTAFCallOff[Part Name],$A41,T_TTAFCallOff[WeekIndex],55)</f>
        <v/>
      </c>
      <c r="BE41">
        <f>SUMIFS(T_TTAFCallOff[PCS],T_TTAFCallOff[Part Name],$A41,T_TTAFCallOff[WeekIndex],56)</f>
        <v/>
      </c>
      <c r="BF41">
        <f>SUMIFS(T_TTAFCallOff[PCS],T_TTAFCallOff[Part Name],$A41,T_TTAFCallOff[WeekIndex],57)</f>
        <v/>
      </c>
      <c r="BG41">
        <f>SUMIFS(T_TTAFCallOff[PCS],T_TTAFCallOff[Part Name],$A41,T_TTAFCallOff[WeekIndex],58)</f>
        <v/>
      </c>
      <c r="BH41">
        <f>SUMIFS(T_TTAFCallOff[PCS],T_TTAFCallOff[Part Name],$A41,T_TTAFCallOff[WeekIndex],59)</f>
        <v/>
      </c>
      <c r="BI41">
        <f>SUMIFS(T_TTAFCallOff[PCS],T_TTAFCallOff[Part Name],$A41,T_TTAFCallOff[WeekIndex],60)</f>
        <v/>
      </c>
      <c r="BJ41">
        <f>SUMIFS(T_TTAFCallOff[PCS],T_TTAFCallOff[Part Name],$A41,T_TTAFCallOff[WeekIndex],61)</f>
        <v/>
      </c>
      <c r="BK41">
        <f>SUMIFS(T_TTAFCallOff[PCS],T_TTAFCallOff[Part Name],$A41,T_TTAFCallOff[WeekIndex],62)</f>
        <v/>
      </c>
      <c r="BL41">
        <f>SUMIFS(T_TTAFCallOff[PCS],T_TTAFCallOff[Part Name],$A41,T_TTAFCallOff[WeekIndex],63)</f>
        <v/>
      </c>
      <c r="BM41">
        <f>SUMIFS(T_TTAFCallOff[PCS],T_TTAFCallOff[Part Name],$A41,T_TTAFCallOff[WeekIndex],64)</f>
        <v/>
      </c>
      <c r="BN41">
        <f>SUMIFS(T_TTAFCallOff[PCS],T_TTAFCallOff[Part Name],$A41,T_TTAFCallOff[WeekIndex],65)</f>
        <v/>
      </c>
      <c r="BO41">
        <f>SUMIFS(T_TTAFCallOff[PCS],T_TTAFCallOff[Part Name],$A41,T_TTAFCallOff[WeekIndex],66)</f>
        <v/>
      </c>
      <c r="BP41">
        <f>SUMIFS(T_TTAFCallOff[PCS],T_TTAFCallOff[Part Name],$A41,T_TTAFCallOff[WeekIndex],67)</f>
        <v/>
      </c>
      <c r="BQ41">
        <f>SUMIFS(T_TTAFCallOff[PCS],T_TTAFCallOff[Part Name],$A41,T_TTAFCallOff[WeekIndex],68)</f>
        <v/>
      </c>
      <c r="BR41">
        <f>SUMIFS(T_TTAFCallOff[PCS],T_TTAFCallOff[Part Name],$A41,T_TTAFCallOff[WeekIndex],69)</f>
        <v/>
      </c>
      <c r="BS41">
        <f>SUMIFS(T_TTAFCallOff[PCS],T_TTAFCallOff[Part Name],$A41,T_TTAFCallOff[WeekIndex],70)</f>
        <v/>
      </c>
      <c r="BT41">
        <f>SUMIFS(T_TTAFCallOff[PCS],T_TTAFCallOff[Part Name],$A41,T_TTAFCallOff[WeekIndex],71)</f>
        <v/>
      </c>
      <c r="BU41">
        <f>SUMIFS(T_TTAFCallOff[PCS],T_TTAFCallOff[Part Name],$A41,T_TTAFCallOff[WeekIndex],72)</f>
        <v/>
      </c>
      <c r="BV41">
        <f>SUMIFS(T_TTAFCallOff[PCS],T_TTAFCallOff[Part Name],$A41,T_TTAFCallOff[WeekIndex],73)</f>
        <v/>
      </c>
      <c r="BW41">
        <f>SUMIFS(T_TTAFCallOff[PCS],T_TTAFCallOff[Part Name],$A41,T_TTAFCallOff[WeekIndex],74)</f>
        <v/>
      </c>
      <c r="BX41">
        <f>SUMIFS(T_TTAFCallOff[PCS],T_TTAFCallOff[Part Name],$A41,T_TTAFCallOff[WeekIndex],75)</f>
        <v/>
      </c>
      <c r="BY41">
        <f>SUMIFS(T_TTAFCallOff[PCS],T_TTAFCallOff[Part Name],$A41,T_TTAFCallOff[WeekIndex],76)</f>
        <v/>
      </c>
      <c r="BZ41">
        <f>SUMIFS(T_TTAFCallOff[PCS],T_TTAFCallOff[Part Name],$A41,T_TTAFCallOff[WeekIndex],77)</f>
        <v/>
      </c>
      <c r="CA41">
        <f>SUMIFS(T_TTAFCallOff[PCS],T_TTAFCallOff[Part Name],$A41,T_TTAFCallOff[WeekIndex],78)</f>
        <v/>
      </c>
      <c r="CB41">
        <f>SUMIFS(T_TTAFCallOff[PCS],T_TTAFCallOff[Part Name],$A41,T_TTAFCallOff[WeekIndex],79)</f>
        <v/>
      </c>
      <c r="CC41">
        <f>SUMIFS(T_TTAFCallOff[PCS],T_TTAFCallOff[Part Name],$A41,T_TTAFCallOff[WeekIndex],80)</f>
        <v/>
      </c>
      <c r="CD41">
        <f>SUMIFS(T_TTAFCallOff[PCS],T_TTAFCallOff[Part Name],$A41,T_TTAFCallOff[WeekIndex],81)</f>
        <v/>
      </c>
      <c r="CE41">
        <f>SUMIFS(T_TTAFCallOff[PCS],T_TTAFCallOff[Part Name],$A41,T_TTAFCallOff[WeekIndex],82)</f>
        <v/>
      </c>
      <c r="CF41">
        <f>SUMIFS(T_TTAFCallOff[PCS],T_TTAFCallOff[Part Name],$A41,T_TTAFCallOff[WeekIndex],83)</f>
        <v/>
      </c>
      <c r="CG41">
        <f>SUMIFS(T_TTAFCallOff[PCS],T_TTAFCallOff[Part Name],$A41,T_TTAFCallOff[WeekIndex],84)</f>
        <v/>
      </c>
      <c r="CH41">
        <f>SUMIFS(T_TTAFCallOff[PCS],T_TTAFCallOff[Part Name],$A41,T_TTAFCallOff[WeekIndex],85)</f>
        <v/>
      </c>
      <c r="CI41">
        <f>SUMIFS(T_TTAFCallOff[PCS],T_TTAFCallOff[Part Name],$A41,T_TTAFCallOff[WeekIndex],86)</f>
        <v/>
      </c>
      <c r="CJ41">
        <f>SUMIFS(T_TTAFCallOff[PCS],T_TTAFCallOff[Part Name],$A41,T_TTAFCallOff[WeekIndex],87)</f>
        <v/>
      </c>
      <c r="CK41">
        <f>SUMIFS(T_TTAFCallOff[PCS],T_TTAFCallOff[Part Name],$A41,T_TTAFCallOff[WeekIndex],88)</f>
        <v/>
      </c>
      <c r="CL41">
        <f>SUMIFS(T_TTAFCallOff[PCS],T_TTAFCallOff[Part Name],$A41,T_TTAFCallOff[WeekIndex],89)</f>
        <v/>
      </c>
      <c r="CM41">
        <f>SUMIFS(T_TTAFCallOff[PCS],T_TTAFCallOff[Part Name],$A41,T_TTAFCallOff[WeekIndex],90)</f>
        <v/>
      </c>
      <c r="CN41">
        <f>SUMIFS(T_TTAFCallOff[PCS],T_TTAFCallOff[Part Name],$A41,T_TTAFCallOff[WeekIndex],91)</f>
        <v/>
      </c>
      <c r="CO41">
        <f>SUMIFS(T_TTAFCallOff[PCS],T_TTAFCallOff[Part Name],$A41,T_TTAFCallOff[WeekIndex],92)</f>
        <v/>
      </c>
      <c r="CP41">
        <f>SUMIFS(T_TTAFCallOff[PCS],T_TTAFCallOff[Part Name],$A41,T_TTAFCallOff[WeekIndex],93)</f>
        <v/>
      </c>
      <c r="CQ41">
        <f>SUMIFS(T_TTAFCallOff[PCS],T_TTAFCallOff[Part Name],$A41,T_TTAFCallOff[WeekIndex],94)</f>
        <v/>
      </c>
      <c r="CR41">
        <f>SUMIFS(T_TTAFCallOff[PCS],T_TTAFCallOff[Part Name],$A41,T_TTAFCallOff[WeekIndex],95)</f>
        <v/>
      </c>
      <c r="CS41">
        <f>SUMIFS(T_TTAFCallOff[PCS],T_TTAFCallOff[Part Name],$A41,T_TTAFCallOff[WeekIndex],96)</f>
        <v/>
      </c>
      <c r="CT41">
        <f>SUMIFS(T_TTAFCallOff[PCS],T_TTAFCallOff[Part Name],$A41,T_TTAFCallOff[WeekIndex],97)</f>
        <v/>
      </c>
      <c r="CU41">
        <f>SUMIFS(T_TTAFCallOff[PCS],T_TTAFCallOff[Part Name],$A41,T_TTAFCallOff[WeekIndex],98)</f>
        <v/>
      </c>
      <c r="CV41">
        <f>SUMIFS(T_TTAFCallOff[PCS],T_TTAFCallOff[Part Name],$A41,T_TTAFCallOff[WeekIndex],99)</f>
        <v/>
      </c>
      <c r="CW41">
        <f>SUMIFS(T_TTAFCallOff[PCS],T_TTAFCallOff[Part Name],$A41,T_TTAFCallOff[WeekIndex],100)</f>
        <v/>
      </c>
      <c r="CX41">
        <f>SUMIFS(T_TTAFCallOff[PCS],T_TTAFCallOff[Part Name],$A41,T_TTAFCallOff[WeekIndex],101)</f>
        <v/>
      </c>
      <c r="CY41">
        <f>SUMIFS(T_TTAFCallOff[PCS],T_TTAFCallOff[Part Name],$A41,T_TTAFCallOff[WeekIndex],102)</f>
        <v/>
      </c>
      <c r="CZ41">
        <f>SUMIFS(T_TTAFCallOff[PCS],T_TTAFCallOff[Part Name],$A41,T_TTAFCallOff[WeekIndex],103)</f>
        <v/>
      </c>
      <c r="DA41">
        <f>SUMIFS(T_TTAFCallOff[PCS],T_TTAFCallOff[Part Name],$A41,T_TTAFCallOff[WeekIndex],104)</f>
        <v/>
      </c>
    </row>
    <row r="42">
      <c r="A42" t="inlineStr">
        <is>
          <t>V03</t>
        </is>
      </c>
      <c r="B42">
        <f>SUMIFS(T_TTAFCallOff[PCS],T_TTAFCallOff[Part Name],$A42,T_TTAFCallOff[WeekIndex],1)</f>
        <v/>
      </c>
      <c r="C42">
        <f>SUMIFS(T_TTAFCallOff[PCS],T_TTAFCallOff[Part Name],$A42,T_TTAFCallOff[WeekIndex],2)</f>
        <v/>
      </c>
      <c r="D42">
        <f>SUMIFS(T_TTAFCallOff[PCS],T_TTAFCallOff[Part Name],$A42,T_TTAFCallOff[WeekIndex],3)</f>
        <v/>
      </c>
      <c r="E42">
        <f>SUMIFS(T_TTAFCallOff[PCS],T_TTAFCallOff[Part Name],$A42,T_TTAFCallOff[WeekIndex],4)</f>
        <v/>
      </c>
      <c r="F42">
        <f>SUMIFS(T_TTAFCallOff[PCS],T_TTAFCallOff[Part Name],$A42,T_TTAFCallOff[WeekIndex],5)</f>
        <v/>
      </c>
      <c r="G42">
        <f>SUMIFS(T_TTAFCallOff[PCS],T_TTAFCallOff[Part Name],$A42,T_TTAFCallOff[WeekIndex],6)</f>
        <v/>
      </c>
      <c r="H42">
        <f>SUMIFS(T_TTAFCallOff[PCS],T_TTAFCallOff[Part Name],$A42,T_TTAFCallOff[WeekIndex],7)</f>
        <v/>
      </c>
      <c r="I42">
        <f>SUMIFS(T_TTAFCallOff[PCS],T_TTAFCallOff[Part Name],$A42,T_TTAFCallOff[WeekIndex],8)</f>
        <v/>
      </c>
      <c r="J42">
        <f>SUMIFS(T_TTAFCallOff[PCS],T_TTAFCallOff[Part Name],$A42,T_TTAFCallOff[WeekIndex],9)</f>
        <v/>
      </c>
      <c r="K42">
        <f>SUMIFS(T_TTAFCallOff[PCS],T_TTAFCallOff[Part Name],$A42,T_TTAFCallOff[WeekIndex],10)</f>
        <v/>
      </c>
      <c r="L42">
        <f>SUMIFS(T_TTAFCallOff[PCS],T_TTAFCallOff[Part Name],$A42,T_TTAFCallOff[WeekIndex],11)</f>
        <v/>
      </c>
      <c r="M42">
        <f>SUMIFS(T_TTAFCallOff[PCS],T_TTAFCallOff[Part Name],$A42,T_TTAFCallOff[WeekIndex],12)</f>
        <v/>
      </c>
      <c r="N42">
        <f>SUMIFS(T_TTAFCallOff[PCS],T_TTAFCallOff[Part Name],$A42,T_TTAFCallOff[WeekIndex],13)</f>
        <v/>
      </c>
      <c r="O42">
        <f>SUMIFS(T_TTAFCallOff[PCS],T_TTAFCallOff[Part Name],$A42,T_TTAFCallOff[WeekIndex],14)</f>
        <v/>
      </c>
      <c r="P42">
        <f>SUMIFS(T_TTAFCallOff[PCS],T_TTAFCallOff[Part Name],$A42,T_TTAFCallOff[WeekIndex],15)</f>
        <v/>
      </c>
      <c r="Q42">
        <f>SUMIFS(T_TTAFCallOff[PCS],T_TTAFCallOff[Part Name],$A42,T_TTAFCallOff[WeekIndex],16)</f>
        <v/>
      </c>
      <c r="R42">
        <f>SUMIFS(T_TTAFCallOff[PCS],T_TTAFCallOff[Part Name],$A42,T_TTAFCallOff[WeekIndex],17)</f>
        <v/>
      </c>
      <c r="S42">
        <f>SUMIFS(T_TTAFCallOff[PCS],T_TTAFCallOff[Part Name],$A42,T_TTAFCallOff[WeekIndex],18)</f>
        <v/>
      </c>
      <c r="T42">
        <f>SUMIFS(T_TTAFCallOff[PCS],T_TTAFCallOff[Part Name],$A42,T_TTAFCallOff[WeekIndex],19)</f>
        <v/>
      </c>
      <c r="U42">
        <f>SUMIFS(T_TTAFCallOff[PCS],T_TTAFCallOff[Part Name],$A42,T_TTAFCallOff[WeekIndex],20)</f>
        <v/>
      </c>
      <c r="V42">
        <f>SUMIFS(T_TTAFCallOff[PCS],T_TTAFCallOff[Part Name],$A42,T_TTAFCallOff[WeekIndex],21)</f>
        <v/>
      </c>
      <c r="W42">
        <f>SUMIFS(T_TTAFCallOff[PCS],T_TTAFCallOff[Part Name],$A42,T_TTAFCallOff[WeekIndex],22)</f>
        <v/>
      </c>
      <c r="X42">
        <f>SUMIFS(T_TTAFCallOff[PCS],T_TTAFCallOff[Part Name],$A42,T_TTAFCallOff[WeekIndex],23)</f>
        <v/>
      </c>
      <c r="Y42">
        <f>SUMIFS(T_TTAFCallOff[PCS],T_TTAFCallOff[Part Name],$A42,T_TTAFCallOff[WeekIndex],24)</f>
        <v/>
      </c>
      <c r="Z42">
        <f>SUMIFS(T_TTAFCallOff[PCS],T_TTAFCallOff[Part Name],$A42,T_TTAFCallOff[WeekIndex],25)</f>
        <v/>
      </c>
      <c r="AA42">
        <f>SUMIFS(T_TTAFCallOff[PCS],T_TTAFCallOff[Part Name],$A42,T_TTAFCallOff[WeekIndex],26)</f>
        <v/>
      </c>
      <c r="AB42">
        <f>SUMIFS(T_TTAFCallOff[PCS],T_TTAFCallOff[Part Name],$A42,T_TTAFCallOff[WeekIndex],27)</f>
        <v/>
      </c>
      <c r="AC42">
        <f>SUMIFS(T_TTAFCallOff[PCS],T_TTAFCallOff[Part Name],$A42,T_TTAFCallOff[WeekIndex],28)</f>
        <v/>
      </c>
      <c r="AD42">
        <f>SUMIFS(T_TTAFCallOff[PCS],T_TTAFCallOff[Part Name],$A42,T_TTAFCallOff[WeekIndex],29)</f>
        <v/>
      </c>
      <c r="AE42">
        <f>SUMIFS(T_TTAFCallOff[PCS],T_TTAFCallOff[Part Name],$A42,T_TTAFCallOff[WeekIndex],30)</f>
        <v/>
      </c>
      <c r="AF42">
        <f>SUMIFS(T_TTAFCallOff[PCS],T_TTAFCallOff[Part Name],$A42,T_TTAFCallOff[WeekIndex],31)</f>
        <v/>
      </c>
      <c r="AG42">
        <f>SUMIFS(T_TTAFCallOff[PCS],T_TTAFCallOff[Part Name],$A42,T_TTAFCallOff[WeekIndex],32)</f>
        <v/>
      </c>
      <c r="AH42">
        <f>SUMIFS(T_TTAFCallOff[PCS],T_TTAFCallOff[Part Name],$A42,T_TTAFCallOff[WeekIndex],33)</f>
        <v/>
      </c>
      <c r="AI42">
        <f>SUMIFS(T_TTAFCallOff[PCS],T_TTAFCallOff[Part Name],$A42,T_TTAFCallOff[WeekIndex],34)</f>
        <v/>
      </c>
      <c r="AJ42">
        <f>SUMIFS(T_TTAFCallOff[PCS],T_TTAFCallOff[Part Name],$A42,T_TTAFCallOff[WeekIndex],35)</f>
        <v/>
      </c>
      <c r="AK42">
        <f>SUMIFS(T_TTAFCallOff[PCS],T_TTAFCallOff[Part Name],$A42,T_TTAFCallOff[WeekIndex],36)</f>
        <v/>
      </c>
      <c r="AL42">
        <f>SUMIFS(T_TTAFCallOff[PCS],T_TTAFCallOff[Part Name],$A42,T_TTAFCallOff[WeekIndex],37)</f>
        <v/>
      </c>
      <c r="AM42">
        <f>SUMIFS(T_TTAFCallOff[PCS],T_TTAFCallOff[Part Name],$A42,T_TTAFCallOff[WeekIndex],38)</f>
        <v/>
      </c>
      <c r="AN42">
        <f>SUMIFS(T_TTAFCallOff[PCS],T_TTAFCallOff[Part Name],$A42,T_TTAFCallOff[WeekIndex],39)</f>
        <v/>
      </c>
      <c r="AO42">
        <f>SUMIFS(T_TTAFCallOff[PCS],T_TTAFCallOff[Part Name],$A42,T_TTAFCallOff[WeekIndex],40)</f>
        <v/>
      </c>
      <c r="AP42">
        <f>SUMIFS(T_TTAFCallOff[PCS],T_TTAFCallOff[Part Name],$A42,T_TTAFCallOff[WeekIndex],41)</f>
        <v/>
      </c>
      <c r="AQ42">
        <f>SUMIFS(T_TTAFCallOff[PCS],T_TTAFCallOff[Part Name],$A42,T_TTAFCallOff[WeekIndex],42)</f>
        <v/>
      </c>
      <c r="AR42">
        <f>SUMIFS(T_TTAFCallOff[PCS],T_TTAFCallOff[Part Name],$A42,T_TTAFCallOff[WeekIndex],43)</f>
        <v/>
      </c>
      <c r="AS42">
        <f>SUMIFS(T_TTAFCallOff[PCS],T_TTAFCallOff[Part Name],$A42,T_TTAFCallOff[WeekIndex],44)</f>
        <v/>
      </c>
      <c r="AT42">
        <f>SUMIFS(T_TTAFCallOff[PCS],T_TTAFCallOff[Part Name],$A42,T_TTAFCallOff[WeekIndex],45)</f>
        <v/>
      </c>
      <c r="AU42">
        <f>SUMIFS(T_TTAFCallOff[PCS],T_TTAFCallOff[Part Name],$A42,T_TTAFCallOff[WeekIndex],46)</f>
        <v/>
      </c>
      <c r="AV42">
        <f>SUMIFS(T_TTAFCallOff[PCS],T_TTAFCallOff[Part Name],$A42,T_TTAFCallOff[WeekIndex],47)</f>
        <v/>
      </c>
      <c r="AW42">
        <f>SUMIFS(T_TTAFCallOff[PCS],T_TTAFCallOff[Part Name],$A42,T_TTAFCallOff[WeekIndex],48)</f>
        <v/>
      </c>
      <c r="AX42">
        <f>SUMIFS(T_TTAFCallOff[PCS],T_TTAFCallOff[Part Name],$A42,T_TTAFCallOff[WeekIndex],49)</f>
        <v/>
      </c>
      <c r="AY42">
        <f>SUMIFS(T_TTAFCallOff[PCS],T_TTAFCallOff[Part Name],$A42,T_TTAFCallOff[WeekIndex],50)</f>
        <v/>
      </c>
      <c r="AZ42">
        <f>SUMIFS(T_TTAFCallOff[PCS],T_TTAFCallOff[Part Name],$A42,T_TTAFCallOff[WeekIndex],51)</f>
        <v/>
      </c>
      <c r="BA42">
        <f>SUMIFS(T_TTAFCallOff[PCS],T_TTAFCallOff[Part Name],$A42,T_TTAFCallOff[WeekIndex],52)</f>
        <v/>
      </c>
      <c r="BB42">
        <f>SUMIFS(T_TTAFCallOff[PCS],T_TTAFCallOff[Part Name],$A42,T_TTAFCallOff[WeekIndex],53)</f>
        <v/>
      </c>
      <c r="BC42">
        <f>SUMIFS(T_TTAFCallOff[PCS],T_TTAFCallOff[Part Name],$A42,T_TTAFCallOff[WeekIndex],54)</f>
        <v/>
      </c>
      <c r="BD42">
        <f>SUMIFS(T_TTAFCallOff[PCS],T_TTAFCallOff[Part Name],$A42,T_TTAFCallOff[WeekIndex],55)</f>
        <v/>
      </c>
      <c r="BE42">
        <f>SUMIFS(T_TTAFCallOff[PCS],T_TTAFCallOff[Part Name],$A42,T_TTAFCallOff[WeekIndex],56)</f>
        <v/>
      </c>
      <c r="BF42">
        <f>SUMIFS(T_TTAFCallOff[PCS],T_TTAFCallOff[Part Name],$A42,T_TTAFCallOff[WeekIndex],57)</f>
        <v/>
      </c>
      <c r="BG42">
        <f>SUMIFS(T_TTAFCallOff[PCS],T_TTAFCallOff[Part Name],$A42,T_TTAFCallOff[WeekIndex],58)</f>
        <v/>
      </c>
      <c r="BH42">
        <f>SUMIFS(T_TTAFCallOff[PCS],T_TTAFCallOff[Part Name],$A42,T_TTAFCallOff[WeekIndex],59)</f>
        <v/>
      </c>
      <c r="BI42">
        <f>SUMIFS(T_TTAFCallOff[PCS],T_TTAFCallOff[Part Name],$A42,T_TTAFCallOff[WeekIndex],60)</f>
        <v/>
      </c>
      <c r="BJ42">
        <f>SUMIFS(T_TTAFCallOff[PCS],T_TTAFCallOff[Part Name],$A42,T_TTAFCallOff[WeekIndex],61)</f>
        <v/>
      </c>
      <c r="BK42">
        <f>SUMIFS(T_TTAFCallOff[PCS],T_TTAFCallOff[Part Name],$A42,T_TTAFCallOff[WeekIndex],62)</f>
        <v/>
      </c>
      <c r="BL42">
        <f>SUMIFS(T_TTAFCallOff[PCS],T_TTAFCallOff[Part Name],$A42,T_TTAFCallOff[WeekIndex],63)</f>
        <v/>
      </c>
      <c r="BM42">
        <f>SUMIFS(T_TTAFCallOff[PCS],T_TTAFCallOff[Part Name],$A42,T_TTAFCallOff[WeekIndex],64)</f>
        <v/>
      </c>
      <c r="BN42">
        <f>SUMIFS(T_TTAFCallOff[PCS],T_TTAFCallOff[Part Name],$A42,T_TTAFCallOff[WeekIndex],65)</f>
        <v/>
      </c>
      <c r="BO42">
        <f>SUMIFS(T_TTAFCallOff[PCS],T_TTAFCallOff[Part Name],$A42,T_TTAFCallOff[WeekIndex],66)</f>
        <v/>
      </c>
      <c r="BP42">
        <f>SUMIFS(T_TTAFCallOff[PCS],T_TTAFCallOff[Part Name],$A42,T_TTAFCallOff[WeekIndex],67)</f>
        <v/>
      </c>
      <c r="BQ42">
        <f>SUMIFS(T_TTAFCallOff[PCS],T_TTAFCallOff[Part Name],$A42,T_TTAFCallOff[WeekIndex],68)</f>
        <v/>
      </c>
      <c r="BR42">
        <f>SUMIFS(T_TTAFCallOff[PCS],T_TTAFCallOff[Part Name],$A42,T_TTAFCallOff[WeekIndex],69)</f>
        <v/>
      </c>
      <c r="BS42">
        <f>SUMIFS(T_TTAFCallOff[PCS],T_TTAFCallOff[Part Name],$A42,T_TTAFCallOff[WeekIndex],70)</f>
        <v/>
      </c>
      <c r="BT42">
        <f>SUMIFS(T_TTAFCallOff[PCS],T_TTAFCallOff[Part Name],$A42,T_TTAFCallOff[WeekIndex],71)</f>
        <v/>
      </c>
      <c r="BU42">
        <f>SUMIFS(T_TTAFCallOff[PCS],T_TTAFCallOff[Part Name],$A42,T_TTAFCallOff[WeekIndex],72)</f>
        <v/>
      </c>
      <c r="BV42">
        <f>SUMIFS(T_TTAFCallOff[PCS],T_TTAFCallOff[Part Name],$A42,T_TTAFCallOff[WeekIndex],73)</f>
        <v/>
      </c>
      <c r="BW42">
        <f>SUMIFS(T_TTAFCallOff[PCS],T_TTAFCallOff[Part Name],$A42,T_TTAFCallOff[WeekIndex],74)</f>
        <v/>
      </c>
      <c r="BX42">
        <f>SUMIFS(T_TTAFCallOff[PCS],T_TTAFCallOff[Part Name],$A42,T_TTAFCallOff[WeekIndex],75)</f>
        <v/>
      </c>
      <c r="BY42">
        <f>SUMIFS(T_TTAFCallOff[PCS],T_TTAFCallOff[Part Name],$A42,T_TTAFCallOff[WeekIndex],76)</f>
        <v/>
      </c>
      <c r="BZ42">
        <f>SUMIFS(T_TTAFCallOff[PCS],T_TTAFCallOff[Part Name],$A42,T_TTAFCallOff[WeekIndex],77)</f>
        <v/>
      </c>
      <c r="CA42">
        <f>SUMIFS(T_TTAFCallOff[PCS],T_TTAFCallOff[Part Name],$A42,T_TTAFCallOff[WeekIndex],78)</f>
        <v/>
      </c>
      <c r="CB42">
        <f>SUMIFS(T_TTAFCallOff[PCS],T_TTAFCallOff[Part Name],$A42,T_TTAFCallOff[WeekIndex],79)</f>
        <v/>
      </c>
      <c r="CC42">
        <f>SUMIFS(T_TTAFCallOff[PCS],T_TTAFCallOff[Part Name],$A42,T_TTAFCallOff[WeekIndex],80)</f>
        <v/>
      </c>
      <c r="CD42">
        <f>SUMIFS(T_TTAFCallOff[PCS],T_TTAFCallOff[Part Name],$A42,T_TTAFCallOff[WeekIndex],81)</f>
        <v/>
      </c>
      <c r="CE42">
        <f>SUMIFS(T_TTAFCallOff[PCS],T_TTAFCallOff[Part Name],$A42,T_TTAFCallOff[WeekIndex],82)</f>
        <v/>
      </c>
      <c r="CF42">
        <f>SUMIFS(T_TTAFCallOff[PCS],T_TTAFCallOff[Part Name],$A42,T_TTAFCallOff[WeekIndex],83)</f>
        <v/>
      </c>
      <c r="CG42">
        <f>SUMIFS(T_TTAFCallOff[PCS],T_TTAFCallOff[Part Name],$A42,T_TTAFCallOff[WeekIndex],84)</f>
        <v/>
      </c>
      <c r="CH42">
        <f>SUMIFS(T_TTAFCallOff[PCS],T_TTAFCallOff[Part Name],$A42,T_TTAFCallOff[WeekIndex],85)</f>
        <v/>
      </c>
      <c r="CI42">
        <f>SUMIFS(T_TTAFCallOff[PCS],T_TTAFCallOff[Part Name],$A42,T_TTAFCallOff[WeekIndex],86)</f>
        <v/>
      </c>
      <c r="CJ42">
        <f>SUMIFS(T_TTAFCallOff[PCS],T_TTAFCallOff[Part Name],$A42,T_TTAFCallOff[WeekIndex],87)</f>
        <v/>
      </c>
      <c r="CK42">
        <f>SUMIFS(T_TTAFCallOff[PCS],T_TTAFCallOff[Part Name],$A42,T_TTAFCallOff[WeekIndex],88)</f>
        <v/>
      </c>
      <c r="CL42">
        <f>SUMIFS(T_TTAFCallOff[PCS],T_TTAFCallOff[Part Name],$A42,T_TTAFCallOff[WeekIndex],89)</f>
        <v/>
      </c>
      <c r="CM42">
        <f>SUMIFS(T_TTAFCallOff[PCS],T_TTAFCallOff[Part Name],$A42,T_TTAFCallOff[WeekIndex],90)</f>
        <v/>
      </c>
      <c r="CN42">
        <f>SUMIFS(T_TTAFCallOff[PCS],T_TTAFCallOff[Part Name],$A42,T_TTAFCallOff[WeekIndex],91)</f>
        <v/>
      </c>
      <c r="CO42">
        <f>SUMIFS(T_TTAFCallOff[PCS],T_TTAFCallOff[Part Name],$A42,T_TTAFCallOff[WeekIndex],92)</f>
        <v/>
      </c>
      <c r="CP42">
        <f>SUMIFS(T_TTAFCallOff[PCS],T_TTAFCallOff[Part Name],$A42,T_TTAFCallOff[WeekIndex],93)</f>
        <v/>
      </c>
      <c r="CQ42">
        <f>SUMIFS(T_TTAFCallOff[PCS],T_TTAFCallOff[Part Name],$A42,T_TTAFCallOff[WeekIndex],94)</f>
        <v/>
      </c>
      <c r="CR42">
        <f>SUMIFS(T_TTAFCallOff[PCS],T_TTAFCallOff[Part Name],$A42,T_TTAFCallOff[WeekIndex],95)</f>
        <v/>
      </c>
      <c r="CS42">
        <f>SUMIFS(T_TTAFCallOff[PCS],T_TTAFCallOff[Part Name],$A42,T_TTAFCallOff[WeekIndex],96)</f>
        <v/>
      </c>
      <c r="CT42">
        <f>SUMIFS(T_TTAFCallOff[PCS],T_TTAFCallOff[Part Name],$A42,T_TTAFCallOff[WeekIndex],97)</f>
        <v/>
      </c>
      <c r="CU42">
        <f>SUMIFS(T_TTAFCallOff[PCS],T_TTAFCallOff[Part Name],$A42,T_TTAFCallOff[WeekIndex],98)</f>
        <v/>
      </c>
      <c r="CV42">
        <f>SUMIFS(T_TTAFCallOff[PCS],T_TTAFCallOff[Part Name],$A42,T_TTAFCallOff[WeekIndex],99)</f>
        <v/>
      </c>
      <c r="CW42">
        <f>SUMIFS(T_TTAFCallOff[PCS],T_TTAFCallOff[Part Name],$A42,T_TTAFCallOff[WeekIndex],100)</f>
        <v/>
      </c>
      <c r="CX42">
        <f>SUMIFS(T_TTAFCallOff[PCS],T_TTAFCallOff[Part Name],$A42,T_TTAFCallOff[WeekIndex],101)</f>
        <v/>
      </c>
      <c r="CY42">
        <f>SUMIFS(T_TTAFCallOff[PCS],T_TTAFCallOff[Part Name],$A42,T_TTAFCallOff[WeekIndex],102)</f>
        <v/>
      </c>
      <c r="CZ42">
        <f>SUMIFS(T_TTAFCallOff[PCS],T_TTAFCallOff[Part Name],$A42,T_TTAFCallOff[WeekIndex],103)</f>
        <v/>
      </c>
      <c r="DA42">
        <f>SUMIFS(T_TTAFCallOff[PCS],T_TTAFCallOff[Part Name],$A42,T_TTAFCallOff[WeekIndex],104)</f>
        <v/>
      </c>
    </row>
    <row r="43">
      <c r="A43" t="inlineStr">
        <is>
          <t>V19</t>
        </is>
      </c>
      <c r="B43">
        <f>SUMIFS(T_TTAFCallOff[PCS],T_TTAFCallOff[Part Name],$A43,T_TTAFCallOff[WeekIndex],1)</f>
        <v/>
      </c>
      <c r="C43">
        <f>SUMIFS(T_TTAFCallOff[PCS],T_TTAFCallOff[Part Name],$A43,T_TTAFCallOff[WeekIndex],2)</f>
        <v/>
      </c>
      <c r="D43">
        <f>SUMIFS(T_TTAFCallOff[PCS],T_TTAFCallOff[Part Name],$A43,T_TTAFCallOff[WeekIndex],3)</f>
        <v/>
      </c>
      <c r="E43">
        <f>SUMIFS(T_TTAFCallOff[PCS],T_TTAFCallOff[Part Name],$A43,T_TTAFCallOff[WeekIndex],4)</f>
        <v/>
      </c>
      <c r="F43">
        <f>SUMIFS(T_TTAFCallOff[PCS],T_TTAFCallOff[Part Name],$A43,T_TTAFCallOff[WeekIndex],5)</f>
        <v/>
      </c>
      <c r="G43">
        <f>SUMIFS(T_TTAFCallOff[PCS],T_TTAFCallOff[Part Name],$A43,T_TTAFCallOff[WeekIndex],6)</f>
        <v/>
      </c>
      <c r="H43">
        <f>SUMIFS(T_TTAFCallOff[PCS],T_TTAFCallOff[Part Name],$A43,T_TTAFCallOff[WeekIndex],7)</f>
        <v/>
      </c>
      <c r="I43">
        <f>SUMIFS(T_TTAFCallOff[PCS],T_TTAFCallOff[Part Name],$A43,T_TTAFCallOff[WeekIndex],8)</f>
        <v/>
      </c>
      <c r="J43">
        <f>SUMIFS(T_TTAFCallOff[PCS],T_TTAFCallOff[Part Name],$A43,T_TTAFCallOff[WeekIndex],9)</f>
        <v/>
      </c>
      <c r="K43">
        <f>SUMIFS(T_TTAFCallOff[PCS],T_TTAFCallOff[Part Name],$A43,T_TTAFCallOff[WeekIndex],10)</f>
        <v/>
      </c>
      <c r="L43">
        <f>SUMIFS(T_TTAFCallOff[PCS],T_TTAFCallOff[Part Name],$A43,T_TTAFCallOff[WeekIndex],11)</f>
        <v/>
      </c>
      <c r="M43">
        <f>SUMIFS(T_TTAFCallOff[PCS],T_TTAFCallOff[Part Name],$A43,T_TTAFCallOff[WeekIndex],12)</f>
        <v/>
      </c>
      <c r="N43">
        <f>SUMIFS(T_TTAFCallOff[PCS],T_TTAFCallOff[Part Name],$A43,T_TTAFCallOff[WeekIndex],13)</f>
        <v/>
      </c>
      <c r="O43">
        <f>SUMIFS(T_TTAFCallOff[PCS],T_TTAFCallOff[Part Name],$A43,T_TTAFCallOff[WeekIndex],14)</f>
        <v/>
      </c>
      <c r="P43">
        <f>SUMIFS(T_TTAFCallOff[PCS],T_TTAFCallOff[Part Name],$A43,T_TTAFCallOff[WeekIndex],15)</f>
        <v/>
      </c>
      <c r="Q43">
        <f>SUMIFS(T_TTAFCallOff[PCS],T_TTAFCallOff[Part Name],$A43,T_TTAFCallOff[WeekIndex],16)</f>
        <v/>
      </c>
      <c r="R43">
        <f>SUMIFS(T_TTAFCallOff[PCS],T_TTAFCallOff[Part Name],$A43,T_TTAFCallOff[WeekIndex],17)</f>
        <v/>
      </c>
      <c r="S43">
        <f>SUMIFS(T_TTAFCallOff[PCS],T_TTAFCallOff[Part Name],$A43,T_TTAFCallOff[WeekIndex],18)</f>
        <v/>
      </c>
      <c r="T43">
        <f>SUMIFS(T_TTAFCallOff[PCS],T_TTAFCallOff[Part Name],$A43,T_TTAFCallOff[WeekIndex],19)</f>
        <v/>
      </c>
      <c r="U43">
        <f>SUMIFS(T_TTAFCallOff[PCS],T_TTAFCallOff[Part Name],$A43,T_TTAFCallOff[WeekIndex],20)</f>
        <v/>
      </c>
      <c r="V43">
        <f>SUMIFS(T_TTAFCallOff[PCS],T_TTAFCallOff[Part Name],$A43,T_TTAFCallOff[WeekIndex],21)</f>
        <v/>
      </c>
      <c r="W43">
        <f>SUMIFS(T_TTAFCallOff[PCS],T_TTAFCallOff[Part Name],$A43,T_TTAFCallOff[WeekIndex],22)</f>
        <v/>
      </c>
      <c r="X43">
        <f>SUMIFS(T_TTAFCallOff[PCS],T_TTAFCallOff[Part Name],$A43,T_TTAFCallOff[WeekIndex],23)</f>
        <v/>
      </c>
      <c r="Y43">
        <f>SUMIFS(T_TTAFCallOff[PCS],T_TTAFCallOff[Part Name],$A43,T_TTAFCallOff[WeekIndex],24)</f>
        <v/>
      </c>
      <c r="Z43">
        <f>SUMIFS(T_TTAFCallOff[PCS],T_TTAFCallOff[Part Name],$A43,T_TTAFCallOff[WeekIndex],25)</f>
        <v/>
      </c>
      <c r="AA43">
        <f>SUMIFS(T_TTAFCallOff[PCS],T_TTAFCallOff[Part Name],$A43,T_TTAFCallOff[WeekIndex],26)</f>
        <v/>
      </c>
      <c r="AB43">
        <f>SUMIFS(T_TTAFCallOff[PCS],T_TTAFCallOff[Part Name],$A43,T_TTAFCallOff[WeekIndex],27)</f>
        <v/>
      </c>
      <c r="AC43">
        <f>SUMIFS(T_TTAFCallOff[PCS],T_TTAFCallOff[Part Name],$A43,T_TTAFCallOff[WeekIndex],28)</f>
        <v/>
      </c>
      <c r="AD43">
        <f>SUMIFS(T_TTAFCallOff[PCS],T_TTAFCallOff[Part Name],$A43,T_TTAFCallOff[WeekIndex],29)</f>
        <v/>
      </c>
      <c r="AE43">
        <f>SUMIFS(T_TTAFCallOff[PCS],T_TTAFCallOff[Part Name],$A43,T_TTAFCallOff[WeekIndex],30)</f>
        <v/>
      </c>
      <c r="AF43">
        <f>SUMIFS(T_TTAFCallOff[PCS],T_TTAFCallOff[Part Name],$A43,T_TTAFCallOff[WeekIndex],31)</f>
        <v/>
      </c>
      <c r="AG43">
        <f>SUMIFS(T_TTAFCallOff[PCS],T_TTAFCallOff[Part Name],$A43,T_TTAFCallOff[WeekIndex],32)</f>
        <v/>
      </c>
      <c r="AH43">
        <f>SUMIFS(T_TTAFCallOff[PCS],T_TTAFCallOff[Part Name],$A43,T_TTAFCallOff[WeekIndex],33)</f>
        <v/>
      </c>
      <c r="AI43">
        <f>SUMIFS(T_TTAFCallOff[PCS],T_TTAFCallOff[Part Name],$A43,T_TTAFCallOff[WeekIndex],34)</f>
        <v/>
      </c>
      <c r="AJ43">
        <f>SUMIFS(T_TTAFCallOff[PCS],T_TTAFCallOff[Part Name],$A43,T_TTAFCallOff[WeekIndex],35)</f>
        <v/>
      </c>
      <c r="AK43">
        <f>SUMIFS(T_TTAFCallOff[PCS],T_TTAFCallOff[Part Name],$A43,T_TTAFCallOff[WeekIndex],36)</f>
        <v/>
      </c>
      <c r="AL43">
        <f>SUMIFS(T_TTAFCallOff[PCS],T_TTAFCallOff[Part Name],$A43,T_TTAFCallOff[WeekIndex],37)</f>
        <v/>
      </c>
      <c r="AM43">
        <f>SUMIFS(T_TTAFCallOff[PCS],T_TTAFCallOff[Part Name],$A43,T_TTAFCallOff[WeekIndex],38)</f>
        <v/>
      </c>
      <c r="AN43">
        <f>SUMIFS(T_TTAFCallOff[PCS],T_TTAFCallOff[Part Name],$A43,T_TTAFCallOff[WeekIndex],39)</f>
        <v/>
      </c>
      <c r="AO43">
        <f>SUMIFS(T_TTAFCallOff[PCS],T_TTAFCallOff[Part Name],$A43,T_TTAFCallOff[WeekIndex],40)</f>
        <v/>
      </c>
      <c r="AP43">
        <f>SUMIFS(T_TTAFCallOff[PCS],T_TTAFCallOff[Part Name],$A43,T_TTAFCallOff[WeekIndex],41)</f>
        <v/>
      </c>
      <c r="AQ43">
        <f>SUMIFS(T_TTAFCallOff[PCS],T_TTAFCallOff[Part Name],$A43,T_TTAFCallOff[WeekIndex],42)</f>
        <v/>
      </c>
      <c r="AR43">
        <f>SUMIFS(T_TTAFCallOff[PCS],T_TTAFCallOff[Part Name],$A43,T_TTAFCallOff[WeekIndex],43)</f>
        <v/>
      </c>
      <c r="AS43">
        <f>SUMIFS(T_TTAFCallOff[PCS],T_TTAFCallOff[Part Name],$A43,T_TTAFCallOff[WeekIndex],44)</f>
        <v/>
      </c>
      <c r="AT43">
        <f>SUMIFS(T_TTAFCallOff[PCS],T_TTAFCallOff[Part Name],$A43,T_TTAFCallOff[WeekIndex],45)</f>
        <v/>
      </c>
      <c r="AU43">
        <f>SUMIFS(T_TTAFCallOff[PCS],T_TTAFCallOff[Part Name],$A43,T_TTAFCallOff[WeekIndex],46)</f>
        <v/>
      </c>
      <c r="AV43">
        <f>SUMIFS(T_TTAFCallOff[PCS],T_TTAFCallOff[Part Name],$A43,T_TTAFCallOff[WeekIndex],47)</f>
        <v/>
      </c>
      <c r="AW43">
        <f>SUMIFS(T_TTAFCallOff[PCS],T_TTAFCallOff[Part Name],$A43,T_TTAFCallOff[WeekIndex],48)</f>
        <v/>
      </c>
      <c r="AX43">
        <f>SUMIFS(T_TTAFCallOff[PCS],T_TTAFCallOff[Part Name],$A43,T_TTAFCallOff[WeekIndex],49)</f>
        <v/>
      </c>
      <c r="AY43">
        <f>SUMIFS(T_TTAFCallOff[PCS],T_TTAFCallOff[Part Name],$A43,T_TTAFCallOff[WeekIndex],50)</f>
        <v/>
      </c>
      <c r="AZ43">
        <f>SUMIFS(T_TTAFCallOff[PCS],T_TTAFCallOff[Part Name],$A43,T_TTAFCallOff[WeekIndex],51)</f>
        <v/>
      </c>
      <c r="BA43">
        <f>SUMIFS(T_TTAFCallOff[PCS],T_TTAFCallOff[Part Name],$A43,T_TTAFCallOff[WeekIndex],52)</f>
        <v/>
      </c>
      <c r="BB43">
        <f>SUMIFS(T_TTAFCallOff[PCS],T_TTAFCallOff[Part Name],$A43,T_TTAFCallOff[WeekIndex],53)</f>
        <v/>
      </c>
      <c r="BC43">
        <f>SUMIFS(T_TTAFCallOff[PCS],T_TTAFCallOff[Part Name],$A43,T_TTAFCallOff[WeekIndex],54)</f>
        <v/>
      </c>
      <c r="BD43">
        <f>SUMIFS(T_TTAFCallOff[PCS],T_TTAFCallOff[Part Name],$A43,T_TTAFCallOff[WeekIndex],55)</f>
        <v/>
      </c>
      <c r="BE43">
        <f>SUMIFS(T_TTAFCallOff[PCS],T_TTAFCallOff[Part Name],$A43,T_TTAFCallOff[WeekIndex],56)</f>
        <v/>
      </c>
      <c r="BF43">
        <f>SUMIFS(T_TTAFCallOff[PCS],T_TTAFCallOff[Part Name],$A43,T_TTAFCallOff[WeekIndex],57)</f>
        <v/>
      </c>
      <c r="BG43">
        <f>SUMIFS(T_TTAFCallOff[PCS],T_TTAFCallOff[Part Name],$A43,T_TTAFCallOff[WeekIndex],58)</f>
        <v/>
      </c>
      <c r="BH43">
        <f>SUMIFS(T_TTAFCallOff[PCS],T_TTAFCallOff[Part Name],$A43,T_TTAFCallOff[WeekIndex],59)</f>
        <v/>
      </c>
      <c r="BI43">
        <f>SUMIFS(T_TTAFCallOff[PCS],T_TTAFCallOff[Part Name],$A43,T_TTAFCallOff[WeekIndex],60)</f>
        <v/>
      </c>
      <c r="BJ43">
        <f>SUMIFS(T_TTAFCallOff[PCS],T_TTAFCallOff[Part Name],$A43,T_TTAFCallOff[WeekIndex],61)</f>
        <v/>
      </c>
      <c r="BK43">
        <f>SUMIFS(T_TTAFCallOff[PCS],T_TTAFCallOff[Part Name],$A43,T_TTAFCallOff[WeekIndex],62)</f>
        <v/>
      </c>
      <c r="BL43">
        <f>SUMIFS(T_TTAFCallOff[PCS],T_TTAFCallOff[Part Name],$A43,T_TTAFCallOff[WeekIndex],63)</f>
        <v/>
      </c>
      <c r="BM43">
        <f>SUMIFS(T_TTAFCallOff[PCS],T_TTAFCallOff[Part Name],$A43,T_TTAFCallOff[WeekIndex],64)</f>
        <v/>
      </c>
      <c r="BN43">
        <f>SUMIFS(T_TTAFCallOff[PCS],T_TTAFCallOff[Part Name],$A43,T_TTAFCallOff[WeekIndex],65)</f>
        <v/>
      </c>
      <c r="BO43">
        <f>SUMIFS(T_TTAFCallOff[PCS],T_TTAFCallOff[Part Name],$A43,T_TTAFCallOff[WeekIndex],66)</f>
        <v/>
      </c>
      <c r="BP43">
        <f>SUMIFS(T_TTAFCallOff[PCS],T_TTAFCallOff[Part Name],$A43,T_TTAFCallOff[WeekIndex],67)</f>
        <v/>
      </c>
      <c r="BQ43">
        <f>SUMIFS(T_TTAFCallOff[PCS],T_TTAFCallOff[Part Name],$A43,T_TTAFCallOff[WeekIndex],68)</f>
        <v/>
      </c>
      <c r="BR43">
        <f>SUMIFS(T_TTAFCallOff[PCS],T_TTAFCallOff[Part Name],$A43,T_TTAFCallOff[WeekIndex],69)</f>
        <v/>
      </c>
      <c r="BS43">
        <f>SUMIFS(T_TTAFCallOff[PCS],T_TTAFCallOff[Part Name],$A43,T_TTAFCallOff[WeekIndex],70)</f>
        <v/>
      </c>
      <c r="BT43">
        <f>SUMIFS(T_TTAFCallOff[PCS],T_TTAFCallOff[Part Name],$A43,T_TTAFCallOff[WeekIndex],71)</f>
        <v/>
      </c>
      <c r="BU43">
        <f>SUMIFS(T_TTAFCallOff[PCS],T_TTAFCallOff[Part Name],$A43,T_TTAFCallOff[WeekIndex],72)</f>
        <v/>
      </c>
      <c r="BV43">
        <f>SUMIFS(T_TTAFCallOff[PCS],T_TTAFCallOff[Part Name],$A43,T_TTAFCallOff[WeekIndex],73)</f>
        <v/>
      </c>
      <c r="BW43">
        <f>SUMIFS(T_TTAFCallOff[PCS],T_TTAFCallOff[Part Name],$A43,T_TTAFCallOff[WeekIndex],74)</f>
        <v/>
      </c>
      <c r="BX43">
        <f>SUMIFS(T_TTAFCallOff[PCS],T_TTAFCallOff[Part Name],$A43,T_TTAFCallOff[WeekIndex],75)</f>
        <v/>
      </c>
      <c r="BY43">
        <f>SUMIFS(T_TTAFCallOff[PCS],T_TTAFCallOff[Part Name],$A43,T_TTAFCallOff[WeekIndex],76)</f>
        <v/>
      </c>
      <c r="BZ43">
        <f>SUMIFS(T_TTAFCallOff[PCS],T_TTAFCallOff[Part Name],$A43,T_TTAFCallOff[WeekIndex],77)</f>
        <v/>
      </c>
      <c r="CA43">
        <f>SUMIFS(T_TTAFCallOff[PCS],T_TTAFCallOff[Part Name],$A43,T_TTAFCallOff[WeekIndex],78)</f>
        <v/>
      </c>
      <c r="CB43">
        <f>SUMIFS(T_TTAFCallOff[PCS],T_TTAFCallOff[Part Name],$A43,T_TTAFCallOff[WeekIndex],79)</f>
        <v/>
      </c>
      <c r="CC43">
        <f>SUMIFS(T_TTAFCallOff[PCS],T_TTAFCallOff[Part Name],$A43,T_TTAFCallOff[WeekIndex],80)</f>
        <v/>
      </c>
      <c r="CD43">
        <f>SUMIFS(T_TTAFCallOff[PCS],T_TTAFCallOff[Part Name],$A43,T_TTAFCallOff[WeekIndex],81)</f>
        <v/>
      </c>
      <c r="CE43">
        <f>SUMIFS(T_TTAFCallOff[PCS],T_TTAFCallOff[Part Name],$A43,T_TTAFCallOff[WeekIndex],82)</f>
        <v/>
      </c>
      <c r="CF43">
        <f>SUMIFS(T_TTAFCallOff[PCS],T_TTAFCallOff[Part Name],$A43,T_TTAFCallOff[WeekIndex],83)</f>
        <v/>
      </c>
      <c r="CG43">
        <f>SUMIFS(T_TTAFCallOff[PCS],T_TTAFCallOff[Part Name],$A43,T_TTAFCallOff[WeekIndex],84)</f>
        <v/>
      </c>
      <c r="CH43">
        <f>SUMIFS(T_TTAFCallOff[PCS],T_TTAFCallOff[Part Name],$A43,T_TTAFCallOff[WeekIndex],85)</f>
        <v/>
      </c>
      <c r="CI43">
        <f>SUMIFS(T_TTAFCallOff[PCS],T_TTAFCallOff[Part Name],$A43,T_TTAFCallOff[WeekIndex],86)</f>
        <v/>
      </c>
      <c r="CJ43">
        <f>SUMIFS(T_TTAFCallOff[PCS],T_TTAFCallOff[Part Name],$A43,T_TTAFCallOff[WeekIndex],87)</f>
        <v/>
      </c>
      <c r="CK43">
        <f>SUMIFS(T_TTAFCallOff[PCS],T_TTAFCallOff[Part Name],$A43,T_TTAFCallOff[WeekIndex],88)</f>
        <v/>
      </c>
      <c r="CL43">
        <f>SUMIFS(T_TTAFCallOff[PCS],T_TTAFCallOff[Part Name],$A43,T_TTAFCallOff[WeekIndex],89)</f>
        <v/>
      </c>
      <c r="CM43">
        <f>SUMIFS(T_TTAFCallOff[PCS],T_TTAFCallOff[Part Name],$A43,T_TTAFCallOff[WeekIndex],90)</f>
        <v/>
      </c>
      <c r="CN43">
        <f>SUMIFS(T_TTAFCallOff[PCS],T_TTAFCallOff[Part Name],$A43,T_TTAFCallOff[WeekIndex],91)</f>
        <v/>
      </c>
      <c r="CO43">
        <f>SUMIFS(T_TTAFCallOff[PCS],T_TTAFCallOff[Part Name],$A43,T_TTAFCallOff[WeekIndex],92)</f>
        <v/>
      </c>
      <c r="CP43">
        <f>SUMIFS(T_TTAFCallOff[PCS],T_TTAFCallOff[Part Name],$A43,T_TTAFCallOff[WeekIndex],93)</f>
        <v/>
      </c>
      <c r="CQ43">
        <f>SUMIFS(T_TTAFCallOff[PCS],T_TTAFCallOff[Part Name],$A43,T_TTAFCallOff[WeekIndex],94)</f>
        <v/>
      </c>
      <c r="CR43">
        <f>SUMIFS(T_TTAFCallOff[PCS],T_TTAFCallOff[Part Name],$A43,T_TTAFCallOff[WeekIndex],95)</f>
        <v/>
      </c>
      <c r="CS43">
        <f>SUMIFS(T_TTAFCallOff[PCS],T_TTAFCallOff[Part Name],$A43,T_TTAFCallOff[WeekIndex],96)</f>
        <v/>
      </c>
      <c r="CT43">
        <f>SUMIFS(T_TTAFCallOff[PCS],T_TTAFCallOff[Part Name],$A43,T_TTAFCallOff[WeekIndex],97)</f>
        <v/>
      </c>
      <c r="CU43">
        <f>SUMIFS(T_TTAFCallOff[PCS],T_TTAFCallOff[Part Name],$A43,T_TTAFCallOff[WeekIndex],98)</f>
        <v/>
      </c>
      <c r="CV43">
        <f>SUMIFS(T_TTAFCallOff[PCS],T_TTAFCallOff[Part Name],$A43,T_TTAFCallOff[WeekIndex],99)</f>
        <v/>
      </c>
      <c r="CW43">
        <f>SUMIFS(T_TTAFCallOff[PCS],T_TTAFCallOff[Part Name],$A43,T_TTAFCallOff[WeekIndex],100)</f>
        <v/>
      </c>
      <c r="CX43">
        <f>SUMIFS(T_TTAFCallOff[PCS],T_TTAFCallOff[Part Name],$A43,T_TTAFCallOff[WeekIndex],101)</f>
        <v/>
      </c>
      <c r="CY43">
        <f>SUMIFS(T_TTAFCallOff[PCS],T_TTAFCallOff[Part Name],$A43,T_TTAFCallOff[WeekIndex],102)</f>
        <v/>
      </c>
      <c r="CZ43">
        <f>SUMIFS(T_TTAFCallOff[PCS],T_TTAFCallOff[Part Name],$A43,T_TTAFCallOff[WeekIndex],103)</f>
        <v/>
      </c>
      <c r="DA43">
        <f>SUMIFS(T_TTAFCallOff[PCS],T_TTAFCallOff[Part Name],$A43,T_TTAFCallOff[WeekIndex],104)</f>
        <v/>
      </c>
    </row>
    <row r="44">
      <c r="A44" t="inlineStr">
        <is>
          <t>3TP</t>
        </is>
      </c>
      <c r="B44">
        <f>SUMIFS(T_TTAFCallOff[PCS],T_TTAFCallOff[Part Name],$A44,T_TTAFCallOff[WeekIndex],1)</f>
        <v/>
      </c>
      <c r="C44">
        <f>SUMIFS(T_TTAFCallOff[PCS],T_TTAFCallOff[Part Name],$A44,T_TTAFCallOff[WeekIndex],2)</f>
        <v/>
      </c>
      <c r="D44">
        <f>SUMIFS(T_TTAFCallOff[PCS],T_TTAFCallOff[Part Name],$A44,T_TTAFCallOff[WeekIndex],3)</f>
        <v/>
      </c>
      <c r="E44">
        <f>SUMIFS(T_TTAFCallOff[PCS],T_TTAFCallOff[Part Name],$A44,T_TTAFCallOff[WeekIndex],4)</f>
        <v/>
      </c>
      <c r="F44">
        <f>SUMIFS(T_TTAFCallOff[PCS],T_TTAFCallOff[Part Name],$A44,T_TTAFCallOff[WeekIndex],5)</f>
        <v/>
      </c>
      <c r="G44">
        <f>SUMIFS(T_TTAFCallOff[PCS],T_TTAFCallOff[Part Name],$A44,T_TTAFCallOff[WeekIndex],6)</f>
        <v/>
      </c>
      <c r="H44">
        <f>SUMIFS(T_TTAFCallOff[PCS],T_TTAFCallOff[Part Name],$A44,T_TTAFCallOff[WeekIndex],7)</f>
        <v/>
      </c>
      <c r="I44">
        <f>SUMIFS(T_TTAFCallOff[PCS],T_TTAFCallOff[Part Name],$A44,T_TTAFCallOff[WeekIndex],8)</f>
        <v/>
      </c>
      <c r="J44">
        <f>SUMIFS(T_TTAFCallOff[PCS],T_TTAFCallOff[Part Name],$A44,T_TTAFCallOff[WeekIndex],9)</f>
        <v/>
      </c>
      <c r="K44">
        <f>SUMIFS(T_TTAFCallOff[PCS],T_TTAFCallOff[Part Name],$A44,T_TTAFCallOff[WeekIndex],10)</f>
        <v/>
      </c>
      <c r="L44">
        <f>SUMIFS(T_TTAFCallOff[PCS],T_TTAFCallOff[Part Name],$A44,T_TTAFCallOff[WeekIndex],11)</f>
        <v/>
      </c>
      <c r="M44">
        <f>SUMIFS(T_TTAFCallOff[PCS],T_TTAFCallOff[Part Name],$A44,T_TTAFCallOff[WeekIndex],12)</f>
        <v/>
      </c>
      <c r="N44">
        <f>SUMIFS(T_TTAFCallOff[PCS],T_TTAFCallOff[Part Name],$A44,T_TTAFCallOff[WeekIndex],13)</f>
        <v/>
      </c>
      <c r="O44">
        <f>SUMIFS(T_TTAFCallOff[PCS],T_TTAFCallOff[Part Name],$A44,T_TTAFCallOff[WeekIndex],14)</f>
        <v/>
      </c>
      <c r="P44">
        <f>SUMIFS(T_TTAFCallOff[PCS],T_TTAFCallOff[Part Name],$A44,T_TTAFCallOff[WeekIndex],15)</f>
        <v/>
      </c>
      <c r="Q44">
        <f>SUMIFS(T_TTAFCallOff[PCS],T_TTAFCallOff[Part Name],$A44,T_TTAFCallOff[WeekIndex],16)</f>
        <v/>
      </c>
      <c r="R44">
        <f>SUMIFS(T_TTAFCallOff[PCS],T_TTAFCallOff[Part Name],$A44,T_TTAFCallOff[WeekIndex],17)</f>
        <v/>
      </c>
      <c r="S44">
        <f>SUMIFS(T_TTAFCallOff[PCS],T_TTAFCallOff[Part Name],$A44,T_TTAFCallOff[WeekIndex],18)</f>
        <v/>
      </c>
      <c r="T44">
        <f>SUMIFS(T_TTAFCallOff[PCS],T_TTAFCallOff[Part Name],$A44,T_TTAFCallOff[WeekIndex],19)</f>
        <v/>
      </c>
      <c r="U44">
        <f>SUMIFS(T_TTAFCallOff[PCS],T_TTAFCallOff[Part Name],$A44,T_TTAFCallOff[WeekIndex],20)</f>
        <v/>
      </c>
      <c r="V44">
        <f>SUMIFS(T_TTAFCallOff[PCS],T_TTAFCallOff[Part Name],$A44,T_TTAFCallOff[WeekIndex],21)</f>
        <v/>
      </c>
      <c r="W44">
        <f>SUMIFS(T_TTAFCallOff[PCS],T_TTAFCallOff[Part Name],$A44,T_TTAFCallOff[WeekIndex],22)</f>
        <v/>
      </c>
      <c r="X44">
        <f>SUMIFS(T_TTAFCallOff[PCS],T_TTAFCallOff[Part Name],$A44,T_TTAFCallOff[WeekIndex],23)</f>
        <v/>
      </c>
      <c r="Y44">
        <f>SUMIFS(T_TTAFCallOff[PCS],T_TTAFCallOff[Part Name],$A44,T_TTAFCallOff[WeekIndex],24)</f>
        <v/>
      </c>
      <c r="Z44">
        <f>SUMIFS(T_TTAFCallOff[PCS],T_TTAFCallOff[Part Name],$A44,T_TTAFCallOff[WeekIndex],25)</f>
        <v/>
      </c>
      <c r="AA44">
        <f>SUMIFS(T_TTAFCallOff[PCS],T_TTAFCallOff[Part Name],$A44,T_TTAFCallOff[WeekIndex],26)</f>
        <v/>
      </c>
      <c r="AB44">
        <f>SUMIFS(T_TTAFCallOff[PCS],T_TTAFCallOff[Part Name],$A44,T_TTAFCallOff[WeekIndex],27)</f>
        <v/>
      </c>
      <c r="AC44">
        <f>SUMIFS(T_TTAFCallOff[PCS],T_TTAFCallOff[Part Name],$A44,T_TTAFCallOff[WeekIndex],28)</f>
        <v/>
      </c>
      <c r="AD44">
        <f>SUMIFS(T_TTAFCallOff[PCS],T_TTAFCallOff[Part Name],$A44,T_TTAFCallOff[WeekIndex],29)</f>
        <v/>
      </c>
      <c r="AE44">
        <f>SUMIFS(T_TTAFCallOff[PCS],T_TTAFCallOff[Part Name],$A44,T_TTAFCallOff[WeekIndex],30)</f>
        <v/>
      </c>
      <c r="AF44">
        <f>SUMIFS(T_TTAFCallOff[PCS],T_TTAFCallOff[Part Name],$A44,T_TTAFCallOff[WeekIndex],31)</f>
        <v/>
      </c>
      <c r="AG44">
        <f>SUMIFS(T_TTAFCallOff[PCS],T_TTAFCallOff[Part Name],$A44,T_TTAFCallOff[WeekIndex],32)</f>
        <v/>
      </c>
      <c r="AH44">
        <f>SUMIFS(T_TTAFCallOff[PCS],T_TTAFCallOff[Part Name],$A44,T_TTAFCallOff[WeekIndex],33)</f>
        <v/>
      </c>
      <c r="AI44">
        <f>SUMIFS(T_TTAFCallOff[PCS],T_TTAFCallOff[Part Name],$A44,T_TTAFCallOff[WeekIndex],34)</f>
        <v/>
      </c>
      <c r="AJ44">
        <f>SUMIFS(T_TTAFCallOff[PCS],T_TTAFCallOff[Part Name],$A44,T_TTAFCallOff[WeekIndex],35)</f>
        <v/>
      </c>
      <c r="AK44">
        <f>SUMIFS(T_TTAFCallOff[PCS],T_TTAFCallOff[Part Name],$A44,T_TTAFCallOff[WeekIndex],36)</f>
        <v/>
      </c>
      <c r="AL44">
        <f>SUMIFS(T_TTAFCallOff[PCS],T_TTAFCallOff[Part Name],$A44,T_TTAFCallOff[WeekIndex],37)</f>
        <v/>
      </c>
      <c r="AM44">
        <f>SUMIFS(T_TTAFCallOff[PCS],T_TTAFCallOff[Part Name],$A44,T_TTAFCallOff[WeekIndex],38)</f>
        <v/>
      </c>
      <c r="AN44">
        <f>SUMIFS(T_TTAFCallOff[PCS],T_TTAFCallOff[Part Name],$A44,T_TTAFCallOff[WeekIndex],39)</f>
        <v/>
      </c>
      <c r="AO44">
        <f>SUMIFS(T_TTAFCallOff[PCS],T_TTAFCallOff[Part Name],$A44,T_TTAFCallOff[WeekIndex],40)</f>
        <v/>
      </c>
      <c r="AP44">
        <f>SUMIFS(T_TTAFCallOff[PCS],T_TTAFCallOff[Part Name],$A44,T_TTAFCallOff[WeekIndex],41)</f>
        <v/>
      </c>
      <c r="AQ44">
        <f>SUMIFS(T_TTAFCallOff[PCS],T_TTAFCallOff[Part Name],$A44,T_TTAFCallOff[WeekIndex],42)</f>
        <v/>
      </c>
      <c r="AR44">
        <f>SUMIFS(T_TTAFCallOff[PCS],T_TTAFCallOff[Part Name],$A44,T_TTAFCallOff[WeekIndex],43)</f>
        <v/>
      </c>
      <c r="AS44">
        <f>SUMIFS(T_TTAFCallOff[PCS],T_TTAFCallOff[Part Name],$A44,T_TTAFCallOff[WeekIndex],44)</f>
        <v/>
      </c>
      <c r="AT44">
        <f>SUMIFS(T_TTAFCallOff[PCS],T_TTAFCallOff[Part Name],$A44,T_TTAFCallOff[WeekIndex],45)</f>
        <v/>
      </c>
      <c r="AU44">
        <f>SUMIFS(T_TTAFCallOff[PCS],T_TTAFCallOff[Part Name],$A44,T_TTAFCallOff[WeekIndex],46)</f>
        <v/>
      </c>
      <c r="AV44">
        <f>SUMIFS(T_TTAFCallOff[PCS],T_TTAFCallOff[Part Name],$A44,T_TTAFCallOff[WeekIndex],47)</f>
        <v/>
      </c>
      <c r="AW44">
        <f>SUMIFS(T_TTAFCallOff[PCS],T_TTAFCallOff[Part Name],$A44,T_TTAFCallOff[WeekIndex],48)</f>
        <v/>
      </c>
      <c r="AX44">
        <f>SUMIFS(T_TTAFCallOff[PCS],T_TTAFCallOff[Part Name],$A44,T_TTAFCallOff[WeekIndex],49)</f>
        <v/>
      </c>
      <c r="AY44">
        <f>SUMIFS(T_TTAFCallOff[PCS],T_TTAFCallOff[Part Name],$A44,T_TTAFCallOff[WeekIndex],50)</f>
        <v/>
      </c>
      <c r="AZ44">
        <f>SUMIFS(T_TTAFCallOff[PCS],T_TTAFCallOff[Part Name],$A44,T_TTAFCallOff[WeekIndex],51)</f>
        <v/>
      </c>
      <c r="BA44">
        <f>SUMIFS(T_TTAFCallOff[PCS],T_TTAFCallOff[Part Name],$A44,T_TTAFCallOff[WeekIndex],52)</f>
        <v/>
      </c>
      <c r="BB44">
        <f>SUMIFS(T_TTAFCallOff[PCS],T_TTAFCallOff[Part Name],$A44,T_TTAFCallOff[WeekIndex],53)</f>
        <v/>
      </c>
      <c r="BC44">
        <f>SUMIFS(T_TTAFCallOff[PCS],T_TTAFCallOff[Part Name],$A44,T_TTAFCallOff[WeekIndex],54)</f>
        <v/>
      </c>
      <c r="BD44">
        <f>SUMIFS(T_TTAFCallOff[PCS],T_TTAFCallOff[Part Name],$A44,T_TTAFCallOff[WeekIndex],55)</f>
        <v/>
      </c>
      <c r="BE44">
        <f>SUMIFS(T_TTAFCallOff[PCS],T_TTAFCallOff[Part Name],$A44,T_TTAFCallOff[WeekIndex],56)</f>
        <v/>
      </c>
      <c r="BF44">
        <f>SUMIFS(T_TTAFCallOff[PCS],T_TTAFCallOff[Part Name],$A44,T_TTAFCallOff[WeekIndex],57)</f>
        <v/>
      </c>
      <c r="BG44">
        <f>SUMIFS(T_TTAFCallOff[PCS],T_TTAFCallOff[Part Name],$A44,T_TTAFCallOff[WeekIndex],58)</f>
        <v/>
      </c>
      <c r="BH44">
        <f>SUMIFS(T_TTAFCallOff[PCS],T_TTAFCallOff[Part Name],$A44,T_TTAFCallOff[WeekIndex],59)</f>
        <v/>
      </c>
      <c r="BI44">
        <f>SUMIFS(T_TTAFCallOff[PCS],T_TTAFCallOff[Part Name],$A44,T_TTAFCallOff[WeekIndex],60)</f>
        <v/>
      </c>
      <c r="BJ44">
        <f>SUMIFS(T_TTAFCallOff[PCS],T_TTAFCallOff[Part Name],$A44,T_TTAFCallOff[WeekIndex],61)</f>
        <v/>
      </c>
      <c r="BK44">
        <f>SUMIFS(T_TTAFCallOff[PCS],T_TTAFCallOff[Part Name],$A44,T_TTAFCallOff[WeekIndex],62)</f>
        <v/>
      </c>
      <c r="BL44">
        <f>SUMIFS(T_TTAFCallOff[PCS],T_TTAFCallOff[Part Name],$A44,T_TTAFCallOff[WeekIndex],63)</f>
        <v/>
      </c>
      <c r="BM44">
        <f>SUMIFS(T_TTAFCallOff[PCS],T_TTAFCallOff[Part Name],$A44,T_TTAFCallOff[WeekIndex],64)</f>
        <v/>
      </c>
      <c r="BN44">
        <f>SUMIFS(T_TTAFCallOff[PCS],T_TTAFCallOff[Part Name],$A44,T_TTAFCallOff[WeekIndex],65)</f>
        <v/>
      </c>
      <c r="BO44">
        <f>SUMIFS(T_TTAFCallOff[PCS],T_TTAFCallOff[Part Name],$A44,T_TTAFCallOff[WeekIndex],66)</f>
        <v/>
      </c>
      <c r="BP44">
        <f>SUMIFS(T_TTAFCallOff[PCS],T_TTAFCallOff[Part Name],$A44,T_TTAFCallOff[WeekIndex],67)</f>
        <v/>
      </c>
      <c r="BQ44">
        <f>SUMIFS(T_TTAFCallOff[PCS],T_TTAFCallOff[Part Name],$A44,T_TTAFCallOff[WeekIndex],68)</f>
        <v/>
      </c>
      <c r="BR44">
        <f>SUMIFS(T_TTAFCallOff[PCS],T_TTAFCallOff[Part Name],$A44,T_TTAFCallOff[WeekIndex],69)</f>
        <v/>
      </c>
      <c r="BS44">
        <f>SUMIFS(T_TTAFCallOff[PCS],T_TTAFCallOff[Part Name],$A44,T_TTAFCallOff[WeekIndex],70)</f>
        <v/>
      </c>
      <c r="BT44">
        <f>SUMIFS(T_TTAFCallOff[PCS],T_TTAFCallOff[Part Name],$A44,T_TTAFCallOff[WeekIndex],71)</f>
        <v/>
      </c>
      <c r="BU44">
        <f>SUMIFS(T_TTAFCallOff[PCS],T_TTAFCallOff[Part Name],$A44,T_TTAFCallOff[WeekIndex],72)</f>
        <v/>
      </c>
      <c r="BV44">
        <f>SUMIFS(T_TTAFCallOff[PCS],T_TTAFCallOff[Part Name],$A44,T_TTAFCallOff[WeekIndex],73)</f>
        <v/>
      </c>
      <c r="BW44">
        <f>SUMIFS(T_TTAFCallOff[PCS],T_TTAFCallOff[Part Name],$A44,T_TTAFCallOff[WeekIndex],74)</f>
        <v/>
      </c>
      <c r="BX44">
        <f>SUMIFS(T_TTAFCallOff[PCS],T_TTAFCallOff[Part Name],$A44,T_TTAFCallOff[WeekIndex],75)</f>
        <v/>
      </c>
      <c r="BY44">
        <f>SUMIFS(T_TTAFCallOff[PCS],T_TTAFCallOff[Part Name],$A44,T_TTAFCallOff[WeekIndex],76)</f>
        <v/>
      </c>
      <c r="BZ44">
        <f>SUMIFS(T_TTAFCallOff[PCS],T_TTAFCallOff[Part Name],$A44,T_TTAFCallOff[WeekIndex],77)</f>
        <v/>
      </c>
      <c r="CA44">
        <f>SUMIFS(T_TTAFCallOff[PCS],T_TTAFCallOff[Part Name],$A44,T_TTAFCallOff[WeekIndex],78)</f>
        <v/>
      </c>
      <c r="CB44">
        <f>SUMIFS(T_TTAFCallOff[PCS],T_TTAFCallOff[Part Name],$A44,T_TTAFCallOff[WeekIndex],79)</f>
        <v/>
      </c>
      <c r="CC44">
        <f>SUMIFS(T_TTAFCallOff[PCS],T_TTAFCallOff[Part Name],$A44,T_TTAFCallOff[WeekIndex],80)</f>
        <v/>
      </c>
      <c r="CD44">
        <f>SUMIFS(T_TTAFCallOff[PCS],T_TTAFCallOff[Part Name],$A44,T_TTAFCallOff[WeekIndex],81)</f>
        <v/>
      </c>
      <c r="CE44">
        <f>SUMIFS(T_TTAFCallOff[PCS],T_TTAFCallOff[Part Name],$A44,T_TTAFCallOff[WeekIndex],82)</f>
        <v/>
      </c>
      <c r="CF44">
        <f>SUMIFS(T_TTAFCallOff[PCS],T_TTAFCallOff[Part Name],$A44,T_TTAFCallOff[WeekIndex],83)</f>
        <v/>
      </c>
      <c r="CG44">
        <f>SUMIFS(T_TTAFCallOff[PCS],T_TTAFCallOff[Part Name],$A44,T_TTAFCallOff[WeekIndex],84)</f>
        <v/>
      </c>
      <c r="CH44">
        <f>SUMIFS(T_TTAFCallOff[PCS],T_TTAFCallOff[Part Name],$A44,T_TTAFCallOff[WeekIndex],85)</f>
        <v/>
      </c>
      <c r="CI44">
        <f>SUMIFS(T_TTAFCallOff[PCS],T_TTAFCallOff[Part Name],$A44,T_TTAFCallOff[WeekIndex],86)</f>
        <v/>
      </c>
      <c r="CJ44">
        <f>SUMIFS(T_TTAFCallOff[PCS],T_TTAFCallOff[Part Name],$A44,T_TTAFCallOff[WeekIndex],87)</f>
        <v/>
      </c>
      <c r="CK44">
        <f>SUMIFS(T_TTAFCallOff[PCS],T_TTAFCallOff[Part Name],$A44,T_TTAFCallOff[WeekIndex],88)</f>
        <v/>
      </c>
      <c r="CL44">
        <f>SUMIFS(T_TTAFCallOff[PCS],T_TTAFCallOff[Part Name],$A44,T_TTAFCallOff[WeekIndex],89)</f>
        <v/>
      </c>
      <c r="CM44">
        <f>SUMIFS(T_TTAFCallOff[PCS],T_TTAFCallOff[Part Name],$A44,T_TTAFCallOff[WeekIndex],90)</f>
        <v/>
      </c>
      <c r="CN44">
        <f>SUMIFS(T_TTAFCallOff[PCS],T_TTAFCallOff[Part Name],$A44,T_TTAFCallOff[WeekIndex],91)</f>
        <v/>
      </c>
      <c r="CO44">
        <f>SUMIFS(T_TTAFCallOff[PCS],T_TTAFCallOff[Part Name],$A44,T_TTAFCallOff[WeekIndex],92)</f>
        <v/>
      </c>
      <c r="CP44">
        <f>SUMIFS(T_TTAFCallOff[PCS],T_TTAFCallOff[Part Name],$A44,T_TTAFCallOff[WeekIndex],93)</f>
        <v/>
      </c>
      <c r="CQ44">
        <f>SUMIFS(T_TTAFCallOff[PCS],T_TTAFCallOff[Part Name],$A44,T_TTAFCallOff[WeekIndex],94)</f>
        <v/>
      </c>
      <c r="CR44">
        <f>SUMIFS(T_TTAFCallOff[PCS],T_TTAFCallOff[Part Name],$A44,T_TTAFCallOff[WeekIndex],95)</f>
        <v/>
      </c>
      <c r="CS44">
        <f>SUMIFS(T_TTAFCallOff[PCS],T_TTAFCallOff[Part Name],$A44,T_TTAFCallOff[WeekIndex],96)</f>
        <v/>
      </c>
      <c r="CT44">
        <f>SUMIFS(T_TTAFCallOff[PCS],T_TTAFCallOff[Part Name],$A44,T_TTAFCallOff[WeekIndex],97)</f>
        <v/>
      </c>
      <c r="CU44">
        <f>SUMIFS(T_TTAFCallOff[PCS],T_TTAFCallOff[Part Name],$A44,T_TTAFCallOff[WeekIndex],98)</f>
        <v/>
      </c>
      <c r="CV44">
        <f>SUMIFS(T_TTAFCallOff[PCS],T_TTAFCallOff[Part Name],$A44,T_TTAFCallOff[WeekIndex],99)</f>
        <v/>
      </c>
      <c r="CW44">
        <f>SUMIFS(T_TTAFCallOff[PCS],T_TTAFCallOff[Part Name],$A44,T_TTAFCallOff[WeekIndex],100)</f>
        <v/>
      </c>
      <c r="CX44">
        <f>SUMIFS(T_TTAFCallOff[PCS],T_TTAFCallOff[Part Name],$A44,T_TTAFCallOff[WeekIndex],101)</f>
        <v/>
      </c>
      <c r="CY44">
        <f>SUMIFS(T_TTAFCallOff[PCS],T_TTAFCallOff[Part Name],$A44,T_TTAFCallOff[WeekIndex],102)</f>
        <v/>
      </c>
      <c r="CZ44">
        <f>SUMIFS(T_TTAFCallOff[PCS],T_TTAFCallOff[Part Name],$A44,T_TTAFCallOff[WeekIndex],103)</f>
        <v/>
      </c>
      <c r="DA44">
        <f>SUMIFS(T_TTAFCallOff[PCS],T_TTAFCallOff[Part Name],$A44,T_TTAFCallOff[WeekIndex],104)</f>
        <v/>
      </c>
    </row>
    <row r="45">
      <c r="A45" t="inlineStr">
        <is>
          <t>A043</t>
        </is>
      </c>
      <c r="B45">
        <f>SUMIFS(T_TTAFCallOff[PCS],T_TTAFCallOff[Part Name],$A45,T_TTAFCallOff[WeekIndex],1)</f>
        <v/>
      </c>
      <c r="C45">
        <f>SUMIFS(T_TTAFCallOff[PCS],T_TTAFCallOff[Part Name],$A45,T_TTAFCallOff[WeekIndex],2)</f>
        <v/>
      </c>
      <c r="D45">
        <f>SUMIFS(T_TTAFCallOff[PCS],T_TTAFCallOff[Part Name],$A45,T_TTAFCallOff[WeekIndex],3)</f>
        <v/>
      </c>
      <c r="E45">
        <f>SUMIFS(T_TTAFCallOff[PCS],T_TTAFCallOff[Part Name],$A45,T_TTAFCallOff[WeekIndex],4)</f>
        <v/>
      </c>
      <c r="F45">
        <f>SUMIFS(T_TTAFCallOff[PCS],T_TTAFCallOff[Part Name],$A45,T_TTAFCallOff[WeekIndex],5)</f>
        <v/>
      </c>
      <c r="G45">
        <f>SUMIFS(T_TTAFCallOff[PCS],T_TTAFCallOff[Part Name],$A45,T_TTAFCallOff[WeekIndex],6)</f>
        <v/>
      </c>
      <c r="H45">
        <f>SUMIFS(T_TTAFCallOff[PCS],T_TTAFCallOff[Part Name],$A45,T_TTAFCallOff[WeekIndex],7)</f>
        <v/>
      </c>
      <c r="I45">
        <f>SUMIFS(T_TTAFCallOff[PCS],T_TTAFCallOff[Part Name],$A45,T_TTAFCallOff[WeekIndex],8)</f>
        <v/>
      </c>
      <c r="J45">
        <f>SUMIFS(T_TTAFCallOff[PCS],T_TTAFCallOff[Part Name],$A45,T_TTAFCallOff[WeekIndex],9)</f>
        <v/>
      </c>
      <c r="K45">
        <f>SUMIFS(T_TTAFCallOff[PCS],T_TTAFCallOff[Part Name],$A45,T_TTAFCallOff[WeekIndex],10)</f>
        <v/>
      </c>
      <c r="L45">
        <f>SUMIFS(T_TTAFCallOff[PCS],T_TTAFCallOff[Part Name],$A45,T_TTAFCallOff[WeekIndex],11)</f>
        <v/>
      </c>
      <c r="M45">
        <f>SUMIFS(T_TTAFCallOff[PCS],T_TTAFCallOff[Part Name],$A45,T_TTAFCallOff[WeekIndex],12)</f>
        <v/>
      </c>
      <c r="N45">
        <f>SUMIFS(T_TTAFCallOff[PCS],T_TTAFCallOff[Part Name],$A45,T_TTAFCallOff[WeekIndex],13)</f>
        <v/>
      </c>
      <c r="O45">
        <f>SUMIFS(T_TTAFCallOff[PCS],T_TTAFCallOff[Part Name],$A45,T_TTAFCallOff[WeekIndex],14)</f>
        <v/>
      </c>
      <c r="P45">
        <f>SUMIFS(T_TTAFCallOff[PCS],T_TTAFCallOff[Part Name],$A45,T_TTAFCallOff[WeekIndex],15)</f>
        <v/>
      </c>
      <c r="Q45">
        <f>SUMIFS(T_TTAFCallOff[PCS],T_TTAFCallOff[Part Name],$A45,T_TTAFCallOff[WeekIndex],16)</f>
        <v/>
      </c>
      <c r="R45">
        <f>SUMIFS(T_TTAFCallOff[PCS],T_TTAFCallOff[Part Name],$A45,T_TTAFCallOff[WeekIndex],17)</f>
        <v/>
      </c>
      <c r="S45">
        <f>SUMIFS(T_TTAFCallOff[PCS],T_TTAFCallOff[Part Name],$A45,T_TTAFCallOff[WeekIndex],18)</f>
        <v/>
      </c>
      <c r="T45">
        <f>SUMIFS(T_TTAFCallOff[PCS],T_TTAFCallOff[Part Name],$A45,T_TTAFCallOff[WeekIndex],19)</f>
        <v/>
      </c>
      <c r="U45">
        <f>SUMIFS(T_TTAFCallOff[PCS],T_TTAFCallOff[Part Name],$A45,T_TTAFCallOff[WeekIndex],20)</f>
        <v/>
      </c>
      <c r="V45">
        <f>SUMIFS(T_TTAFCallOff[PCS],T_TTAFCallOff[Part Name],$A45,T_TTAFCallOff[WeekIndex],21)</f>
        <v/>
      </c>
      <c r="W45">
        <f>SUMIFS(T_TTAFCallOff[PCS],T_TTAFCallOff[Part Name],$A45,T_TTAFCallOff[WeekIndex],22)</f>
        <v/>
      </c>
      <c r="X45">
        <f>SUMIFS(T_TTAFCallOff[PCS],T_TTAFCallOff[Part Name],$A45,T_TTAFCallOff[WeekIndex],23)</f>
        <v/>
      </c>
      <c r="Y45">
        <f>SUMIFS(T_TTAFCallOff[PCS],T_TTAFCallOff[Part Name],$A45,T_TTAFCallOff[WeekIndex],24)</f>
        <v/>
      </c>
      <c r="Z45">
        <f>SUMIFS(T_TTAFCallOff[PCS],T_TTAFCallOff[Part Name],$A45,T_TTAFCallOff[WeekIndex],25)</f>
        <v/>
      </c>
      <c r="AA45">
        <f>SUMIFS(T_TTAFCallOff[PCS],T_TTAFCallOff[Part Name],$A45,T_TTAFCallOff[WeekIndex],26)</f>
        <v/>
      </c>
      <c r="AB45">
        <f>SUMIFS(T_TTAFCallOff[PCS],T_TTAFCallOff[Part Name],$A45,T_TTAFCallOff[WeekIndex],27)</f>
        <v/>
      </c>
      <c r="AC45">
        <f>SUMIFS(T_TTAFCallOff[PCS],T_TTAFCallOff[Part Name],$A45,T_TTAFCallOff[WeekIndex],28)</f>
        <v/>
      </c>
      <c r="AD45">
        <f>SUMIFS(T_TTAFCallOff[PCS],T_TTAFCallOff[Part Name],$A45,T_TTAFCallOff[WeekIndex],29)</f>
        <v/>
      </c>
      <c r="AE45">
        <f>SUMIFS(T_TTAFCallOff[PCS],T_TTAFCallOff[Part Name],$A45,T_TTAFCallOff[WeekIndex],30)</f>
        <v/>
      </c>
      <c r="AF45">
        <f>SUMIFS(T_TTAFCallOff[PCS],T_TTAFCallOff[Part Name],$A45,T_TTAFCallOff[WeekIndex],31)</f>
        <v/>
      </c>
      <c r="AG45">
        <f>SUMIFS(T_TTAFCallOff[PCS],T_TTAFCallOff[Part Name],$A45,T_TTAFCallOff[WeekIndex],32)</f>
        <v/>
      </c>
      <c r="AH45">
        <f>SUMIFS(T_TTAFCallOff[PCS],T_TTAFCallOff[Part Name],$A45,T_TTAFCallOff[WeekIndex],33)</f>
        <v/>
      </c>
      <c r="AI45">
        <f>SUMIFS(T_TTAFCallOff[PCS],T_TTAFCallOff[Part Name],$A45,T_TTAFCallOff[WeekIndex],34)</f>
        <v/>
      </c>
      <c r="AJ45">
        <f>SUMIFS(T_TTAFCallOff[PCS],T_TTAFCallOff[Part Name],$A45,T_TTAFCallOff[WeekIndex],35)</f>
        <v/>
      </c>
      <c r="AK45">
        <f>SUMIFS(T_TTAFCallOff[PCS],T_TTAFCallOff[Part Name],$A45,T_TTAFCallOff[WeekIndex],36)</f>
        <v/>
      </c>
      <c r="AL45">
        <f>SUMIFS(T_TTAFCallOff[PCS],T_TTAFCallOff[Part Name],$A45,T_TTAFCallOff[WeekIndex],37)</f>
        <v/>
      </c>
      <c r="AM45">
        <f>SUMIFS(T_TTAFCallOff[PCS],T_TTAFCallOff[Part Name],$A45,T_TTAFCallOff[WeekIndex],38)</f>
        <v/>
      </c>
      <c r="AN45">
        <f>SUMIFS(T_TTAFCallOff[PCS],T_TTAFCallOff[Part Name],$A45,T_TTAFCallOff[WeekIndex],39)</f>
        <v/>
      </c>
      <c r="AO45">
        <f>SUMIFS(T_TTAFCallOff[PCS],T_TTAFCallOff[Part Name],$A45,T_TTAFCallOff[WeekIndex],40)</f>
        <v/>
      </c>
      <c r="AP45">
        <f>SUMIFS(T_TTAFCallOff[PCS],T_TTAFCallOff[Part Name],$A45,T_TTAFCallOff[WeekIndex],41)</f>
        <v/>
      </c>
      <c r="AQ45">
        <f>SUMIFS(T_TTAFCallOff[PCS],T_TTAFCallOff[Part Name],$A45,T_TTAFCallOff[WeekIndex],42)</f>
        <v/>
      </c>
      <c r="AR45">
        <f>SUMIFS(T_TTAFCallOff[PCS],T_TTAFCallOff[Part Name],$A45,T_TTAFCallOff[WeekIndex],43)</f>
        <v/>
      </c>
      <c r="AS45">
        <f>SUMIFS(T_TTAFCallOff[PCS],T_TTAFCallOff[Part Name],$A45,T_TTAFCallOff[WeekIndex],44)</f>
        <v/>
      </c>
      <c r="AT45">
        <f>SUMIFS(T_TTAFCallOff[PCS],T_TTAFCallOff[Part Name],$A45,T_TTAFCallOff[WeekIndex],45)</f>
        <v/>
      </c>
      <c r="AU45">
        <f>SUMIFS(T_TTAFCallOff[PCS],T_TTAFCallOff[Part Name],$A45,T_TTAFCallOff[WeekIndex],46)</f>
        <v/>
      </c>
      <c r="AV45">
        <f>SUMIFS(T_TTAFCallOff[PCS],T_TTAFCallOff[Part Name],$A45,T_TTAFCallOff[WeekIndex],47)</f>
        <v/>
      </c>
      <c r="AW45">
        <f>SUMIFS(T_TTAFCallOff[PCS],T_TTAFCallOff[Part Name],$A45,T_TTAFCallOff[WeekIndex],48)</f>
        <v/>
      </c>
      <c r="AX45">
        <f>SUMIFS(T_TTAFCallOff[PCS],T_TTAFCallOff[Part Name],$A45,T_TTAFCallOff[WeekIndex],49)</f>
        <v/>
      </c>
      <c r="AY45">
        <f>SUMIFS(T_TTAFCallOff[PCS],T_TTAFCallOff[Part Name],$A45,T_TTAFCallOff[WeekIndex],50)</f>
        <v/>
      </c>
      <c r="AZ45">
        <f>SUMIFS(T_TTAFCallOff[PCS],T_TTAFCallOff[Part Name],$A45,T_TTAFCallOff[WeekIndex],51)</f>
        <v/>
      </c>
      <c r="BA45">
        <f>SUMIFS(T_TTAFCallOff[PCS],T_TTAFCallOff[Part Name],$A45,T_TTAFCallOff[WeekIndex],52)</f>
        <v/>
      </c>
      <c r="BB45">
        <f>SUMIFS(T_TTAFCallOff[PCS],T_TTAFCallOff[Part Name],$A45,T_TTAFCallOff[WeekIndex],53)</f>
        <v/>
      </c>
      <c r="BC45">
        <f>SUMIFS(T_TTAFCallOff[PCS],T_TTAFCallOff[Part Name],$A45,T_TTAFCallOff[WeekIndex],54)</f>
        <v/>
      </c>
      <c r="BD45">
        <f>SUMIFS(T_TTAFCallOff[PCS],T_TTAFCallOff[Part Name],$A45,T_TTAFCallOff[WeekIndex],55)</f>
        <v/>
      </c>
      <c r="BE45">
        <f>SUMIFS(T_TTAFCallOff[PCS],T_TTAFCallOff[Part Name],$A45,T_TTAFCallOff[WeekIndex],56)</f>
        <v/>
      </c>
      <c r="BF45">
        <f>SUMIFS(T_TTAFCallOff[PCS],T_TTAFCallOff[Part Name],$A45,T_TTAFCallOff[WeekIndex],57)</f>
        <v/>
      </c>
      <c r="BG45">
        <f>SUMIFS(T_TTAFCallOff[PCS],T_TTAFCallOff[Part Name],$A45,T_TTAFCallOff[WeekIndex],58)</f>
        <v/>
      </c>
      <c r="BH45">
        <f>SUMIFS(T_TTAFCallOff[PCS],T_TTAFCallOff[Part Name],$A45,T_TTAFCallOff[WeekIndex],59)</f>
        <v/>
      </c>
      <c r="BI45">
        <f>SUMIFS(T_TTAFCallOff[PCS],T_TTAFCallOff[Part Name],$A45,T_TTAFCallOff[WeekIndex],60)</f>
        <v/>
      </c>
      <c r="BJ45">
        <f>SUMIFS(T_TTAFCallOff[PCS],T_TTAFCallOff[Part Name],$A45,T_TTAFCallOff[WeekIndex],61)</f>
        <v/>
      </c>
      <c r="BK45">
        <f>SUMIFS(T_TTAFCallOff[PCS],T_TTAFCallOff[Part Name],$A45,T_TTAFCallOff[WeekIndex],62)</f>
        <v/>
      </c>
      <c r="BL45">
        <f>SUMIFS(T_TTAFCallOff[PCS],T_TTAFCallOff[Part Name],$A45,T_TTAFCallOff[WeekIndex],63)</f>
        <v/>
      </c>
      <c r="BM45">
        <f>SUMIFS(T_TTAFCallOff[PCS],T_TTAFCallOff[Part Name],$A45,T_TTAFCallOff[WeekIndex],64)</f>
        <v/>
      </c>
      <c r="BN45">
        <f>SUMIFS(T_TTAFCallOff[PCS],T_TTAFCallOff[Part Name],$A45,T_TTAFCallOff[WeekIndex],65)</f>
        <v/>
      </c>
      <c r="BO45">
        <f>SUMIFS(T_TTAFCallOff[PCS],T_TTAFCallOff[Part Name],$A45,T_TTAFCallOff[WeekIndex],66)</f>
        <v/>
      </c>
      <c r="BP45">
        <f>SUMIFS(T_TTAFCallOff[PCS],T_TTAFCallOff[Part Name],$A45,T_TTAFCallOff[WeekIndex],67)</f>
        <v/>
      </c>
      <c r="BQ45">
        <f>SUMIFS(T_TTAFCallOff[PCS],T_TTAFCallOff[Part Name],$A45,T_TTAFCallOff[WeekIndex],68)</f>
        <v/>
      </c>
      <c r="BR45">
        <f>SUMIFS(T_TTAFCallOff[PCS],T_TTAFCallOff[Part Name],$A45,T_TTAFCallOff[WeekIndex],69)</f>
        <v/>
      </c>
      <c r="BS45">
        <f>SUMIFS(T_TTAFCallOff[PCS],T_TTAFCallOff[Part Name],$A45,T_TTAFCallOff[WeekIndex],70)</f>
        <v/>
      </c>
      <c r="BT45">
        <f>SUMIFS(T_TTAFCallOff[PCS],T_TTAFCallOff[Part Name],$A45,T_TTAFCallOff[WeekIndex],71)</f>
        <v/>
      </c>
      <c r="BU45">
        <f>SUMIFS(T_TTAFCallOff[PCS],T_TTAFCallOff[Part Name],$A45,T_TTAFCallOff[WeekIndex],72)</f>
        <v/>
      </c>
      <c r="BV45">
        <f>SUMIFS(T_TTAFCallOff[PCS],T_TTAFCallOff[Part Name],$A45,T_TTAFCallOff[WeekIndex],73)</f>
        <v/>
      </c>
      <c r="BW45">
        <f>SUMIFS(T_TTAFCallOff[PCS],T_TTAFCallOff[Part Name],$A45,T_TTAFCallOff[WeekIndex],74)</f>
        <v/>
      </c>
      <c r="BX45">
        <f>SUMIFS(T_TTAFCallOff[PCS],T_TTAFCallOff[Part Name],$A45,T_TTAFCallOff[WeekIndex],75)</f>
        <v/>
      </c>
      <c r="BY45">
        <f>SUMIFS(T_TTAFCallOff[PCS],T_TTAFCallOff[Part Name],$A45,T_TTAFCallOff[WeekIndex],76)</f>
        <v/>
      </c>
      <c r="BZ45">
        <f>SUMIFS(T_TTAFCallOff[PCS],T_TTAFCallOff[Part Name],$A45,T_TTAFCallOff[WeekIndex],77)</f>
        <v/>
      </c>
      <c r="CA45">
        <f>SUMIFS(T_TTAFCallOff[PCS],T_TTAFCallOff[Part Name],$A45,T_TTAFCallOff[WeekIndex],78)</f>
        <v/>
      </c>
      <c r="CB45">
        <f>SUMIFS(T_TTAFCallOff[PCS],T_TTAFCallOff[Part Name],$A45,T_TTAFCallOff[WeekIndex],79)</f>
        <v/>
      </c>
      <c r="CC45">
        <f>SUMIFS(T_TTAFCallOff[PCS],T_TTAFCallOff[Part Name],$A45,T_TTAFCallOff[WeekIndex],80)</f>
        <v/>
      </c>
      <c r="CD45">
        <f>SUMIFS(T_TTAFCallOff[PCS],T_TTAFCallOff[Part Name],$A45,T_TTAFCallOff[WeekIndex],81)</f>
        <v/>
      </c>
      <c r="CE45">
        <f>SUMIFS(T_TTAFCallOff[PCS],T_TTAFCallOff[Part Name],$A45,T_TTAFCallOff[WeekIndex],82)</f>
        <v/>
      </c>
      <c r="CF45">
        <f>SUMIFS(T_TTAFCallOff[PCS],T_TTAFCallOff[Part Name],$A45,T_TTAFCallOff[WeekIndex],83)</f>
        <v/>
      </c>
      <c r="CG45">
        <f>SUMIFS(T_TTAFCallOff[PCS],T_TTAFCallOff[Part Name],$A45,T_TTAFCallOff[WeekIndex],84)</f>
        <v/>
      </c>
      <c r="CH45">
        <f>SUMIFS(T_TTAFCallOff[PCS],T_TTAFCallOff[Part Name],$A45,T_TTAFCallOff[WeekIndex],85)</f>
        <v/>
      </c>
      <c r="CI45">
        <f>SUMIFS(T_TTAFCallOff[PCS],T_TTAFCallOff[Part Name],$A45,T_TTAFCallOff[WeekIndex],86)</f>
        <v/>
      </c>
      <c r="CJ45">
        <f>SUMIFS(T_TTAFCallOff[PCS],T_TTAFCallOff[Part Name],$A45,T_TTAFCallOff[WeekIndex],87)</f>
        <v/>
      </c>
      <c r="CK45">
        <f>SUMIFS(T_TTAFCallOff[PCS],T_TTAFCallOff[Part Name],$A45,T_TTAFCallOff[WeekIndex],88)</f>
        <v/>
      </c>
      <c r="CL45">
        <f>SUMIFS(T_TTAFCallOff[PCS],T_TTAFCallOff[Part Name],$A45,T_TTAFCallOff[WeekIndex],89)</f>
        <v/>
      </c>
      <c r="CM45">
        <f>SUMIFS(T_TTAFCallOff[PCS],T_TTAFCallOff[Part Name],$A45,T_TTAFCallOff[WeekIndex],90)</f>
        <v/>
      </c>
      <c r="CN45">
        <f>SUMIFS(T_TTAFCallOff[PCS],T_TTAFCallOff[Part Name],$A45,T_TTAFCallOff[WeekIndex],91)</f>
        <v/>
      </c>
      <c r="CO45">
        <f>SUMIFS(T_TTAFCallOff[PCS],T_TTAFCallOff[Part Name],$A45,T_TTAFCallOff[WeekIndex],92)</f>
        <v/>
      </c>
      <c r="CP45">
        <f>SUMIFS(T_TTAFCallOff[PCS],T_TTAFCallOff[Part Name],$A45,T_TTAFCallOff[WeekIndex],93)</f>
        <v/>
      </c>
      <c r="CQ45">
        <f>SUMIFS(T_TTAFCallOff[PCS],T_TTAFCallOff[Part Name],$A45,T_TTAFCallOff[WeekIndex],94)</f>
        <v/>
      </c>
      <c r="CR45">
        <f>SUMIFS(T_TTAFCallOff[PCS],T_TTAFCallOff[Part Name],$A45,T_TTAFCallOff[WeekIndex],95)</f>
        <v/>
      </c>
      <c r="CS45">
        <f>SUMIFS(T_TTAFCallOff[PCS],T_TTAFCallOff[Part Name],$A45,T_TTAFCallOff[WeekIndex],96)</f>
        <v/>
      </c>
      <c r="CT45">
        <f>SUMIFS(T_TTAFCallOff[PCS],T_TTAFCallOff[Part Name],$A45,T_TTAFCallOff[WeekIndex],97)</f>
        <v/>
      </c>
      <c r="CU45">
        <f>SUMIFS(T_TTAFCallOff[PCS],T_TTAFCallOff[Part Name],$A45,T_TTAFCallOff[WeekIndex],98)</f>
        <v/>
      </c>
      <c r="CV45">
        <f>SUMIFS(T_TTAFCallOff[PCS],T_TTAFCallOff[Part Name],$A45,T_TTAFCallOff[WeekIndex],99)</f>
        <v/>
      </c>
      <c r="CW45">
        <f>SUMIFS(T_TTAFCallOff[PCS],T_TTAFCallOff[Part Name],$A45,T_TTAFCallOff[WeekIndex],100)</f>
        <v/>
      </c>
      <c r="CX45">
        <f>SUMIFS(T_TTAFCallOff[PCS],T_TTAFCallOff[Part Name],$A45,T_TTAFCallOff[WeekIndex],101)</f>
        <v/>
      </c>
      <c r="CY45">
        <f>SUMIFS(T_TTAFCallOff[PCS],T_TTAFCallOff[Part Name],$A45,T_TTAFCallOff[WeekIndex],102)</f>
        <v/>
      </c>
      <c r="CZ45">
        <f>SUMIFS(T_TTAFCallOff[PCS],T_TTAFCallOff[Part Name],$A45,T_TTAFCallOff[WeekIndex],103)</f>
        <v/>
      </c>
      <c r="DA45">
        <f>SUMIFS(T_TTAFCallOff[PCS],T_TTAFCallOff[Part Name],$A45,T_TTAFCallOff[WeekIndex],104)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Name],$A2,T_StockCount[WeekIndex],1),IF(('T_SelfStock'!B6&lt;&gt;""),'T_SelfStock'!B6,IFERROR(INDEX(T_OpeningStock[Opening_Qty],MATCH($A2,T_OpeningStock[Part Name],0)),0)-'Grid_Requirement'!B2+'Grid_TTAFOutgoing'!B2))</f>
        <v/>
      </c>
      <c r="C2">
        <f>IF(COUNTIFS(T_StockCount[Part Name],$A2,T_StockCount[WeekIndex],2)&gt;0,SUMIFS(T_StockCount[CountedQty],T_StockCount[Part Name],$A2,T_StockCount[WeekIndex],2),IF(('T_SelfStock'!C6&lt;&gt;""),'T_SelfStock'!C6,B2-'Grid_Requirement'!C2+'Grid_TTAFOutgoing'!C2))</f>
        <v/>
      </c>
      <c r="D2">
        <f>IF(COUNTIFS(T_StockCount[Part Name],$A2,T_StockCount[WeekIndex],3)&gt;0,SUMIFS(T_StockCount[CountedQty],T_StockCount[Part Name],$A2,T_StockCount[WeekIndex],3),IF(('T_SelfStock'!D6&lt;&gt;""),'T_SelfStock'!D6,C2-'Grid_Requirement'!D2+'Grid_TTAFOutgoing'!D2))</f>
        <v/>
      </c>
      <c r="E2">
        <f>IF(COUNTIFS(T_StockCount[Part Name],$A2,T_StockCount[WeekIndex],4)&gt;0,SUMIFS(T_StockCount[CountedQty],T_StockCount[Part Name],$A2,T_StockCount[WeekIndex],4),IF(('T_SelfStock'!E6&lt;&gt;""),'T_SelfStock'!E6,D2-'Grid_Requirement'!E2+'Grid_TTAFOutgoing'!E2))</f>
        <v/>
      </c>
      <c r="F2">
        <f>IF(COUNTIFS(T_StockCount[Part Name],$A2,T_StockCount[WeekIndex],5)&gt;0,SUMIFS(T_StockCount[CountedQty],T_StockCount[Part Name],$A2,T_StockCount[WeekIndex],5),IF(('T_SelfStock'!F6&lt;&gt;""),'T_SelfStock'!F6,E2-'Grid_Requirement'!F2+'Grid_TTAFOutgoing'!F2))</f>
        <v/>
      </c>
      <c r="G2">
        <f>IF(COUNTIFS(T_StockCount[Part Name],$A2,T_StockCount[WeekIndex],6)&gt;0,SUMIFS(T_StockCount[CountedQty],T_StockCount[Part Name],$A2,T_StockCount[WeekIndex],6),IF(('T_SelfStock'!G6&lt;&gt;""),'T_SelfStock'!G6,F2-'Grid_Requirement'!G2+'Grid_TTAFOutgoing'!G2))</f>
        <v/>
      </c>
      <c r="H2">
        <f>IF(COUNTIFS(T_StockCount[Part Name],$A2,T_StockCount[WeekIndex],7)&gt;0,SUMIFS(T_StockCount[CountedQty],T_StockCount[Part Name],$A2,T_StockCount[WeekIndex],7),IF(('T_SelfStock'!H6&lt;&gt;""),'T_SelfStock'!H6,G2-'Grid_Requirement'!H2+'Grid_TTAFOutgoing'!H2))</f>
        <v/>
      </c>
      <c r="I2">
        <f>IF(COUNTIFS(T_StockCount[Part Name],$A2,T_StockCount[WeekIndex],8)&gt;0,SUMIFS(T_StockCount[CountedQty],T_StockCount[Part Name],$A2,T_StockCount[WeekIndex],8),IF(('T_SelfStock'!I6&lt;&gt;""),'T_SelfStock'!I6,H2-'Grid_Requirement'!I2+'Grid_TTAFOutgoing'!I2))</f>
        <v/>
      </c>
      <c r="J2">
        <f>IF(COUNTIFS(T_StockCount[Part Name],$A2,T_StockCount[WeekIndex],9)&gt;0,SUMIFS(T_StockCount[CountedQty],T_StockCount[Part Name],$A2,T_StockCount[WeekIndex],9),IF(('T_SelfStock'!J6&lt;&gt;""),'T_SelfStock'!J6,I2-'Grid_Requirement'!J2+'Grid_TTAFOutgoing'!J2))</f>
        <v/>
      </c>
      <c r="K2">
        <f>IF(COUNTIFS(T_StockCount[Part Name],$A2,T_StockCount[WeekIndex],10)&gt;0,SUMIFS(T_StockCount[CountedQty],T_StockCount[Part Name],$A2,T_StockCount[WeekIndex],10),IF(('T_SelfStock'!K6&lt;&gt;""),'T_SelfStock'!K6,J2-'Grid_Requirement'!K2+'Grid_TTAFOutgoing'!K2))</f>
        <v/>
      </c>
      <c r="L2">
        <f>IF(COUNTIFS(T_StockCount[Part Name],$A2,T_StockCount[WeekIndex],11)&gt;0,SUMIFS(T_StockCount[CountedQty],T_StockCount[Part Name],$A2,T_StockCount[WeekIndex],11),IF(('T_SelfStock'!L6&lt;&gt;""),'T_SelfStock'!L6,K2-'Grid_Requirement'!L2+'Grid_TTAFOutgoing'!L2))</f>
        <v/>
      </c>
      <c r="M2">
        <f>IF(COUNTIFS(T_StockCount[Part Name],$A2,T_StockCount[WeekIndex],12)&gt;0,SUMIFS(T_StockCount[CountedQty],T_StockCount[Part Name],$A2,T_StockCount[WeekIndex],12),IF(('T_SelfStock'!M6&lt;&gt;""),'T_SelfStock'!M6,L2-'Grid_Requirement'!M2+'Grid_TTAFOutgoing'!M2))</f>
        <v/>
      </c>
      <c r="N2">
        <f>IF(COUNTIFS(T_StockCount[Part Name],$A2,T_StockCount[WeekIndex],13)&gt;0,SUMIFS(T_StockCount[CountedQty],T_StockCount[Part Name],$A2,T_StockCount[WeekIndex],13),IF(('T_SelfStock'!N6&lt;&gt;""),'T_SelfStock'!N6,M2-'Grid_Requirement'!N2+'Grid_TTAFOutgoing'!N2))</f>
        <v/>
      </c>
      <c r="O2">
        <f>IF(COUNTIFS(T_StockCount[Part Name],$A2,T_StockCount[WeekIndex],14)&gt;0,SUMIFS(T_StockCount[CountedQty],T_StockCount[Part Name],$A2,T_StockCount[WeekIndex],14),IF(('T_SelfStock'!O6&lt;&gt;""),'T_SelfStock'!O6,N2-'Grid_Requirement'!O2+'Grid_TTAFOutgoing'!O2))</f>
        <v/>
      </c>
      <c r="P2">
        <f>IF(COUNTIFS(T_StockCount[Part Name],$A2,T_StockCount[WeekIndex],15)&gt;0,SUMIFS(T_StockCount[CountedQty],T_StockCount[Part Name],$A2,T_StockCount[WeekIndex],15),IF(('T_SelfStock'!P6&lt;&gt;""),'T_SelfStock'!P6,O2-'Grid_Requirement'!P2+'Grid_TTAFOutgoing'!P2))</f>
        <v/>
      </c>
      <c r="Q2">
        <f>IF(COUNTIFS(T_StockCount[Part Name],$A2,T_StockCount[WeekIndex],16)&gt;0,SUMIFS(T_StockCount[CountedQty],T_StockCount[Part Name],$A2,T_StockCount[WeekIndex],16),IF(('T_SelfStock'!Q6&lt;&gt;""),'T_SelfStock'!Q6,P2-'Grid_Requirement'!Q2+'Grid_TTAFOutgoing'!Q2))</f>
        <v/>
      </c>
      <c r="R2">
        <f>IF(COUNTIFS(T_StockCount[Part Name],$A2,T_StockCount[WeekIndex],17)&gt;0,SUMIFS(T_StockCount[CountedQty],T_StockCount[Part Name],$A2,T_StockCount[WeekIndex],17),IF(('T_SelfStock'!R6&lt;&gt;""),'T_SelfStock'!R6,Q2-'Grid_Requirement'!R2+'Grid_TTAFOutgoing'!R2))</f>
        <v/>
      </c>
      <c r="S2">
        <f>IF(COUNTIFS(T_StockCount[Part Name],$A2,T_StockCount[WeekIndex],18)&gt;0,SUMIFS(T_StockCount[CountedQty],T_StockCount[Part Name],$A2,T_StockCount[WeekIndex],18),IF(('T_SelfStock'!S6&lt;&gt;""),'T_SelfStock'!S6,R2-'Grid_Requirement'!S2+'Grid_TTAFOutgoing'!S2))</f>
        <v/>
      </c>
      <c r="T2">
        <f>IF(COUNTIFS(T_StockCount[Part Name],$A2,T_StockCount[WeekIndex],19)&gt;0,SUMIFS(T_StockCount[CountedQty],T_StockCount[Part Name],$A2,T_StockCount[WeekIndex],19),IF(('T_SelfStock'!T6&lt;&gt;""),'T_SelfStock'!T6,S2-'Grid_Requirement'!T2+'Grid_TTAFOutgoing'!T2))</f>
        <v/>
      </c>
      <c r="U2">
        <f>IF(COUNTIFS(T_StockCount[Part Name],$A2,T_StockCount[WeekIndex],20)&gt;0,SUMIFS(T_StockCount[CountedQty],T_StockCount[Part Name],$A2,T_StockCount[WeekIndex],20),IF(('T_SelfStock'!U6&lt;&gt;""),'T_SelfStock'!U6,T2-'Grid_Requirement'!U2+'Grid_TTAFOutgoing'!U2))</f>
        <v/>
      </c>
      <c r="V2">
        <f>IF(COUNTIFS(T_StockCount[Part Name],$A2,T_StockCount[WeekIndex],21)&gt;0,SUMIFS(T_StockCount[CountedQty],T_StockCount[Part Name],$A2,T_StockCount[WeekIndex],21),IF(('T_SelfStock'!V6&lt;&gt;""),'T_SelfStock'!V6,U2-'Grid_Requirement'!V2+'Grid_TTAFOutgoing'!V2))</f>
        <v/>
      </c>
      <c r="W2">
        <f>IF(COUNTIFS(T_StockCount[Part Name],$A2,T_StockCount[WeekIndex],22)&gt;0,SUMIFS(T_StockCount[CountedQty],T_StockCount[Part Name],$A2,T_StockCount[WeekIndex],22),IF(('T_SelfStock'!W6&lt;&gt;""),'T_SelfStock'!W6,V2-'Grid_Requirement'!W2+'Grid_TTAFOutgoing'!W2))</f>
        <v/>
      </c>
      <c r="X2">
        <f>IF(COUNTIFS(T_StockCount[Part Name],$A2,T_StockCount[WeekIndex],23)&gt;0,SUMIFS(T_StockCount[CountedQty],T_StockCount[Part Name],$A2,T_StockCount[WeekIndex],23),IF(('T_SelfStock'!X6&lt;&gt;""),'T_SelfStock'!X6,W2-'Grid_Requirement'!X2+'Grid_TTAFOutgoing'!X2))</f>
        <v/>
      </c>
      <c r="Y2">
        <f>IF(COUNTIFS(T_StockCount[Part Name],$A2,T_StockCount[WeekIndex],24)&gt;0,SUMIFS(T_StockCount[CountedQty],T_StockCount[Part Name],$A2,T_StockCount[WeekIndex],24),IF(('T_SelfStock'!Y6&lt;&gt;""),'T_SelfStock'!Y6,X2-'Grid_Requirement'!Y2+'Grid_TTAFOutgoing'!Y2))</f>
        <v/>
      </c>
      <c r="Z2">
        <f>IF(COUNTIFS(T_StockCount[Part Name],$A2,T_StockCount[WeekIndex],25)&gt;0,SUMIFS(T_StockCount[CountedQty],T_StockCount[Part Name],$A2,T_StockCount[WeekIndex],25),IF(('T_SelfStock'!Z6&lt;&gt;""),'T_SelfStock'!Z6,Y2-'Grid_Requirement'!Z2+'Grid_TTAFOutgoing'!Z2))</f>
        <v/>
      </c>
      <c r="AA2">
        <f>IF(COUNTIFS(T_StockCount[Part Name],$A2,T_StockCount[WeekIndex],26)&gt;0,SUMIFS(T_StockCount[CountedQty],T_StockCount[Part Name],$A2,T_StockCount[WeekIndex],26),IF(('T_SelfStock'!AA6&lt;&gt;""),'T_SelfStock'!AA6,Z2-'Grid_Requirement'!AA2+'Grid_TTAFOutgoing'!AA2))</f>
        <v/>
      </c>
      <c r="AB2">
        <f>IF(COUNTIFS(T_StockCount[Part Name],$A2,T_StockCount[WeekIndex],27)&gt;0,SUMIFS(T_StockCount[CountedQty],T_StockCount[Part Name],$A2,T_StockCount[WeekIndex],27),IF(('T_SelfStock'!AB6&lt;&gt;""),'T_SelfStock'!AB6,AA2-'Grid_Requirement'!AB2+'Grid_TTAFOutgoing'!AB2))</f>
        <v/>
      </c>
      <c r="AC2">
        <f>IF(COUNTIFS(T_StockCount[Part Name],$A2,T_StockCount[WeekIndex],28)&gt;0,SUMIFS(T_StockCount[CountedQty],T_StockCount[Part Name],$A2,T_StockCount[WeekIndex],28),IF(('T_SelfStock'!AC6&lt;&gt;""),'T_SelfStock'!AC6,AB2-'Grid_Requirement'!AC2+'Grid_TTAFOutgoing'!AC2))</f>
        <v/>
      </c>
      <c r="AD2">
        <f>IF(COUNTIFS(T_StockCount[Part Name],$A2,T_StockCount[WeekIndex],29)&gt;0,SUMIFS(T_StockCount[CountedQty],T_StockCount[Part Name],$A2,T_StockCount[WeekIndex],29),IF(('T_SelfStock'!AD6&lt;&gt;""),'T_SelfStock'!AD6,AC2-'Grid_Requirement'!AD2+'Grid_TTAFOutgoing'!AD2))</f>
        <v/>
      </c>
      <c r="AE2">
        <f>IF(COUNTIFS(T_StockCount[Part Name],$A2,T_StockCount[WeekIndex],30)&gt;0,SUMIFS(T_StockCount[CountedQty],T_StockCount[Part Name],$A2,T_StockCount[WeekIndex],30),IF(('T_SelfStock'!AE6&lt;&gt;""),'T_SelfStock'!AE6,AD2-'Grid_Requirement'!AE2+'Grid_TTAFOutgoing'!AE2))</f>
        <v/>
      </c>
      <c r="AF2">
        <f>IF(COUNTIFS(T_StockCount[Part Name],$A2,T_StockCount[WeekIndex],31)&gt;0,SUMIFS(T_StockCount[CountedQty],T_StockCount[Part Name],$A2,T_StockCount[WeekIndex],31),IF(('T_SelfStock'!AF6&lt;&gt;""),'T_SelfStock'!AF6,AE2-'Grid_Requirement'!AF2+'Grid_TTAFOutgoing'!AF2))</f>
        <v/>
      </c>
      <c r="AG2">
        <f>IF(COUNTIFS(T_StockCount[Part Name],$A2,T_StockCount[WeekIndex],32)&gt;0,SUMIFS(T_StockCount[CountedQty],T_StockCount[Part Name],$A2,T_StockCount[WeekIndex],32),IF(('T_SelfStock'!AG6&lt;&gt;""),'T_SelfStock'!AG6,AF2-'Grid_Requirement'!AG2+'Grid_TTAFOutgoing'!AG2))</f>
        <v/>
      </c>
      <c r="AH2">
        <f>IF(COUNTIFS(T_StockCount[Part Name],$A2,T_StockCount[WeekIndex],33)&gt;0,SUMIFS(T_StockCount[CountedQty],T_StockCount[Part Name],$A2,T_StockCount[WeekIndex],33),IF(('T_SelfStock'!AH6&lt;&gt;""),'T_SelfStock'!AH6,AG2-'Grid_Requirement'!AH2+'Grid_TTAFOutgoing'!AH2))</f>
        <v/>
      </c>
      <c r="AI2">
        <f>IF(COUNTIFS(T_StockCount[Part Name],$A2,T_StockCount[WeekIndex],34)&gt;0,SUMIFS(T_StockCount[CountedQty],T_StockCount[Part Name],$A2,T_StockCount[WeekIndex],34),IF(('T_SelfStock'!AI6&lt;&gt;""),'T_SelfStock'!AI6,AH2-'Grid_Requirement'!AI2+'Grid_TTAFOutgoing'!AI2))</f>
        <v/>
      </c>
      <c r="AJ2">
        <f>IF(COUNTIFS(T_StockCount[Part Name],$A2,T_StockCount[WeekIndex],35)&gt;0,SUMIFS(T_StockCount[CountedQty],T_StockCount[Part Name],$A2,T_StockCount[WeekIndex],35),IF(('T_SelfStock'!AJ6&lt;&gt;""),'T_SelfStock'!AJ6,AI2-'Grid_Requirement'!AJ2+'Grid_TTAFOutgoing'!AJ2))</f>
        <v/>
      </c>
      <c r="AK2">
        <f>IF(COUNTIFS(T_StockCount[Part Name],$A2,T_StockCount[WeekIndex],36)&gt;0,SUMIFS(T_StockCount[CountedQty],T_StockCount[Part Name],$A2,T_StockCount[WeekIndex],36),IF(('T_SelfStock'!AK6&lt;&gt;""),'T_SelfStock'!AK6,AJ2-'Grid_Requirement'!AK2+'Grid_TTAFOutgoing'!AK2))</f>
        <v/>
      </c>
      <c r="AL2">
        <f>IF(COUNTIFS(T_StockCount[Part Name],$A2,T_StockCount[WeekIndex],37)&gt;0,SUMIFS(T_StockCount[CountedQty],T_StockCount[Part Name],$A2,T_StockCount[WeekIndex],37),IF(('T_SelfStock'!AL6&lt;&gt;""),'T_SelfStock'!AL6,AK2-'Grid_Requirement'!AL2+'Grid_TTAFOutgoing'!AL2))</f>
        <v/>
      </c>
      <c r="AM2">
        <f>IF(COUNTIFS(T_StockCount[Part Name],$A2,T_StockCount[WeekIndex],38)&gt;0,SUMIFS(T_StockCount[CountedQty],T_StockCount[Part Name],$A2,T_StockCount[WeekIndex],38),IF(('T_SelfStock'!AM6&lt;&gt;""),'T_SelfStock'!AM6,AL2-'Grid_Requirement'!AM2+'Grid_TTAFOutgoing'!AM2))</f>
        <v/>
      </c>
      <c r="AN2">
        <f>IF(COUNTIFS(T_StockCount[Part Name],$A2,T_StockCount[WeekIndex],39)&gt;0,SUMIFS(T_StockCount[CountedQty],T_StockCount[Part Name],$A2,T_StockCount[WeekIndex],39),IF(('T_SelfStock'!AN6&lt;&gt;""),'T_SelfStock'!AN6,AM2-'Grid_Requirement'!AN2+'Grid_TTAFOutgoing'!AN2))</f>
        <v/>
      </c>
      <c r="AO2">
        <f>IF(COUNTIFS(T_StockCount[Part Name],$A2,T_StockCount[WeekIndex],40)&gt;0,SUMIFS(T_StockCount[CountedQty],T_StockCount[Part Name],$A2,T_StockCount[WeekIndex],40),IF(('T_SelfStock'!AO6&lt;&gt;""),'T_SelfStock'!AO6,AN2-'Grid_Requirement'!AO2+'Grid_TTAFOutgoing'!AO2))</f>
        <v/>
      </c>
      <c r="AP2">
        <f>IF(COUNTIFS(T_StockCount[Part Name],$A2,T_StockCount[WeekIndex],41)&gt;0,SUMIFS(T_StockCount[CountedQty],T_StockCount[Part Name],$A2,T_StockCount[WeekIndex],41),IF(('T_SelfStock'!AP6&lt;&gt;""),'T_SelfStock'!AP6,AO2-'Grid_Requirement'!AP2+'Grid_TTAFOutgoing'!AP2))</f>
        <v/>
      </c>
      <c r="AQ2">
        <f>IF(COUNTIFS(T_StockCount[Part Name],$A2,T_StockCount[WeekIndex],42)&gt;0,SUMIFS(T_StockCount[CountedQty],T_StockCount[Part Name],$A2,T_StockCount[WeekIndex],42),IF(('T_SelfStock'!AQ6&lt;&gt;""),'T_SelfStock'!AQ6,AP2-'Grid_Requirement'!AQ2+'Grid_TTAFOutgoing'!AQ2))</f>
        <v/>
      </c>
      <c r="AR2">
        <f>IF(COUNTIFS(T_StockCount[Part Name],$A2,T_StockCount[WeekIndex],43)&gt;0,SUMIFS(T_StockCount[CountedQty],T_StockCount[Part Name],$A2,T_StockCount[WeekIndex],43),IF(('T_SelfStock'!AR6&lt;&gt;""),'T_SelfStock'!AR6,AQ2-'Grid_Requirement'!AR2+'Grid_TTAFOutgoing'!AR2))</f>
        <v/>
      </c>
      <c r="AS2">
        <f>IF(COUNTIFS(T_StockCount[Part Name],$A2,T_StockCount[WeekIndex],44)&gt;0,SUMIFS(T_StockCount[CountedQty],T_StockCount[Part Name],$A2,T_StockCount[WeekIndex],44),IF(('T_SelfStock'!AS6&lt;&gt;""),'T_SelfStock'!AS6,AR2-'Grid_Requirement'!AS2+'Grid_TTAFOutgoing'!AS2))</f>
        <v/>
      </c>
      <c r="AT2">
        <f>IF(COUNTIFS(T_StockCount[Part Name],$A2,T_StockCount[WeekIndex],45)&gt;0,SUMIFS(T_StockCount[CountedQty],T_StockCount[Part Name],$A2,T_StockCount[WeekIndex],45),IF(('T_SelfStock'!AT6&lt;&gt;""),'T_SelfStock'!AT6,AS2-'Grid_Requirement'!AT2+'Grid_TTAFOutgoing'!AT2))</f>
        <v/>
      </c>
      <c r="AU2">
        <f>IF(COUNTIFS(T_StockCount[Part Name],$A2,T_StockCount[WeekIndex],46)&gt;0,SUMIFS(T_StockCount[CountedQty],T_StockCount[Part Name],$A2,T_StockCount[WeekIndex],46),IF(('T_SelfStock'!AU6&lt;&gt;""),'T_SelfStock'!AU6,AT2-'Grid_Requirement'!AU2+'Grid_TTAFOutgoing'!AU2))</f>
        <v/>
      </c>
      <c r="AV2">
        <f>IF(COUNTIFS(T_StockCount[Part Name],$A2,T_StockCount[WeekIndex],47)&gt;0,SUMIFS(T_StockCount[CountedQty],T_StockCount[Part Name],$A2,T_StockCount[WeekIndex],47),IF(('T_SelfStock'!AV6&lt;&gt;""),'T_SelfStock'!AV6,AU2-'Grid_Requirement'!AV2+'Grid_TTAFOutgoing'!AV2))</f>
        <v/>
      </c>
      <c r="AW2">
        <f>IF(COUNTIFS(T_StockCount[Part Name],$A2,T_StockCount[WeekIndex],48)&gt;0,SUMIFS(T_StockCount[CountedQty],T_StockCount[Part Name],$A2,T_StockCount[WeekIndex],48),IF(('T_SelfStock'!AW6&lt;&gt;""),'T_SelfStock'!AW6,AV2-'Grid_Requirement'!AW2+'Grid_TTAFOutgoing'!AW2))</f>
        <v/>
      </c>
      <c r="AX2">
        <f>IF(COUNTIFS(T_StockCount[Part Name],$A2,T_StockCount[WeekIndex],49)&gt;0,SUMIFS(T_StockCount[CountedQty],T_StockCount[Part Name],$A2,T_StockCount[WeekIndex],49),IF(('T_SelfStock'!AX6&lt;&gt;""),'T_SelfStock'!AX6,AW2-'Grid_Requirement'!AX2+'Grid_TTAFOutgoing'!AX2))</f>
        <v/>
      </c>
      <c r="AY2">
        <f>IF(COUNTIFS(T_StockCount[Part Name],$A2,T_StockCount[WeekIndex],50)&gt;0,SUMIFS(T_StockCount[CountedQty],T_StockCount[Part Name],$A2,T_StockCount[WeekIndex],50),IF(('T_SelfStock'!AY6&lt;&gt;""),'T_SelfStock'!AY6,AX2-'Grid_Requirement'!AY2+'Grid_TTAFOutgoing'!AY2))</f>
        <v/>
      </c>
      <c r="AZ2">
        <f>IF(COUNTIFS(T_StockCount[Part Name],$A2,T_StockCount[WeekIndex],51)&gt;0,SUMIFS(T_StockCount[CountedQty],T_StockCount[Part Name],$A2,T_StockCount[WeekIndex],51),IF(('T_SelfStock'!AZ6&lt;&gt;""),'T_SelfStock'!AZ6,AY2-'Grid_Requirement'!AZ2+'Grid_TTAFOutgoing'!AZ2))</f>
        <v/>
      </c>
      <c r="BA2">
        <f>IF(COUNTIFS(T_StockCount[Part Name],$A2,T_StockCount[WeekIndex],52)&gt;0,SUMIFS(T_StockCount[CountedQty],T_StockCount[Part Name],$A2,T_StockCount[WeekIndex],52),IF(('T_SelfStock'!BA6&lt;&gt;""),'T_SelfStock'!BA6,AZ2-'Grid_Requirement'!BA2+'Grid_TTAFOutgoing'!BA2))</f>
        <v/>
      </c>
      <c r="BB2">
        <f>IF(COUNTIFS(T_StockCount[Part Name],$A2,T_StockCount[WeekIndex],53)&gt;0,SUMIFS(T_StockCount[CountedQty],T_StockCount[Part Name],$A2,T_StockCount[WeekIndex],53),IF(('T_SelfStock'!BB6&lt;&gt;""),'T_SelfStock'!BB6,BA2-'Grid_Requirement'!BB2+'Grid_TTAFOutgoing'!BB2))</f>
        <v/>
      </c>
      <c r="BC2">
        <f>IF(COUNTIFS(T_StockCount[Part Name],$A2,T_StockCount[WeekIndex],54)&gt;0,SUMIFS(T_StockCount[CountedQty],T_StockCount[Part Name],$A2,T_StockCount[WeekIndex],54),IF(('T_SelfStock'!BC6&lt;&gt;""),'T_SelfStock'!BC6,BB2-'Grid_Requirement'!BC2+'Grid_TTAFOutgoing'!BC2))</f>
        <v/>
      </c>
      <c r="BD2">
        <f>IF(COUNTIFS(T_StockCount[Part Name],$A2,T_StockCount[WeekIndex],55)&gt;0,SUMIFS(T_StockCount[CountedQty],T_StockCount[Part Name],$A2,T_StockCount[WeekIndex],55),IF(('T_SelfStock'!BD6&lt;&gt;""),'T_SelfStock'!BD6,BC2-'Grid_Requirement'!BD2+'Grid_TTAFOutgoing'!BD2))</f>
        <v/>
      </c>
      <c r="BE2">
        <f>IF(COUNTIFS(T_StockCount[Part Name],$A2,T_StockCount[WeekIndex],56)&gt;0,SUMIFS(T_StockCount[CountedQty],T_StockCount[Part Name],$A2,T_StockCount[WeekIndex],56),IF(('T_SelfStock'!BE6&lt;&gt;""),'T_SelfStock'!BE6,BD2-'Grid_Requirement'!BE2+'Grid_TTAFOutgoing'!BE2))</f>
        <v/>
      </c>
      <c r="BF2">
        <f>IF(COUNTIFS(T_StockCount[Part Name],$A2,T_StockCount[WeekIndex],57)&gt;0,SUMIFS(T_StockCount[CountedQty],T_StockCount[Part Name],$A2,T_StockCount[WeekIndex],57),IF(('T_SelfStock'!BF6&lt;&gt;""),'T_SelfStock'!BF6,BE2-'Grid_Requirement'!BF2+'Grid_TTAFOutgoing'!BF2))</f>
        <v/>
      </c>
      <c r="BG2">
        <f>IF(COUNTIFS(T_StockCount[Part Name],$A2,T_StockCount[WeekIndex],58)&gt;0,SUMIFS(T_StockCount[CountedQty],T_StockCount[Part Name],$A2,T_StockCount[WeekIndex],58),IF(('T_SelfStock'!BG6&lt;&gt;""),'T_SelfStock'!BG6,BF2-'Grid_Requirement'!BG2+'Grid_TTAFOutgoing'!BG2))</f>
        <v/>
      </c>
      <c r="BH2">
        <f>IF(COUNTIFS(T_StockCount[Part Name],$A2,T_StockCount[WeekIndex],59)&gt;0,SUMIFS(T_StockCount[CountedQty],T_StockCount[Part Name],$A2,T_StockCount[WeekIndex],59),IF(('T_SelfStock'!BH6&lt;&gt;""),'T_SelfStock'!BH6,BG2-'Grid_Requirement'!BH2+'Grid_TTAFOutgoing'!BH2))</f>
        <v/>
      </c>
      <c r="BI2">
        <f>IF(COUNTIFS(T_StockCount[Part Name],$A2,T_StockCount[WeekIndex],60)&gt;0,SUMIFS(T_StockCount[CountedQty],T_StockCount[Part Name],$A2,T_StockCount[WeekIndex],60),IF(('T_SelfStock'!BI6&lt;&gt;""),'T_SelfStock'!BI6,BH2-'Grid_Requirement'!BI2+'Grid_TTAFOutgoing'!BI2))</f>
        <v/>
      </c>
      <c r="BJ2">
        <f>IF(COUNTIFS(T_StockCount[Part Name],$A2,T_StockCount[WeekIndex],61)&gt;0,SUMIFS(T_StockCount[CountedQty],T_StockCount[Part Name],$A2,T_StockCount[WeekIndex],61),IF(('T_SelfStock'!BJ6&lt;&gt;""),'T_SelfStock'!BJ6,BI2-'Grid_Requirement'!BJ2+'Grid_TTAFOutgoing'!BJ2))</f>
        <v/>
      </c>
      <c r="BK2">
        <f>IF(COUNTIFS(T_StockCount[Part Name],$A2,T_StockCount[WeekIndex],62)&gt;0,SUMIFS(T_StockCount[CountedQty],T_StockCount[Part Name],$A2,T_StockCount[WeekIndex],62),IF(('T_SelfStock'!BK6&lt;&gt;""),'T_SelfStock'!BK6,BJ2-'Grid_Requirement'!BK2+'Grid_TTAFOutgoing'!BK2))</f>
        <v/>
      </c>
      <c r="BL2">
        <f>IF(COUNTIFS(T_StockCount[Part Name],$A2,T_StockCount[WeekIndex],63)&gt;0,SUMIFS(T_StockCount[CountedQty],T_StockCount[Part Name],$A2,T_StockCount[WeekIndex],63),IF(('T_SelfStock'!BL6&lt;&gt;""),'T_SelfStock'!BL6,BK2-'Grid_Requirement'!BL2+'Grid_TTAFOutgoing'!BL2))</f>
        <v/>
      </c>
      <c r="BM2">
        <f>IF(COUNTIFS(T_StockCount[Part Name],$A2,T_StockCount[WeekIndex],64)&gt;0,SUMIFS(T_StockCount[CountedQty],T_StockCount[Part Name],$A2,T_StockCount[WeekIndex],64),IF(('T_SelfStock'!BM6&lt;&gt;""),'T_SelfStock'!BM6,BL2-'Grid_Requirement'!BM2+'Grid_TTAFOutgoing'!BM2))</f>
        <v/>
      </c>
      <c r="BN2">
        <f>IF(COUNTIFS(T_StockCount[Part Name],$A2,T_StockCount[WeekIndex],65)&gt;0,SUMIFS(T_StockCount[CountedQty],T_StockCount[Part Name],$A2,T_StockCount[WeekIndex],65),IF(('T_SelfStock'!BN6&lt;&gt;""),'T_SelfStock'!BN6,BM2-'Grid_Requirement'!BN2+'Grid_TTAFOutgoing'!BN2))</f>
        <v/>
      </c>
      <c r="BO2">
        <f>IF(COUNTIFS(T_StockCount[Part Name],$A2,T_StockCount[WeekIndex],66)&gt;0,SUMIFS(T_StockCount[CountedQty],T_StockCount[Part Name],$A2,T_StockCount[WeekIndex],66),IF(('T_SelfStock'!BO6&lt;&gt;""),'T_SelfStock'!BO6,BN2-'Grid_Requirement'!BO2+'Grid_TTAFOutgoing'!BO2))</f>
        <v/>
      </c>
      <c r="BP2">
        <f>IF(COUNTIFS(T_StockCount[Part Name],$A2,T_StockCount[WeekIndex],67)&gt;0,SUMIFS(T_StockCount[CountedQty],T_StockCount[Part Name],$A2,T_StockCount[WeekIndex],67),IF(('T_SelfStock'!BP6&lt;&gt;""),'T_SelfStock'!BP6,BO2-'Grid_Requirement'!BP2+'Grid_TTAFOutgoing'!BP2))</f>
        <v/>
      </c>
      <c r="BQ2">
        <f>IF(COUNTIFS(T_StockCount[Part Name],$A2,T_StockCount[WeekIndex],68)&gt;0,SUMIFS(T_StockCount[CountedQty],T_StockCount[Part Name],$A2,T_StockCount[WeekIndex],68),IF(('T_SelfStock'!BQ6&lt;&gt;""),'T_SelfStock'!BQ6,BP2-'Grid_Requirement'!BQ2+'Grid_TTAFOutgoing'!BQ2))</f>
        <v/>
      </c>
      <c r="BR2">
        <f>IF(COUNTIFS(T_StockCount[Part Name],$A2,T_StockCount[WeekIndex],69)&gt;0,SUMIFS(T_StockCount[CountedQty],T_StockCount[Part Name],$A2,T_StockCount[WeekIndex],69),IF(('T_SelfStock'!BR6&lt;&gt;""),'T_SelfStock'!BR6,BQ2-'Grid_Requirement'!BR2+'Grid_TTAFOutgoing'!BR2))</f>
        <v/>
      </c>
      <c r="BS2">
        <f>IF(COUNTIFS(T_StockCount[Part Name],$A2,T_StockCount[WeekIndex],70)&gt;0,SUMIFS(T_StockCount[CountedQty],T_StockCount[Part Name],$A2,T_StockCount[WeekIndex],70),IF(('T_SelfStock'!BS6&lt;&gt;""),'T_SelfStock'!BS6,BR2-'Grid_Requirement'!BS2+'Grid_TTAFOutgoing'!BS2))</f>
        <v/>
      </c>
      <c r="BT2">
        <f>IF(COUNTIFS(T_StockCount[Part Name],$A2,T_StockCount[WeekIndex],71)&gt;0,SUMIFS(T_StockCount[CountedQty],T_StockCount[Part Name],$A2,T_StockCount[WeekIndex],71),IF(('T_SelfStock'!BT6&lt;&gt;""),'T_SelfStock'!BT6,BS2-'Grid_Requirement'!BT2+'Grid_TTAFOutgoing'!BT2))</f>
        <v/>
      </c>
      <c r="BU2">
        <f>IF(COUNTIFS(T_StockCount[Part Name],$A2,T_StockCount[WeekIndex],72)&gt;0,SUMIFS(T_StockCount[CountedQty],T_StockCount[Part Name],$A2,T_StockCount[WeekIndex],72),IF(('T_SelfStock'!BU6&lt;&gt;""),'T_SelfStock'!BU6,BT2-'Grid_Requirement'!BU2+'Grid_TTAFOutgoing'!BU2))</f>
        <v/>
      </c>
      <c r="BV2">
        <f>IF(COUNTIFS(T_StockCount[Part Name],$A2,T_StockCount[WeekIndex],73)&gt;0,SUMIFS(T_StockCount[CountedQty],T_StockCount[Part Name],$A2,T_StockCount[WeekIndex],73),IF(('T_SelfStock'!BV6&lt;&gt;""),'T_SelfStock'!BV6,BU2-'Grid_Requirement'!BV2+'Grid_TTAFOutgoing'!BV2))</f>
        <v/>
      </c>
      <c r="BW2">
        <f>IF(COUNTIFS(T_StockCount[Part Name],$A2,T_StockCount[WeekIndex],74)&gt;0,SUMIFS(T_StockCount[CountedQty],T_StockCount[Part Name],$A2,T_StockCount[WeekIndex],74),IF(('T_SelfStock'!BW6&lt;&gt;""),'T_SelfStock'!BW6,BV2-'Grid_Requirement'!BW2+'Grid_TTAFOutgoing'!BW2))</f>
        <v/>
      </c>
      <c r="BX2">
        <f>IF(COUNTIFS(T_StockCount[Part Name],$A2,T_StockCount[WeekIndex],75)&gt;0,SUMIFS(T_StockCount[CountedQty],T_StockCount[Part Name],$A2,T_StockCount[WeekIndex],75),IF(('T_SelfStock'!BX6&lt;&gt;""),'T_SelfStock'!BX6,BW2-'Grid_Requirement'!BX2+'Grid_TTAFOutgoing'!BX2))</f>
        <v/>
      </c>
      <c r="BY2">
        <f>IF(COUNTIFS(T_StockCount[Part Name],$A2,T_StockCount[WeekIndex],76)&gt;0,SUMIFS(T_StockCount[CountedQty],T_StockCount[Part Name],$A2,T_StockCount[WeekIndex],76),IF(('T_SelfStock'!BY6&lt;&gt;""),'T_SelfStock'!BY6,BX2-'Grid_Requirement'!BY2+'Grid_TTAFOutgoing'!BY2))</f>
        <v/>
      </c>
      <c r="BZ2">
        <f>IF(COUNTIFS(T_StockCount[Part Name],$A2,T_StockCount[WeekIndex],77)&gt;0,SUMIFS(T_StockCount[CountedQty],T_StockCount[Part Name],$A2,T_StockCount[WeekIndex],77),IF(('T_SelfStock'!BZ6&lt;&gt;""),'T_SelfStock'!BZ6,BY2-'Grid_Requirement'!BZ2+'Grid_TTAFOutgoing'!BZ2))</f>
        <v/>
      </c>
      <c r="CA2">
        <f>IF(COUNTIFS(T_StockCount[Part Name],$A2,T_StockCount[WeekIndex],78)&gt;0,SUMIFS(T_StockCount[CountedQty],T_StockCount[Part Name],$A2,T_StockCount[WeekIndex],78),IF(('T_SelfStock'!CA6&lt;&gt;""),'T_SelfStock'!CA6,BZ2-'Grid_Requirement'!CA2+'Grid_TTAFOutgoing'!CA2))</f>
        <v/>
      </c>
      <c r="CB2">
        <f>IF(COUNTIFS(T_StockCount[Part Name],$A2,T_StockCount[WeekIndex],79)&gt;0,SUMIFS(T_StockCount[CountedQty],T_StockCount[Part Name],$A2,T_StockCount[WeekIndex],79),IF(('T_SelfStock'!CB6&lt;&gt;""),'T_SelfStock'!CB6,CA2-'Grid_Requirement'!CB2+'Grid_TTAFOutgoing'!CB2))</f>
        <v/>
      </c>
      <c r="CC2">
        <f>IF(COUNTIFS(T_StockCount[Part Name],$A2,T_StockCount[WeekIndex],80)&gt;0,SUMIFS(T_StockCount[CountedQty],T_StockCount[Part Name],$A2,T_StockCount[WeekIndex],80),IF(('T_SelfStock'!CC6&lt;&gt;""),'T_SelfStock'!CC6,CB2-'Grid_Requirement'!CC2+'Grid_TTAFOutgoing'!CC2))</f>
        <v/>
      </c>
      <c r="CD2">
        <f>IF(COUNTIFS(T_StockCount[Part Name],$A2,T_StockCount[WeekIndex],81)&gt;0,SUMIFS(T_StockCount[CountedQty],T_StockCount[Part Name],$A2,T_StockCount[WeekIndex],81),IF(('T_SelfStock'!CD6&lt;&gt;""),'T_SelfStock'!CD6,CC2-'Grid_Requirement'!CD2+'Grid_TTAFOutgoing'!CD2))</f>
        <v/>
      </c>
      <c r="CE2">
        <f>IF(COUNTIFS(T_StockCount[Part Name],$A2,T_StockCount[WeekIndex],82)&gt;0,SUMIFS(T_StockCount[CountedQty],T_StockCount[Part Name],$A2,T_StockCount[WeekIndex],82),IF(('T_SelfStock'!CE6&lt;&gt;""),'T_SelfStock'!CE6,CD2-'Grid_Requirement'!CE2+'Grid_TTAFOutgoing'!CE2))</f>
        <v/>
      </c>
      <c r="CF2">
        <f>IF(COUNTIFS(T_StockCount[Part Name],$A2,T_StockCount[WeekIndex],83)&gt;0,SUMIFS(T_StockCount[CountedQty],T_StockCount[Part Name],$A2,T_StockCount[WeekIndex],83),IF(('T_SelfStock'!CF6&lt;&gt;""),'T_SelfStock'!CF6,CE2-'Grid_Requirement'!CF2+'Grid_TTAFOutgoing'!CF2))</f>
        <v/>
      </c>
      <c r="CG2">
        <f>IF(COUNTIFS(T_StockCount[Part Name],$A2,T_StockCount[WeekIndex],84)&gt;0,SUMIFS(T_StockCount[CountedQty],T_StockCount[Part Name],$A2,T_StockCount[WeekIndex],84),IF(('T_SelfStock'!CG6&lt;&gt;""),'T_SelfStock'!CG6,CF2-'Grid_Requirement'!CG2+'Grid_TTAFOutgoing'!CG2))</f>
        <v/>
      </c>
      <c r="CH2">
        <f>IF(COUNTIFS(T_StockCount[Part Name],$A2,T_StockCount[WeekIndex],85)&gt;0,SUMIFS(T_StockCount[CountedQty],T_StockCount[Part Name],$A2,T_StockCount[WeekIndex],85),IF(('T_SelfStock'!CH6&lt;&gt;""),'T_SelfStock'!CH6,CG2-'Grid_Requirement'!CH2+'Grid_TTAFOutgoing'!CH2))</f>
        <v/>
      </c>
      <c r="CI2">
        <f>IF(COUNTIFS(T_StockCount[Part Name],$A2,T_StockCount[WeekIndex],86)&gt;0,SUMIFS(T_StockCount[CountedQty],T_StockCount[Part Name],$A2,T_StockCount[WeekIndex],86),IF(('T_SelfStock'!CI6&lt;&gt;""),'T_SelfStock'!CI6,CH2-'Grid_Requirement'!CI2+'Grid_TTAFOutgoing'!CI2))</f>
        <v/>
      </c>
      <c r="CJ2">
        <f>IF(COUNTIFS(T_StockCount[Part Name],$A2,T_StockCount[WeekIndex],87)&gt;0,SUMIFS(T_StockCount[CountedQty],T_StockCount[Part Name],$A2,T_StockCount[WeekIndex],87),IF(('T_SelfStock'!CJ6&lt;&gt;""),'T_SelfStock'!CJ6,CI2-'Grid_Requirement'!CJ2+'Grid_TTAFOutgoing'!CJ2))</f>
        <v/>
      </c>
      <c r="CK2">
        <f>IF(COUNTIFS(T_StockCount[Part Name],$A2,T_StockCount[WeekIndex],88)&gt;0,SUMIFS(T_StockCount[CountedQty],T_StockCount[Part Name],$A2,T_StockCount[WeekIndex],88),IF(('T_SelfStock'!CK6&lt;&gt;""),'T_SelfStock'!CK6,CJ2-'Grid_Requirement'!CK2+'Grid_TTAFOutgoing'!CK2))</f>
        <v/>
      </c>
      <c r="CL2">
        <f>IF(COUNTIFS(T_StockCount[Part Name],$A2,T_StockCount[WeekIndex],89)&gt;0,SUMIFS(T_StockCount[CountedQty],T_StockCount[Part Name],$A2,T_StockCount[WeekIndex],89),IF(('T_SelfStock'!CL6&lt;&gt;""),'T_SelfStock'!CL6,CK2-'Grid_Requirement'!CL2+'Grid_TTAFOutgoing'!CL2))</f>
        <v/>
      </c>
      <c r="CM2">
        <f>IF(COUNTIFS(T_StockCount[Part Name],$A2,T_StockCount[WeekIndex],90)&gt;0,SUMIFS(T_StockCount[CountedQty],T_StockCount[Part Name],$A2,T_StockCount[WeekIndex],90),IF(('T_SelfStock'!CM6&lt;&gt;""),'T_SelfStock'!CM6,CL2-'Grid_Requirement'!CM2+'Grid_TTAFOutgoing'!CM2))</f>
        <v/>
      </c>
      <c r="CN2">
        <f>IF(COUNTIFS(T_StockCount[Part Name],$A2,T_StockCount[WeekIndex],91)&gt;0,SUMIFS(T_StockCount[CountedQty],T_StockCount[Part Name],$A2,T_StockCount[WeekIndex],91),IF(('T_SelfStock'!CN6&lt;&gt;""),'T_SelfStock'!CN6,CM2-'Grid_Requirement'!CN2+'Grid_TTAFOutgoing'!CN2))</f>
        <v/>
      </c>
      <c r="CO2">
        <f>IF(COUNTIFS(T_StockCount[Part Name],$A2,T_StockCount[WeekIndex],92)&gt;0,SUMIFS(T_StockCount[CountedQty],T_StockCount[Part Name],$A2,T_StockCount[WeekIndex],92),IF(('T_SelfStock'!CO6&lt;&gt;""),'T_SelfStock'!CO6,CN2-'Grid_Requirement'!CO2+'Grid_TTAFOutgoing'!CO2))</f>
        <v/>
      </c>
      <c r="CP2">
        <f>IF(COUNTIFS(T_StockCount[Part Name],$A2,T_StockCount[WeekIndex],93)&gt;0,SUMIFS(T_StockCount[CountedQty],T_StockCount[Part Name],$A2,T_StockCount[WeekIndex],93),IF(('T_SelfStock'!CP6&lt;&gt;""),'T_SelfStock'!CP6,CO2-'Grid_Requirement'!CP2+'Grid_TTAFOutgoing'!CP2))</f>
        <v/>
      </c>
      <c r="CQ2">
        <f>IF(COUNTIFS(T_StockCount[Part Name],$A2,T_StockCount[WeekIndex],94)&gt;0,SUMIFS(T_StockCount[CountedQty],T_StockCount[Part Name],$A2,T_StockCount[WeekIndex],94),IF(('T_SelfStock'!CQ6&lt;&gt;""),'T_SelfStock'!CQ6,CP2-'Grid_Requirement'!CQ2+'Grid_TTAFOutgoing'!CQ2))</f>
        <v/>
      </c>
      <c r="CR2">
        <f>IF(COUNTIFS(T_StockCount[Part Name],$A2,T_StockCount[WeekIndex],95)&gt;0,SUMIFS(T_StockCount[CountedQty],T_StockCount[Part Name],$A2,T_StockCount[WeekIndex],95),IF(('T_SelfStock'!CR6&lt;&gt;""),'T_SelfStock'!CR6,CQ2-'Grid_Requirement'!CR2+'Grid_TTAFOutgoing'!CR2))</f>
        <v/>
      </c>
      <c r="CS2">
        <f>IF(COUNTIFS(T_StockCount[Part Name],$A2,T_StockCount[WeekIndex],96)&gt;0,SUMIFS(T_StockCount[CountedQty],T_StockCount[Part Name],$A2,T_StockCount[WeekIndex],96),IF(('T_SelfStock'!CS6&lt;&gt;""),'T_SelfStock'!CS6,CR2-'Grid_Requirement'!CS2+'Grid_TTAFOutgoing'!CS2))</f>
        <v/>
      </c>
      <c r="CT2">
        <f>IF(COUNTIFS(T_StockCount[Part Name],$A2,T_StockCount[WeekIndex],97)&gt;0,SUMIFS(T_StockCount[CountedQty],T_StockCount[Part Name],$A2,T_StockCount[WeekIndex],97),IF(('T_SelfStock'!CT6&lt;&gt;""),'T_SelfStock'!CT6,CS2-'Grid_Requirement'!CT2+'Grid_TTAFOutgoing'!CT2))</f>
        <v/>
      </c>
      <c r="CU2">
        <f>IF(COUNTIFS(T_StockCount[Part Name],$A2,T_StockCount[WeekIndex],98)&gt;0,SUMIFS(T_StockCount[CountedQty],T_StockCount[Part Name],$A2,T_StockCount[WeekIndex],98),IF(('T_SelfStock'!CU6&lt;&gt;""),'T_SelfStock'!CU6,CT2-'Grid_Requirement'!CU2+'Grid_TTAFOutgoing'!CU2))</f>
        <v/>
      </c>
      <c r="CV2">
        <f>IF(COUNTIFS(T_StockCount[Part Name],$A2,T_StockCount[WeekIndex],99)&gt;0,SUMIFS(T_StockCount[CountedQty],T_StockCount[Part Name],$A2,T_StockCount[WeekIndex],99),IF(('T_SelfStock'!CV6&lt;&gt;""),'T_SelfStock'!CV6,CU2-'Grid_Requirement'!CV2+'Grid_TTAFOutgoing'!CV2))</f>
        <v/>
      </c>
      <c r="CW2">
        <f>IF(COUNTIFS(T_StockCount[Part Name],$A2,T_StockCount[WeekIndex],100)&gt;0,SUMIFS(T_StockCount[CountedQty],T_StockCount[Part Name],$A2,T_StockCount[WeekIndex],100),IF(('T_SelfStock'!CW6&lt;&gt;""),'T_SelfStock'!CW6,CV2-'Grid_Requirement'!CW2+'Grid_TTAFOutgoing'!CW2))</f>
        <v/>
      </c>
      <c r="CX2">
        <f>IF(COUNTIFS(T_StockCount[Part Name],$A2,T_StockCount[WeekIndex],101)&gt;0,SUMIFS(T_StockCount[CountedQty],T_StockCount[Part Name],$A2,T_StockCount[WeekIndex],101),IF(('T_SelfStock'!CX6&lt;&gt;""),'T_SelfStock'!CX6,CW2-'Grid_Requirement'!CX2+'Grid_TTAFOutgoing'!CX2))</f>
        <v/>
      </c>
      <c r="CY2">
        <f>IF(COUNTIFS(T_StockCount[Part Name],$A2,T_StockCount[WeekIndex],102)&gt;0,SUMIFS(T_StockCount[CountedQty],T_StockCount[Part Name],$A2,T_StockCount[WeekIndex],102),IF(('T_SelfStock'!CY6&lt;&gt;""),'T_SelfStock'!CY6,CX2-'Grid_Requirement'!CY2+'Grid_TTAFOutgoing'!CY2))</f>
        <v/>
      </c>
      <c r="CZ2">
        <f>IF(COUNTIFS(T_StockCount[Part Name],$A2,T_StockCount[WeekIndex],103)&gt;0,SUMIFS(T_StockCount[CountedQty],T_StockCount[Part Name],$A2,T_StockCount[WeekIndex],103),IF(('T_SelfStock'!CZ6&lt;&gt;""),'T_SelfStock'!CZ6,CY2-'Grid_Requirement'!CZ2+'Grid_TTAFOutgoing'!CZ2))</f>
        <v/>
      </c>
      <c r="DA2">
        <f>IF(COUNTIFS(T_StockCount[Part Name],$A2,T_StockCount[WeekIndex],104)&gt;0,SUMIFS(T_StockCount[CountedQty],T_StockCount[Part Name],$A2,T_StockCount[WeekIndex],104),IF(('T_SelfStock'!DA6&lt;&gt;""),'T_SelfStock'!DA6,CZ2-'Grid_Requirement'!DA2+'Grid_TTAFOutgoing'!DA2))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Name],$A3,T_StockCount[WeekIndex],1),IF(('T_SelfStock'!B7&lt;&gt;""),'T_SelfStock'!B7,IFERROR(INDEX(T_OpeningStock[Opening_Qty],MATCH($A3,T_OpeningStock[Part Name],0)),0)-'Grid_Requirement'!B3+'Grid_TTAFOutgoing'!B3))</f>
        <v/>
      </c>
      <c r="C3">
        <f>IF(COUNTIFS(T_StockCount[Part Name],$A3,T_StockCount[WeekIndex],2)&gt;0,SUMIFS(T_StockCount[CountedQty],T_StockCount[Part Name],$A3,T_StockCount[WeekIndex],2),IF(('T_SelfStock'!C7&lt;&gt;""),'T_SelfStock'!C7,B3-'Grid_Requirement'!C3+'Grid_TTAFOutgoing'!C3))</f>
        <v/>
      </c>
      <c r="D3">
        <f>IF(COUNTIFS(T_StockCount[Part Name],$A3,T_StockCount[WeekIndex],3)&gt;0,SUMIFS(T_StockCount[CountedQty],T_StockCount[Part Name],$A3,T_StockCount[WeekIndex],3),IF(('T_SelfStock'!D7&lt;&gt;""),'T_SelfStock'!D7,C3-'Grid_Requirement'!D3+'Grid_TTAFOutgoing'!D3))</f>
        <v/>
      </c>
      <c r="E3">
        <f>IF(COUNTIFS(T_StockCount[Part Name],$A3,T_StockCount[WeekIndex],4)&gt;0,SUMIFS(T_StockCount[CountedQty],T_StockCount[Part Name],$A3,T_StockCount[WeekIndex],4),IF(('T_SelfStock'!E7&lt;&gt;""),'T_SelfStock'!E7,D3-'Grid_Requirement'!E3+'Grid_TTAFOutgoing'!E3))</f>
        <v/>
      </c>
      <c r="F3">
        <f>IF(COUNTIFS(T_StockCount[Part Name],$A3,T_StockCount[WeekIndex],5)&gt;0,SUMIFS(T_StockCount[CountedQty],T_StockCount[Part Name],$A3,T_StockCount[WeekIndex],5),IF(('T_SelfStock'!F7&lt;&gt;""),'T_SelfStock'!F7,E3-'Grid_Requirement'!F3+'Grid_TTAFOutgoing'!F3))</f>
        <v/>
      </c>
      <c r="G3">
        <f>IF(COUNTIFS(T_StockCount[Part Name],$A3,T_StockCount[WeekIndex],6)&gt;0,SUMIFS(T_StockCount[CountedQty],T_StockCount[Part Name],$A3,T_StockCount[WeekIndex],6),IF(('T_SelfStock'!G7&lt;&gt;""),'T_SelfStock'!G7,F3-'Grid_Requirement'!G3+'Grid_TTAFOutgoing'!G3))</f>
        <v/>
      </c>
      <c r="H3">
        <f>IF(COUNTIFS(T_StockCount[Part Name],$A3,T_StockCount[WeekIndex],7)&gt;0,SUMIFS(T_StockCount[CountedQty],T_StockCount[Part Name],$A3,T_StockCount[WeekIndex],7),IF(('T_SelfStock'!H7&lt;&gt;""),'T_SelfStock'!H7,G3-'Grid_Requirement'!H3+'Grid_TTAFOutgoing'!H3))</f>
        <v/>
      </c>
      <c r="I3">
        <f>IF(COUNTIFS(T_StockCount[Part Name],$A3,T_StockCount[WeekIndex],8)&gt;0,SUMIFS(T_StockCount[CountedQty],T_StockCount[Part Name],$A3,T_StockCount[WeekIndex],8),IF(('T_SelfStock'!I7&lt;&gt;""),'T_SelfStock'!I7,H3-'Grid_Requirement'!I3+'Grid_TTAFOutgoing'!I3))</f>
        <v/>
      </c>
      <c r="J3">
        <f>IF(COUNTIFS(T_StockCount[Part Name],$A3,T_StockCount[WeekIndex],9)&gt;0,SUMIFS(T_StockCount[CountedQty],T_StockCount[Part Name],$A3,T_StockCount[WeekIndex],9),IF(('T_SelfStock'!J7&lt;&gt;""),'T_SelfStock'!J7,I3-'Grid_Requirement'!J3+'Grid_TTAFOutgoing'!J3))</f>
        <v/>
      </c>
      <c r="K3">
        <f>IF(COUNTIFS(T_StockCount[Part Name],$A3,T_StockCount[WeekIndex],10)&gt;0,SUMIFS(T_StockCount[CountedQty],T_StockCount[Part Name],$A3,T_StockCount[WeekIndex],10),IF(('T_SelfStock'!K7&lt;&gt;""),'T_SelfStock'!K7,J3-'Grid_Requirement'!K3+'Grid_TTAFOutgoing'!K3))</f>
        <v/>
      </c>
      <c r="L3">
        <f>IF(COUNTIFS(T_StockCount[Part Name],$A3,T_StockCount[WeekIndex],11)&gt;0,SUMIFS(T_StockCount[CountedQty],T_StockCount[Part Name],$A3,T_StockCount[WeekIndex],11),IF(('T_SelfStock'!L7&lt;&gt;""),'T_SelfStock'!L7,K3-'Grid_Requirement'!L3+'Grid_TTAFOutgoing'!L3))</f>
        <v/>
      </c>
      <c r="M3">
        <f>IF(COUNTIFS(T_StockCount[Part Name],$A3,T_StockCount[WeekIndex],12)&gt;0,SUMIFS(T_StockCount[CountedQty],T_StockCount[Part Name],$A3,T_StockCount[WeekIndex],12),IF(('T_SelfStock'!M7&lt;&gt;""),'T_SelfStock'!M7,L3-'Grid_Requirement'!M3+'Grid_TTAFOutgoing'!M3))</f>
        <v/>
      </c>
      <c r="N3">
        <f>IF(COUNTIFS(T_StockCount[Part Name],$A3,T_StockCount[WeekIndex],13)&gt;0,SUMIFS(T_StockCount[CountedQty],T_StockCount[Part Name],$A3,T_StockCount[WeekIndex],13),IF(('T_SelfStock'!N7&lt;&gt;""),'T_SelfStock'!N7,M3-'Grid_Requirement'!N3+'Grid_TTAFOutgoing'!N3))</f>
        <v/>
      </c>
      <c r="O3">
        <f>IF(COUNTIFS(T_StockCount[Part Name],$A3,T_StockCount[WeekIndex],14)&gt;0,SUMIFS(T_StockCount[CountedQty],T_StockCount[Part Name],$A3,T_StockCount[WeekIndex],14),IF(('T_SelfStock'!O7&lt;&gt;""),'T_SelfStock'!O7,N3-'Grid_Requirement'!O3+'Grid_TTAFOutgoing'!O3))</f>
        <v/>
      </c>
      <c r="P3">
        <f>IF(COUNTIFS(T_StockCount[Part Name],$A3,T_StockCount[WeekIndex],15)&gt;0,SUMIFS(T_StockCount[CountedQty],T_StockCount[Part Name],$A3,T_StockCount[WeekIndex],15),IF(('T_SelfStock'!P7&lt;&gt;""),'T_SelfStock'!P7,O3-'Grid_Requirement'!P3+'Grid_TTAFOutgoing'!P3))</f>
        <v/>
      </c>
      <c r="Q3">
        <f>IF(COUNTIFS(T_StockCount[Part Name],$A3,T_StockCount[WeekIndex],16)&gt;0,SUMIFS(T_StockCount[CountedQty],T_StockCount[Part Name],$A3,T_StockCount[WeekIndex],16),IF(('T_SelfStock'!Q7&lt;&gt;""),'T_SelfStock'!Q7,P3-'Grid_Requirement'!Q3+'Grid_TTAFOutgoing'!Q3))</f>
        <v/>
      </c>
      <c r="R3">
        <f>IF(COUNTIFS(T_StockCount[Part Name],$A3,T_StockCount[WeekIndex],17)&gt;0,SUMIFS(T_StockCount[CountedQty],T_StockCount[Part Name],$A3,T_StockCount[WeekIndex],17),IF(('T_SelfStock'!R7&lt;&gt;""),'T_SelfStock'!R7,Q3-'Grid_Requirement'!R3+'Grid_TTAFOutgoing'!R3))</f>
        <v/>
      </c>
      <c r="S3">
        <f>IF(COUNTIFS(T_StockCount[Part Name],$A3,T_StockCount[WeekIndex],18)&gt;0,SUMIFS(T_StockCount[CountedQty],T_StockCount[Part Name],$A3,T_StockCount[WeekIndex],18),IF(('T_SelfStock'!S7&lt;&gt;""),'T_SelfStock'!S7,R3-'Grid_Requirement'!S3+'Grid_TTAFOutgoing'!S3))</f>
        <v/>
      </c>
      <c r="T3">
        <f>IF(COUNTIFS(T_StockCount[Part Name],$A3,T_StockCount[WeekIndex],19)&gt;0,SUMIFS(T_StockCount[CountedQty],T_StockCount[Part Name],$A3,T_StockCount[WeekIndex],19),IF(('T_SelfStock'!T7&lt;&gt;""),'T_SelfStock'!T7,S3-'Grid_Requirement'!T3+'Grid_TTAFOutgoing'!T3))</f>
        <v/>
      </c>
      <c r="U3">
        <f>IF(COUNTIFS(T_StockCount[Part Name],$A3,T_StockCount[WeekIndex],20)&gt;0,SUMIFS(T_StockCount[CountedQty],T_StockCount[Part Name],$A3,T_StockCount[WeekIndex],20),IF(('T_SelfStock'!U7&lt;&gt;""),'T_SelfStock'!U7,T3-'Grid_Requirement'!U3+'Grid_TTAFOutgoing'!U3))</f>
        <v/>
      </c>
      <c r="V3">
        <f>IF(COUNTIFS(T_StockCount[Part Name],$A3,T_StockCount[WeekIndex],21)&gt;0,SUMIFS(T_StockCount[CountedQty],T_StockCount[Part Name],$A3,T_StockCount[WeekIndex],21),IF(('T_SelfStock'!V7&lt;&gt;""),'T_SelfStock'!V7,U3-'Grid_Requirement'!V3+'Grid_TTAFOutgoing'!V3))</f>
        <v/>
      </c>
      <c r="W3">
        <f>IF(COUNTIFS(T_StockCount[Part Name],$A3,T_StockCount[WeekIndex],22)&gt;0,SUMIFS(T_StockCount[CountedQty],T_StockCount[Part Name],$A3,T_StockCount[WeekIndex],22),IF(('T_SelfStock'!W7&lt;&gt;""),'T_SelfStock'!W7,V3-'Grid_Requirement'!W3+'Grid_TTAFOutgoing'!W3))</f>
        <v/>
      </c>
      <c r="X3">
        <f>IF(COUNTIFS(T_StockCount[Part Name],$A3,T_StockCount[WeekIndex],23)&gt;0,SUMIFS(T_StockCount[CountedQty],T_StockCount[Part Name],$A3,T_StockCount[WeekIndex],23),IF(('T_SelfStock'!X7&lt;&gt;""),'T_SelfStock'!X7,W3-'Grid_Requirement'!X3+'Grid_TTAFOutgoing'!X3))</f>
        <v/>
      </c>
      <c r="Y3">
        <f>IF(COUNTIFS(T_StockCount[Part Name],$A3,T_StockCount[WeekIndex],24)&gt;0,SUMIFS(T_StockCount[CountedQty],T_StockCount[Part Name],$A3,T_StockCount[WeekIndex],24),IF(('T_SelfStock'!Y7&lt;&gt;""),'T_SelfStock'!Y7,X3-'Grid_Requirement'!Y3+'Grid_TTAFOutgoing'!Y3))</f>
        <v/>
      </c>
      <c r="Z3">
        <f>IF(COUNTIFS(T_StockCount[Part Name],$A3,T_StockCount[WeekIndex],25)&gt;0,SUMIFS(T_StockCount[CountedQty],T_StockCount[Part Name],$A3,T_StockCount[WeekIndex],25),IF(('T_SelfStock'!Z7&lt;&gt;""),'T_SelfStock'!Z7,Y3-'Grid_Requirement'!Z3+'Grid_TTAFOutgoing'!Z3))</f>
        <v/>
      </c>
      <c r="AA3">
        <f>IF(COUNTIFS(T_StockCount[Part Name],$A3,T_StockCount[WeekIndex],26)&gt;0,SUMIFS(T_StockCount[CountedQty],T_StockCount[Part Name],$A3,T_StockCount[WeekIndex],26),IF(('T_SelfStock'!AA7&lt;&gt;""),'T_SelfStock'!AA7,Z3-'Grid_Requirement'!AA3+'Grid_TTAFOutgoing'!AA3))</f>
        <v/>
      </c>
      <c r="AB3">
        <f>IF(COUNTIFS(T_StockCount[Part Name],$A3,T_StockCount[WeekIndex],27)&gt;0,SUMIFS(T_StockCount[CountedQty],T_StockCount[Part Name],$A3,T_StockCount[WeekIndex],27),IF(('T_SelfStock'!AB7&lt;&gt;""),'T_SelfStock'!AB7,AA3-'Grid_Requirement'!AB3+'Grid_TTAFOutgoing'!AB3))</f>
        <v/>
      </c>
      <c r="AC3">
        <f>IF(COUNTIFS(T_StockCount[Part Name],$A3,T_StockCount[WeekIndex],28)&gt;0,SUMIFS(T_StockCount[CountedQty],T_StockCount[Part Name],$A3,T_StockCount[WeekIndex],28),IF(('T_SelfStock'!AC7&lt;&gt;""),'T_SelfStock'!AC7,AB3-'Grid_Requirement'!AC3+'Grid_TTAFOutgoing'!AC3))</f>
        <v/>
      </c>
      <c r="AD3">
        <f>IF(COUNTIFS(T_StockCount[Part Name],$A3,T_StockCount[WeekIndex],29)&gt;0,SUMIFS(T_StockCount[CountedQty],T_StockCount[Part Name],$A3,T_StockCount[WeekIndex],29),IF(('T_SelfStock'!AD7&lt;&gt;""),'T_SelfStock'!AD7,AC3-'Grid_Requirement'!AD3+'Grid_TTAFOutgoing'!AD3))</f>
        <v/>
      </c>
      <c r="AE3">
        <f>IF(COUNTIFS(T_StockCount[Part Name],$A3,T_StockCount[WeekIndex],30)&gt;0,SUMIFS(T_StockCount[CountedQty],T_StockCount[Part Name],$A3,T_StockCount[WeekIndex],30),IF(('T_SelfStock'!AE7&lt;&gt;""),'T_SelfStock'!AE7,AD3-'Grid_Requirement'!AE3+'Grid_TTAFOutgoing'!AE3))</f>
        <v/>
      </c>
      <c r="AF3">
        <f>IF(COUNTIFS(T_StockCount[Part Name],$A3,T_StockCount[WeekIndex],31)&gt;0,SUMIFS(T_StockCount[CountedQty],T_StockCount[Part Name],$A3,T_StockCount[WeekIndex],31),IF(('T_SelfStock'!AF7&lt;&gt;""),'T_SelfStock'!AF7,AE3-'Grid_Requirement'!AF3+'Grid_TTAFOutgoing'!AF3))</f>
        <v/>
      </c>
      <c r="AG3">
        <f>IF(COUNTIFS(T_StockCount[Part Name],$A3,T_StockCount[WeekIndex],32)&gt;0,SUMIFS(T_StockCount[CountedQty],T_StockCount[Part Name],$A3,T_StockCount[WeekIndex],32),IF(('T_SelfStock'!AG7&lt;&gt;""),'T_SelfStock'!AG7,AF3-'Grid_Requirement'!AG3+'Grid_TTAFOutgoing'!AG3))</f>
        <v/>
      </c>
      <c r="AH3">
        <f>IF(COUNTIFS(T_StockCount[Part Name],$A3,T_StockCount[WeekIndex],33)&gt;0,SUMIFS(T_StockCount[CountedQty],T_StockCount[Part Name],$A3,T_StockCount[WeekIndex],33),IF(('T_SelfStock'!AH7&lt;&gt;""),'T_SelfStock'!AH7,AG3-'Grid_Requirement'!AH3+'Grid_TTAFOutgoing'!AH3))</f>
        <v/>
      </c>
      <c r="AI3">
        <f>IF(COUNTIFS(T_StockCount[Part Name],$A3,T_StockCount[WeekIndex],34)&gt;0,SUMIFS(T_StockCount[CountedQty],T_StockCount[Part Name],$A3,T_StockCount[WeekIndex],34),IF(('T_SelfStock'!AI7&lt;&gt;""),'T_SelfStock'!AI7,AH3-'Grid_Requirement'!AI3+'Grid_TTAFOutgoing'!AI3))</f>
        <v/>
      </c>
      <c r="AJ3">
        <f>IF(COUNTIFS(T_StockCount[Part Name],$A3,T_StockCount[WeekIndex],35)&gt;0,SUMIFS(T_StockCount[CountedQty],T_StockCount[Part Name],$A3,T_StockCount[WeekIndex],35),IF(('T_SelfStock'!AJ7&lt;&gt;""),'T_SelfStock'!AJ7,AI3-'Grid_Requirement'!AJ3+'Grid_TTAFOutgoing'!AJ3))</f>
        <v/>
      </c>
      <c r="AK3">
        <f>IF(COUNTIFS(T_StockCount[Part Name],$A3,T_StockCount[WeekIndex],36)&gt;0,SUMIFS(T_StockCount[CountedQty],T_StockCount[Part Name],$A3,T_StockCount[WeekIndex],36),IF(('T_SelfStock'!AK7&lt;&gt;""),'T_SelfStock'!AK7,AJ3-'Grid_Requirement'!AK3+'Grid_TTAFOutgoing'!AK3))</f>
        <v/>
      </c>
      <c r="AL3">
        <f>IF(COUNTIFS(T_StockCount[Part Name],$A3,T_StockCount[WeekIndex],37)&gt;0,SUMIFS(T_StockCount[CountedQty],T_StockCount[Part Name],$A3,T_StockCount[WeekIndex],37),IF(('T_SelfStock'!AL7&lt;&gt;""),'T_SelfStock'!AL7,AK3-'Grid_Requirement'!AL3+'Grid_TTAFOutgoing'!AL3))</f>
        <v/>
      </c>
      <c r="AM3">
        <f>IF(COUNTIFS(T_StockCount[Part Name],$A3,T_StockCount[WeekIndex],38)&gt;0,SUMIFS(T_StockCount[CountedQty],T_StockCount[Part Name],$A3,T_StockCount[WeekIndex],38),IF(('T_SelfStock'!AM7&lt;&gt;""),'T_SelfStock'!AM7,AL3-'Grid_Requirement'!AM3+'Grid_TTAFOutgoing'!AM3))</f>
        <v/>
      </c>
      <c r="AN3">
        <f>IF(COUNTIFS(T_StockCount[Part Name],$A3,T_StockCount[WeekIndex],39)&gt;0,SUMIFS(T_StockCount[CountedQty],T_StockCount[Part Name],$A3,T_StockCount[WeekIndex],39),IF(('T_SelfStock'!AN7&lt;&gt;""),'T_SelfStock'!AN7,AM3-'Grid_Requirement'!AN3+'Grid_TTAFOutgoing'!AN3))</f>
        <v/>
      </c>
      <c r="AO3">
        <f>IF(COUNTIFS(T_StockCount[Part Name],$A3,T_StockCount[WeekIndex],40)&gt;0,SUMIFS(T_StockCount[CountedQty],T_StockCount[Part Name],$A3,T_StockCount[WeekIndex],40),IF(('T_SelfStock'!AO7&lt;&gt;""),'T_SelfStock'!AO7,AN3-'Grid_Requirement'!AO3+'Grid_TTAFOutgoing'!AO3))</f>
        <v/>
      </c>
      <c r="AP3">
        <f>IF(COUNTIFS(T_StockCount[Part Name],$A3,T_StockCount[WeekIndex],41)&gt;0,SUMIFS(T_StockCount[CountedQty],T_StockCount[Part Name],$A3,T_StockCount[WeekIndex],41),IF(('T_SelfStock'!AP7&lt;&gt;""),'T_SelfStock'!AP7,AO3-'Grid_Requirement'!AP3+'Grid_TTAFOutgoing'!AP3))</f>
        <v/>
      </c>
      <c r="AQ3">
        <f>IF(COUNTIFS(T_StockCount[Part Name],$A3,T_StockCount[WeekIndex],42)&gt;0,SUMIFS(T_StockCount[CountedQty],T_StockCount[Part Name],$A3,T_StockCount[WeekIndex],42),IF(('T_SelfStock'!AQ7&lt;&gt;""),'T_SelfStock'!AQ7,AP3-'Grid_Requirement'!AQ3+'Grid_TTAFOutgoing'!AQ3))</f>
        <v/>
      </c>
      <c r="AR3">
        <f>IF(COUNTIFS(T_StockCount[Part Name],$A3,T_StockCount[WeekIndex],43)&gt;0,SUMIFS(T_StockCount[CountedQty],T_StockCount[Part Name],$A3,T_StockCount[WeekIndex],43),IF(('T_SelfStock'!AR7&lt;&gt;""),'T_SelfStock'!AR7,AQ3-'Grid_Requirement'!AR3+'Grid_TTAFOutgoing'!AR3))</f>
        <v/>
      </c>
      <c r="AS3">
        <f>IF(COUNTIFS(T_StockCount[Part Name],$A3,T_StockCount[WeekIndex],44)&gt;0,SUMIFS(T_StockCount[CountedQty],T_StockCount[Part Name],$A3,T_StockCount[WeekIndex],44),IF(('T_SelfStock'!AS7&lt;&gt;""),'T_SelfStock'!AS7,AR3-'Grid_Requirement'!AS3+'Grid_TTAFOutgoing'!AS3))</f>
        <v/>
      </c>
      <c r="AT3">
        <f>IF(COUNTIFS(T_StockCount[Part Name],$A3,T_StockCount[WeekIndex],45)&gt;0,SUMIFS(T_StockCount[CountedQty],T_StockCount[Part Name],$A3,T_StockCount[WeekIndex],45),IF(('T_SelfStock'!AT7&lt;&gt;""),'T_SelfStock'!AT7,AS3-'Grid_Requirement'!AT3+'Grid_TTAFOutgoing'!AT3))</f>
        <v/>
      </c>
      <c r="AU3">
        <f>IF(COUNTIFS(T_StockCount[Part Name],$A3,T_StockCount[WeekIndex],46)&gt;0,SUMIFS(T_StockCount[CountedQty],T_StockCount[Part Name],$A3,T_StockCount[WeekIndex],46),IF(('T_SelfStock'!AU7&lt;&gt;""),'T_SelfStock'!AU7,AT3-'Grid_Requirement'!AU3+'Grid_TTAFOutgoing'!AU3))</f>
        <v/>
      </c>
      <c r="AV3">
        <f>IF(COUNTIFS(T_StockCount[Part Name],$A3,T_StockCount[WeekIndex],47)&gt;0,SUMIFS(T_StockCount[CountedQty],T_StockCount[Part Name],$A3,T_StockCount[WeekIndex],47),IF(('T_SelfStock'!AV7&lt;&gt;""),'T_SelfStock'!AV7,AU3-'Grid_Requirement'!AV3+'Grid_TTAFOutgoing'!AV3))</f>
        <v/>
      </c>
      <c r="AW3">
        <f>IF(COUNTIFS(T_StockCount[Part Name],$A3,T_StockCount[WeekIndex],48)&gt;0,SUMIFS(T_StockCount[CountedQty],T_StockCount[Part Name],$A3,T_StockCount[WeekIndex],48),IF(('T_SelfStock'!AW7&lt;&gt;""),'T_SelfStock'!AW7,AV3-'Grid_Requirement'!AW3+'Grid_TTAFOutgoing'!AW3))</f>
        <v/>
      </c>
      <c r="AX3">
        <f>IF(COUNTIFS(T_StockCount[Part Name],$A3,T_StockCount[WeekIndex],49)&gt;0,SUMIFS(T_StockCount[CountedQty],T_StockCount[Part Name],$A3,T_StockCount[WeekIndex],49),IF(('T_SelfStock'!AX7&lt;&gt;""),'T_SelfStock'!AX7,AW3-'Grid_Requirement'!AX3+'Grid_TTAFOutgoing'!AX3))</f>
        <v/>
      </c>
      <c r="AY3">
        <f>IF(COUNTIFS(T_StockCount[Part Name],$A3,T_StockCount[WeekIndex],50)&gt;0,SUMIFS(T_StockCount[CountedQty],T_StockCount[Part Name],$A3,T_StockCount[WeekIndex],50),IF(('T_SelfStock'!AY7&lt;&gt;""),'T_SelfStock'!AY7,AX3-'Grid_Requirement'!AY3+'Grid_TTAFOutgoing'!AY3))</f>
        <v/>
      </c>
      <c r="AZ3">
        <f>IF(COUNTIFS(T_StockCount[Part Name],$A3,T_StockCount[WeekIndex],51)&gt;0,SUMIFS(T_StockCount[CountedQty],T_StockCount[Part Name],$A3,T_StockCount[WeekIndex],51),IF(('T_SelfStock'!AZ7&lt;&gt;""),'T_SelfStock'!AZ7,AY3-'Grid_Requirement'!AZ3+'Grid_TTAFOutgoing'!AZ3))</f>
        <v/>
      </c>
      <c r="BA3">
        <f>IF(COUNTIFS(T_StockCount[Part Name],$A3,T_StockCount[WeekIndex],52)&gt;0,SUMIFS(T_StockCount[CountedQty],T_StockCount[Part Name],$A3,T_StockCount[WeekIndex],52),IF(('T_SelfStock'!BA7&lt;&gt;""),'T_SelfStock'!BA7,AZ3-'Grid_Requirement'!BA3+'Grid_TTAFOutgoing'!BA3))</f>
        <v/>
      </c>
      <c r="BB3">
        <f>IF(COUNTIFS(T_StockCount[Part Name],$A3,T_StockCount[WeekIndex],53)&gt;0,SUMIFS(T_StockCount[CountedQty],T_StockCount[Part Name],$A3,T_StockCount[WeekIndex],53),IF(('T_SelfStock'!BB7&lt;&gt;""),'T_SelfStock'!BB7,BA3-'Grid_Requirement'!BB3+'Grid_TTAFOutgoing'!BB3))</f>
        <v/>
      </c>
      <c r="BC3">
        <f>IF(COUNTIFS(T_StockCount[Part Name],$A3,T_StockCount[WeekIndex],54)&gt;0,SUMIFS(T_StockCount[CountedQty],T_StockCount[Part Name],$A3,T_StockCount[WeekIndex],54),IF(('T_SelfStock'!BC7&lt;&gt;""),'T_SelfStock'!BC7,BB3-'Grid_Requirement'!BC3+'Grid_TTAFOutgoing'!BC3))</f>
        <v/>
      </c>
      <c r="BD3">
        <f>IF(COUNTIFS(T_StockCount[Part Name],$A3,T_StockCount[WeekIndex],55)&gt;0,SUMIFS(T_StockCount[CountedQty],T_StockCount[Part Name],$A3,T_StockCount[WeekIndex],55),IF(('T_SelfStock'!BD7&lt;&gt;""),'T_SelfStock'!BD7,BC3-'Grid_Requirement'!BD3+'Grid_TTAFOutgoing'!BD3))</f>
        <v/>
      </c>
      <c r="BE3">
        <f>IF(COUNTIFS(T_StockCount[Part Name],$A3,T_StockCount[WeekIndex],56)&gt;0,SUMIFS(T_StockCount[CountedQty],T_StockCount[Part Name],$A3,T_StockCount[WeekIndex],56),IF(('T_SelfStock'!BE7&lt;&gt;""),'T_SelfStock'!BE7,BD3-'Grid_Requirement'!BE3+'Grid_TTAFOutgoing'!BE3))</f>
        <v/>
      </c>
      <c r="BF3">
        <f>IF(COUNTIFS(T_StockCount[Part Name],$A3,T_StockCount[WeekIndex],57)&gt;0,SUMIFS(T_StockCount[CountedQty],T_StockCount[Part Name],$A3,T_StockCount[WeekIndex],57),IF(('T_SelfStock'!BF7&lt;&gt;""),'T_SelfStock'!BF7,BE3-'Grid_Requirement'!BF3+'Grid_TTAFOutgoing'!BF3))</f>
        <v/>
      </c>
      <c r="BG3">
        <f>IF(COUNTIFS(T_StockCount[Part Name],$A3,T_StockCount[WeekIndex],58)&gt;0,SUMIFS(T_StockCount[CountedQty],T_StockCount[Part Name],$A3,T_StockCount[WeekIndex],58),IF(('T_SelfStock'!BG7&lt;&gt;""),'T_SelfStock'!BG7,BF3-'Grid_Requirement'!BG3+'Grid_TTAFOutgoing'!BG3))</f>
        <v/>
      </c>
      <c r="BH3">
        <f>IF(COUNTIFS(T_StockCount[Part Name],$A3,T_StockCount[WeekIndex],59)&gt;0,SUMIFS(T_StockCount[CountedQty],T_StockCount[Part Name],$A3,T_StockCount[WeekIndex],59),IF(('T_SelfStock'!BH7&lt;&gt;""),'T_SelfStock'!BH7,BG3-'Grid_Requirement'!BH3+'Grid_TTAFOutgoing'!BH3))</f>
        <v/>
      </c>
      <c r="BI3">
        <f>IF(COUNTIFS(T_StockCount[Part Name],$A3,T_StockCount[WeekIndex],60)&gt;0,SUMIFS(T_StockCount[CountedQty],T_StockCount[Part Name],$A3,T_StockCount[WeekIndex],60),IF(('T_SelfStock'!BI7&lt;&gt;""),'T_SelfStock'!BI7,BH3-'Grid_Requirement'!BI3+'Grid_TTAFOutgoing'!BI3))</f>
        <v/>
      </c>
      <c r="BJ3">
        <f>IF(COUNTIFS(T_StockCount[Part Name],$A3,T_StockCount[WeekIndex],61)&gt;0,SUMIFS(T_StockCount[CountedQty],T_StockCount[Part Name],$A3,T_StockCount[WeekIndex],61),IF(('T_SelfStock'!BJ7&lt;&gt;""),'T_SelfStock'!BJ7,BI3-'Grid_Requirement'!BJ3+'Grid_TTAFOutgoing'!BJ3))</f>
        <v/>
      </c>
      <c r="BK3">
        <f>IF(COUNTIFS(T_StockCount[Part Name],$A3,T_StockCount[WeekIndex],62)&gt;0,SUMIFS(T_StockCount[CountedQty],T_StockCount[Part Name],$A3,T_StockCount[WeekIndex],62),IF(('T_SelfStock'!BK7&lt;&gt;""),'T_SelfStock'!BK7,BJ3-'Grid_Requirement'!BK3+'Grid_TTAFOutgoing'!BK3))</f>
        <v/>
      </c>
      <c r="BL3">
        <f>IF(COUNTIFS(T_StockCount[Part Name],$A3,T_StockCount[WeekIndex],63)&gt;0,SUMIFS(T_StockCount[CountedQty],T_StockCount[Part Name],$A3,T_StockCount[WeekIndex],63),IF(('T_SelfStock'!BL7&lt;&gt;""),'T_SelfStock'!BL7,BK3-'Grid_Requirement'!BL3+'Grid_TTAFOutgoing'!BL3))</f>
        <v/>
      </c>
      <c r="BM3">
        <f>IF(COUNTIFS(T_StockCount[Part Name],$A3,T_StockCount[WeekIndex],64)&gt;0,SUMIFS(T_StockCount[CountedQty],T_StockCount[Part Name],$A3,T_StockCount[WeekIndex],64),IF(('T_SelfStock'!BM7&lt;&gt;""),'T_SelfStock'!BM7,BL3-'Grid_Requirement'!BM3+'Grid_TTAFOutgoing'!BM3))</f>
        <v/>
      </c>
      <c r="BN3">
        <f>IF(COUNTIFS(T_StockCount[Part Name],$A3,T_StockCount[WeekIndex],65)&gt;0,SUMIFS(T_StockCount[CountedQty],T_StockCount[Part Name],$A3,T_StockCount[WeekIndex],65),IF(('T_SelfStock'!BN7&lt;&gt;""),'T_SelfStock'!BN7,BM3-'Grid_Requirement'!BN3+'Grid_TTAFOutgoing'!BN3))</f>
        <v/>
      </c>
      <c r="BO3">
        <f>IF(COUNTIFS(T_StockCount[Part Name],$A3,T_StockCount[WeekIndex],66)&gt;0,SUMIFS(T_StockCount[CountedQty],T_StockCount[Part Name],$A3,T_StockCount[WeekIndex],66),IF(('T_SelfStock'!BO7&lt;&gt;""),'T_SelfStock'!BO7,BN3-'Grid_Requirement'!BO3+'Grid_TTAFOutgoing'!BO3))</f>
        <v/>
      </c>
      <c r="BP3">
        <f>IF(COUNTIFS(T_StockCount[Part Name],$A3,T_StockCount[WeekIndex],67)&gt;0,SUMIFS(T_StockCount[CountedQty],T_StockCount[Part Name],$A3,T_StockCount[WeekIndex],67),IF(('T_SelfStock'!BP7&lt;&gt;""),'T_SelfStock'!BP7,BO3-'Grid_Requirement'!BP3+'Grid_TTAFOutgoing'!BP3))</f>
        <v/>
      </c>
      <c r="BQ3">
        <f>IF(COUNTIFS(T_StockCount[Part Name],$A3,T_StockCount[WeekIndex],68)&gt;0,SUMIFS(T_StockCount[CountedQty],T_StockCount[Part Name],$A3,T_StockCount[WeekIndex],68),IF(('T_SelfStock'!BQ7&lt;&gt;""),'T_SelfStock'!BQ7,BP3-'Grid_Requirement'!BQ3+'Grid_TTAFOutgoing'!BQ3))</f>
        <v/>
      </c>
      <c r="BR3">
        <f>IF(COUNTIFS(T_StockCount[Part Name],$A3,T_StockCount[WeekIndex],69)&gt;0,SUMIFS(T_StockCount[CountedQty],T_StockCount[Part Name],$A3,T_StockCount[WeekIndex],69),IF(('T_SelfStock'!BR7&lt;&gt;""),'T_SelfStock'!BR7,BQ3-'Grid_Requirement'!BR3+'Grid_TTAFOutgoing'!BR3))</f>
        <v/>
      </c>
      <c r="BS3">
        <f>IF(COUNTIFS(T_StockCount[Part Name],$A3,T_StockCount[WeekIndex],70)&gt;0,SUMIFS(T_StockCount[CountedQty],T_StockCount[Part Name],$A3,T_StockCount[WeekIndex],70),IF(('T_SelfStock'!BS7&lt;&gt;""),'T_SelfStock'!BS7,BR3-'Grid_Requirement'!BS3+'Grid_TTAFOutgoing'!BS3))</f>
        <v/>
      </c>
      <c r="BT3">
        <f>IF(COUNTIFS(T_StockCount[Part Name],$A3,T_StockCount[WeekIndex],71)&gt;0,SUMIFS(T_StockCount[CountedQty],T_StockCount[Part Name],$A3,T_StockCount[WeekIndex],71),IF(('T_SelfStock'!BT7&lt;&gt;""),'T_SelfStock'!BT7,BS3-'Grid_Requirement'!BT3+'Grid_TTAFOutgoing'!BT3))</f>
        <v/>
      </c>
      <c r="BU3">
        <f>IF(COUNTIFS(T_StockCount[Part Name],$A3,T_StockCount[WeekIndex],72)&gt;0,SUMIFS(T_StockCount[CountedQty],T_StockCount[Part Name],$A3,T_StockCount[WeekIndex],72),IF(('T_SelfStock'!BU7&lt;&gt;""),'T_SelfStock'!BU7,BT3-'Grid_Requirement'!BU3+'Grid_TTAFOutgoing'!BU3))</f>
        <v/>
      </c>
      <c r="BV3">
        <f>IF(COUNTIFS(T_StockCount[Part Name],$A3,T_StockCount[WeekIndex],73)&gt;0,SUMIFS(T_StockCount[CountedQty],T_StockCount[Part Name],$A3,T_StockCount[WeekIndex],73),IF(('T_SelfStock'!BV7&lt;&gt;""),'T_SelfStock'!BV7,BU3-'Grid_Requirement'!BV3+'Grid_TTAFOutgoing'!BV3))</f>
        <v/>
      </c>
      <c r="BW3">
        <f>IF(COUNTIFS(T_StockCount[Part Name],$A3,T_StockCount[WeekIndex],74)&gt;0,SUMIFS(T_StockCount[CountedQty],T_StockCount[Part Name],$A3,T_StockCount[WeekIndex],74),IF(('T_SelfStock'!BW7&lt;&gt;""),'T_SelfStock'!BW7,BV3-'Grid_Requirement'!BW3+'Grid_TTAFOutgoing'!BW3))</f>
        <v/>
      </c>
      <c r="BX3">
        <f>IF(COUNTIFS(T_StockCount[Part Name],$A3,T_StockCount[WeekIndex],75)&gt;0,SUMIFS(T_StockCount[CountedQty],T_StockCount[Part Name],$A3,T_StockCount[WeekIndex],75),IF(('T_SelfStock'!BX7&lt;&gt;""),'T_SelfStock'!BX7,BW3-'Grid_Requirement'!BX3+'Grid_TTAFOutgoing'!BX3))</f>
        <v/>
      </c>
      <c r="BY3">
        <f>IF(COUNTIFS(T_StockCount[Part Name],$A3,T_StockCount[WeekIndex],76)&gt;0,SUMIFS(T_StockCount[CountedQty],T_StockCount[Part Name],$A3,T_StockCount[WeekIndex],76),IF(('T_SelfStock'!BY7&lt;&gt;""),'T_SelfStock'!BY7,BX3-'Grid_Requirement'!BY3+'Grid_TTAFOutgoing'!BY3))</f>
        <v/>
      </c>
      <c r="BZ3">
        <f>IF(COUNTIFS(T_StockCount[Part Name],$A3,T_StockCount[WeekIndex],77)&gt;0,SUMIFS(T_StockCount[CountedQty],T_StockCount[Part Name],$A3,T_StockCount[WeekIndex],77),IF(('T_SelfStock'!BZ7&lt;&gt;""),'T_SelfStock'!BZ7,BY3-'Grid_Requirement'!BZ3+'Grid_TTAFOutgoing'!BZ3))</f>
        <v/>
      </c>
      <c r="CA3">
        <f>IF(COUNTIFS(T_StockCount[Part Name],$A3,T_StockCount[WeekIndex],78)&gt;0,SUMIFS(T_StockCount[CountedQty],T_StockCount[Part Name],$A3,T_StockCount[WeekIndex],78),IF(('T_SelfStock'!CA7&lt;&gt;""),'T_SelfStock'!CA7,BZ3-'Grid_Requirement'!CA3+'Grid_TTAFOutgoing'!CA3))</f>
        <v/>
      </c>
      <c r="CB3">
        <f>IF(COUNTIFS(T_StockCount[Part Name],$A3,T_StockCount[WeekIndex],79)&gt;0,SUMIFS(T_StockCount[CountedQty],T_StockCount[Part Name],$A3,T_StockCount[WeekIndex],79),IF(('T_SelfStock'!CB7&lt;&gt;""),'T_SelfStock'!CB7,CA3-'Grid_Requirement'!CB3+'Grid_TTAFOutgoing'!CB3))</f>
        <v/>
      </c>
      <c r="CC3">
        <f>IF(COUNTIFS(T_StockCount[Part Name],$A3,T_StockCount[WeekIndex],80)&gt;0,SUMIFS(T_StockCount[CountedQty],T_StockCount[Part Name],$A3,T_StockCount[WeekIndex],80),IF(('T_SelfStock'!CC7&lt;&gt;""),'T_SelfStock'!CC7,CB3-'Grid_Requirement'!CC3+'Grid_TTAFOutgoing'!CC3))</f>
        <v/>
      </c>
      <c r="CD3">
        <f>IF(COUNTIFS(T_StockCount[Part Name],$A3,T_StockCount[WeekIndex],81)&gt;0,SUMIFS(T_StockCount[CountedQty],T_StockCount[Part Name],$A3,T_StockCount[WeekIndex],81),IF(('T_SelfStock'!CD7&lt;&gt;""),'T_SelfStock'!CD7,CC3-'Grid_Requirement'!CD3+'Grid_TTAFOutgoing'!CD3))</f>
        <v/>
      </c>
      <c r="CE3">
        <f>IF(COUNTIFS(T_StockCount[Part Name],$A3,T_StockCount[WeekIndex],82)&gt;0,SUMIFS(T_StockCount[CountedQty],T_StockCount[Part Name],$A3,T_StockCount[WeekIndex],82),IF(('T_SelfStock'!CE7&lt;&gt;""),'T_SelfStock'!CE7,CD3-'Grid_Requirement'!CE3+'Grid_TTAFOutgoing'!CE3))</f>
        <v/>
      </c>
      <c r="CF3">
        <f>IF(COUNTIFS(T_StockCount[Part Name],$A3,T_StockCount[WeekIndex],83)&gt;0,SUMIFS(T_StockCount[CountedQty],T_StockCount[Part Name],$A3,T_StockCount[WeekIndex],83),IF(('T_SelfStock'!CF7&lt;&gt;""),'T_SelfStock'!CF7,CE3-'Grid_Requirement'!CF3+'Grid_TTAFOutgoing'!CF3))</f>
        <v/>
      </c>
      <c r="CG3">
        <f>IF(COUNTIFS(T_StockCount[Part Name],$A3,T_StockCount[WeekIndex],84)&gt;0,SUMIFS(T_StockCount[CountedQty],T_StockCount[Part Name],$A3,T_StockCount[WeekIndex],84),IF(('T_SelfStock'!CG7&lt;&gt;""),'T_SelfStock'!CG7,CF3-'Grid_Requirement'!CG3+'Grid_TTAFOutgoing'!CG3))</f>
        <v/>
      </c>
      <c r="CH3">
        <f>IF(COUNTIFS(T_StockCount[Part Name],$A3,T_StockCount[WeekIndex],85)&gt;0,SUMIFS(T_StockCount[CountedQty],T_StockCount[Part Name],$A3,T_StockCount[WeekIndex],85),IF(('T_SelfStock'!CH7&lt;&gt;""),'T_SelfStock'!CH7,CG3-'Grid_Requirement'!CH3+'Grid_TTAFOutgoing'!CH3))</f>
        <v/>
      </c>
      <c r="CI3">
        <f>IF(COUNTIFS(T_StockCount[Part Name],$A3,T_StockCount[WeekIndex],86)&gt;0,SUMIFS(T_StockCount[CountedQty],T_StockCount[Part Name],$A3,T_StockCount[WeekIndex],86),IF(('T_SelfStock'!CI7&lt;&gt;""),'T_SelfStock'!CI7,CH3-'Grid_Requirement'!CI3+'Grid_TTAFOutgoing'!CI3))</f>
        <v/>
      </c>
      <c r="CJ3">
        <f>IF(COUNTIFS(T_StockCount[Part Name],$A3,T_StockCount[WeekIndex],87)&gt;0,SUMIFS(T_StockCount[CountedQty],T_StockCount[Part Name],$A3,T_StockCount[WeekIndex],87),IF(('T_SelfStock'!CJ7&lt;&gt;""),'T_SelfStock'!CJ7,CI3-'Grid_Requirement'!CJ3+'Grid_TTAFOutgoing'!CJ3))</f>
        <v/>
      </c>
      <c r="CK3">
        <f>IF(COUNTIFS(T_StockCount[Part Name],$A3,T_StockCount[WeekIndex],88)&gt;0,SUMIFS(T_StockCount[CountedQty],T_StockCount[Part Name],$A3,T_StockCount[WeekIndex],88),IF(('T_SelfStock'!CK7&lt;&gt;""),'T_SelfStock'!CK7,CJ3-'Grid_Requirement'!CK3+'Grid_TTAFOutgoing'!CK3))</f>
        <v/>
      </c>
      <c r="CL3">
        <f>IF(COUNTIFS(T_StockCount[Part Name],$A3,T_StockCount[WeekIndex],89)&gt;0,SUMIFS(T_StockCount[CountedQty],T_StockCount[Part Name],$A3,T_StockCount[WeekIndex],89),IF(('T_SelfStock'!CL7&lt;&gt;""),'T_SelfStock'!CL7,CK3-'Grid_Requirement'!CL3+'Grid_TTAFOutgoing'!CL3))</f>
        <v/>
      </c>
      <c r="CM3">
        <f>IF(COUNTIFS(T_StockCount[Part Name],$A3,T_StockCount[WeekIndex],90)&gt;0,SUMIFS(T_StockCount[CountedQty],T_StockCount[Part Name],$A3,T_StockCount[WeekIndex],90),IF(('T_SelfStock'!CM7&lt;&gt;""),'T_SelfStock'!CM7,CL3-'Grid_Requirement'!CM3+'Grid_TTAFOutgoing'!CM3))</f>
        <v/>
      </c>
      <c r="CN3">
        <f>IF(COUNTIFS(T_StockCount[Part Name],$A3,T_StockCount[WeekIndex],91)&gt;0,SUMIFS(T_StockCount[CountedQty],T_StockCount[Part Name],$A3,T_StockCount[WeekIndex],91),IF(('T_SelfStock'!CN7&lt;&gt;""),'T_SelfStock'!CN7,CM3-'Grid_Requirement'!CN3+'Grid_TTAFOutgoing'!CN3))</f>
        <v/>
      </c>
      <c r="CO3">
        <f>IF(COUNTIFS(T_StockCount[Part Name],$A3,T_StockCount[WeekIndex],92)&gt;0,SUMIFS(T_StockCount[CountedQty],T_StockCount[Part Name],$A3,T_StockCount[WeekIndex],92),IF(('T_SelfStock'!CO7&lt;&gt;""),'T_SelfStock'!CO7,CN3-'Grid_Requirement'!CO3+'Grid_TTAFOutgoing'!CO3))</f>
        <v/>
      </c>
      <c r="CP3">
        <f>IF(COUNTIFS(T_StockCount[Part Name],$A3,T_StockCount[WeekIndex],93)&gt;0,SUMIFS(T_StockCount[CountedQty],T_StockCount[Part Name],$A3,T_StockCount[WeekIndex],93),IF(('T_SelfStock'!CP7&lt;&gt;""),'T_SelfStock'!CP7,CO3-'Grid_Requirement'!CP3+'Grid_TTAFOutgoing'!CP3))</f>
        <v/>
      </c>
      <c r="CQ3">
        <f>IF(COUNTIFS(T_StockCount[Part Name],$A3,T_StockCount[WeekIndex],94)&gt;0,SUMIFS(T_StockCount[CountedQty],T_StockCount[Part Name],$A3,T_StockCount[WeekIndex],94),IF(('T_SelfStock'!CQ7&lt;&gt;""),'T_SelfStock'!CQ7,CP3-'Grid_Requirement'!CQ3+'Grid_TTAFOutgoing'!CQ3))</f>
        <v/>
      </c>
      <c r="CR3">
        <f>IF(COUNTIFS(T_StockCount[Part Name],$A3,T_StockCount[WeekIndex],95)&gt;0,SUMIFS(T_StockCount[CountedQty],T_StockCount[Part Name],$A3,T_StockCount[WeekIndex],95),IF(('T_SelfStock'!CR7&lt;&gt;""),'T_SelfStock'!CR7,CQ3-'Grid_Requirement'!CR3+'Grid_TTAFOutgoing'!CR3))</f>
        <v/>
      </c>
      <c r="CS3">
        <f>IF(COUNTIFS(T_StockCount[Part Name],$A3,T_StockCount[WeekIndex],96)&gt;0,SUMIFS(T_StockCount[CountedQty],T_StockCount[Part Name],$A3,T_StockCount[WeekIndex],96),IF(('T_SelfStock'!CS7&lt;&gt;""),'T_SelfStock'!CS7,CR3-'Grid_Requirement'!CS3+'Grid_TTAFOutgoing'!CS3))</f>
        <v/>
      </c>
      <c r="CT3">
        <f>IF(COUNTIFS(T_StockCount[Part Name],$A3,T_StockCount[WeekIndex],97)&gt;0,SUMIFS(T_StockCount[CountedQty],T_StockCount[Part Name],$A3,T_StockCount[WeekIndex],97),IF(('T_SelfStock'!CT7&lt;&gt;""),'T_SelfStock'!CT7,CS3-'Grid_Requirement'!CT3+'Grid_TTAFOutgoing'!CT3))</f>
        <v/>
      </c>
      <c r="CU3">
        <f>IF(COUNTIFS(T_StockCount[Part Name],$A3,T_StockCount[WeekIndex],98)&gt;0,SUMIFS(T_StockCount[CountedQty],T_StockCount[Part Name],$A3,T_StockCount[WeekIndex],98),IF(('T_SelfStock'!CU7&lt;&gt;""),'T_SelfStock'!CU7,CT3-'Grid_Requirement'!CU3+'Grid_TTAFOutgoing'!CU3))</f>
        <v/>
      </c>
      <c r="CV3">
        <f>IF(COUNTIFS(T_StockCount[Part Name],$A3,T_StockCount[WeekIndex],99)&gt;0,SUMIFS(T_StockCount[CountedQty],T_StockCount[Part Name],$A3,T_StockCount[WeekIndex],99),IF(('T_SelfStock'!CV7&lt;&gt;""),'T_SelfStock'!CV7,CU3-'Grid_Requirement'!CV3+'Grid_TTAFOutgoing'!CV3))</f>
        <v/>
      </c>
      <c r="CW3">
        <f>IF(COUNTIFS(T_StockCount[Part Name],$A3,T_StockCount[WeekIndex],100)&gt;0,SUMIFS(T_StockCount[CountedQty],T_StockCount[Part Name],$A3,T_StockCount[WeekIndex],100),IF(('T_SelfStock'!CW7&lt;&gt;""),'T_SelfStock'!CW7,CV3-'Grid_Requirement'!CW3+'Grid_TTAFOutgoing'!CW3))</f>
        <v/>
      </c>
      <c r="CX3">
        <f>IF(COUNTIFS(T_StockCount[Part Name],$A3,T_StockCount[WeekIndex],101)&gt;0,SUMIFS(T_StockCount[CountedQty],T_StockCount[Part Name],$A3,T_StockCount[WeekIndex],101),IF(('T_SelfStock'!CX7&lt;&gt;""),'T_SelfStock'!CX7,CW3-'Grid_Requirement'!CX3+'Grid_TTAFOutgoing'!CX3))</f>
        <v/>
      </c>
      <c r="CY3">
        <f>IF(COUNTIFS(T_StockCount[Part Name],$A3,T_StockCount[WeekIndex],102)&gt;0,SUMIFS(T_StockCount[CountedQty],T_StockCount[Part Name],$A3,T_StockCount[WeekIndex],102),IF(('T_SelfStock'!CY7&lt;&gt;""),'T_SelfStock'!CY7,CX3-'Grid_Requirement'!CY3+'Grid_TTAFOutgoing'!CY3))</f>
        <v/>
      </c>
      <c r="CZ3">
        <f>IF(COUNTIFS(T_StockCount[Part Name],$A3,T_StockCount[WeekIndex],103)&gt;0,SUMIFS(T_StockCount[CountedQty],T_StockCount[Part Name],$A3,T_StockCount[WeekIndex],103),IF(('T_SelfStock'!CZ7&lt;&gt;""),'T_SelfStock'!CZ7,CY3-'Grid_Requirement'!CZ3+'Grid_TTAFOutgoing'!CZ3))</f>
        <v/>
      </c>
      <c r="DA3">
        <f>IF(COUNTIFS(T_StockCount[Part Name],$A3,T_StockCount[WeekIndex],104)&gt;0,SUMIFS(T_StockCount[CountedQty],T_StockCount[Part Name],$A3,T_StockCount[WeekIndex],104),IF(('T_SelfStock'!DA7&lt;&gt;""),'T_SelfStock'!DA7,CZ3-'Grid_Requirement'!DA3+'Grid_TTAFOutgoing'!DA3))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Name],$A4,T_StockCount[WeekIndex],1),IF(('T_SelfStock'!B8&lt;&gt;""),'T_SelfStock'!B8,IFERROR(INDEX(T_OpeningStock[Opening_Qty],MATCH($A4,T_OpeningStock[Part Name],0)),0)-'Grid_Requirement'!B4+'Grid_TTAFOutgoing'!B4))</f>
        <v/>
      </c>
      <c r="C4">
        <f>IF(COUNTIFS(T_StockCount[Part Name],$A4,T_StockCount[WeekIndex],2)&gt;0,SUMIFS(T_StockCount[CountedQty],T_StockCount[Part Name],$A4,T_StockCount[WeekIndex],2),IF(('T_SelfStock'!C8&lt;&gt;""),'T_SelfStock'!C8,B4-'Grid_Requirement'!C4+'Grid_TTAFOutgoing'!C4))</f>
        <v/>
      </c>
      <c r="D4">
        <f>IF(COUNTIFS(T_StockCount[Part Name],$A4,T_StockCount[WeekIndex],3)&gt;0,SUMIFS(T_StockCount[CountedQty],T_StockCount[Part Name],$A4,T_StockCount[WeekIndex],3),IF(('T_SelfStock'!D8&lt;&gt;""),'T_SelfStock'!D8,C4-'Grid_Requirement'!D4+'Grid_TTAFOutgoing'!D4))</f>
        <v/>
      </c>
      <c r="E4">
        <f>IF(COUNTIFS(T_StockCount[Part Name],$A4,T_StockCount[WeekIndex],4)&gt;0,SUMIFS(T_StockCount[CountedQty],T_StockCount[Part Name],$A4,T_StockCount[WeekIndex],4),IF(('T_SelfStock'!E8&lt;&gt;""),'T_SelfStock'!E8,D4-'Grid_Requirement'!E4+'Grid_TTAFOutgoing'!E4))</f>
        <v/>
      </c>
      <c r="F4">
        <f>IF(COUNTIFS(T_StockCount[Part Name],$A4,T_StockCount[WeekIndex],5)&gt;0,SUMIFS(T_StockCount[CountedQty],T_StockCount[Part Name],$A4,T_StockCount[WeekIndex],5),IF(('T_SelfStock'!F8&lt;&gt;""),'T_SelfStock'!F8,E4-'Grid_Requirement'!F4+'Grid_TTAFOutgoing'!F4))</f>
        <v/>
      </c>
      <c r="G4">
        <f>IF(COUNTIFS(T_StockCount[Part Name],$A4,T_StockCount[WeekIndex],6)&gt;0,SUMIFS(T_StockCount[CountedQty],T_StockCount[Part Name],$A4,T_StockCount[WeekIndex],6),IF(('T_SelfStock'!G8&lt;&gt;""),'T_SelfStock'!G8,F4-'Grid_Requirement'!G4+'Grid_TTAFOutgoing'!G4))</f>
        <v/>
      </c>
      <c r="H4">
        <f>IF(COUNTIFS(T_StockCount[Part Name],$A4,T_StockCount[WeekIndex],7)&gt;0,SUMIFS(T_StockCount[CountedQty],T_StockCount[Part Name],$A4,T_StockCount[WeekIndex],7),IF(('T_SelfStock'!H8&lt;&gt;""),'T_SelfStock'!H8,G4-'Grid_Requirement'!H4+'Grid_TTAFOutgoing'!H4))</f>
        <v/>
      </c>
      <c r="I4">
        <f>IF(COUNTIFS(T_StockCount[Part Name],$A4,T_StockCount[WeekIndex],8)&gt;0,SUMIFS(T_StockCount[CountedQty],T_StockCount[Part Name],$A4,T_StockCount[WeekIndex],8),IF(('T_SelfStock'!I8&lt;&gt;""),'T_SelfStock'!I8,H4-'Grid_Requirement'!I4+'Grid_TTAFOutgoing'!I4))</f>
        <v/>
      </c>
      <c r="J4">
        <f>IF(COUNTIFS(T_StockCount[Part Name],$A4,T_StockCount[WeekIndex],9)&gt;0,SUMIFS(T_StockCount[CountedQty],T_StockCount[Part Name],$A4,T_StockCount[WeekIndex],9),IF(('T_SelfStock'!J8&lt;&gt;""),'T_SelfStock'!J8,I4-'Grid_Requirement'!J4+'Grid_TTAFOutgoing'!J4))</f>
        <v/>
      </c>
      <c r="K4">
        <f>IF(COUNTIFS(T_StockCount[Part Name],$A4,T_StockCount[WeekIndex],10)&gt;0,SUMIFS(T_StockCount[CountedQty],T_StockCount[Part Name],$A4,T_StockCount[WeekIndex],10),IF(('T_SelfStock'!K8&lt;&gt;""),'T_SelfStock'!K8,J4-'Grid_Requirement'!K4+'Grid_TTAFOutgoing'!K4))</f>
        <v/>
      </c>
      <c r="L4">
        <f>IF(COUNTIFS(T_StockCount[Part Name],$A4,T_StockCount[WeekIndex],11)&gt;0,SUMIFS(T_StockCount[CountedQty],T_StockCount[Part Name],$A4,T_StockCount[WeekIndex],11),IF(('T_SelfStock'!L8&lt;&gt;""),'T_SelfStock'!L8,K4-'Grid_Requirement'!L4+'Grid_TTAFOutgoing'!L4))</f>
        <v/>
      </c>
      <c r="M4">
        <f>IF(COUNTIFS(T_StockCount[Part Name],$A4,T_StockCount[WeekIndex],12)&gt;0,SUMIFS(T_StockCount[CountedQty],T_StockCount[Part Name],$A4,T_StockCount[WeekIndex],12),IF(('T_SelfStock'!M8&lt;&gt;""),'T_SelfStock'!M8,L4-'Grid_Requirement'!M4+'Grid_TTAFOutgoing'!M4))</f>
        <v/>
      </c>
      <c r="N4">
        <f>IF(COUNTIFS(T_StockCount[Part Name],$A4,T_StockCount[WeekIndex],13)&gt;0,SUMIFS(T_StockCount[CountedQty],T_StockCount[Part Name],$A4,T_StockCount[WeekIndex],13),IF(('T_SelfStock'!N8&lt;&gt;""),'T_SelfStock'!N8,M4-'Grid_Requirement'!N4+'Grid_TTAFOutgoing'!N4))</f>
        <v/>
      </c>
      <c r="O4">
        <f>IF(COUNTIFS(T_StockCount[Part Name],$A4,T_StockCount[WeekIndex],14)&gt;0,SUMIFS(T_StockCount[CountedQty],T_StockCount[Part Name],$A4,T_StockCount[WeekIndex],14),IF(('T_SelfStock'!O8&lt;&gt;""),'T_SelfStock'!O8,N4-'Grid_Requirement'!O4+'Grid_TTAFOutgoing'!O4))</f>
        <v/>
      </c>
      <c r="P4">
        <f>IF(COUNTIFS(T_StockCount[Part Name],$A4,T_StockCount[WeekIndex],15)&gt;0,SUMIFS(T_StockCount[CountedQty],T_StockCount[Part Name],$A4,T_StockCount[WeekIndex],15),IF(('T_SelfStock'!P8&lt;&gt;""),'T_SelfStock'!P8,O4-'Grid_Requirement'!P4+'Grid_TTAFOutgoing'!P4))</f>
        <v/>
      </c>
      <c r="Q4">
        <f>IF(COUNTIFS(T_StockCount[Part Name],$A4,T_StockCount[WeekIndex],16)&gt;0,SUMIFS(T_StockCount[CountedQty],T_StockCount[Part Name],$A4,T_StockCount[WeekIndex],16),IF(('T_SelfStock'!Q8&lt;&gt;""),'T_SelfStock'!Q8,P4-'Grid_Requirement'!Q4+'Grid_TTAFOutgoing'!Q4))</f>
        <v/>
      </c>
      <c r="R4">
        <f>IF(COUNTIFS(T_StockCount[Part Name],$A4,T_StockCount[WeekIndex],17)&gt;0,SUMIFS(T_StockCount[CountedQty],T_StockCount[Part Name],$A4,T_StockCount[WeekIndex],17),IF(('T_SelfStock'!R8&lt;&gt;""),'T_SelfStock'!R8,Q4-'Grid_Requirement'!R4+'Grid_TTAFOutgoing'!R4))</f>
        <v/>
      </c>
      <c r="S4">
        <f>IF(COUNTIFS(T_StockCount[Part Name],$A4,T_StockCount[WeekIndex],18)&gt;0,SUMIFS(T_StockCount[CountedQty],T_StockCount[Part Name],$A4,T_StockCount[WeekIndex],18),IF(('T_SelfStock'!S8&lt;&gt;""),'T_SelfStock'!S8,R4-'Grid_Requirement'!S4+'Grid_TTAFOutgoing'!S4))</f>
        <v/>
      </c>
      <c r="T4">
        <f>IF(COUNTIFS(T_StockCount[Part Name],$A4,T_StockCount[WeekIndex],19)&gt;0,SUMIFS(T_StockCount[CountedQty],T_StockCount[Part Name],$A4,T_StockCount[WeekIndex],19),IF(('T_SelfStock'!T8&lt;&gt;""),'T_SelfStock'!T8,S4-'Grid_Requirement'!T4+'Grid_TTAFOutgoing'!T4))</f>
        <v/>
      </c>
      <c r="U4">
        <f>IF(COUNTIFS(T_StockCount[Part Name],$A4,T_StockCount[WeekIndex],20)&gt;0,SUMIFS(T_StockCount[CountedQty],T_StockCount[Part Name],$A4,T_StockCount[WeekIndex],20),IF(('T_SelfStock'!U8&lt;&gt;""),'T_SelfStock'!U8,T4-'Grid_Requirement'!U4+'Grid_TTAFOutgoing'!U4))</f>
        <v/>
      </c>
      <c r="V4">
        <f>IF(COUNTIFS(T_StockCount[Part Name],$A4,T_StockCount[WeekIndex],21)&gt;0,SUMIFS(T_StockCount[CountedQty],T_StockCount[Part Name],$A4,T_StockCount[WeekIndex],21),IF(('T_SelfStock'!V8&lt;&gt;""),'T_SelfStock'!V8,U4-'Grid_Requirement'!V4+'Grid_TTAFOutgoing'!V4))</f>
        <v/>
      </c>
      <c r="W4">
        <f>IF(COUNTIFS(T_StockCount[Part Name],$A4,T_StockCount[WeekIndex],22)&gt;0,SUMIFS(T_StockCount[CountedQty],T_StockCount[Part Name],$A4,T_StockCount[WeekIndex],22),IF(('T_SelfStock'!W8&lt;&gt;""),'T_SelfStock'!W8,V4-'Grid_Requirement'!W4+'Grid_TTAFOutgoing'!W4))</f>
        <v/>
      </c>
      <c r="X4">
        <f>IF(COUNTIFS(T_StockCount[Part Name],$A4,T_StockCount[WeekIndex],23)&gt;0,SUMIFS(T_StockCount[CountedQty],T_StockCount[Part Name],$A4,T_StockCount[WeekIndex],23),IF(('T_SelfStock'!X8&lt;&gt;""),'T_SelfStock'!X8,W4-'Grid_Requirement'!X4+'Grid_TTAFOutgoing'!X4))</f>
        <v/>
      </c>
      <c r="Y4">
        <f>IF(COUNTIFS(T_StockCount[Part Name],$A4,T_StockCount[WeekIndex],24)&gt;0,SUMIFS(T_StockCount[CountedQty],T_StockCount[Part Name],$A4,T_StockCount[WeekIndex],24),IF(('T_SelfStock'!Y8&lt;&gt;""),'T_SelfStock'!Y8,X4-'Grid_Requirement'!Y4+'Grid_TTAFOutgoing'!Y4))</f>
        <v/>
      </c>
      <c r="Z4">
        <f>IF(COUNTIFS(T_StockCount[Part Name],$A4,T_StockCount[WeekIndex],25)&gt;0,SUMIFS(T_StockCount[CountedQty],T_StockCount[Part Name],$A4,T_StockCount[WeekIndex],25),IF(('T_SelfStock'!Z8&lt;&gt;""),'T_SelfStock'!Z8,Y4-'Grid_Requirement'!Z4+'Grid_TTAFOutgoing'!Z4))</f>
        <v/>
      </c>
      <c r="AA4">
        <f>IF(COUNTIFS(T_StockCount[Part Name],$A4,T_StockCount[WeekIndex],26)&gt;0,SUMIFS(T_StockCount[CountedQty],T_StockCount[Part Name],$A4,T_StockCount[WeekIndex],26),IF(('T_SelfStock'!AA8&lt;&gt;""),'T_SelfStock'!AA8,Z4-'Grid_Requirement'!AA4+'Grid_TTAFOutgoing'!AA4))</f>
        <v/>
      </c>
      <c r="AB4">
        <f>IF(COUNTIFS(T_StockCount[Part Name],$A4,T_StockCount[WeekIndex],27)&gt;0,SUMIFS(T_StockCount[CountedQty],T_StockCount[Part Name],$A4,T_StockCount[WeekIndex],27),IF(('T_SelfStock'!AB8&lt;&gt;""),'T_SelfStock'!AB8,AA4-'Grid_Requirement'!AB4+'Grid_TTAFOutgoing'!AB4))</f>
        <v/>
      </c>
      <c r="AC4">
        <f>IF(COUNTIFS(T_StockCount[Part Name],$A4,T_StockCount[WeekIndex],28)&gt;0,SUMIFS(T_StockCount[CountedQty],T_StockCount[Part Name],$A4,T_StockCount[WeekIndex],28),IF(('T_SelfStock'!AC8&lt;&gt;""),'T_SelfStock'!AC8,AB4-'Grid_Requirement'!AC4+'Grid_TTAFOutgoing'!AC4))</f>
        <v/>
      </c>
      <c r="AD4">
        <f>IF(COUNTIFS(T_StockCount[Part Name],$A4,T_StockCount[WeekIndex],29)&gt;0,SUMIFS(T_StockCount[CountedQty],T_StockCount[Part Name],$A4,T_StockCount[WeekIndex],29),IF(('T_SelfStock'!AD8&lt;&gt;""),'T_SelfStock'!AD8,AC4-'Grid_Requirement'!AD4+'Grid_TTAFOutgoing'!AD4))</f>
        <v/>
      </c>
      <c r="AE4">
        <f>IF(COUNTIFS(T_StockCount[Part Name],$A4,T_StockCount[WeekIndex],30)&gt;0,SUMIFS(T_StockCount[CountedQty],T_StockCount[Part Name],$A4,T_StockCount[WeekIndex],30),IF(('T_SelfStock'!AE8&lt;&gt;""),'T_SelfStock'!AE8,AD4-'Grid_Requirement'!AE4+'Grid_TTAFOutgoing'!AE4))</f>
        <v/>
      </c>
      <c r="AF4">
        <f>IF(COUNTIFS(T_StockCount[Part Name],$A4,T_StockCount[WeekIndex],31)&gt;0,SUMIFS(T_StockCount[CountedQty],T_StockCount[Part Name],$A4,T_StockCount[WeekIndex],31),IF(('T_SelfStock'!AF8&lt;&gt;""),'T_SelfStock'!AF8,AE4-'Grid_Requirement'!AF4+'Grid_TTAFOutgoing'!AF4))</f>
        <v/>
      </c>
      <c r="AG4">
        <f>IF(COUNTIFS(T_StockCount[Part Name],$A4,T_StockCount[WeekIndex],32)&gt;0,SUMIFS(T_StockCount[CountedQty],T_StockCount[Part Name],$A4,T_StockCount[WeekIndex],32),IF(('T_SelfStock'!AG8&lt;&gt;""),'T_SelfStock'!AG8,AF4-'Grid_Requirement'!AG4+'Grid_TTAFOutgoing'!AG4))</f>
        <v/>
      </c>
      <c r="AH4">
        <f>IF(COUNTIFS(T_StockCount[Part Name],$A4,T_StockCount[WeekIndex],33)&gt;0,SUMIFS(T_StockCount[CountedQty],T_StockCount[Part Name],$A4,T_StockCount[WeekIndex],33),IF(('T_SelfStock'!AH8&lt;&gt;""),'T_SelfStock'!AH8,AG4-'Grid_Requirement'!AH4+'Grid_TTAFOutgoing'!AH4))</f>
        <v/>
      </c>
      <c r="AI4">
        <f>IF(COUNTIFS(T_StockCount[Part Name],$A4,T_StockCount[WeekIndex],34)&gt;0,SUMIFS(T_StockCount[CountedQty],T_StockCount[Part Name],$A4,T_StockCount[WeekIndex],34),IF(('T_SelfStock'!AI8&lt;&gt;""),'T_SelfStock'!AI8,AH4-'Grid_Requirement'!AI4+'Grid_TTAFOutgoing'!AI4))</f>
        <v/>
      </c>
      <c r="AJ4">
        <f>IF(COUNTIFS(T_StockCount[Part Name],$A4,T_StockCount[WeekIndex],35)&gt;0,SUMIFS(T_StockCount[CountedQty],T_StockCount[Part Name],$A4,T_StockCount[WeekIndex],35),IF(('T_SelfStock'!AJ8&lt;&gt;""),'T_SelfStock'!AJ8,AI4-'Grid_Requirement'!AJ4+'Grid_TTAFOutgoing'!AJ4))</f>
        <v/>
      </c>
      <c r="AK4">
        <f>IF(COUNTIFS(T_StockCount[Part Name],$A4,T_StockCount[WeekIndex],36)&gt;0,SUMIFS(T_StockCount[CountedQty],T_StockCount[Part Name],$A4,T_StockCount[WeekIndex],36),IF(('T_SelfStock'!AK8&lt;&gt;""),'T_SelfStock'!AK8,AJ4-'Grid_Requirement'!AK4+'Grid_TTAFOutgoing'!AK4))</f>
        <v/>
      </c>
      <c r="AL4">
        <f>IF(COUNTIFS(T_StockCount[Part Name],$A4,T_StockCount[WeekIndex],37)&gt;0,SUMIFS(T_StockCount[CountedQty],T_StockCount[Part Name],$A4,T_StockCount[WeekIndex],37),IF(('T_SelfStock'!AL8&lt;&gt;""),'T_SelfStock'!AL8,AK4-'Grid_Requirement'!AL4+'Grid_TTAFOutgoing'!AL4))</f>
        <v/>
      </c>
      <c r="AM4">
        <f>IF(COUNTIFS(T_StockCount[Part Name],$A4,T_StockCount[WeekIndex],38)&gt;0,SUMIFS(T_StockCount[CountedQty],T_StockCount[Part Name],$A4,T_StockCount[WeekIndex],38),IF(('T_SelfStock'!AM8&lt;&gt;""),'T_SelfStock'!AM8,AL4-'Grid_Requirement'!AM4+'Grid_TTAFOutgoing'!AM4))</f>
        <v/>
      </c>
      <c r="AN4">
        <f>IF(COUNTIFS(T_StockCount[Part Name],$A4,T_StockCount[WeekIndex],39)&gt;0,SUMIFS(T_StockCount[CountedQty],T_StockCount[Part Name],$A4,T_StockCount[WeekIndex],39),IF(('T_SelfStock'!AN8&lt;&gt;""),'T_SelfStock'!AN8,AM4-'Grid_Requirement'!AN4+'Grid_TTAFOutgoing'!AN4))</f>
        <v/>
      </c>
      <c r="AO4">
        <f>IF(COUNTIFS(T_StockCount[Part Name],$A4,T_StockCount[WeekIndex],40)&gt;0,SUMIFS(T_StockCount[CountedQty],T_StockCount[Part Name],$A4,T_StockCount[WeekIndex],40),IF(('T_SelfStock'!AO8&lt;&gt;""),'T_SelfStock'!AO8,AN4-'Grid_Requirement'!AO4+'Grid_TTAFOutgoing'!AO4))</f>
        <v/>
      </c>
      <c r="AP4">
        <f>IF(COUNTIFS(T_StockCount[Part Name],$A4,T_StockCount[WeekIndex],41)&gt;0,SUMIFS(T_StockCount[CountedQty],T_StockCount[Part Name],$A4,T_StockCount[WeekIndex],41),IF(('T_SelfStock'!AP8&lt;&gt;""),'T_SelfStock'!AP8,AO4-'Grid_Requirement'!AP4+'Grid_TTAFOutgoing'!AP4))</f>
        <v/>
      </c>
      <c r="AQ4">
        <f>IF(COUNTIFS(T_StockCount[Part Name],$A4,T_StockCount[WeekIndex],42)&gt;0,SUMIFS(T_StockCount[CountedQty],T_StockCount[Part Name],$A4,T_StockCount[WeekIndex],42),IF(('T_SelfStock'!AQ8&lt;&gt;""),'T_SelfStock'!AQ8,AP4-'Grid_Requirement'!AQ4+'Grid_TTAFOutgoing'!AQ4))</f>
        <v/>
      </c>
      <c r="AR4">
        <f>IF(COUNTIFS(T_StockCount[Part Name],$A4,T_StockCount[WeekIndex],43)&gt;0,SUMIFS(T_StockCount[CountedQty],T_StockCount[Part Name],$A4,T_StockCount[WeekIndex],43),IF(('T_SelfStock'!AR8&lt;&gt;""),'T_SelfStock'!AR8,AQ4-'Grid_Requirement'!AR4+'Grid_TTAFOutgoing'!AR4))</f>
        <v/>
      </c>
      <c r="AS4">
        <f>IF(COUNTIFS(T_StockCount[Part Name],$A4,T_StockCount[WeekIndex],44)&gt;0,SUMIFS(T_StockCount[CountedQty],T_StockCount[Part Name],$A4,T_StockCount[WeekIndex],44),IF(('T_SelfStock'!AS8&lt;&gt;""),'T_SelfStock'!AS8,AR4-'Grid_Requirement'!AS4+'Grid_TTAFOutgoing'!AS4))</f>
        <v/>
      </c>
      <c r="AT4">
        <f>IF(COUNTIFS(T_StockCount[Part Name],$A4,T_StockCount[WeekIndex],45)&gt;0,SUMIFS(T_StockCount[CountedQty],T_StockCount[Part Name],$A4,T_StockCount[WeekIndex],45),IF(('T_SelfStock'!AT8&lt;&gt;""),'T_SelfStock'!AT8,AS4-'Grid_Requirement'!AT4+'Grid_TTAFOutgoing'!AT4))</f>
        <v/>
      </c>
      <c r="AU4">
        <f>IF(COUNTIFS(T_StockCount[Part Name],$A4,T_StockCount[WeekIndex],46)&gt;0,SUMIFS(T_StockCount[CountedQty],T_StockCount[Part Name],$A4,T_StockCount[WeekIndex],46),IF(('T_SelfStock'!AU8&lt;&gt;""),'T_SelfStock'!AU8,AT4-'Grid_Requirement'!AU4+'Grid_TTAFOutgoing'!AU4))</f>
        <v/>
      </c>
      <c r="AV4">
        <f>IF(COUNTIFS(T_StockCount[Part Name],$A4,T_StockCount[WeekIndex],47)&gt;0,SUMIFS(T_StockCount[CountedQty],T_StockCount[Part Name],$A4,T_StockCount[WeekIndex],47),IF(('T_SelfStock'!AV8&lt;&gt;""),'T_SelfStock'!AV8,AU4-'Grid_Requirement'!AV4+'Grid_TTAFOutgoing'!AV4))</f>
        <v/>
      </c>
      <c r="AW4">
        <f>IF(COUNTIFS(T_StockCount[Part Name],$A4,T_StockCount[WeekIndex],48)&gt;0,SUMIFS(T_StockCount[CountedQty],T_StockCount[Part Name],$A4,T_StockCount[WeekIndex],48),IF(('T_SelfStock'!AW8&lt;&gt;""),'T_SelfStock'!AW8,AV4-'Grid_Requirement'!AW4+'Grid_TTAFOutgoing'!AW4))</f>
        <v/>
      </c>
      <c r="AX4">
        <f>IF(COUNTIFS(T_StockCount[Part Name],$A4,T_StockCount[WeekIndex],49)&gt;0,SUMIFS(T_StockCount[CountedQty],T_StockCount[Part Name],$A4,T_StockCount[WeekIndex],49),IF(('T_SelfStock'!AX8&lt;&gt;""),'T_SelfStock'!AX8,AW4-'Grid_Requirement'!AX4+'Grid_TTAFOutgoing'!AX4))</f>
        <v/>
      </c>
      <c r="AY4">
        <f>IF(COUNTIFS(T_StockCount[Part Name],$A4,T_StockCount[WeekIndex],50)&gt;0,SUMIFS(T_StockCount[CountedQty],T_StockCount[Part Name],$A4,T_StockCount[WeekIndex],50),IF(('T_SelfStock'!AY8&lt;&gt;""),'T_SelfStock'!AY8,AX4-'Grid_Requirement'!AY4+'Grid_TTAFOutgoing'!AY4))</f>
        <v/>
      </c>
      <c r="AZ4">
        <f>IF(COUNTIFS(T_StockCount[Part Name],$A4,T_StockCount[WeekIndex],51)&gt;0,SUMIFS(T_StockCount[CountedQty],T_StockCount[Part Name],$A4,T_StockCount[WeekIndex],51),IF(('T_SelfStock'!AZ8&lt;&gt;""),'T_SelfStock'!AZ8,AY4-'Grid_Requirement'!AZ4+'Grid_TTAFOutgoing'!AZ4))</f>
        <v/>
      </c>
      <c r="BA4">
        <f>IF(COUNTIFS(T_StockCount[Part Name],$A4,T_StockCount[WeekIndex],52)&gt;0,SUMIFS(T_StockCount[CountedQty],T_StockCount[Part Name],$A4,T_StockCount[WeekIndex],52),IF(('T_SelfStock'!BA8&lt;&gt;""),'T_SelfStock'!BA8,AZ4-'Grid_Requirement'!BA4+'Grid_TTAFOutgoing'!BA4))</f>
        <v/>
      </c>
      <c r="BB4">
        <f>IF(COUNTIFS(T_StockCount[Part Name],$A4,T_StockCount[WeekIndex],53)&gt;0,SUMIFS(T_StockCount[CountedQty],T_StockCount[Part Name],$A4,T_StockCount[WeekIndex],53),IF(('T_SelfStock'!BB8&lt;&gt;""),'T_SelfStock'!BB8,BA4-'Grid_Requirement'!BB4+'Grid_TTAFOutgoing'!BB4))</f>
        <v/>
      </c>
      <c r="BC4">
        <f>IF(COUNTIFS(T_StockCount[Part Name],$A4,T_StockCount[WeekIndex],54)&gt;0,SUMIFS(T_StockCount[CountedQty],T_StockCount[Part Name],$A4,T_StockCount[WeekIndex],54),IF(('T_SelfStock'!BC8&lt;&gt;""),'T_SelfStock'!BC8,BB4-'Grid_Requirement'!BC4+'Grid_TTAFOutgoing'!BC4))</f>
        <v/>
      </c>
      <c r="BD4">
        <f>IF(COUNTIFS(T_StockCount[Part Name],$A4,T_StockCount[WeekIndex],55)&gt;0,SUMIFS(T_StockCount[CountedQty],T_StockCount[Part Name],$A4,T_StockCount[WeekIndex],55),IF(('T_SelfStock'!BD8&lt;&gt;""),'T_SelfStock'!BD8,BC4-'Grid_Requirement'!BD4+'Grid_TTAFOutgoing'!BD4))</f>
        <v/>
      </c>
      <c r="BE4">
        <f>IF(COUNTIFS(T_StockCount[Part Name],$A4,T_StockCount[WeekIndex],56)&gt;0,SUMIFS(T_StockCount[CountedQty],T_StockCount[Part Name],$A4,T_StockCount[WeekIndex],56),IF(('T_SelfStock'!BE8&lt;&gt;""),'T_SelfStock'!BE8,BD4-'Grid_Requirement'!BE4+'Grid_TTAFOutgoing'!BE4))</f>
        <v/>
      </c>
      <c r="BF4">
        <f>IF(COUNTIFS(T_StockCount[Part Name],$A4,T_StockCount[WeekIndex],57)&gt;0,SUMIFS(T_StockCount[CountedQty],T_StockCount[Part Name],$A4,T_StockCount[WeekIndex],57),IF(('T_SelfStock'!BF8&lt;&gt;""),'T_SelfStock'!BF8,BE4-'Grid_Requirement'!BF4+'Grid_TTAFOutgoing'!BF4))</f>
        <v/>
      </c>
      <c r="BG4">
        <f>IF(COUNTIFS(T_StockCount[Part Name],$A4,T_StockCount[WeekIndex],58)&gt;0,SUMIFS(T_StockCount[CountedQty],T_StockCount[Part Name],$A4,T_StockCount[WeekIndex],58),IF(('T_SelfStock'!BG8&lt;&gt;""),'T_SelfStock'!BG8,BF4-'Grid_Requirement'!BG4+'Grid_TTAFOutgoing'!BG4))</f>
        <v/>
      </c>
      <c r="BH4">
        <f>IF(COUNTIFS(T_StockCount[Part Name],$A4,T_StockCount[WeekIndex],59)&gt;0,SUMIFS(T_StockCount[CountedQty],T_StockCount[Part Name],$A4,T_StockCount[WeekIndex],59),IF(('T_SelfStock'!BH8&lt;&gt;""),'T_SelfStock'!BH8,BG4-'Grid_Requirement'!BH4+'Grid_TTAFOutgoing'!BH4))</f>
        <v/>
      </c>
      <c r="BI4">
        <f>IF(COUNTIFS(T_StockCount[Part Name],$A4,T_StockCount[WeekIndex],60)&gt;0,SUMIFS(T_StockCount[CountedQty],T_StockCount[Part Name],$A4,T_StockCount[WeekIndex],60),IF(('T_SelfStock'!BI8&lt;&gt;""),'T_SelfStock'!BI8,BH4-'Grid_Requirement'!BI4+'Grid_TTAFOutgoing'!BI4))</f>
        <v/>
      </c>
      <c r="BJ4">
        <f>IF(COUNTIFS(T_StockCount[Part Name],$A4,T_StockCount[WeekIndex],61)&gt;0,SUMIFS(T_StockCount[CountedQty],T_StockCount[Part Name],$A4,T_StockCount[WeekIndex],61),IF(('T_SelfStock'!BJ8&lt;&gt;""),'T_SelfStock'!BJ8,BI4-'Grid_Requirement'!BJ4+'Grid_TTAFOutgoing'!BJ4))</f>
        <v/>
      </c>
      <c r="BK4">
        <f>IF(COUNTIFS(T_StockCount[Part Name],$A4,T_StockCount[WeekIndex],62)&gt;0,SUMIFS(T_StockCount[CountedQty],T_StockCount[Part Name],$A4,T_StockCount[WeekIndex],62),IF(('T_SelfStock'!BK8&lt;&gt;""),'T_SelfStock'!BK8,BJ4-'Grid_Requirement'!BK4+'Grid_TTAFOutgoing'!BK4))</f>
        <v/>
      </c>
      <c r="BL4">
        <f>IF(COUNTIFS(T_StockCount[Part Name],$A4,T_StockCount[WeekIndex],63)&gt;0,SUMIFS(T_StockCount[CountedQty],T_StockCount[Part Name],$A4,T_StockCount[WeekIndex],63),IF(('T_SelfStock'!BL8&lt;&gt;""),'T_SelfStock'!BL8,BK4-'Grid_Requirement'!BL4+'Grid_TTAFOutgoing'!BL4))</f>
        <v/>
      </c>
      <c r="BM4">
        <f>IF(COUNTIFS(T_StockCount[Part Name],$A4,T_StockCount[WeekIndex],64)&gt;0,SUMIFS(T_StockCount[CountedQty],T_StockCount[Part Name],$A4,T_StockCount[WeekIndex],64),IF(('T_SelfStock'!BM8&lt;&gt;""),'T_SelfStock'!BM8,BL4-'Grid_Requirement'!BM4+'Grid_TTAFOutgoing'!BM4))</f>
        <v/>
      </c>
      <c r="BN4">
        <f>IF(COUNTIFS(T_StockCount[Part Name],$A4,T_StockCount[WeekIndex],65)&gt;0,SUMIFS(T_StockCount[CountedQty],T_StockCount[Part Name],$A4,T_StockCount[WeekIndex],65),IF(('T_SelfStock'!BN8&lt;&gt;""),'T_SelfStock'!BN8,BM4-'Grid_Requirement'!BN4+'Grid_TTAFOutgoing'!BN4))</f>
        <v/>
      </c>
      <c r="BO4">
        <f>IF(COUNTIFS(T_StockCount[Part Name],$A4,T_StockCount[WeekIndex],66)&gt;0,SUMIFS(T_StockCount[CountedQty],T_StockCount[Part Name],$A4,T_StockCount[WeekIndex],66),IF(('T_SelfStock'!BO8&lt;&gt;""),'T_SelfStock'!BO8,BN4-'Grid_Requirement'!BO4+'Grid_TTAFOutgoing'!BO4))</f>
        <v/>
      </c>
      <c r="BP4">
        <f>IF(COUNTIFS(T_StockCount[Part Name],$A4,T_StockCount[WeekIndex],67)&gt;0,SUMIFS(T_StockCount[CountedQty],T_StockCount[Part Name],$A4,T_StockCount[WeekIndex],67),IF(('T_SelfStock'!BP8&lt;&gt;""),'T_SelfStock'!BP8,BO4-'Grid_Requirement'!BP4+'Grid_TTAFOutgoing'!BP4))</f>
        <v/>
      </c>
      <c r="BQ4">
        <f>IF(COUNTIFS(T_StockCount[Part Name],$A4,T_StockCount[WeekIndex],68)&gt;0,SUMIFS(T_StockCount[CountedQty],T_StockCount[Part Name],$A4,T_StockCount[WeekIndex],68),IF(('T_SelfStock'!BQ8&lt;&gt;""),'T_SelfStock'!BQ8,BP4-'Grid_Requirement'!BQ4+'Grid_TTAFOutgoing'!BQ4))</f>
        <v/>
      </c>
      <c r="BR4">
        <f>IF(COUNTIFS(T_StockCount[Part Name],$A4,T_StockCount[WeekIndex],69)&gt;0,SUMIFS(T_StockCount[CountedQty],T_StockCount[Part Name],$A4,T_StockCount[WeekIndex],69),IF(('T_SelfStock'!BR8&lt;&gt;""),'T_SelfStock'!BR8,BQ4-'Grid_Requirement'!BR4+'Grid_TTAFOutgoing'!BR4))</f>
        <v/>
      </c>
      <c r="BS4">
        <f>IF(COUNTIFS(T_StockCount[Part Name],$A4,T_StockCount[WeekIndex],70)&gt;0,SUMIFS(T_StockCount[CountedQty],T_StockCount[Part Name],$A4,T_StockCount[WeekIndex],70),IF(('T_SelfStock'!BS8&lt;&gt;""),'T_SelfStock'!BS8,BR4-'Grid_Requirement'!BS4+'Grid_TTAFOutgoing'!BS4))</f>
        <v/>
      </c>
      <c r="BT4">
        <f>IF(COUNTIFS(T_StockCount[Part Name],$A4,T_StockCount[WeekIndex],71)&gt;0,SUMIFS(T_StockCount[CountedQty],T_StockCount[Part Name],$A4,T_StockCount[WeekIndex],71),IF(('T_SelfStock'!BT8&lt;&gt;""),'T_SelfStock'!BT8,BS4-'Grid_Requirement'!BT4+'Grid_TTAFOutgoing'!BT4))</f>
        <v/>
      </c>
      <c r="BU4">
        <f>IF(COUNTIFS(T_StockCount[Part Name],$A4,T_StockCount[WeekIndex],72)&gt;0,SUMIFS(T_StockCount[CountedQty],T_StockCount[Part Name],$A4,T_StockCount[WeekIndex],72),IF(('T_SelfStock'!BU8&lt;&gt;""),'T_SelfStock'!BU8,BT4-'Grid_Requirement'!BU4+'Grid_TTAFOutgoing'!BU4))</f>
        <v/>
      </c>
      <c r="BV4">
        <f>IF(COUNTIFS(T_StockCount[Part Name],$A4,T_StockCount[WeekIndex],73)&gt;0,SUMIFS(T_StockCount[CountedQty],T_StockCount[Part Name],$A4,T_StockCount[WeekIndex],73),IF(('T_SelfStock'!BV8&lt;&gt;""),'T_SelfStock'!BV8,BU4-'Grid_Requirement'!BV4+'Grid_TTAFOutgoing'!BV4))</f>
        <v/>
      </c>
      <c r="BW4">
        <f>IF(COUNTIFS(T_StockCount[Part Name],$A4,T_StockCount[WeekIndex],74)&gt;0,SUMIFS(T_StockCount[CountedQty],T_StockCount[Part Name],$A4,T_StockCount[WeekIndex],74),IF(('T_SelfStock'!BW8&lt;&gt;""),'T_SelfStock'!BW8,BV4-'Grid_Requirement'!BW4+'Grid_TTAFOutgoing'!BW4))</f>
        <v/>
      </c>
      <c r="BX4">
        <f>IF(COUNTIFS(T_StockCount[Part Name],$A4,T_StockCount[WeekIndex],75)&gt;0,SUMIFS(T_StockCount[CountedQty],T_StockCount[Part Name],$A4,T_StockCount[WeekIndex],75),IF(('T_SelfStock'!BX8&lt;&gt;""),'T_SelfStock'!BX8,BW4-'Grid_Requirement'!BX4+'Grid_TTAFOutgoing'!BX4))</f>
        <v/>
      </c>
      <c r="BY4">
        <f>IF(COUNTIFS(T_StockCount[Part Name],$A4,T_StockCount[WeekIndex],76)&gt;0,SUMIFS(T_StockCount[CountedQty],T_StockCount[Part Name],$A4,T_StockCount[WeekIndex],76),IF(('T_SelfStock'!BY8&lt;&gt;""),'T_SelfStock'!BY8,BX4-'Grid_Requirement'!BY4+'Grid_TTAFOutgoing'!BY4))</f>
        <v/>
      </c>
      <c r="BZ4">
        <f>IF(COUNTIFS(T_StockCount[Part Name],$A4,T_StockCount[WeekIndex],77)&gt;0,SUMIFS(T_StockCount[CountedQty],T_StockCount[Part Name],$A4,T_StockCount[WeekIndex],77),IF(('T_SelfStock'!BZ8&lt;&gt;""),'T_SelfStock'!BZ8,BY4-'Grid_Requirement'!BZ4+'Grid_TTAFOutgoing'!BZ4))</f>
        <v/>
      </c>
      <c r="CA4">
        <f>IF(COUNTIFS(T_StockCount[Part Name],$A4,T_StockCount[WeekIndex],78)&gt;0,SUMIFS(T_StockCount[CountedQty],T_StockCount[Part Name],$A4,T_StockCount[WeekIndex],78),IF(('T_SelfStock'!CA8&lt;&gt;""),'T_SelfStock'!CA8,BZ4-'Grid_Requirement'!CA4+'Grid_TTAFOutgoing'!CA4))</f>
        <v/>
      </c>
      <c r="CB4">
        <f>IF(COUNTIFS(T_StockCount[Part Name],$A4,T_StockCount[WeekIndex],79)&gt;0,SUMIFS(T_StockCount[CountedQty],T_StockCount[Part Name],$A4,T_StockCount[WeekIndex],79),IF(('T_SelfStock'!CB8&lt;&gt;""),'T_SelfStock'!CB8,CA4-'Grid_Requirement'!CB4+'Grid_TTAFOutgoing'!CB4))</f>
        <v/>
      </c>
      <c r="CC4">
        <f>IF(COUNTIFS(T_StockCount[Part Name],$A4,T_StockCount[WeekIndex],80)&gt;0,SUMIFS(T_StockCount[CountedQty],T_StockCount[Part Name],$A4,T_StockCount[WeekIndex],80),IF(('T_SelfStock'!CC8&lt;&gt;""),'T_SelfStock'!CC8,CB4-'Grid_Requirement'!CC4+'Grid_TTAFOutgoing'!CC4))</f>
        <v/>
      </c>
      <c r="CD4">
        <f>IF(COUNTIFS(T_StockCount[Part Name],$A4,T_StockCount[WeekIndex],81)&gt;0,SUMIFS(T_StockCount[CountedQty],T_StockCount[Part Name],$A4,T_StockCount[WeekIndex],81),IF(('T_SelfStock'!CD8&lt;&gt;""),'T_SelfStock'!CD8,CC4-'Grid_Requirement'!CD4+'Grid_TTAFOutgoing'!CD4))</f>
        <v/>
      </c>
      <c r="CE4">
        <f>IF(COUNTIFS(T_StockCount[Part Name],$A4,T_StockCount[WeekIndex],82)&gt;0,SUMIFS(T_StockCount[CountedQty],T_StockCount[Part Name],$A4,T_StockCount[WeekIndex],82),IF(('T_SelfStock'!CE8&lt;&gt;""),'T_SelfStock'!CE8,CD4-'Grid_Requirement'!CE4+'Grid_TTAFOutgoing'!CE4))</f>
        <v/>
      </c>
      <c r="CF4">
        <f>IF(COUNTIFS(T_StockCount[Part Name],$A4,T_StockCount[WeekIndex],83)&gt;0,SUMIFS(T_StockCount[CountedQty],T_StockCount[Part Name],$A4,T_StockCount[WeekIndex],83),IF(('T_SelfStock'!CF8&lt;&gt;""),'T_SelfStock'!CF8,CE4-'Grid_Requirement'!CF4+'Grid_TTAFOutgoing'!CF4))</f>
        <v/>
      </c>
      <c r="CG4">
        <f>IF(COUNTIFS(T_StockCount[Part Name],$A4,T_StockCount[WeekIndex],84)&gt;0,SUMIFS(T_StockCount[CountedQty],T_StockCount[Part Name],$A4,T_StockCount[WeekIndex],84),IF(('T_SelfStock'!CG8&lt;&gt;""),'T_SelfStock'!CG8,CF4-'Grid_Requirement'!CG4+'Grid_TTAFOutgoing'!CG4))</f>
        <v/>
      </c>
      <c r="CH4">
        <f>IF(COUNTIFS(T_StockCount[Part Name],$A4,T_StockCount[WeekIndex],85)&gt;0,SUMIFS(T_StockCount[CountedQty],T_StockCount[Part Name],$A4,T_StockCount[WeekIndex],85),IF(('T_SelfStock'!CH8&lt;&gt;""),'T_SelfStock'!CH8,CG4-'Grid_Requirement'!CH4+'Grid_TTAFOutgoing'!CH4))</f>
        <v/>
      </c>
      <c r="CI4">
        <f>IF(COUNTIFS(T_StockCount[Part Name],$A4,T_StockCount[WeekIndex],86)&gt;0,SUMIFS(T_StockCount[CountedQty],T_StockCount[Part Name],$A4,T_StockCount[WeekIndex],86),IF(('T_SelfStock'!CI8&lt;&gt;""),'T_SelfStock'!CI8,CH4-'Grid_Requirement'!CI4+'Grid_TTAFOutgoing'!CI4))</f>
        <v/>
      </c>
      <c r="CJ4">
        <f>IF(COUNTIFS(T_StockCount[Part Name],$A4,T_StockCount[WeekIndex],87)&gt;0,SUMIFS(T_StockCount[CountedQty],T_StockCount[Part Name],$A4,T_StockCount[WeekIndex],87),IF(('T_SelfStock'!CJ8&lt;&gt;""),'T_SelfStock'!CJ8,CI4-'Grid_Requirement'!CJ4+'Grid_TTAFOutgoing'!CJ4))</f>
        <v/>
      </c>
      <c r="CK4">
        <f>IF(COUNTIFS(T_StockCount[Part Name],$A4,T_StockCount[WeekIndex],88)&gt;0,SUMIFS(T_StockCount[CountedQty],T_StockCount[Part Name],$A4,T_StockCount[WeekIndex],88),IF(('T_SelfStock'!CK8&lt;&gt;""),'T_SelfStock'!CK8,CJ4-'Grid_Requirement'!CK4+'Grid_TTAFOutgoing'!CK4))</f>
        <v/>
      </c>
      <c r="CL4">
        <f>IF(COUNTIFS(T_StockCount[Part Name],$A4,T_StockCount[WeekIndex],89)&gt;0,SUMIFS(T_StockCount[CountedQty],T_StockCount[Part Name],$A4,T_StockCount[WeekIndex],89),IF(('T_SelfStock'!CL8&lt;&gt;""),'T_SelfStock'!CL8,CK4-'Grid_Requirement'!CL4+'Grid_TTAFOutgoing'!CL4))</f>
        <v/>
      </c>
      <c r="CM4">
        <f>IF(COUNTIFS(T_StockCount[Part Name],$A4,T_StockCount[WeekIndex],90)&gt;0,SUMIFS(T_StockCount[CountedQty],T_StockCount[Part Name],$A4,T_StockCount[WeekIndex],90),IF(('T_SelfStock'!CM8&lt;&gt;""),'T_SelfStock'!CM8,CL4-'Grid_Requirement'!CM4+'Grid_TTAFOutgoing'!CM4))</f>
        <v/>
      </c>
      <c r="CN4">
        <f>IF(COUNTIFS(T_StockCount[Part Name],$A4,T_StockCount[WeekIndex],91)&gt;0,SUMIFS(T_StockCount[CountedQty],T_StockCount[Part Name],$A4,T_StockCount[WeekIndex],91),IF(('T_SelfStock'!CN8&lt;&gt;""),'T_SelfStock'!CN8,CM4-'Grid_Requirement'!CN4+'Grid_TTAFOutgoing'!CN4))</f>
        <v/>
      </c>
      <c r="CO4">
        <f>IF(COUNTIFS(T_StockCount[Part Name],$A4,T_StockCount[WeekIndex],92)&gt;0,SUMIFS(T_StockCount[CountedQty],T_StockCount[Part Name],$A4,T_StockCount[WeekIndex],92),IF(('T_SelfStock'!CO8&lt;&gt;""),'T_SelfStock'!CO8,CN4-'Grid_Requirement'!CO4+'Grid_TTAFOutgoing'!CO4))</f>
        <v/>
      </c>
      <c r="CP4">
        <f>IF(COUNTIFS(T_StockCount[Part Name],$A4,T_StockCount[WeekIndex],93)&gt;0,SUMIFS(T_StockCount[CountedQty],T_StockCount[Part Name],$A4,T_StockCount[WeekIndex],93),IF(('T_SelfStock'!CP8&lt;&gt;""),'T_SelfStock'!CP8,CO4-'Grid_Requirement'!CP4+'Grid_TTAFOutgoing'!CP4))</f>
        <v/>
      </c>
      <c r="CQ4">
        <f>IF(COUNTIFS(T_StockCount[Part Name],$A4,T_StockCount[WeekIndex],94)&gt;0,SUMIFS(T_StockCount[CountedQty],T_StockCount[Part Name],$A4,T_StockCount[WeekIndex],94),IF(('T_SelfStock'!CQ8&lt;&gt;""),'T_SelfStock'!CQ8,CP4-'Grid_Requirement'!CQ4+'Grid_TTAFOutgoing'!CQ4))</f>
        <v/>
      </c>
      <c r="CR4">
        <f>IF(COUNTIFS(T_StockCount[Part Name],$A4,T_StockCount[WeekIndex],95)&gt;0,SUMIFS(T_StockCount[CountedQty],T_StockCount[Part Name],$A4,T_StockCount[WeekIndex],95),IF(('T_SelfStock'!CR8&lt;&gt;""),'T_SelfStock'!CR8,CQ4-'Grid_Requirement'!CR4+'Grid_TTAFOutgoing'!CR4))</f>
        <v/>
      </c>
      <c r="CS4">
        <f>IF(COUNTIFS(T_StockCount[Part Name],$A4,T_StockCount[WeekIndex],96)&gt;0,SUMIFS(T_StockCount[CountedQty],T_StockCount[Part Name],$A4,T_StockCount[WeekIndex],96),IF(('T_SelfStock'!CS8&lt;&gt;""),'T_SelfStock'!CS8,CR4-'Grid_Requirement'!CS4+'Grid_TTAFOutgoing'!CS4))</f>
        <v/>
      </c>
      <c r="CT4">
        <f>IF(COUNTIFS(T_StockCount[Part Name],$A4,T_StockCount[WeekIndex],97)&gt;0,SUMIFS(T_StockCount[CountedQty],T_StockCount[Part Name],$A4,T_StockCount[WeekIndex],97),IF(('T_SelfStock'!CT8&lt;&gt;""),'T_SelfStock'!CT8,CS4-'Grid_Requirement'!CT4+'Grid_TTAFOutgoing'!CT4))</f>
        <v/>
      </c>
      <c r="CU4">
        <f>IF(COUNTIFS(T_StockCount[Part Name],$A4,T_StockCount[WeekIndex],98)&gt;0,SUMIFS(T_StockCount[CountedQty],T_StockCount[Part Name],$A4,T_StockCount[WeekIndex],98),IF(('T_SelfStock'!CU8&lt;&gt;""),'T_SelfStock'!CU8,CT4-'Grid_Requirement'!CU4+'Grid_TTAFOutgoing'!CU4))</f>
        <v/>
      </c>
      <c r="CV4">
        <f>IF(COUNTIFS(T_StockCount[Part Name],$A4,T_StockCount[WeekIndex],99)&gt;0,SUMIFS(T_StockCount[CountedQty],T_StockCount[Part Name],$A4,T_StockCount[WeekIndex],99),IF(('T_SelfStock'!CV8&lt;&gt;""),'T_SelfStock'!CV8,CU4-'Grid_Requirement'!CV4+'Grid_TTAFOutgoing'!CV4))</f>
        <v/>
      </c>
      <c r="CW4">
        <f>IF(COUNTIFS(T_StockCount[Part Name],$A4,T_StockCount[WeekIndex],100)&gt;0,SUMIFS(T_StockCount[CountedQty],T_StockCount[Part Name],$A4,T_StockCount[WeekIndex],100),IF(('T_SelfStock'!CW8&lt;&gt;""),'T_SelfStock'!CW8,CV4-'Grid_Requirement'!CW4+'Grid_TTAFOutgoing'!CW4))</f>
        <v/>
      </c>
      <c r="CX4">
        <f>IF(COUNTIFS(T_StockCount[Part Name],$A4,T_StockCount[WeekIndex],101)&gt;0,SUMIFS(T_StockCount[CountedQty],T_StockCount[Part Name],$A4,T_StockCount[WeekIndex],101),IF(('T_SelfStock'!CX8&lt;&gt;""),'T_SelfStock'!CX8,CW4-'Grid_Requirement'!CX4+'Grid_TTAFOutgoing'!CX4))</f>
        <v/>
      </c>
      <c r="CY4">
        <f>IF(COUNTIFS(T_StockCount[Part Name],$A4,T_StockCount[WeekIndex],102)&gt;0,SUMIFS(T_StockCount[CountedQty],T_StockCount[Part Name],$A4,T_StockCount[WeekIndex],102),IF(('T_SelfStock'!CY8&lt;&gt;""),'T_SelfStock'!CY8,CX4-'Grid_Requirement'!CY4+'Grid_TTAFOutgoing'!CY4))</f>
        <v/>
      </c>
      <c r="CZ4">
        <f>IF(COUNTIFS(T_StockCount[Part Name],$A4,T_StockCount[WeekIndex],103)&gt;0,SUMIFS(T_StockCount[CountedQty],T_StockCount[Part Name],$A4,T_StockCount[WeekIndex],103),IF(('T_SelfStock'!CZ8&lt;&gt;""),'T_SelfStock'!CZ8,CY4-'Grid_Requirement'!CZ4+'Grid_TTAFOutgoing'!CZ4))</f>
        <v/>
      </c>
      <c r="DA4">
        <f>IF(COUNTIFS(T_StockCount[Part Name],$A4,T_StockCount[WeekIndex],104)&gt;0,SUMIFS(T_StockCount[CountedQty],T_StockCount[Part Name],$A4,T_StockCount[WeekIndex],104),IF(('T_SelfStock'!DA8&lt;&gt;""),'T_SelfStock'!DA8,CZ4-'Grid_Requirement'!DA4+'Grid_TTAFOutgoing'!DA4))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Name],$A5,T_StockCount[WeekIndex],1),IF(('T_SelfStock'!B9&lt;&gt;""),'T_SelfStock'!B9,IFERROR(INDEX(T_OpeningStock[Opening_Qty],MATCH($A5,T_OpeningStock[Part Name],0)),0)-'Grid_Requirement'!B5+'Grid_TTAFOutgoing'!B5))</f>
        <v/>
      </c>
      <c r="C5">
        <f>IF(COUNTIFS(T_StockCount[Part Name],$A5,T_StockCount[WeekIndex],2)&gt;0,SUMIFS(T_StockCount[CountedQty],T_StockCount[Part Name],$A5,T_StockCount[WeekIndex],2),IF(('T_SelfStock'!C9&lt;&gt;""),'T_SelfStock'!C9,B5-'Grid_Requirement'!C5+'Grid_TTAFOutgoing'!C5))</f>
        <v/>
      </c>
      <c r="D5">
        <f>IF(COUNTIFS(T_StockCount[Part Name],$A5,T_StockCount[WeekIndex],3)&gt;0,SUMIFS(T_StockCount[CountedQty],T_StockCount[Part Name],$A5,T_StockCount[WeekIndex],3),IF(('T_SelfStock'!D9&lt;&gt;""),'T_SelfStock'!D9,C5-'Grid_Requirement'!D5+'Grid_TTAFOutgoing'!D5))</f>
        <v/>
      </c>
      <c r="E5">
        <f>IF(COUNTIFS(T_StockCount[Part Name],$A5,T_StockCount[WeekIndex],4)&gt;0,SUMIFS(T_StockCount[CountedQty],T_StockCount[Part Name],$A5,T_StockCount[WeekIndex],4),IF(('T_SelfStock'!E9&lt;&gt;""),'T_SelfStock'!E9,D5-'Grid_Requirement'!E5+'Grid_TTAFOutgoing'!E5))</f>
        <v/>
      </c>
      <c r="F5">
        <f>IF(COUNTIFS(T_StockCount[Part Name],$A5,T_StockCount[WeekIndex],5)&gt;0,SUMIFS(T_StockCount[CountedQty],T_StockCount[Part Name],$A5,T_StockCount[WeekIndex],5),IF(('T_SelfStock'!F9&lt;&gt;""),'T_SelfStock'!F9,E5-'Grid_Requirement'!F5+'Grid_TTAFOutgoing'!F5))</f>
        <v/>
      </c>
      <c r="G5">
        <f>IF(COUNTIFS(T_StockCount[Part Name],$A5,T_StockCount[WeekIndex],6)&gt;0,SUMIFS(T_StockCount[CountedQty],T_StockCount[Part Name],$A5,T_StockCount[WeekIndex],6),IF(('T_SelfStock'!G9&lt;&gt;""),'T_SelfStock'!G9,F5-'Grid_Requirement'!G5+'Grid_TTAFOutgoing'!G5))</f>
        <v/>
      </c>
      <c r="H5">
        <f>IF(COUNTIFS(T_StockCount[Part Name],$A5,T_StockCount[WeekIndex],7)&gt;0,SUMIFS(T_StockCount[CountedQty],T_StockCount[Part Name],$A5,T_StockCount[WeekIndex],7),IF(('T_SelfStock'!H9&lt;&gt;""),'T_SelfStock'!H9,G5-'Grid_Requirement'!H5+'Grid_TTAFOutgoing'!H5))</f>
        <v/>
      </c>
      <c r="I5">
        <f>IF(COUNTIFS(T_StockCount[Part Name],$A5,T_StockCount[WeekIndex],8)&gt;0,SUMIFS(T_StockCount[CountedQty],T_StockCount[Part Name],$A5,T_StockCount[WeekIndex],8),IF(('T_SelfStock'!I9&lt;&gt;""),'T_SelfStock'!I9,H5-'Grid_Requirement'!I5+'Grid_TTAFOutgoing'!I5))</f>
        <v/>
      </c>
      <c r="J5">
        <f>IF(COUNTIFS(T_StockCount[Part Name],$A5,T_StockCount[WeekIndex],9)&gt;0,SUMIFS(T_StockCount[CountedQty],T_StockCount[Part Name],$A5,T_StockCount[WeekIndex],9),IF(('T_SelfStock'!J9&lt;&gt;""),'T_SelfStock'!J9,I5-'Grid_Requirement'!J5+'Grid_TTAFOutgoing'!J5))</f>
        <v/>
      </c>
      <c r="K5">
        <f>IF(COUNTIFS(T_StockCount[Part Name],$A5,T_StockCount[WeekIndex],10)&gt;0,SUMIFS(T_StockCount[CountedQty],T_StockCount[Part Name],$A5,T_StockCount[WeekIndex],10),IF(('T_SelfStock'!K9&lt;&gt;""),'T_SelfStock'!K9,J5-'Grid_Requirement'!K5+'Grid_TTAFOutgoing'!K5))</f>
        <v/>
      </c>
      <c r="L5">
        <f>IF(COUNTIFS(T_StockCount[Part Name],$A5,T_StockCount[WeekIndex],11)&gt;0,SUMIFS(T_StockCount[CountedQty],T_StockCount[Part Name],$A5,T_StockCount[WeekIndex],11),IF(('T_SelfStock'!L9&lt;&gt;""),'T_SelfStock'!L9,K5-'Grid_Requirement'!L5+'Grid_TTAFOutgoing'!L5))</f>
        <v/>
      </c>
      <c r="M5">
        <f>IF(COUNTIFS(T_StockCount[Part Name],$A5,T_StockCount[WeekIndex],12)&gt;0,SUMIFS(T_StockCount[CountedQty],T_StockCount[Part Name],$A5,T_StockCount[WeekIndex],12),IF(('T_SelfStock'!M9&lt;&gt;""),'T_SelfStock'!M9,L5-'Grid_Requirement'!M5+'Grid_TTAFOutgoing'!M5))</f>
        <v/>
      </c>
      <c r="N5">
        <f>IF(COUNTIFS(T_StockCount[Part Name],$A5,T_StockCount[WeekIndex],13)&gt;0,SUMIFS(T_StockCount[CountedQty],T_StockCount[Part Name],$A5,T_StockCount[WeekIndex],13),IF(('T_SelfStock'!N9&lt;&gt;""),'T_SelfStock'!N9,M5-'Grid_Requirement'!N5+'Grid_TTAFOutgoing'!N5))</f>
        <v/>
      </c>
      <c r="O5">
        <f>IF(COUNTIFS(T_StockCount[Part Name],$A5,T_StockCount[WeekIndex],14)&gt;0,SUMIFS(T_StockCount[CountedQty],T_StockCount[Part Name],$A5,T_StockCount[WeekIndex],14),IF(('T_SelfStock'!O9&lt;&gt;""),'T_SelfStock'!O9,N5-'Grid_Requirement'!O5+'Grid_TTAFOutgoing'!O5))</f>
        <v/>
      </c>
      <c r="P5">
        <f>IF(COUNTIFS(T_StockCount[Part Name],$A5,T_StockCount[WeekIndex],15)&gt;0,SUMIFS(T_StockCount[CountedQty],T_StockCount[Part Name],$A5,T_StockCount[WeekIndex],15),IF(('T_SelfStock'!P9&lt;&gt;""),'T_SelfStock'!P9,O5-'Grid_Requirement'!P5+'Grid_TTAFOutgoing'!P5))</f>
        <v/>
      </c>
      <c r="Q5">
        <f>IF(COUNTIFS(T_StockCount[Part Name],$A5,T_StockCount[WeekIndex],16)&gt;0,SUMIFS(T_StockCount[CountedQty],T_StockCount[Part Name],$A5,T_StockCount[WeekIndex],16),IF(('T_SelfStock'!Q9&lt;&gt;""),'T_SelfStock'!Q9,P5-'Grid_Requirement'!Q5+'Grid_TTAFOutgoing'!Q5))</f>
        <v/>
      </c>
      <c r="R5">
        <f>IF(COUNTIFS(T_StockCount[Part Name],$A5,T_StockCount[WeekIndex],17)&gt;0,SUMIFS(T_StockCount[CountedQty],T_StockCount[Part Name],$A5,T_StockCount[WeekIndex],17),IF(('T_SelfStock'!R9&lt;&gt;""),'T_SelfStock'!R9,Q5-'Grid_Requirement'!R5+'Grid_TTAFOutgoing'!R5))</f>
        <v/>
      </c>
      <c r="S5">
        <f>IF(COUNTIFS(T_StockCount[Part Name],$A5,T_StockCount[WeekIndex],18)&gt;0,SUMIFS(T_StockCount[CountedQty],T_StockCount[Part Name],$A5,T_StockCount[WeekIndex],18),IF(('T_SelfStock'!S9&lt;&gt;""),'T_SelfStock'!S9,R5-'Grid_Requirement'!S5+'Grid_TTAFOutgoing'!S5))</f>
        <v/>
      </c>
      <c r="T5">
        <f>IF(COUNTIFS(T_StockCount[Part Name],$A5,T_StockCount[WeekIndex],19)&gt;0,SUMIFS(T_StockCount[CountedQty],T_StockCount[Part Name],$A5,T_StockCount[WeekIndex],19),IF(('T_SelfStock'!T9&lt;&gt;""),'T_SelfStock'!T9,S5-'Grid_Requirement'!T5+'Grid_TTAFOutgoing'!T5))</f>
        <v/>
      </c>
      <c r="U5">
        <f>IF(COUNTIFS(T_StockCount[Part Name],$A5,T_StockCount[WeekIndex],20)&gt;0,SUMIFS(T_StockCount[CountedQty],T_StockCount[Part Name],$A5,T_StockCount[WeekIndex],20),IF(('T_SelfStock'!U9&lt;&gt;""),'T_SelfStock'!U9,T5-'Grid_Requirement'!U5+'Grid_TTAFOutgoing'!U5))</f>
        <v/>
      </c>
      <c r="V5">
        <f>IF(COUNTIFS(T_StockCount[Part Name],$A5,T_StockCount[WeekIndex],21)&gt;0,SUMIFS(T_StockCount[CountedQty],T_StockCount[Part Name],$A5,T_StockCount[WeekIndex],21),IF(('T_SelfStock'!V9&lt;&gt;""),'T_SelfStock'!V9,U5-'Grid_Requirement'!V5+'Grid_TTAFOutgoing'!V5))</f>
        <v/>
      </c>
      <c r="W5">
        <f>IF(COUNTIFS(T_StockCount[Part Name],$A5,T_StockCount[WeekIndex],22)&gt;0,SUMIFS(T_StockCount[CountedQty],T_StockCount[Part Name],$A5,T_StockCount[WeekIndex],22),IF(('T_SelfStock'!W9&lt;&gt;""),'T_SelfStock'!W9,V5-'Grid_Requirement'!W5+'Grid_TTAFOutgoing'!W5))</f>
        <v/>
      </c>
      <c r="X5">
        <f>IF(COUNTIFS(T_StockCount[Part Name],$A5,T_StockCount[WeekIndex],23)&gt;0,SUMIFS(T_StockCount[CountedQty],T_StockCount[Part Name],$A5,T_StockCount[WeekIndex],23),IF(('T_SelfStock'!X9&lt;&gt;""),'T_SelfStock'!X9,W5-'Grid_Requirement'!X5+'Grid_TTAFOutgoing'!X5))</f>
        <v/>
      </c>
      <c r="Y5">
        <f>IF(COUNTIFS(T_StockCount[Part Name],$A5,T_StockCount[WeekIndex],24)&gt;0,SUMIFS(T_StockCount[CountedQty],T_StockCount[Part Name],$A5,T_StockCount[WeekIndex],24),IF(('T_SelfStock'!Y9&lt;&gt;""),'T_SelfStock'!Y9,X5-'Grid_Requirement'!Y5+'Grid_TTAFOutgoing'!Y5))</f>
        <v/>
      </c>
      <c r="Z5">
        <f>IF(COUNTIFS(T_StockCount[Part Name],$A5,T_StockCount[WeekIndex],25)&gt;0,SUMIFS(T_StockCount[CountedQty],T_StockCount[Part Name],$A5,T_StockCount[WeekIndex],25),IF(('T_SelfStock'!Z9&lt;&gt;""),'T_SelfStock'!Z9,Y5-'Grid_Requirement'!Z5+'Grid_TTAFOutgoing'!Z5))</f>
        <v/>
      </c>
      <c r="AA5">
        <f>IF(COUNTIFS(T_StockCount[Part Name],$A5,T_StockCount[WeekIndex],26)&gt;0,SUMIFS(T_StockCount[CountedQty],T_StockCount[Part Name],$A5,T_StockCount[WeekIndex],26),IF(('T_SelfStock'!AA9&lt;&gt;""),'T_SelfStock'!AA9,Z5-'Grid_Requirement'!AA5+'Grid_TTAFOutgoing'!AA5))</f>
        <v/>
      </c>
      <c r="AB5">
        <f>IF(COUNTIFS(T_StockCount[Part Name],$A5,T_StockCount[WeekIndex],27)&gt;0,SUMIFS(T_StockCount[CountedQty],T_StockCount[Part Name],$A5,T_StockCount[WeekIndex],27),IF(('T_SelfStock'!AB9&lt;&gt;""),'T_SelfStock'!AB9,AA5-'Grid_Requirement'!AB5+'Grid_TTAFOutgoing'!AB5))</f>
        <v/>
      </c>
      <c r="AC5">
        <f>IF(COUNTIFS(T_StockCount[Part Name],$A5,T_StockCount[WeekIndex],28)&gt;0,SUMIFS(T_StockCount[CountedQty],T_StockCount[Part Name],$A5,T_StockCount[WeekIndex],28),IF(('T_SelfStock'!AC9&lt;&gt;""),'T_SelfStock'!AC9,AB5-'Grid_Requirement'!AC5+'Grid_TTAFOutgoing'!AC5))</f>
        <v/>
      </c>
      <c r="AD5">
        <f>IF(COUNTIFS(T_StockCount[Part Name],$A5,T_StockCount[WeekIndex],29)&gt;0,SUMIFS(T_StockCount[CountedQty],T_StockCount[Part Name],$A5,T_StockCount[WeekIndex],29),IF(('T_SelfStock'!AD9&lt;&gt;""),'T_SelfStock'!AD9,AC5-'Grid_Requirement'!AD5+'Grid_TTAFOutgoing'!AD5))</f>
        <v/>
      </c>
      <c r="AE5">
        <f>IF(COUNTIFS(T_StockCount[Part Name],$A5,T_StockCount[WeekIndex],30)&gt;0,SUMIFS(T_StockCount[CountedQty],T_StockCount[Part Name],$A5,T_StockCount[WeekIndex],30),IF(('T_SelfStock'!AE9&lt;&gt;""),'T_SelfStock'!AE9,AD5-'Grid_Requirement'!AE5+'Grid_TTAFOutgoing'!AE5))</f>
        <v/>
      </c>
      <c r="AF5">
        <f>IF(COUNTIFS(T_StockCount[Part Name],$A5,T_StockCount[WeekIndex],31)&gt;0,SUMIFS(T_StockCount[CountedQty],T_StockCount[Part Name],$A5,T_StockCount[WeekIndex],31),IF(('T_SelfStock'!AF9&lt;&gt;""),'T_SelfStock'!AF9,AE5-'Grid_Requirement'!AF5+'Grid_TTAFOutgoing'!AF5))</f>
        <v/>
      </c>
      <c r="AG5">
        <f>IF(COUNTIFS(T_StockCount[Part Name],$A5,T_StockCount[WeekIndex],32)&gt;0,SUMIFS(T_StockCount[CountedQty],T_StockCount[Part Name],$A5,T_StockCount[WeekIndex],32),IF(('T_SelfStock'!AG9&lt;&gt;""),'T_SelfStock'!AG9,AF5-'Grid_Requirement'!AG5+'Grid_TTAFOutgoing'!AG5))</f>
        <v/>
      </c>
      <c r="AH5">
        <f>IF(COUNTIFS(T_StockCount[Part Name],$A5,T_StockCount[WeekIndex],33)&gt;0,SUMIFS(T_StockCount[CountedQty],T_StockCount[Part Name],$A5,T_StockCount[WeekIndex],33),IF(('T_SelfStock'!AH9&lt;&gt;""),'T_SelfStock'!AH9,AG5-'Grid_Requirement'!AH5+'Grid_TTAFOutgoing'!AH5))</f>
        <v/>
      </c>
      <c r="AI5">
        <f>IF(COUNTIFS(T_StockCount[Part Name],$A5,T_StockCount[WeekIndex],34)&gt;0,SUMIFS(T_StockCount[CountedQty],T_StockCount[Part Name],$A5,T_StockCount[WeekIndex],34),IF(('T_SelfStock'!AI9&lt;&gt;""),'T_SelfStock'!AI9,AH5-'Grid_Requirement'!AI5+'Grid_TTAFOutgoing'!AI5))</f>
        <v/>
      </c>
      <c r="AJ5">
        <f>IF(COUNTIFS(T_StockCount[Part Name],$A5,T_StockCount[WeekIndex],35)&gt;0,SUMIFS(T_StockCount[CountedQty],T_StockCount[Part Name],$A5,T_StockCount[WeekIndex],35),IF(('T_SelfStock'!AJ9&lt;&gt;""),'T_SelfStock'!AJ9,AI5-'Grid_Requirement'!AJ5+'Grid_TTAFOutgoing'!AJ5))</f>
        <v/>
      </c>
      <c r="AK5">
        <f>IF(COUNTIFS(T_StockCount[Part Name],$A5,T_StockCount[WeekIndex],36)&gt;0,SUMIFS(T_StockCount[CountedQty],T_StockCount[Part Name],$A5,T_StockCount[WeekIndex],36),IF(('T_SelfStock'!AK9&lt;&gt;""),'T_SelfStock'!AK9,AJ5-'Grid_Requirement'!AK5+'Grid_TTAFOutgoing'!AK5))</f>
        <v/>
      </c>
      <c r="AL5">
        <f>IF(COUNTIFS(T_StockCount[Part Name],$A5,T_StockCount[WeekIndex],37)&gt;0,SUMIFS(T_StockCount[CountedQty],T_StockCount[Part Name],$A5,T_StockCount[WeekIndex],37),IF(('T_SelfStock'!AL9&lt;&gt;""),'T_SelfStock'!AL9,AK5-'Grid_Requirement'!AL5+'Grid_TTAFOutgoing'!AL5))</f>
        <v/>
      </c>
      <c r="AM5">
        <f>IF(COUNTIFS(T_StockCount[Part Name],$A5,T_StockCount[WeekIndex],38)&gt;0,SUMIFS(T_StockCount[CountedQty],T_StockCount[Part Name],$A5,T_StockCount[WeekIndex],38),IF(('T_SelfStock'!AM9&lt;&gt;""),'T_SelfStock'!AM9,AL5-'Grid_Requirement'!AM5+'Grid_TTAFOutgoing'!AM5))</f>
        <v/>
      </c>
      <c r="AN5">
        <f>IF(COUNTIFS(T_StockCount[Part Name],$A5,T_StockCount[WeekIndex],39)&gt;0,SUMIFS(T_StockCount[CountedQty],T_StockCount[Part Name],$A5,T_StockCount[WeekIndex],39),IF(('T_SelfStock'!AN9&lt;&gt;""),'T_SelfStock'!AN9,AM5-'Grid_Requirement'!AN5+'Grid_TTAFOutgoing'!AN5))</f>
        <v/>
      </c>
      <c r="AO5">
        <f>IF(COUNTIFS(T_StockCount[Part Name],$A5,T_StockCount[WeekIndex],40)&gt;0,SUMIFS(T_StockCount[CountedQty],T_StockCount[Part Name],$A5,T_StockCount[WeekIndex],40),IF(('T_SelfStock'!AO9&lt;&gt;""),'T_SelfStock'!AO9,AN5-'Grid_Requirement'!AO5+'Grid_TTAFOutgoing'!AO5))</f>
        <v/>
      </c>
      <c r="AP5">
        <f>IF(COUNTIFS(T_StockCount[Part Name],$A5,T_StockCount[WeekIndex],41)&gt;0,SUMIFS(T_StockCount[CountedQty],T_StockCount[Part Name],$A5,T_StockCount[WeekIndex],41),IF(('T_SelfStock'!AP9&lt;&gt;""),'T_SelfStock'!AP9,AO5-'Grid_Requirement'!AP5+'Grid_TTAFOutgoing'!AP5))</f>
        <v/>
      </c>
      <c r="AQ5">
        <f>IF(COUNTIFS(T_StockCount[Part Name],$A5,T_StockCount[WeekIndex],42)&gt;0,SUMIFS(T_StockCount[CountedQty],T_StockCount[Part Name],$A5,T_StockCount[WeekIndex],42),IF(('T_SelfStock'!AQ9&lt;&gt;""),'T_SelfStock'!AQ9,AP5-'Grid_Requirement'!AQ5+'Grid_TTAFOutgoing'!AQ5))</f>
        <v/>
      </c>
      <c r="AR5">
        <f>IF(COUNTIFS(T_StockCount[Part Name],$A5,T_StockCount[WeekIndex],43)&gt;0,SUMIFS(T_StockCount[CountedQty],T_StockCount[Part Name],$A5,T_StockCount[WeekIndex],43),IF(('T_SelfStock'!AR9&lt;&gt;""),'T_SelfStock'!AR9,AQ5-'Grid_Requirement'!AR5+'Grid_TTAFOutgoing'!AR5))</f>
        <v/>
      </c>
      <c r="AS5">
        <f>IF(COUNTIFS(T_StockCount[Part Name],$A5,T_StockCount[WeekIndex],44)&gt;0,SUMIFS(T_StockCount[CountedQty],T_StockCount[Part Name],$A5,T_StockCount[WeekIndex],44),IF(('T_SelfStock'!AS9&lt;&gt;""),'T_SelfStock'!AS9,AR5-'Grid_Requirement'!AS5+'Grid_TTAFOutgoing'!AS5))</f>
        <v/>
      </c>
      <c r="AT5">
        <f>IF(COUNTIFS(T_StockCount[Part Name],$A5,T_StockCount[WeekIndex],45)&gt;0,SUMIFS(T_StockCount[CountedQty],T_StockCount[Part Name],$A5,T_StockCount[WeekIndex],45),IF(('T_SelfStock'!AT9&lt;&gt;""),'T_SelfStock'!AT9,AS5-'Grid_Requirement'!AT5+'Grid_TTAFOutgoing'!AT5))</f>
        <v/>
      </c>
      <c r="AU5">
        <f>IF(COUNTIFS(T_StockCount[Part Name],$A5,T_StockCount[WeekIndex],46)&gt;0,SUMIFS(T_StockCount[CountedQty],T_StockCount[Part Name],$A5,T_StockCount[WeekIndex],46),IF(('T_SelfStock'!AU9&lt;&gt;""),'T_SelfStock'!AU9,AT5-'Grid_Requirement'!AU5+'Grid_TTAFOutgoing'!AU5))</f>
        <v/>
      </c>
      <c r="AV5">
        <f>IF(COUNTIFS(T_StockCount[Part Name],$A5,T_StockCount[WeekIndex],47)&gt;0,SUMIFS(T_StockCount[CountedQty],T_StockCount[Part Name],$A5,T_StockCount[WeekIndex],47),IF(('T_SelfStock'!AV9&lt;&gt;""),'T_SelfStock'!AV9,AU5-'Grid_Requirement'!AV5+'Grid_TTAFOutgoing'!AV5))</f>
        <v/>
      </c>
      <c r="AW5">
        <f>IF(COUNTIFS(T_StockCount[Part Name],$A5,T_StockCount[WeekIndex],48)&gt;0,SUMIFS(T_StockCount[CountedQty],T_StockCount[Part Name],$A5,T_StockCount[WeekIndex],48),IF(('T_SelfStock'!AW9&lt;&gt;""),'T_SelfStock'!AW9,AV5-'Grid_Requirement'!AW5+'Grid_TTAFOutgoing'!AW5))</f>
        <v/>
      </c>
      <c r="AX5">
        <f>IF(COUNTIFS(T_StockCount[Part Name],$A5,T_StockCount[WeekIndex],49)&gt;0,SUMIFS(T_StockCount[CountedQty],T_StockCount[Part Name],$A5,T_StockCount[WeekIndex],49),IF(('T_SelfStock'!AX9&lt;&gt;""),'T_SelfStock'!AX9,AW5-'Grid_Requirement'!AX5+'Grid_TTAFOutgoing'!AX5))</f>
        <v/>
      </c>
      <c r="AY5">
        <f>IF(COUNTIFS(T_StockCount[Part Name],$A5,T_StockCount[WeekIndex],50)&gt;0,SUMIFS(T_StockCount[CountedQty],T_StockCount[Part Name],$A5,T_StockCount[WeekIndex],50),IF(('T_SelfStock'!AY9&lt;&gt;""),'T_SelfStock'!AY9,AX5-'Grid_Requirement'!AY5+'Grid_TTAFOutgoing'!AY5))</f>
        <v/>
      </c>
      <c r="AZ5">
        <f>IF(COUNTIFS(T_StockCount[Part Name],$A5,T_StockCount[WeekIndex],51)&gt;0,SUMIFS(T_StockCount[CountedQty],T_StockCount[Part Name],$A5,T_StockCount[WeekIndex],51),IF(('T_SelfStock'!AZ9&lt;&gt;""),'T_SelfStock'!AZ9,AY5-'Grid_Requirement'!AZ5+'Grid_TTAFOutgoing'!AZ5))</f>
        <v/>
      </c>
      <c r="BA5">
        <f>IF(COUNTIFS(T_StockCount[Part Name],$A5,T_StockCount[WeekIndex],52)&gt;0,SUMIFS(T_StockCount[CountedQty],T_StockCount[Part Name],$A5,T_StockCount[WeekIndex],52),IF(('T_SelfStock'!BA9&lt;&gt;""),'T_SelfStock'!BA9,AZ5-'Grid_Requirement'!BA5+'Grid_TTAFOutgoing'!BA5))</f>
        <v/>
      </c>
      <c r="BB5">
        <f>IF(COUNTIFS(T_StockCount[Part Name],$A5,T_StockCount[WeekIndex],53)&gt;0,SUMIFS(T_StockCount[CountedQty],T_StockCount[Part Name],$A5,T_StockCount[WeekIndex],53),IF(('T_SelfStock'!BB9&lt;&gt;""),'T_SelfStock'!BB9,BA5-'Grid_Requirement'!BB5+'Grid_TTAFOutgoing'!BB5))</f>
        <v/>
      </c>
      <c r="BC5">
        <f>IF(COUNTIFS(T_StockCount[Part Name],$A5,T_StockCount[WeekIndex],54)&gt;0,SUMIFS(T_StockCount[CountedQty],T_StockCount[Part Name],$A5,T_StockCount[WeekIndex],54),IF(('T_SelfStock'!BC9&lt;&gt;""),'T_SelfStock'!BC9,BB5-'Grid_Requirement'!BC5+'Grid_TTAFOutgoing'!BC5))</f>
        <v/>
      </c>
      <c r="BD5">
        <f>IF(COUNTIFS(T_StockCount[Part Name],$A5,T_StockCount[WeekIndex],55)&gt;0,SUMIFS(T_StockCount[CountedQty],T_StockCount[Part Name],$A5,T_StockCount[WeekIndex],55),IF(('T_SelfStock'!BD9&lt;&gt;""),'T_SelfStock'!BD9,BC5-'Grid_Requirement'!BD5+'Grid_TTAFOutgoing'!BD5))</f>
        <v/>
      </c>
      <c r="BE5">
        <f>IF(COUNTIFS(T_StockCount[Part Name],$A5,T_StockCount[WeekIndex],56)&gt;0,SUMIFS(T_StockCount[CountedQty],T_StockCount[Part Name],$A5,T_StockCount[WeekIndex],56),IF(('T_SelfStock'!BE9&lt;&gt;""),'T_SelfStock'!BE9,BD5-'Grid_Requirement'!BE5+'Grid_TTAFOutgoing'!BE5))</f>
        <v/>
      </c>
      <c r="BF5">
        <f>IF(COUNTIFS(T_StockCount[Part Name],$A5,T_StockCount[WeekIndex],57)&gt;0,SUMIFS(T_StockCount[CountedQty],T_StockCount[Part Name],$A5,T_StockCount[WeekIndex],57),IF(('T_SelfStock'!BF9&lt;&gt;""),'T_SelfStock'!BF9,BE5-'Grid_Requirement'!BF5+'Grid_TTAFOutgoing'!BF5))</f>
        <v/>
      </c>
      <c r="BG5">
        <f>IF(COUNTIFS(T_StockCount[Part Name],$A5,T_StockCount[WeekIndex],58)&gt;0,SUMIFS(T_StockCount[CountedQty],T_StockCount[Part Name],$A5,T_StockCount[WeekIndex],58),IF(('T_SelfStock'!BG9&lt;&gt;""),'T_SelfStock'!BG9,BF5-'Grid_Requirement'!BG5+'Grid_TTAFOutgoing'!BG5))</f>
        <v/>
      </c>
      <c r="BH5">
        <f>IF(COUNTIFS(T_StockCount[Part Name],$A5,T_StockCount[WeekIndex],59)&gt;0,SUMIFS(T_StockCount[CountedQty],T_StockCount[Part Name],$A5,T_StockCount[WeekIndex],59),IF(('T_SelfStock'!BH9&lt;&gt;""),'T_SelfStock'!BH9,BG5-'Grid_Requirement'!BH5+'Grid_TTAFOutgoing'!BH5))</f>
        <v/>
      </c>
      <c r="BI5">
        <f>IF(COUNTIFS(T_StockCount[Part Name],$A5,T_StockCount[WeekIndex],60)&gt;0,SUMIFS(T_StockCount[CountedQty],T_StockCount[Part Name],$A5,T_StockCount[WeekIndex],60),IF(('T_SelfStock'!BI9&lt;&gt;""),'T_SelfStock'!BI9,BH5-'Grid_Requirement'!BI5+'Grid_TTAFOutgoing'!BI5))</f>
        <v/>
      </c>
      <c r="BJ5">
        <f>IF(COUNTIFS(T_StockCount[Part Name],$A5,T_StockCount[WeekIndex],61)&gt;0,SUMIFS(T_StockCount[CountedQty],T_StockCount[Part Name],$A5,T_StockCount[WeekIndex],61),IF(('T_SelfStock'!BJ9&lt;&gt;""),'T_SelfStock'!BJ9,BI5-'Grid_Requirement'!BJ5+'Grid_TTAFOutgoing'!BJ5))</f>
        <v/>
      </c>
      <c r="BK5">
        <f>IF(COUNTIFS(T_StockCount[Part Name],$A5,T_StockCount[WeekIndex],62)&gt;0,SUMIFS(T_StockCount[CountedQty],T_StockCount[Part Name],$A5,T_StockCount[WeekIndex],62),IF(('T_SelfStock'!BK9&lt;&gt;""),'T_SelfStock'!BK9,BJ5-'Grid_Requirement'!BK5+'Grid_TTAFOutgoing'!BK5))</f>
        <v/>
      </c>
      <c r="BL5">
        <f>IF(COUNTIFS(T_StockCount[Part Name],$A5,T_StockCount[WeekIndex],63)&gt;0,SUMIFS(T_StockCount[CountedQty],T_StockCount[Part Name],$A5,T_StockCount[WeekIndex],63),IF(('T_SelfStock'!BL9&lt;&gt;""),'T_SelfStock'!BL9,BK5-'Grid_Requirement'!BL5+'Grid_TTAFOutgoing'!BL5))</f>
        <v/>
      </c>
      <c r="BM5">
        <f>IF(COUNTIFS(T_StockCount[Part Name],$A5,T_StockCount[WeekIndex],64)&gt;0,SUMIFS(T_StockCount[CountedQty],T_StockCount[Part Name],$A5,T_StockCount[WeekIndex],64),IF(('T_SelfStock'!BM9&lt;&gt;""),'T_SelfStock'!BM9,BL5-'Grid_Requirement'!BM5+'Grid_TTAFOutgoing'!BM5))</f>
        <v/>
      </c>
      <c r="BN5">
        <f>IF(COUNTIFS(T_StockCount[Part Name],$A5,T_StockCount[WeekIndex],65)&gt;0,SUMIFS(T_StockCount[CountedQty],T_StockCount[Part Name],$A5,T_StockCount[WeekIndex],65),IF(('T_SelfStock'!BN9&lt;&gt;""),'T_SelfStock'!BN9,BM5-'Grid_Requirement'!BN5+'Grid_TTAFOutgoing'!BN5))</f>
        <v/>
      </c>
      <c r="BO5">
        <f>IF(COUNTIFS(T_StockCount[Part Name],$A5,T_StockCount[WeekIndex],66)&gt;0,SUMIFS(T_StockCount[CountedQty],T_StockCount[Part Name],$A5,T_StockCount[WeekIndex],66),IF(('T_SelfStock'!BO9&lt;&gt;""),'T_SelfStock'!BO9,BN5-'Grid_Requirement'!BO5+'Grid_TTAFOutgoing'!BO5))</f>
        <v/>
      </c>
      <c r="BP5">
        <f>IF(COUNTIFS(T_StockCount[Part Name],$A5,T_StockCount[WeekIndex],67)&gt;0,SUMIFS(T_StockCount[CountedQty],T_StockCount[Part Name],$A5,T_StockCount[WeekIndex],67),IF(('T_SelfStock'!BP9&lt;&gt;""),'T_SelfStock'!BP9,BO5-'Grid_Requirement'!BP5+'Grid_TTAFOutgoing'!BP5))</f>
        <v/>
      </c>
      <c r="BQ5">
        <f>IF(COUNTIFS(T_StockCount[Part Name],$A5,T_StockCount[WeekIndex],68)&gt;0,SUMIFS(T_StockCount[CountedQty],T_StockCount[Part Name],$A5,T_StockCount[WeekIndex],68),IF(('T_SelfStock'!BQ9&lt;&gt;""),'T_SelfStock'!BQ9,BP5-'Grid_Requirement'!BQ5+'Grid_TTAFOutgoing'!BQ5))</f>
        <v/>
      </c>
      <c r="BR5">
        <f>IF(COUNTIFS(T_StockCount[Part Name],$A5,T_StockCount[WeekIndex],69)&gt;0,SUMIFS(T_StockCount[CountedQty],T_StockCount[Part Name],$A5,T_StockCount[WeekIndex],69),IF(('T_SelfStock'!BR9&lt;&gt;""),'T_SelfStock'!BR9,BQ5-'Grid_Requirement'!BR5+'Grid_TTAFOutgoing'!BR5))</f>
        <v/>
      </c>
      <c r="BS5">
        <f>IF(COUNTIFS(T_StockCount[Part Name],$A5,T_StockCount[WeekIndex],70)&gt;0,SUMIFS(T_StockCount[CountedQty],T_StockCount[Part Name],$A5,T_StockCount[WeekIndex],70),IF(('T_SelfStock'!BS9&lt;&gt;""),'T_SelfStock'!BS9,BR5-'Grid_Requirement'!BS5+'Grid_TTAFOutgoing'!BS5))</f>
        <v/>
      </c>
      <c r="BT5">
        <f>IF(COUNTIFS(T_StockCount[Part Name],$A5,T_StockCount[WeekIndex],71)&gt;0,SUMIFS(T_StockCount[CountedQty],T_StockCount[Part Name],$A5,T_StockCount[WeekIndex],71),IF(('T_SelfStock'!BT9&lt;&gt;""),'T_SelfStock'!BT9,BS5-'Grid_Requirement'!BT5+'Grid_TTAFOutgoing'!BT5))</f>
        <v/>
      </c>
      <c r="BU5">
        <f>IF(COUNTIFS(T_StockCount[Part Name],$A5,T_StockCount[WeekIndex],72)&gt;0,SUMIFS(T_StockCount[CountedQty],T_StockCount[Part Name],$A5,T_StockCount[WeekIndex],72),IF(('T_SelfStock'!BU9&lt;&gt;""),'T_SelfStock'!BU9,BT5-'Grid_Requirement'!BU5+'Grid_TTAFOutgoing'!BU5))</f>
        <v/>
      </c>
      <c r="BV5">
        <f>IF(COUNTIFS(T_StockCount[Part Name],$A5,T_StockCount[WeekIndex],73)&gt;0,SUMIFS(T_StockCount[CountedQty],T_StockCount[Part Name],$A5,T_StockCount[WeekIndex],73),IF(('T_SelfStock'!BV9&lt;&gt;""),'T_SelfStock'!BV9,BU5-'Grid_Requirement'!BV5+'Grid_TTAFOutgoing'!BV5))</f>
        <v/>
      </c>
      <c r="BW5">
        <f>IF(COUNTIFS(T_StockCount[Part Name],$A5,T_StockCount[WeekIndex],74)&gt;0,SUMIFS(T_StockCount[CountedQty],T_StockCount[Part Name],$A5,T_StockCount[WeekIndex],74),IF(('T_SelfStock'!BW9&lt;&gt;""),'T_SelfStock'!BW9,BV5-'Grid_Requirement'!BW5+'Grid_TTAFOutgoing'!BW5))</f>
        <v/>
      </c>
      <c r="BX5">
        <f>IF(COUNTIFS(T_StockCount[Part Name],$A5,T_StockCount[WeekIndex],75)&gt;0,SUMIFS(T_StockCount[CountedQty],T_StockCount[Part Name],$A5,T_StockCount[WeekIndex],75),IF(('T_SelfStock'!BX9&lt;&gt;""),'T_SelfStock'!BX9,BW5-'Grid_Requirement'!BX5+'Grid_TTAFOutgoing'!BX5))</f>
        <v/>
      </c>
      <c r="BY5">
        <f>IF(COUNTIFS(T_StockCount[Part Name],$A5,T_StockCount[WeekIndex],76)&gt;0,SUMIFS(T_StockCount[CountedQty],T_StockCount[Part Name],$A5,T_StockCount[WeekIndex],76),IF(('T_SelfStock'!BY9&lt;&gt;""),'T_SelfStock'!BY9,BX5-'Grid_Requirement'!BY5+'Grid_TTAFOutgoing'!BY5))</f>
        <v/>
      </c>
      <c r="BZ5">
        <f>IF(COUNTIFS(T_StockCount[Part Name],$A5,T_StockCount[WeekIndex],77)&gt;0,SUMIFS(T_StockCount[CountedQty],T_StockCount[Part Name],$A5,T_StockCount[WeekIndex],77),IF(('T_SelfStock'!BZ9&lt;&gt;""),'T_SelfStock'!BZ9,BY5-'Grid_Requirement'!BZ5+'Grid_TTAFOutgoing'!BZ5))</f>
        <v/>
      </c>
      <c r="CA5">
        <f>IF(COUNTIFS(T_StockCount[Part Name],$A5,T_StockCount[WeekIndex],78)&gt;0,SUMIFS(T_StockCount[CountedQty],T_StockCount[Part Name],$A5,T_StockCount[WeekIndex],78),IF(('T_SelfStock'!CA9&lt;&gt;""),'T_SelfStock'!CA9,BZ5-'Grid_Requirement'!CA5+'Grid_TTAFOutgoing'!CA5))</f>
        <v/>
      </c>
      <c r="CB5">
        <f>IF(COUNTIFS(T_StockCount[Part Name],$A5,T_StockCount[WeekIndex],79)&gt;0,SUMIFS(T_StockCount[CountedQty],T_StockCount[Part Name],$A5,T_StockCount[WeekIndex],79),IF(('T_SelfStock'!CB9&lt;&gt;""),'T_SelfStock'!CB9,CA5-'Grid_Requirement'!CB5+'Grid_TTAFOutgoing'!CB5))</f>
        <v/>
      </c>
      <c r="CC5">
        <f>IF(COUNTIFS(T_StockCount[Part Name],$A5,T_StockCount[WeekIndex],80)&gt;0,SUMIFS(T_StockCount[CountedQty],T_StockCount[Part Name],$A5,T_StockCount[WeekIndex],80),IF(('T_SelfStock'!CC9&lt;&gt;""),'T_SelfStock'!CC9,CB5-'Grid_Requirement'!CC5+'Grid_TTAFOutgoing'!CC5))</f>
        <v/>
      </c>
      <c r="CD5">
        <f>IF(COUNTIFS(T_StockCount[Part Name],$A5,T_StockCount[WeekIndex],81)&gt;0,SUMIFS(T_StockCount[CountedQty],T_StockCount[Part Name],$A5,T_StockCount[WeekIndex],81),IF(('T_SelfStock'!CD9&lt;&gt;""),'T_SelfStock'!CD9,CC5-'Grid_Requirement'!CD5+'Grid_TTAFOutgoing'!CD5))</f>
        <v/>
      </c>
      <c r="CE5">
        <f>IF(COUNTIFS(T_StockCount[Part Name],$A5,T_StockCount[WeekIndex],82)&gt;0,SUMIFS(T_StockCount[CountedQty],T_StockCount[Part Name],$A5,T_StockCount[WeekIndex],82),IF(('T_SelfStock'!CE9&lt;&gt;""),'T_SelfStock'!CE9,CD5-'Grid_Requirement'!CE5+'Grid_TTAFOutgoing'!CE5))</f>
        <v/>
      </c>
      <c r="CF5">
        <f>IF(COUNTIFS(T_StockCount[Part Name],$A5,T_StockCount[WeekIndex],83)&gt;0,SUMIFS(T_StockCount[CountedQty],T_StockCount[Part Name],$A5,T_StockCount[WeekIndex],83),IF(('T_SelfStock'!CF9&lt;&gt;""),'T_SelfStock'!CF9,CE5-'Grid_Requirement'!CF5+'Grid_TTAFOutgoing'!CF5))</f>
        <v/>
      </c>
      <c r="CG5">
        <f>IF(COUNTIFS(T_StockCount[Part Name],$A5,T_StockCount[WeekIndex],84)&gt;0,SUMIFS(T_StockCount[CountedQty],T_StockCount[Part Name],$A5,T_StockCount[WeekIndex],84),IF(('T_SelfStock'!CG9&lt;&gt;""),'T_SelfStock'!CG9,CF5-'Grid_Requirement'!CG5+'Grid_TTAFOutgoing'!CG5))</f>
        <v/>
      </c>
      <c r="CH5">
        <f>IF(COUNTIFS(T_StockCount[Part Name],$A5,T_StockCount[WeekIndex],85)&gt;0,SUMIFS(T_StockCount[CountedQty],T_StockCount[Part Name],$A5,T_StockCount[WeekIndex],85),IF(('T_SelfStock'!CH9&lt;&gt;""),'T_SelfStock'!CH9,CG5-'Grid_Requirement'!CH5+'Grid_TTAFOutgoing'!CH5))</f>
        <v/>
      </c>
      <c r="CI5">
        <f>IF(COUNTIFS(T_StockCount[Part Name],$A5,T_StockCount[WeekIndex],86)&gt;0,SUMIFS(T_StockCount[CountedQty],T_StockCount[Part Name],$A5,T_StockCount[WeekIndex],86),IF(('T_SelfStock'!CI9&lt;&gt;""),'T_SelfStock'!CI9,CH5-'Grid_Requirement'!CI5+'Grid_TTAFOutgoing'!CI5))</f>
        <v/>
      </c>
      <c r="CJ5">
        <f>IF(COUNTIFS(T_StockCount[Part Name],$A5,T_StockCount[WeekIndex],87)&gt;0,SUMIFS(T_StockCount[CountedQty],T_StockCount[Part Name],$A5,T_StockCount[WeekIndex],87),IF(('T_SelfStock'!CJ9&lt;&gt;""),'T_SelfStock'!CJ9,CI5-'Grid_Requirement'!CJ5+'Grid_TTAFOutgoing'!CJ5))</f>
        <v/>
      </c>
      <c r="CK5">
        <f>IF(COUNTIFS(T_StockCount[Part Name],$A5,T_StockCount[WeekIndex],88)&gt;0,SUMIFS(T_StockCount[CountedQty],T_StockCount[Part Name],$A5,T_StockCount[WeekIndex],88),IF(('T_SelfStock'!CK9&lt;&gt;""),'T_SelfStock'!CK9,CJ5-'Grid_Requirement'!CK5+'Grid_TTAFOutgoing'!CK5))</f>
        <v/>
      </c>
      <c r="CL5">
        <f>IF(COUNTIFS(T_StockCount[Part Name],$A5,T_StockCount[WeekIndex],89)&gt;0,SUMIFS(T_StockCount[CountedQty],T_StockCount[Part Name],$A5,T_StockCount[WeekIndex],89),IF(('T_SelfStock'!CL9&lt;&gt;""),'T_SelfStock'!CL9,CK5-'Grid_Requirement'!CL5+'Grid_TTAFOutgoing'!CL5))</f>
        <v/>
      </c>
      <c r="CM5">
        <f>IF(COUNTIFS(T_StockCount[Part Name],$A5,T_StockCount[WeekIndex],90)&gt;0,SUMIFS(T_StockCount[CountedQty],T_StockCount[Part Name],$A5,T_StockCount[WeekIndex],90),IF(('T_SelfStock'!CM9&lt;&gt;""),'T_SelfStock'!CM9,CL5-'Grid_Requirement'!CM5+'Grid_TTAFOutgoing'!CM5))</f>
        <v/>
      </c>
      <c r="CN5">
        <f>IF(COUNTIFS(T_StockCount[Part Name],$A5,T_StockCount[WeekIndex],91)&gt;0,SUMIFS(T_StockCount[CountedQty],T_StockCount[Part Name],$A5,T_StockCount[WeekIndex],91),IF(('T_SelfStock'!CN9&lt;&gt;""),'T_SelfStock'!CN9,CM5-'Grid_Requirement'!CN5+'Grid_TTAFOutgoing'!CN5))</f>
        <v/>
      </c>
      <c r="CO5">
        <f>IF(COUNTIFS(T_StockCount[Part Name],$A5,T_StockCount[WeekIndex],92)&gt;0,SUMIFS(T_StockCount[CountedQty],T_StockCount[Part Name],$A5,T_StockCount[WeekIndex],92),IF(('T_SelfStock'!CO9&lt;&gt;""),'T_SelfStock'!CO9,CN5-'Grid_Requirement'!CO5+'Grid_TTAFOutgoing'!CO5))</f>
        <v/>
      </c>
      <c r="CP5">
        <f>IF(COUNTIFS(T_StockCount[Part Name],$A5,T_StockCount[WeekIndex],93)&gt;0,SUMIFS(T_StockCount[CountedQty],T_StockCount[Part Name],$A5,T_StockCount[WeekIndex],93),IF(('T_SelfStock'!CP9&lt;&gt;""),'T_SelfStock'!CP9,CO5-'Grid_Requirement'!CP5+'Grid_TTAFOutgoing'!CP5))</f>
        <v/>
      </c>
      <c r="CQ5">
        <f>IF(COUNTIFS(T_StockCount[Part Name],$A5,T_StockCount[WeekIndex],94)&gt;0,SUMIFS(T_StockCount[CountedQty],T_StockCount[Part Name],$A5,T_StockCount[WeekIndex],94),IF(('T_SelfStock'!CQ9&lt;&gt;""),'T_SelfStock'!CQ9,CP5-'Grid_Requirement'!CQ5+'Grid_TTAFOutgoing'!CQ5))</f>
        <v/>
      </c>
      <c r="CR5">
        <f>IF(COUNTIFS(T_StockCount[Part Name],$A5,T_StockCount[WeekIndex],95)&gt;0,SUMIFS(T_StockCount[CountedQty],T_StockCount[Part Name],$A5,T_StockCount[WeekIndex],95),IF(('T_SelfStock'!CR9&lt;&gt;""),'T_SelfStock'!CR9,CQ5-'Grid_Requirement'!CR5+'Grid_TTAFOutgoing'!CR5))</f>
        <v/>
      </c>
      <c r="CS5">
        <f>IF(COUNTIFS(T_StockCount[Part Name],$A5,T_StockCount[WeekIndex],96)&gt;0,SUMIFS(T_StockCount[CountedQty],T_StockCount[Part Name],$A5,T_StockCount[WeekIndex],96),IF(('T_SelfStock'!CS9&lt;&gt;""),'T_SelfStock'!CS9,CR5-'Grid_Requirement'!CS5+'Grid_TTAFOutgoing'!CS5))</f>
        <v/>
      </c>
      <c r="CT5">
        <f>IF(COUNTIFS(T_StockCount[Part Name],$A5,T_StockCount[WeekIndex],97)&gt;0,SUMIFS(T_StockCount[CountedQty],T_StockCount[Part Name],$A5,T_StockCount[WeekIndex],97),IF(('T_SelfStock'!CT9&lt;&gt;""),'T_SelfStock'!CT9,CS5-'Grid_Requirement'!CT5+'Grid_TTAFOutgoing'!CT5))</f>
        <v/>
      </c>
      <c r="CU5">
        <f>IF(COUNTIFS(T_StockCount[Part Name],$A5,T_StockCount[WeekIndex],98)&gt;0,SUMIFS(T_StockCount[CountedQty],T_StockCount[Part Name],$A5,T_StockCount[WeekIndex],98),IF(('T_SelfStock'!CU9&lt;&gt;""),'T_SelfStock'!CU9,CT5-'Grid_Requirement'!CU5+'Grid_TTAFOutgoing'!CU5))</f>
        <v/>
      </c>
      <c r="CV5">
        <f>IF(COUNTIFS(T_StockCount[Part Name],$A5,T_StockCount[WeekIndex],99)&gt;0,SUMIFS(T_StockCount[CountedQty],T_StockCount[Part Name],$A5,T_StockCount[WeekIndex],99),IF(('T_SelfStock'!CV9&lt;&gt;""),'T_SelfStock'!CV9,CU5-'Grid_Requirement'!CV5+'Grid_TTAFOutgoing'!CV5))</f>
        <v/>
      </c>
      <c r="CW5">
        <f>IF(COUNTIFS(T_StockCount[Part Name],$A5,T_StockCount[WeekIndex],100)&gt;0,SUMIFS(T_StockCount[CountedQty],T_StockCount[Part Name],$A5,T_StockCount[WeekIndex],100),IF(('T_SelfStock'!CW9&lt;&gt;""),'T_SelfStock'!CW9,CV5-'Grid_Requirement'!CW5+'Grid_TTAFOutgoing'!CW5))</f>
        <v/>
      </c>
      <c r="CX5">
        <f>IF(COUNTIFS(T_StockCount[Part Name],$A5,T_StockCount[WeekIndex],101)&gt;0,SUMIFS(T_StockCount[CountedQty],T_StockCount[Part Name],$A5,T_StockCount[WeekIndex],101),IF(('T_SelfStock'!CX9&lt;&gt;""),'T_SelfStock'!CX9,CW5-'Grid_Requirement'!CX5+'Grid_TTAFOutgoing'!CX5))</f>
        <v/>
      </c>
      <c r="CY5">
        <f>IF(COUNTIFS(T_StockCount[Part Name],$A5,T_StockCount[WeekIndex],102)&gt;0,SUMIFS(T_StockCount[CountedQty],T_StockCount[Part Name],$A5,T_StockCount[WeekIndex],102),IF(('T_SelfStock'!CY9&lt;&gt;""),'T_SelfStock'!CY9,CX5-'Grid_Requirement'!CY5+'Grid_TTAFOutgoing'!CY5))</f>
        <v/>
      </c>
      <c r="CZ5">
        <f>IF(COUNTIFS(T_StockCount[Part Name],$A5,T_StockCount[WeekIndex],103)&gt;0,SUMIFS(T_StockCount[CountedQty],T_StockCount[Part Name],$A5,T_StockCount[WeekIndex],103),IF(('T_SelfStock'!CZ9&lt;&gt;""),'T_SelfStock'!CZ9,CY5-'Grid_Requirement'!CZ5+'Grid_TTAFOutgoing'!CZ5))</f>
        <v/>
      </c>
      <c r="DA5">
        <f>IF(COUNTIFS(T_StockCount[Part Name],$A5,T_StockCount[WeekIndex],104)&gt;0,SUMIFS(T_StockCount[CountedQty],T_StockCount[Part Name],$A5,T_StockCount[WeekIndex],104),IF(('T_SelfStock'!DA9&lt;&gt;""),'T_SelfStock'!DA9,CZ5-'Grid_Requirement'!DA5+'Grid_TTAFOutgoing'!DA5))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Name],$A6,T_StockCount[WeekIndex],1),IF(('T_SelfStock'!B10&lt;&gt;""),'T_SelfStock'!B10,IFERROR(INDEX(T_OpeningStock[Opening_Qty],MATCH($A6,T_OpeningStock[Part Name],0)),0)-'Grid_Requirement'!B6+'Grid_TTAFOutgoing'!B6))</f>
        <v/>
      </c>
      <c r="C6">
        <f>IF(COUNTIFS(T_StockCount[Part Name],$A6,T_StockCount[WeekIndex],2)&gt;0,SUMIFS(T_StockCount[CountedQty],T_StockCount[Part Name],$A6,T_StockCount[WeekIndex],2),IF(('T_SelfStock'!C10&lt;&gt;""),'T_SelfStock'!C10,B6-'Grid_Requirement'!C6+'Grid_TTAFOutgoing'!C6))</f>
        <v/>
      </c>
      <c r="D6">
        <f>IF(COUNTIFS(T_StockCount[Part Name],$A6,T_StockCount[WeekIndex],3)&gt;0,SUMIFS(T_StockCount[CountedQty],T_StockCount[Part Name],$A6,T_StockCount[WeekIndex],3),IF(('T_SelfStock'!D10&lt;&gt;""),'T_SelfStock'!D10,C6-'Grid_Requirement'!D6+'Grid_TTAFOutgoing'!D6))</f>
        <v/>
      </c>
      <c r="E6">
        <f>IF(COUNTIFS(T_StockCount[Part Name],$A6,T_StockCount[WeekIndex],4)&gt;0,SUMIFS(T_StockCount[CountedQty],T_StockCount[Part Name],$A6,T_StockCount[WeekIndex],4),IF(('T_SelfStock'!E10&lt;&gt;""),'T_SelfStock'!E10,D6-'Grid_Requirement'!E6+'Grid_TTAFOutgoing'!E6))</f>
        <v/>
      </c>
      <c r="F6">
        <f>IF(COUNTIFS(T_StockCount[Part Name],$A6,T_StockCount[WeekIndex],5)&gt;0,SUMIFS(T_StockCount[CountedQty],T_StockCount[Part Name],$A6,T_StockCount[WeekIndex],5),IF(('T_SelfStock'!F10&lt;&gt;""),'T_SelfStock'!F10,E6-'Grid_Requirement'!F6+'Grid_TTAFOutgoing'!F6))</f>
        <v/>
      </c>
      <c r="G6">
        <f>IF(COUNTIFS(T_StockCount[Part Name],$A6,T_StockCount[WeekIndex],6)&gt;0,SUMIFS(T_StockCount[CountedQty],T_StockCount[Part Name],$A6,T_StockCount[WeekIndex],6),IF(('T_SelfStock'!G10&lt;&gt;""),'T_SelfStock'!G10,F6-'Grid_Requirement'!G6+'Grid_TTAFOutgoing'!G6))</f>
        <v/>
      </c>
      <c r="H6">
        <f>IF(COUNTIFS(T_StockCount[Part Name],$A6,T_StockCount[WeekIndex],7)&gt;0,SUMIFS(T_StockCount[CountedQty],T_StockCount[Part Name],$A6,T_StockCount[WeekIndex],7),IF(('T_SelfStock'!H10&lt;&gt;""),'T_SelfStock'!H10,G6-'Grid_Requirement'!H6+'Grid_TTAFOutgoing'!H6))</f>
        <v/>
      </c>
      <c r="I6">
        <f>IF(COUNTIFS(T_StockCount[Part Name],$A6,T_StockCount[WeekIndex],8)&gt;0,SUMIFS(T_StockCount[CountedQty],T_StockCount[Part Name],$A6,T_StockCount[WeekIndex],8),IF(('T_SelfStock'!I10&lt;&gt;""),'T_SelfStock'!I10,H6-'Grid_Requirement'!I6+'Grid_TTAFOutgoing'!I6))</f>
        <v/>
      </c>
      <c r="J6">
        <f>IF(COUNTIFS(T_StockCount[Part Name],$A6,T_StockCount[WeekIndex],9)&gt;0,SUMIFS(T_StockCount[CountedQty],T_StockCount[Part Name],$A6,T_StockCount[WeekIndex],9),IF(('T_SelfStock'!J10&lt;&gt;""),'T_SelfStock'!J10,I6-'Grid_Requirement'!J6+'Grid_TTAFOutgoing'!J6))</f>
        <v/>
      </c>
      <c r="K6">
        <f>IF(COUNTIFS(T_StockCount[Part Name],$A6,T_StockCount[WeekIndex],10)&gt;0,SUMIFS(T_StockCount[CountedQty],T_StockCount[Part Name],$A6,T_StockCount[WeekIndex],10),IF(('T_SelfStock'!K10&lt;&gt;""),'T_SelfStock'!K10,J6-'Grid_Requirement'!K6+'Grid_TTAFOutgoing'!K6))</f>
        <v/>
      </c>
      <c r="L6">
        <f>IF(COUNTIFS(T_StockCount[Part Name],$A6,T_StockCount[WeekIndex],11)&gt;0,SUMIFS(T_StockCount[CountedQty],T_StockCount[Part Name],$A6,T_StockCount[WeekIndex],11),IF(('T_SelfStock'!L10&lt;&gt;""),'T_SelfStock'!L10,K6-'Grid_Requirement'!L6+'Grid_TTAFOutgoing'!L6))</f>
        <v/>
      </c>
      <c r="M6">
        <f>IF(COUNTIFS(T_StockCount[Part Name],$A6,T_StockCount[WeekIndex],12)&gt;0,SUMIFS(T_StockCount[CountedQty],T_StockCount[Part Name],$A6,T_StockCount[WeekIndex],12),IF(('T_SelfStock'!M10&lt;&gt;""),'T_SelfStock'!M10,L6-'Grid_Requirement'!M6+'Grid_TTAFOutgoing'!M6))</f>
        <v/>
      </c>
      <c r="N6">
        <f>IF(COUNTIFS(T_StockCount[Part Name],$A6,T_StockCount[WeekIndex],13)&gt;0,SUMIFS(T_StockCount[CountedQty],T_StockCount[Part Name],$A6,T_StockCount[WeekIndex],13),IF(('T_SelfStock'!N10&lt;&gt;""),'T_SelfStock'!N10,M6-'Grid_Requirement'!N6+'Grid_TTAFOutgoing'!N6))</f>
        <v/>
      </c>
      <c r="O6">
        <f>IF(COUNTIFS(T_StockCount[Part Name],$A6,T_StockCount[WeekIndex],14)&gt;0,SUMIFS(T_StockCount[CountedQty],T_StockCount[Part Name],$A6,T_StockCount[WeekIndex],14),IF(('T_SelfStock'!O10&lt;&gt;""),'T_SelfStock'!O10,N6-'Grid_Requirement'!O6+'Grid_TTAFOutgoing'!O6))</f>
        <v/>
      </c>
      <c r="P6">
        <f>IF(COUNTIFS(T_StockCount[Part Name],$A6,T_StockCount[WeekIndex],15)&gt;0,SUMIFS(T_StockCount[CountedQty],T_StockCount[Part Name],$A6,T_StockCount[WeekIndex],15),IF(('T_SelfStock'!P10&lt;&gt;""),'T_SelfStock'!P10,O6-'Grid_Requirement'!P6+'Grid_TTAFOutgoing'!P6))</f>
        <v/>
      </c>
      <c r="Q6">
        <f>IF(COUNTIFS(T_StockCount[Part Name],$A6,T_StockCount[WeekIndex],16)&gt;0,SUMIFS(T_StockCount[CountedQty],T_StockCount[Part Name],$A6,T_StockCount[WeekIndex],16),IF(('T_SelfStock'!Q10&lt;&gt;""),'T_SelfStock'!Q10,P6-'Grid_Requirement'!Q6+'Grid_TTAFOutgoing'!Q6))</f>
        <v/>
      </c>
      <c r="R6">
        <f>IF(COUNTIFS(T_StockCount[Part Name],$A6,T_StockCount[WeekIndex],17)&gt;0,SUMIFS(T_StockCount[CountedQty],T_StockCount[Part Name],$A6,T_StockCount[WeekIndex],17),IF(('T_SelfStock'!R10&lt;&gt;""),'T_SelfStock'!R10,Q6-'Grid_Requirement'!R6+'Grid_TTAFOutgoing'!R6))</f>
        <v/>
      </c>
      <c r="S6">
        <f>IF(COUNTIFS(T_StockCount[Part Name],$A6,T_StockCount[WeekIndex],18)&gt;0,SUMIFS(T_StockCount[CountedQty],T_StockCount[Part Name],$A6,T_StockCount[WeekIndex],18),IF(('T_SelfStock'!S10&lt;&gt;""),'T_SelfStock'!S10,R6-'Grid_Requirement'!S6+'Grid_TTAFOutgoing'!S6))</f>
        <v/>
      </c>
      <c r="T6">
        <f>IF(COUNTIFS(T_StockCount[Part Name],$A6,T_StockCount[WeekIndex],19)&gt;0,SUMIFS(T_StockCount[CountedQty],T_StockCount[Part Name],$A6,T_StockCount[WeekIndex],19),IF(('T_SelfStock'!T10&lt;&gt;""),'T_SelfStock'!T10,S6-'Grid_Requirement'!T6+'Grid_TTAFOutgoing'!T6))</f>
        <v/>
      </c>
      <c r="U6">
        <f>IF(COUNTIFS(T_StockCount[Part Name],$A6,T_StockCount[WeekIndex],20)&gt;0,SUMIFS(T_StockCount[CountedQty],T_StockCount[Part Name],$A6,T_StockCount[WeekIndex],20),IF(('T_SelfStock'!U10&lt;&gt;""),'T_SelfStock'!U10,T6-'Grid_Requirement'!U6+'Grid_TTAFOutgoing'!U6))</f>
        <v/>
      </c>
      <c r="V6">
        <f>IF(COUNTIFS(T_StockCount[Part Name],$A6,T_StockCount[WeekIndex],21)&gt;0,SUMIFS(T_StockCount[CountedQty],T_StockCount[Part Name],$A6,T_StockCount[WeekIndex],21),IF(('T_SelfStock'!V10&lt;&gt;""),'T_SelfStock'!V10,U6-'Grid_Requirement'!V6+'Grid_TTAFOutgoing'!V6))</f>
        <v/>
      </c>
      <c r="W6">
        <f>IF(COUNTIFS(T_StockCount[Part Name],$A6,T_StockCount[WeekIndex],22)&gt;0,SUMIFS(T_StockCount[CountedQty],T_StockCount[Part Name],$A6,T_StockCount[WeekIndex],22),IF(('T_SelfStock'!W10&lt;&gt;""),'T_SelfStock'!W10,V6-'Grid_Requirement'!W6+'Grid_TTAFOutgoing'!W6))</f>
        <v/>
      </c>
      <c r="X6">
        <f>IF(COUNTIFS(T_StockCount[Part Name],$A6,T_StockCount[WeekIndex],23)&gt;0,SUMIFS(T_StockCount[CountedQty],T_StockCount[Part Name],$A6,T_StockCount[WeekIndex],23),IF(('T_SelfStock'!X10&lt;&gt;""),'T_SelfStock'!X10,W6-'Grid_Requirement'!X6+'Grid_TTAFOutgoing'!X6))</f>
        <v/>
      </c>
      <c r="Y6">
        <f>IF(COUNTIFS(T_StockCount[Part Name],$A6,T_StockCount[WeekIndex],24)&gt;0,SUMIFS(T_StockCount[CountedQty],T_StockCount[Part Name],$A6,T_StockCount[WeekIndex],24),IF(('T_SelfStock'!Y10&lt;&gt;""),'T_SelfStock'!Y10,X6-'Grid_Requirement'!Y6+'Grid_TTAFOutgoing'!Y6))</f>
        <v/>
      </c>
      <c r="Z6">
        <f>IF(COUNTIFS(T_StockCount[Part Name],$A6,T_StockCount[WeekIndex],25)&gt;0,SUMIFS(T_StockCount[CountedQty],T_StockCount[Part Name],$A6,T_StockCount[WeekIndex],25),IF(('T_SelfStock'!Z10&lt;&gt;""),'T_SelfStock'!Z10,Y6-'Grid_Requirement'!Z6+'Grid_TTAFOutgoing'!Z6))</f>
        <v/>
      </c>
      <c r="AA6">
        <f>IF(COUNTIFS(T_StockCount[Part Name],$A6,T_StockCount[WeekIndex],26)&gt;0,SUMIFS(T_StockCount[CountedQty],T_StockCount[Part Name],$A6,T_StockCount[WeekIndex],26),IF(('T_SelfStock'!AA10&lt;&gt;""),'T_SelfStock'!AA10,Z6-'Grid_Requirement'!AA6+'Grid_TTAFOutgoing'!AA6))</f>
        <v/>
      </c>
      <c r="AB6">
        <f>IF(COUNTIFS(T_StockCount[Part Name],$A6,T_StockCount[WeekIndex],27)&gt;0,SUMIFS(T_StockCount[CountedQty],T_StockCount[Part Name],$A6,T_StockCount[WeekIndex],27),IF(('T_SelfStock'!AB10&lt;&gt;""),'T_SelfStock'!AB10,AA6-'Grid_Requirement'!AB6+'Grid_TTAFOutgoing'!AB6))</f>
        <v/>
      </c>
      <c r="AC6">
        <f>IF(COUNTIFS(T_StockCount[Part Name],$A6,T_StockCount[WeekIndex],28)&gt;0,SUMIFS(T_StockCount[CountedQty],T_StockCount[Part Name],$A6,T_StockCount[WeekIndex],28),IF(('T_SelfStock'!AC10&lt;&gt;""),'T_SelfStock'!AC10,AB6-'Grid_Requirement'!AC6+'Grid_TTAFOutgoing'!AC6))</f>
        <v/>
      </c>
      <c r="AD6">
        <f>IF(COUNTIFS(T_StockCount[Part Name],$A6,T_StockCount[WeekIndex],29)&gt;0,SUMIFS(T_StockCount[CountedQty],T_StockCount[Part Name],$A6,T_StockCount[WeekIndex],29),IF(('T_SelfStock'!AD10&lt;&gt;""),'T_SelfStock'!AD10,AC6-'Grid_Requirement'!AD6+'Grid_TTAFOutgoing'!AD6))</f>
        <v/>
      </c>
      <c r="AE6">
        <f>IF(COUNTIFS(T_StockCount[Part Name],$A6,T_StockCount[WeekIndex],30)&gt;0,SUMIFS(T_StockCount[CountedQty],T_StockCount[Part Name],$A6,T_StockCount[WeekIndex],30),IF(('T_SelfStock'!AE10&lt;&gt;""),'T_SelfStock'!AE10,AD6-'Grid_Requirement'!AE6+'Grid_TTAFOutgoing'!AE6))</f>
        <v/>
      </c>
      <c r="AF6">
        <f>IF(COUNTIFS(T_StockCount[Part Name],$A6,T_StockCount[WeekIndex],31)&gt;0,SUMIFS(T_StockCount[CountedQty],T_StockCount[Part Name],$A6,T_StockCount[WeekIndex],31),IF(('T_SelfStock'!AF10&lt;&gt;""),'T_SelfStock'!AF10,AE6-'Grid_Requirement'!AF6+'Grid_TTAFOutgoing'!AF6))</f>
        <v/>
      </c>
      <c r="AG6">
        <f>IF(COUNTIFS(T_StockCount[Part Name],$A6,T_StockCount[WeekIndex],32)&gt;0,SUMIFS(T_StockCount[CountedQty],T_StockCount[Part Name],$A6,T_StockCount[WeekIndex],32),IF(('T_SelfStock'!AG10&lt;&gt;""),'T_SelfStock'!AG10,AF6-'Grid_Requirement'!AG6+'Grid_TTAFOutgoing'!AG6))</f>
        <v/>
      </c>
      <c r="AH6">
        <f>IF(COUNTIFS(T_StockCount[Part Name],$A6,T_StockCount[WeekIndex],33)&gt;0,SUMIFS(T_StockCount[CountedQty],T_StockCount[Part Name],$A6,T_StockCount[WeekIndex],33),IF(('T_SelfStock'!AH10&lt;&gt;""),'T_SelfStock'!AH10,AG6-'Grid_Requirement'!AH6+'Grid_TTAFOutgoing'!AH6))</f>
        <v/>
      </c>
      <c r="AI6">
        <f>IF(COUNTIFS(T_StockCount[Part Name],$A6,T_StockCount[WeekIndex],34)&gt;0,SUMIFS(T_StockCount[CountedQty],T_StockCount[Part Name],$A6,T_StockCount[WeekIndex],34),IF(('T_SelfStock'!AI10&lt;&gt;""),'T_SelfStock'!AI10,AH6-'Grid_Requirement'!AI6+'Grid_TTAFOutgoing'!AI6))</f>
        <v/>
      </c>
      <c r="AJ6">
        <f>IF(COUNTIFS(T_StockCount[Part Name],$A6,T_StockCount[WeekIndex],35)&gt;0,SUMIFS(T_StockCount[CountedQty],T_StockCount[Part Name],$A6,T_StockCount[WeekIndex],35),IF(('T_SelfStock'!AJ10&lt;&gt;""),'T_SelfStock'!AJ10,AI6-'Grid_Requirement'!AJ6+'Grid_TTAFOutgoing'!AJ6))</f>
        <v/>
      </c>
      <c r="AK6">
        <f>IF(COUNTIFS(T_StockCount[Part Name],$A6,T_StockCount[WeekIndex],36)&gt;0,SUMIFS(T_StockCount[CountedQty],T_StockCount[Part Name],$A6,T_StockCount[WeekIndex],36),IF(('T_SelfStock'!AK10&lt;&gt;""),'T_SelfStock'!AK10,AJ6-'Grid_Requirement'!AK6+'Grid_TTAFOutgoing'!AK6))</f>
        <v/>
      </c>
      <c r="AL6">
        <f>IF(COUNTIFS(T_StockCount[Part Name],$A6,T_StockCount[WeekIndex],37)&gt;0,SUMIFS(T_StockCount[CountedQty],T_StockCount[Part Name],$A6,T_StockCount[WeekIndex],37),IF(('T_SelfStock'!AL10&lt;&gt;""),'T_SelfStock'!AL10,AK6-'Grid_Requirement'!AL6+'Grid_TTAFOutgoing'!AL6))</f>
        <v/>
      </c>
      <c r="AM6">
        <f>IF(COUNTIFS(T_StockCount[Part Name],$A6,T_StockCount[WeekIndex],38)&gt;0,SUMIFS(T_StockCount[CountedQty],T_StockCount[Part Name],$A6,T_StockCount[WeekIndex],38),IF(('T_SelfStock'!AM10&lt;&gt;""),'T_SelfStock'!AM10,AL6-'Grid_Requirement'!AM6+'Grid_TTAFOutgoing'!AM6))</f>
        <v/>
      </c>
      <c r="AN6">
        <f>IF(COUNTIFS(T_StockCount[Part Name],$A6,T_StockCount[WeekIndex],39)&gt;0,SUMIFS(T_StockCount[CountedQty],T_StockCount[Part Name],$A6,T_StockCount[WeekIndex],39),IF(('T_SelfStock'!AN10&lt;&gt;""),'T_SelfStock'!AN10,AM6-'Grid_Requirement'!AN6+'Grid_TTAFOutgoing'!AN6))</f>
        <v/>
      </c>
      <c r="AO6">
        <f>IF(COUNTIFS(T_StockCount[Part Name],$A6,T_StockCount[WeekIndex],40)&gt;0,SUMIFS(T_StockCount[CountedQty],T_StockCount[Part Name],$A6,T_StockCount[WeekIndex],40),IF(('T_SelfStock'!AO10&lt;&gt;""),'T_SelfStock'!AO10,AN6-'Grid_Requirement'!AO6+'Grid_TTAFOutgoing'!AO6))</f>
        <v/>
      </c>
      <c r="AP6">
        <f>IF(COUNTIFS(T_StockCount[Part Name],$A6,T_StockCount[WeekIndex],41)&gt;0,SUMIFS(T_StockCount[CountedQty],T_StockCount[Part Name],$A6,T_StockCount[WeekIndex],41),IF(('T_SelfStock'!AP10&lt;&gt;""),'T_SelfStock'!AP10,AO6-'Grid_Requirement'!AP6+'Grid_TTAFOutgoing'!AP6))</f>
        <v/>
      </c>
      <c r="AQ6">
        <f>IF(COUNTIFS(T_StockCount[Part Name],$A6,T_StockCount[WeekIndex],42)&gt;0,SUMIFS(T_StockCount[CountedQty],T_StockCount[Part Name],$A6,T_StockCount[WeekIndex],42),IF(('T_SelfStock'!AQ10&lt;&gt;""),'T_SelfStock'!AQ10,AP6-'Grid_Requirement'!AQ6+'Grid_TTAFOutgoing'!AQ6))</f>
        <v/>
      </c>
      <c r="AR6">
        <f>IF(COUNTIFS(T_StockCount[Part Name],$A6,T_StockCount[WeekIndex],43)&gt;0,SUMIFS(T_StockCount[CountedQty],T_StockCount[Part Name],$A6,T_StockCount[WeekIndex],43),IF(('T_SelfStock'!AR10&lt;&gt;""),'T_SelfStock'!AR10,AQ6-'Grid_Requirement'!AR6+'Grid_TTAFOutgoing'!AR6))</f>
        <v/>
      </c>
      <c r="AS6">
        <f>IF(COUNTIFS(T_StockCount[Part Name],$A6,T_StockCount[WeekIndex],44)&gt;0,SUMIFS(T_StockCount[CountedQty],T_StockCount[Part Name],$A6,T_StockCount[WeekIndex],44),IF(('T_SelfStock'!AS10&lt;&gt;""),'T_SelfStock'!AS10,AR6-'Grid_Requirement'!AS6+'Grid_TTAFOutgoing'!AS6))</f>
        <v/>
      </c>
      <c r="AT6">
        <f>IF(COUNTIFS(T_StockCount[Part Name],$A6,T_StockCount[WeekIndex],45)&gt;0,SUMIFS(T_StockCount[CountedQty],T_StockCount[Part Name],$A6,T_StockCount[WeekIndex],45),IF(('T_SelfStock'!AT10&lt;&gt;""),'T_SelfStock'!AT10,AS6-'Grid_Requirement'!AT6+'Grid_TTAFOutgoing'!AT6))</f>
        <v/>
      </c>
      <c r="AU6">
        <f>IF(COUNTIFS(T_StockCount[Part Name],$A6,T_StockCount[WeekIndex],46)&gt;0,SUMIFS(T_StockCount[CountedQty],T_StockCount[Part Name],$A6,T_StockCount[WeekIndex],46),IF(('T_SelfStock'!AU10&lt;&gt;""),'T_SelfStock'!AU10,AT6-'Grid_Requirement'!AU6+'Grid_TTAFOutgoing'!AU6))</f>
        <v/>
      </c>
      <c r="AV6">
        <f>IF(COUNTIFS(T_StockCount[Part Name],$A6,T_StockCount[WeekIndex],47)&gt;0,SUMIFS(T_StockCount[CountedQty],T_StockCount[Part Name],$A6,T_StockCount[WeekIndex],47),IF(('T_SelfStock'!AV10&lt;&gt;""),'T_SelfStock'!AV10,AU6-'Grid_Requirement'!AV6+'Grid_TTAFOutgoing'!AV6))</f>
        <v/>
      </c>
      <c r="AW6">
        <f>IF(COUNTIFS(T_StockCount[Part Name],$A6,T_StockCount[WeekIndex],48)&gt;0,SUMIFS(T_StockCount[CountedQty],T_StockCount[Part Name],$A6,T_StockCount[WeekIndex],48),IF(('T_SelfStock'!AW10&lt;&gt;""),'T_SelfStock'!AW10,AV6-'Grid_Requirement'!AW6+'Grid_TTAFOutgoing'!AW6))</f>
        <v/>
      </c>
      <c r="AX6">
        <f>IF(COUNTIFS(T_StockCount[Part Name],$A6,T_StockCount[WeekIndex],49)&gt;0,SUMIFS(T_StockCount[CountedQty],T_StockCount[Part Name],$A6,T_StockCount[WeekIndex],49),IF(('T_SelfStock'!AX10&lt;&gt;""),'T_SelfStock'!AX10,AW6-'Grid_Requirement'!AX6+'Grid_TTAFOutgoing'!AX6))</f>
        <v/>
      </c>
      <c r="AY6">
        <f>IF(COUNTIFS(T_StockCount[Part Name],$A6,T_StockCount[WeekIndex],50)&gt;0,SUMIFS(T_StockCount[CountedQty],T_StockCount[Part Name],$A6,T_StockCount[WeekIndex],50),IF(('T_SelfStock'!AY10&lt;&gt;""),'T_SelfStock'!AY10,AX6-'Grid_Requirement'!AY6+'Grid_TTAFOutgoing'!AY6))</f>
        <v/>
      </c>
      <c r="AZ6">
        <f>IF(COUNTIFS(T_StockCount[Part Name],$A6,T_StockCount[WeekIndex],51)&gt;0,SUMIFS(T_StockCount[CountedQty],T_StockCount[Part Name],$A6,T_StockCount[WeekIndex],51),IF(('T_SelfStock'!AZ10&lt;&gt;""),'T_SelfStock'!AZ10,AY6-'Grid_Requirement'!AZ6+'Grid_TTAFOutgoing'!AZ6))</f>
        <v/>
      </c>
      <c r="BA6">
        <f>IF(COUNTIFS(T_StockCount[Part Name],$A6,T_StockCount[WeekIndex],52)&gt;0,SUMIFS(T_StockCount[CountedQty],T_StockCount[Part Name],$A6,T_StockCount[WeekIndex],52),IF(('T_SelfStock'!BA10&lt;&gt;""),'T_SelfStock'!BA10,AZ6-'Grid_Requirement'!BA6+'Grid_TTAFOutgoing'!BA6))</f>
        <v/>
      </c>
      <c r="BB6">
        <f>IF(COUNTIFS(T_StockCount[Part Name],$A6,T_StockCount[WeekIndex],53)&gt;0,SUMIFS(T_StockCount[CountedQty],T_StockCount[Part Name],$A6,T_StockCount[WeekIndex],53),IF(('T_SelfStock'!BB10&lt;&gt;""),'T_SelfStock'!BB10,BA6-'Grid_Requirement'!BB6+'Grid_TTAFOutgoing'!BB6))</f>
        <v/>
      </c>
      <c r="BC6">
        <f>IF(COUNTIFS(T_StockCount[Part Name],$A6,T_StockCount[WeekIndex],54)&gt;0,SUMIFS(T_StockCount[CountedQty],T_StockCount[Part Name],$A6,T_StockCount[WeekIndex],54),IF(('T_SelfStock'!BC10&lt;&gt;""),'T_SelfStock'!BC10,BB6-'Grid_Requirement'!BC6+'Grid_TTAFOutgoing'!BC6))</f>
        <v/>
      </c>
      <c r="BD6">
        <f>IF(COUNTIFS(T_StockCount[Part Name],$A6,T_StockCount[WeekIndex],55)&gt;0,SUMIFS(T_StockCount[CountedQty],T_StockCount[Part Name],$A6,T_StockCount[WeekIndex],55),IF(('T_SelfStock'!BD10&lt;&gt;""),'T_SelfStock'!BD10,BC6-'Grid_Requirement'!BD6+'Grid_TTAFOutgoing'!BD6))</f>
        <v/>
      </c>
      <c r="BE6">
        <f>IF(COUNTIFS(T_StockCount[Part Name],$A6,T_StockCount[WeekIndex],56)&gt;0,SUMIFS(T_StockCount[CountedQty],T_StockCount[Part Name],$A6,T_StockCount[WeekIndex],56),IF(('T_SelfStock'!BE10&lt;&gt;""),'T_SelfStock'!BE10,BD6-'Grid_Requirement'!BE6+'Grid_TTAFOutgoing'!BE6))</f>
        <v/>
      </c>
      <c r="BF6">
        <f>IF(COUNTIFS(T_StockCount[Part Name],$A6,T_StockCount[WeekIndex],57)&gt;0,SUMIFS(T_StockCount[CountedQty],T_StockCount[Part Name],$A6,T_StockCount[WeekIndex],57),IF(('T_SelfStock'!BF10&lt;&gt;""),'T_SelfStock'!BF10,BE6-'Grid_Requirement'!BF6+'Grid_TTAFOutgoing'!BF6))</f>
        <v/>
      </c>
      <c r="BG6">
        <f>IF(COUNTIFS(T_StockCount[Part Name],$A6,T_StockCount[WeekIndex],58)&gt;0,SUMIFS(T_StockCount[CountedQty],T_StockCount[Part Name],$A6,T_StockCount[WeekIndex],58),IF(('T_SelfStock'!BG10&lt;&gt;""),'T_SelfStock'!BG10,BF6-'Grid_Requirement'!BG6+'Grid_TTAFOutgoing'!BG6))</f>
        <v/>
      </c>
      <c r="BH6">
        <f>IF(COUNTIFS(T_StockCount[Part Name],$A6,T_StockCount[WeekIndex],59)&gt;0,SUMIFS(T_StockCount[CountedQty],T_StockCount[Part Name],$A6,T_StockCount[WeekIndex],59),IF(('T_SelfStock'!BH10&lt;&gt;""),'T_SelfStock'!BH10,BG6-'Grid_Requirement'!BH6+'Grid_TTAFOutgoing'!BH6))</f>
        <v/>
      </c>
      <c r="BI6">
        <f>IF(COUNTIFS(T_StockCount[Part Name],$A6,T_StockCount[WeekIndex],60)&gt;0,SUMIFS(T_StockCount[CountedQty],T_StockCount[Part Name],$A6,T_StockCount[WeekIndex],60),IF(('T_SelfStock'!BI10&lt;&gt;""),'T_SelfStock'!BI10,BH6-'Grid_Requirement'!BI6+'Grid_TTAFOutgoing'!BI6))</f>
        <v/>
      </c>
      <c r="BJ6">
        <f>IF(COUNTIFS(T_StockCount[Part Name],$A6,T_StockCount[WeekIndex],61)&gt;0,SUMIFS(T_StockCount[CountedQty],T_StockCount[Part Name],$A6,T_StockCount[WeekIndex],61),IF(('T_SelfStock'!BJ10&lt;&gt;""),'T_SelfStock'!BJ10,BI6-'Grid_Requirement'!BJ6+'Grid_TTAFOutgoing'!BJ6))</f>
        <v/>
      </c>
      <c r="BK6">
        <f>IF(COUNTIFS(T_StockCount[Part Name],$A6,T_StockCount[WeekIndex],62)&gt;0,SUMIFS(T_StockCount[CountedQty],T_StockCount[Part Name],$A6,T_StockCount[WeekIndex],62),IF(('T_SelfStock'!BK10&lt;&gt;""),'T_SelfStock'!BK10,BJ6-'Grid_Requirement'!BK6+'Grid_TTAFOutgoing'!BK6))</f>
        <v/>
      </c>
      <c r="BL6">
        <f>IF(COUNTIFS(T_StockCount[Part Name],$A6,T_StockCount[WeekIndex],63)&gt;0,SUMIFS(T_StockCount[CountedQty],T_StockCount[Part Name],$A6,T_StockCount[WeekIndex],63),IF(('T_SelfStock'!BL10&lt;&gt;""),'T_SelfStock'!BL10,BK6-'Grid_Requirement'!BL6+'Grid_TTAFOutgoing'!BL6))</f>
        <v/>
      </c>
      <c r="BM6">
        <f>IF(COUNTIFS(T_StockCount[Part Name],$A6,T_StockCount[WeekIndex],64)&gt;0,SUMIFS(T_StockCount[CountedQty],T_StockCount[Part Name],$A6,T_StockCount[WeekIndex],64),IF(('T_SelfStock'!BM10&lt;&gt;""),'T_SelfStock'!BM10,BL6-'Grid_Requirement'!BM6+'Grid_TTAFOutgoing'!BM6))</f>
        <v/>
      </c>
      <c r="BN6">
        <f>IF(COUNTIFS(T_StockCount[Part Name],$A6,T_StockCount[WeekIndex],65)&gt;0,SUMIFS(T_StockCount[CountedQty],T_StockCount[Part Name],$A6,T_StockCount[WeekIndex],65),IF(('T_SelfStock'!BN10&lt;&gt;""),'T_SelfStock'!BN10,BM6-'Grid_Requirement'!BN6+'Grid_TTAFOutgoing'!BN6))</f>
        <v/>
      </c>
      <c r="BO6">
        <f>IF(COUNTIFS(T_StockCount[Part Name],$A6,T_StockCount[WeekIndex],66)&gt;0,SUMIFS(T_StockCount[CountedQty],T_StockCount[Part Name],$A6,T_StockCount[WeekIndex],66),IF(('T_SelfStock'!BO10&lt;&gt;""),'T_SelfStock'!BO10,BN6-'Grid_Requirement'!BO6+'Grid_TTAFOutgoing'!BO6))</f>
        <v/>
      </c>
      <c r="BP6">
        <f>IF(COUNTIFS(T_StockCount[Part Name],$A6,T_StockCount[WeekIndex],67)&gt;0,SUMIFS(T_StockCount[CountedQty],T_StockCount[Part Name],$A6,T_StockCount[WeekIndex],67),IF(('T_SelfStock'!BP10&lt;&gt;""),'T_SelfStock'!BP10,BO6-'Grid_Requirement'!BP6+'Grid_TTAFOutgoing'!BP6))</f>
        <v/>
      </c>
      <c r="BQ6">
        <f>IF(COUNTIFS(T_StockCount[Part Name],$A6,T_StockCount[WeekIndex],68)&gt;0,SUMIFS(T_StockCount[CountedQty],T_StockCount[Part Name],$A6,T_StockCount[WeekIndex],68),IF(('T_SelfStock'!BQ10&lt;&gt;""),'T_SelfStock'!BQ10,BP6-'Grid_Requirement'!BQ6+'Grid_TTAFOutgoing'!BQ6))</f>
        <v/>
      </c>
      <c r="BR6">
        <f>IF(COUNTIFS(T_StockCount[Part Name],$A6,T_StockCount[WeekIndex],69)&gt;0,SUMIFS(T_StockCount[CountedQty],T_StockCount[Part Name],$A6,T_StockCount[WeekIndex],69),IF(('T_SelfStock'!BR10&lt;&gt;""),'T_SelfStock'!BR10,BQ6-'Grid_Requirement'!BR6+'Grid_TTAFOutgoing'!BR6))</f>
        <v/>
      </c>
      <c r="BS6">
        <f>IF(COUNTIFS(T_StockCount[Part Name],$A6,T_StockCount[WeekIndex],70)&gt;0,SUMIFS(T_StockCount[CountedQty],T_StockCount[Part Name],$A6,T_StockCount[WeekIndex],70),IF(('T_SelfStock'!BS10&lt;&gt;""),'T_SelfStock'!BS10,BR6-'Grid_Requirement'!BS6+'Grid_TTAFOutgoing'!BS6))</f>
        <v/>
      </c>
      <c r="BT6">
        <f>IF(COUNTIFS(T_StockCount[Part Name],$A6,T_StockCount[WeekIndex],71)&gt;0,SUMIFS(T_StockCount[CountedQty],T_StockCount[Part Name],$A6,T_StockCount[WeekIndex],71),IF(('T_SelfStock'!BT10&lt;&gt;""),'T_SelfStock'!BT10,BS6-'Grid_Requirement'!BT6+'Grid_TTAFOutgoing'!BT6))</f>
        <v/>
      </c>
      <c r="BU6">
        <f>IF(COUNTIFS(T_StockCount[Part Name],$A6,T_StockCount[WeekIndex],72)&gt;0,SUMIFS(T_StockCount[CountedQty],T_StockCount[Part Name],$A6,T_StockCount[WeekIndex],72),IF(('T_SelfStock'!BU10&lt;&gt;""),'T_SelfStock'!BU10,BT6-'Grid_Requirement'!BU6+'Grid_TTAFOutgoing'!BU6))</f>
        <v/>
      </c>
      <c r="BV6">
        <f>IF(COUNTIFS(T_StockCount[Part Name],$A6,T_StockCount[WeekIndex],73)&gt;0,SUMIFS(T_StockCount[CountedQty],T_StockCount[Part Name],$A6,T_StockCount[WeekIndex],73),IF(('T_SelfStock'!BV10&lt;&gt;""),'T_SelfStock'!BV10,BU6-'Grid_Requirement'!BV6+'Grid_TTAFOutgoing'!BV6))</f>
        <v/>
      </c>
      <c r="BW6">
        <f>IF(COUNTIFS(T_StockCount[Part Name],$A6,T_StockCount[WeekIndex],74)&gt;0,SUMIFS(T_StockCount[CountedQty],T_StockCount[Part Name],$A6,T_StockCount[WeekIndex],74),IF(('T_SelfStock'!BW10&lt;&gt;""),'T_SelfStock'!BW10,BV6-'Grid_Requirement'!BW6+'Grid_TTAFOutgoing'!BW6))</f>
        <v/>
      </c>
      <c r="BX6">
        <f>IF(COUNTIFS(T_StockCount[Part Name],$A6,T_StockCount[WeekIndex],75)&gt;0,SUMIFS(T_StockCount[CountedQty],T_StockCount[Part Name],$A6,T_StockCount[WeekIndex],75),IF(('T_SelfStock'!BX10&lt;&gt;""),'T_SelfStock'!BX10,BW6-'Grid_Requirement'!BX6+'Grid_TTAFOutgoing'!BX6))</f>
        <v/>
      </c>
      <c r="BY6">
        <f>IF(COUNTIFS(T_StockCount[Part Name],$A6,T_StockCount[WeekIndex],76)&gt;0,SUMIFS(T_StockCount[CountedQty],T_StockCount[Part Name],$A6,T_StockCount[WeekIndex],76),IF(('T_SelfStock'!BY10&lt;&gt;""),'T_SelfStock'!BY10,BX6-'Grid_Requirement'!BY6+'Grid_TTAFOutgoing'!BY6))</f>
        <v/>
      </c>
      <c r="BZ6">
        <f>IF(COUNTIFS(T_StockCount[Part Name],$A6,T_StockCount[WeekIndex],77)&gt;0,SUMIFS(T_StockCount[CountedQty],T_StockCount[Part Name],$A6,T_StockCount[WeekIndex],77),IF(('T_SelfStock'!BZ10&lt;&gt;""),'T_SelfStock'!BZ10,BY6-'Grid_Requirement'!BZ6+'Grid_TTAFOutgoing'!BZ6))</f>
        <v/>
      </c>
      <c r="CA6">
        <f>IF(COUNTIFS(T_StockCount[Part Name],$A6,T_StockCount[WeekIndex],78)&gt;0,SUMIFS(T_StockCount[CountedQty],T_StockCount[Part Name],$A6,T_StockCount[WeekIndex],78),IF(('T_SelfStock'!CA10&lt;&gt;""),'T_SelfStock'!CA10,BZ6-'Grid_Requirement'!CA6+'Grid_TTAFOutgoing'!CA6))</f>
        <v/>
      </c>
      <c r="CB6">
        <f>IF(COUNTIFS(T_StockCount[Part Name],$A6,T_StockCount[WeekIndex],79)&gt;0,SUMIFS(T_StockCount[CountedQty],T_StockCount[Part Name],$A6,T_StockCount[WeekIndex],79),IF(('T_SelfStock'!CB10&lt;&gt;""),'T_SelfStock'!CB10,CA6-'Grid_Requirement'!CB6+'Grid_TTAFOutgoing'!CB6))</f>
        <v/>
      </c>
      <c r="CC6">
        <f>IF(COUNTIFS(T_StockCount[Part Name],$A6,T_StockCount[WeekIndex],80)&gt;0,SUMIFS(T_StockCount[CountedQty],T_StockCount[Part Name],$A6,T_StockCount[WeekIndex],80),IF(('T_SelfStock'!CC10&lt;&gt;""),'T_SelfStock'!CC10,CB6-'Grid_Requirement'!CC6+'Grid_TTAFOutgoing'!CC6))</f>
        <v/>
      </c>
      <c r="CD6">
        <f>IF(COUNTIFS(T_StockCount[Part Name],$A6,T_StockCount[WeekIndex],81)&gt;0,SUMIFS(T_StockCount[CountedQty],T_StockCount[Part Name],$A6,T_StockCount[WeekIndex],81),IF(('T_SelfStock'!CD10&lt;&gt;""),'T_SelfStock'!CD10,CC6-'Grid_Requirement'!CD6+'Grid_TTAFOutgoing'!CD6))</f>
        <v/>
      </c>
      <c r="CE6">
        <f>IF(COUNTIFS(T_StockCount[Part Name],$A6,T_StockCount[WeekIndex],82)&gt;0,SUMIFS(T_StockCount[CountedQty],T_StockCount[Part Name],$A6,T_StockCount[WeekIndex],82),IF(('T_SelfStock'!CE10&lt;&gt;""),'T_SelfStock'!CE10,CD6-'Grid_Requirement'!CE6+'Grid_TTAFOutgoing'!CE6))</f>
        <v/>
      </c>
      <c r="CF6">
        <f>IF(COUNTIFS(T_StockCount[Part Name],$A6,T_StockCount[WeekIndex],83)&gt;0,SUMIFS(T_StockCount[CountedQty],T_StockCount[Part Name],$A6,T_StockCount[WeekIndex],83),IF(('T_SelfStock'!CF10&lt;&gt;""),'T_SelfStock'!CF10,CE6-'Grid_Requirement'!CF6+'Grid_TTAFOutgoing'!CF6))</f>
        <v/>
      </c>
      <c r="CG6">
        <f>IF(COUNTIFS(T_StockCount[Part Name],$A6,T_StockCount[WeekIndex],84)&gt;0,SUMIFS(T_StockCount[CountedQty],T_StockCount[Part Name],$A6,T_StockCount[WeekIndex],84),IF(('T_SelfStock'!CG10&lt;&gt;""),'T_SelfStock'!CG10,CF6-'Grid_Requirement'!CG6+'Grid_TTAFOutgoing'!CG6))</f>
        <v/>
      </c>
      <c r="CH6">
        <f>IF(COUNTIFS(T_StockCount[Part Name],$A6,T_StockCount[WeekIndex],85)&gt;0,SUMIFS(T_StockCount[CountedQty],T_StockCount[Part Name],$A6,T_StockCount[WeekIndex],85),IF(('T_SelfStock'!CH10&lt;&gt;""),'T_SelfStock'!CH10,CG6-'Grid_Requirement'!CH6+'Grid_TTAFOutgoing'!CH6))</f>
        <v/>
      </c>
      <c r="CI6">
        <f>IF(COUNTIFS(T_StockCount[Part Name],$A6,T_StockCount[WeekIndex],86)&gt;0,SUMIFS(T_StockCount[CountedQty],T_StockCount[Part Name],$A6,T_StockCount[WeekIndex],86),IF(('T_SelfStock'!CI10&lt;&gt;""),'T_SelfStock'!CI10,CH6-'Grid_Requirement'!CI6+'Grid_TTAFOutgoing'!CI6))</f>
        <v/>
      </c>
      <c r="CJ6">
        <f>IF(COUNTIFS(T_StockCount[Part Name],$A6,T_StockCount[WeekIndex],87)&gt;0,SUMIFS(T_StockCount[CountedQty],T_StockCount[Part Name],$A6,T_StockCount[WeekIndex],87),IF(('T_SelfStock'!CJ10&lt;&gt;""),'T_SelfStock'!CJ10,CI6-'Grid_Requirement'!CJ6+'Grid_TTAFOutgoing'!CJ6))</f>
        <v/>
      </c>
      <c r="CK6">
        <f>IF(COUNTIFS(T_StockCount[Part Name],$A6,T_StockCount[WeekIndex],88)&gt;0,SUMIFS(T_StockCount[CountedQty],T_StockCount[Part Name],$A6,T_StockCount[WeekIndex],88),IF(('T_SelfStock'!CK10&lt;&gt;""),'T_SelfStock'!CK10,CJ6-'Grid_Requirement'!CK6+'Grid_TTAFOutgoing'!CK6))</f>
        <v/>
      </c>
      <c r="CL6">
        <f>IF(COUNTIFS(T_StockCount[Part Name],$A6,T_StockCount[WeekIndex],89)&gt;0,SUMIFS(T_StockCount[CountedQty],T_StockCount[Part Name],$A6,T_StockCount[WeekIndex],89),IF(('T_SelfStock'!CL10&lt;&gt;""),'T_SelfStock'!CL10,CK6-'Grid_Requirement'!CL6+'Grid_TTAFOutgoing'!CL6))</f>
        <v/>
      </c>
      <c r="CM6">
        <f>IF(COUNTIFS(T_StockCount[Part Name],$A6,T_StockCount[WeekIndex],90)&gt;0,SUMIFS(T_StockCount[CountedQty],T_StockCount[Part Name],$A6,T_StockCount[WeekIndex],90),IF(('T_SelfStock'!CM10&lt;&gt;""),'T_SelfStock'!CM10,CL6-'Grid_Requirement'!CM6+'Grid_TTAFOutgoing'!CM6))</f>
        <v/>
      </c>
      <c r="CN6">
        <f>IF(COUNTIFS(T_StockCount[Part Name],$A6,T_StockCount[WeekIndex],91)&gt;0,SUMIFS(T_StockCount[CountedQty],T_StockCount[Part Name],$A6,T_StockCount[WeekIndex],91),IF(('T_SelfStock'!CN10&lt;&gt;""),'T_SelfStock'!CN10,CM6-'Grid_Requirement'!CN6+'Grid_TTAFOutgoing'!CN6))</f>
        <v/>
      </c>
      <c r="CO6">
        <f>IF(COUNTIFS(T_StockCount[Part Name],$A6,T_StockCount[WeekIndex],92)&gt;0,SUMIFS(T_StockCount[CountedQty],T_StockCount[Part Name],$A6,T_StockCount[WeekIndex],92),IF(('T_SelfStock'!CO10&lt;&gt;""),'T_SelfStock'!CO10,CN6-'Grid_Requirement'!CO6+'Grid_TTAFOutgoing'!CO6))</f>
        <v/>
      </c>
      <c r="CP6">
        <f>IF(COUNTIFS(T_StockCount[Part Name],$A6,T_StockCount[WeekIndex],93)&gt;0,SUMIFS(T_StockCount[CountedQty],T_StockCount[Part Name],$A6,T_StockCount[WeekIndex],93),IF(('T_SelfStock'!CP10&lt;&gt;""),'T_SelfStock'!CP10,CO6-'Grid_Requirement'!CP6+'Grid_TTAFOutgoing'!CP6))</f>
        <v/>
      </c>
      <c r="CQ6">
        <f>IF(COUNTIFS(T_StockCount[Part Name],$A6,T_StockCount[WeekIndex],94)&gt;0,SUMIFS(T_StockCount[CountedQty],T_StockCount[Part Name],$A6,T_StockCount[WeekIndex],94),IF(('T_SelfStock'!CQ10&lt;&gt;""),'T_SelfStock'!CQ10,CP6-'Grid_Requirement'!CQ6+'Grid_TTAFOutgoing'!CQ6))</f>
        <v/>
      </c>
      <c r="CR6">
        <f>IF(COUNTIFS(T_StockCount[Part Name],$A6,T_StockCount[WeekIndex],95)&gt;0,SUMIFS(T_StockCount[CountedQty],T_StockCount[Part Name],$A6,T_StockCount[WeekIndex],95),IF(('T_SelfStock'!CR10&lt;&gt;""),'T_SelfStock'!CR10,CQ6-'Grid_Requirement'!CR6+'Grid_TTAFOutgoing'!CR6))</f>
        <v/>
      </c>
      <c r="CS6">
        <f>IF(COUNTIFS(T_StockCount[Part Name],$A6,T_StockCount[WeekIndex],96)&gt;0,SUMIFS(T_StockCount[CountedQty],T_StockCount[Part Name],$A6,T_StockCount[WeekIndex],96),IF(('T_SelfStock'!CS10&lt;&gt;""),'T_SelfStock'!CS10,CR6-'Grid_Requirement'!CS6+'Grid_TTAFOutgoing'!CS6))</f>
        <v/>
      </c>
      <c r="CT6">
        <f>IF(COUNTIFS(T_StockCount[Part Name],$A6,T_StockCount[WeekIndex],97)&gt;0,SUMIFS(T_StockCount[CountedQty],T_StockCount[Part Name],$A6,T_StockCount[WeekIndex],97),IF(('T_SelfStock'!CT10&lt;&gt;""),'T_SelfStock'!CT10,CS6-'Grid_Requirement'!CT6+'Grid_TTAFOutgoing'!CT6))</f>
        <v/>
      </c>
      <c r="CU6">
        <f>IF(COUNTIFS(T_StockCount[Part Name],$A6,T_StockCount[WeekIndex],98)&gt;0,SUMIFS(T_StockCount[CountedQty],T_StockCount[Part Name],$A6,T_StockCount[WeekIndex],98),IF(('T_SelfStock'!CU10&lt;&gt;""),'T_SelfStock'!CU10,CT6-'Grid_Requirement'!CU6+'Grid_TTAFOutgoing'!CU6))</f>
        <v/>
      </c>
      <c r="CV6">
        <f>IF(COUNTIFS(T_StockCount[Part Name],$A6,T_StockCount[WeekIndex],99)&gt;0,SUMIFS(T_StockCount[CountedQty],T_StockCount[Part Name],$A6,T_StockCount[WeekIndex],99),IF(('T_SelfStock'!CV10&lt;&gt;""),'T_SelfStock'!CV10,CU6-'Grid_Requirement'!CV6+'Grid_TTAFOutgoing'!CV6))</f>
        <v/>
      </c>
      <c r="CW6">
        <f>IF(COUNTIFS(T_StockCount[Part Name],$A6,T_StockCount[WeekIndex],100)&gt;0,SUMIFS(T_StockCount[CountedQty],T_StockCount[Part Name],$A6,T_StockCount[WeekIndex],100),IF(('T_SelfStock'!CW10&lt;&gt;""),'T_SelfStock'!CW10,CV6-'Grid_Requirement'!CW6+'Grid_TTAFOutgoing'!CW6))</f>
        <v/>
      </c>
      <c r="CX6">
        <f>IF(COUNTIFS(T_StockCount[Part Name],$A6,T_StockCount[WeekIndex],101)&gt;0,SUMIFS(T_StockCount[CountedQty],T_StockCount[Part Name],$A6,T_StockCount[WeekIndex],101),IF(('T_SelfStock'!CX10&lt;&gt;""),'T_SelfStock'!CX10,CW6-'Grid_Requirement'!CX6+'Grid_TTAFOutgoing'!CX6))</f>
        <v/>
      </c>
      <c r="CY6">
        <f>IF(COUNTIFS(T_StockCount[Part Name],$A6,T_StockCount[WeekIndex],102)&gt;0,SUMIFS(T_StockCount[CountedQty],T_StockCount[Part Name],$A6,T_StockCount[WeekIndex],102),IF(('T_SelfStock'!CY10&lt;&gt;""),'T_SelfStock'!CY10,CX6-'Grid_Requirement'!CY6+'Grid_TTAFOutgoing'!CY6))</f>
        <v/>
      </c>
      <c r="CZ6">
        <f>IF(COUNTIFS(T_StockCount[Part Name],$A6,T_StockCount[WeekIndex],103)&gt;0,SUMIFS(T_StockCount[CountedQty],T_StockCount[Part Name],$A6,T_StockCount[WeekIndex],103),IF(('T_SelfStock'!CZ10&lt;&gt;""),'T_SelfStock'!CZ10,CY6-'Grid_Requirement'!CZ6+'Grid_TTAFOutgoing'!CZ6))</f>
        <v/>
      </c>
      <c r="DA6">
        <f>IF(COUNTIFS(T_StockCount[Part Name],$A6,T_StockCount[WeekIndex],104)&gt;0,SUMIFS(T_StockCount[CountedQty],T_StockCount[Part Name],$A6,T_StockCount[WeekIndex],104),IF(('T_SelfStock'!DA10&lt;&gt;""),'T_SelfStock'!DA10,CZ6-'Grid_Requirement'!DA6+'Grid_TTAFOutgoing'!DA6))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Name],$A7,T_StockCount[WeekIndex],1),IF(('T_SelfStock'!B11&lt;&gt;""),'T_SelfStock'!B11,IFERROR(INDEX(T_OpeningStock[Opening_Qty],MATCH($A7,T_OpeningStock[Part Name],0)),0)-'Grid_Requirement'!B7+'Grid_TTAFOutgoing'!B7))</f>
        <v/>
      </c>
      <c r="C7">
        <f>IF(COUNTIFS(T_StockCount[Part Name],$A7,T_StockCount[WeekIndex],2)&gt;0,SUMIFS(T_StockCount[CountedQty],T_StockCount[Part Name],$A7,T_StockCount[WeekIndex],2),IF(('T_SelfStock'!C11&lt;&gt;""),'T_SelfStock'!C11,B7-'Grid_Requirement'!C7+'Grid_TTAFOutgoing'!C7))</f>
        <v/>
      </c>
      <c r="D7">
        <f>IF(COUNTIFS(T_StockCount[Part Name],$A7,T_StockCount[WeekIndex],3)&gt;0,SUMIFS(T_StockCount[CountedQty],T_StockCount[Part Name],$A7,T_StockCount[WeekIndex],3),IF(('T_SelfStock'!D11&lt;&gt;""),'T_SelfStock'!D11,C7-'Grid_Requirement'!D7+'Grid_TTAFOutgoing'!D7))</f>
        <v/>
      </c>
      <c r="E7">
        <f>IF(COUNTIFS(T_StockCount[Part Name],$A7,T_StockCount[WeekIndex],4)&gt;0,SUMIFS(T_StockCount[CountedQty],T_StockCount[Part Name],$A7,T_StockCount[WeekIndex],4),IF(('T_SelfStock'!E11&lt;&gt;""),'T_SelfStock'!E11,D7-'Grid_Requirement'!E7+'Grid_TTAFOutgoing'!E7))</f>
        <v/>
      </c>
      <c r="F7">
        <f>IF(COUNTIFS(T_StockCount[Part Name],$A7,T_StockCount[WeekIndex],5)&gt;0,SUMIFS(T_StockCount[CountedQty],T_StockCount[Part Name],$A7,T_StockCount[WeekIndex],5),IF(('T_SelfStock'!F11&lt;&gt;""),'T_SelfStock'!F11,E7-'Grid_Requirement'!F7+'Grid_TTAFOutgoing'!F7))</f>
        <v/>
      </c>
      <c r="G7">
        <f>IF(COUNTIFS(T_StockCount[Part Name],$A7,T_StockCount[WeekIndex],6)&gt;0,SUMIFS(T_StockCount[CountedQty],T_StockCount[Part Name],$A7,T_StockCount[WeekIndex],6),IF(('T_SelfStock'!G11&lt;&gt;""),'T_SelfStock'!G11,F7-'Grid_Requirement'!G7+'Grid_TTAFOutgoing'!G7))</f>
        <v/>
      </c>
      <c r="H7">
        <f>IF(COUNTIFS(T_StockCount[Part Name],$A7,T_StockCount[WeekIndex],7)&gt;0,SUMIFS(T_StockCount[CountedQty],T_StockCount[Part Name],$A7,T_StockCount[WeekIndex],7),IF(('T_SelfStock'!H11&lt;&gt;""),'T_SelfStock'!H11,G7-'Grid_Requirement'!H7+'Grid_TTAFOutgoing'!H7))</f>
        <v/>
      </c>
      <c r="I7">
        <f>IF(COUNTIFS(T_StockCount[Part Name],$A7,T_StockCount[WeekIndex],8)&gt;0,SUMIFS(T_StockCount[CountedQty],T_StockCount[Part Name],$A7,T_StockCount[WeekIndex],8),IF(('T_SelfStock'!I11&lt;&gt;""),'T_SelfStock'!I11,H7-'Grid_Requirement'!I7+'Grid_TTAFOutgoing'!I7))</f>
        <v/>
      </c>
      <c r="J7">
        <f>IF(COUNTIFS(T_StockCount[Part Name],$A7,T_StockCount[WeekIndex],9)&gt;0,SUMIFS(T_StockCount[CountedQty],T_StockCount[Part Name],$A7,T_StockCount[WeekIndex],9),IF(('T_SelfStock'!J11&lt;&gt;""),'T_SelfStock'!J11,I7-'Grid_Requirement'!J7+'Grid_TTAFOutgoing'!J7))</f>
        <v/>
      </c>
      <c r="K7">
        <f>IF(COUNTIFS(T_StockCount[Part Name],$A7,T_StockCount[WeekIndex],10)&gt;0,SUMIFS(T_StockCount[CountedQty],T_StockCount[Part Name],$A7,T_StockCount[WeekIndex],10),IF(('T_SelfStock'!K11&lt;&gt;""),'T_SelfStock'!K11,J7-'Grid_Requirement'!K7+'Grid_TTAFOutgoing'!K7))</f>
        <v/>
      </c>
      <c r="L7">
        <f>IF(COUNTIFS(T_StockCount[Part Name],$A7,T_StockCount[WeekIndex],11)&gt;0,SUMIFS(T_StockCount[CountedQty],T_StockCount[Part Name],$A7,T_StockCount[WeekIndex],11),IF(('T_SelfStock'!L11&lt;&gt;""),'T_SelfStock'!L11,K7-'Grid_Requirement'!L7+'Grid_TTAFOutgoing'!L7))</f>
        <v/>
      </c>
      <c r="M7">
        <f>IF(COUNTIFS(T_StockCount[Part Name],$A7,T_StockCount[WeekIndex],12)&gt;0,SUMIFS(T_StockCount[CountedQty],T_StockCount[Part Name],$A7,T_StockCount[WeekIndex],12),IF(('T_SelfStock'!M11&lt;&gt;""),'T_SelfStock'!M11,L7-'Grid_Requirement'!M7+'Grid_TTAFOutgoing'!M7))</f>
        <v/>
      </c>
      <c r="N7">
        <f>IF(COUNTIFS(T_StockCount[Part Name],$A7,T_StockCount[WeekIndex],13)&gt;0,SUMIFS(T_StockCount[CountedQty],T_StockCount[Part Name],$A7,T_StockCount[WeekIndex],13),IF(('T_SelfStock'!N11&lt;&gt;""),'T_SelfStock'!N11,M7-'Grid_Requirement'!N7+'Grid_TTAFOutgoing'!N7))</f>
        <v/>
      </c>
      <c r="O7">
        <f>IF(COUNTIFS(T_StockCount[Part Name],$A7,T_StockCount[WeekIndex],14)&gt;0,SUMIFS(T_StockCount[CountedQty],T_StockCount[Part Name],$A7,T_StockCount[WeekIndex],14),IF(('T_SelfStock'!O11&lt;&gt;""),'T_SelfStock'!O11,N7-'Grid_Requirement'!O7+'Grid_TTAFOutgoing'!O7))</f>
        <v/>
      </c>
      <c r="P7">
        <f>IF(COUNTIFS(T_StockCount[Part Name],$A7,T_StockCount[WeekIndex],15)&gt;0,SUMIFS(T_StockCount[CountedQty],T_StockCount[Part Name],$A7,T_StockCount[WeekIndex],15),IF(('T_SelfStock'!P11&lt;&gt;""),'T_SelfStock'!P11,O7-'Grid_Requirement'!P7+'Grid_TTAFOutgoing'!P7))</f>
        <v/>
      </c>
      <c r="Q7">
        <f>IF(COUNTIFS(T_StockCount[Part Name],$A7,T_StockCount[WeekIndex],16)&gt;0,SUMIFS(T_StockCount[CountedQty],T_StockCount[Part Name],$A7,T_StockCount[WeekIndex],16),IF(('T_SelfStock'!Q11&lt;&gt;""),'T_SelfStock'!Q11,P7-'Grid_Requirement'!Q7+'Grid_TTAFOutgoing'!Q7))</f>
        <v/>
      </c>
      <c r="R7">
        <f>IF(COUNTIFS(T_StockCount[Part Name],$A7,T_StockCount[WeekIndex],17)&gt;0,SUMIFS(T_StockCount[CountedQty],T_StockCount[Part Name],$A7,T_StockCount[WeekIndex],17),IF(('T_SelfStock'!R11&lt;&gt;""),'T_SelfStock'!R11,Q7-'Grid_Requirement'!R7+'Grid_TTAFOutgoing'!R7))</f>
        <v/>
      </c>
      <c r="S7">
        <f>IF(COUNTIFS(T_StockCount[Part Name],$A7,T_StockCount[WeekIndex],18)&gt;0,SUMIFS(T_StockCount[CountedQty],T_StockCount[Part Name],$A7,T_StockCount[WeekIndex],18),IF(('T_SelfStock'!S11&lt;&gt;""),'T_SelfStock'!S11,R7-'Grid_Requirement'!S7+'Grid_TTAFOutgoing'!S7))</f>
        <v/>
      </c>
      <c r="T7">
        <f>IF(COUNTIFS(T_StockCount[Part Name],$A7,T_StockCount[WeekIndex],19)&gt;0,SUMIFS(T_StockCount[CountedQty],T_StockCount[Part Name],$A7,T_StockCount[WeekIndex],19),IF(('T_SelfStock'!T11&lt;&gt;""),'T_SelfStock'!T11,S7-'Grid_Requirement'!T7+'Grid_TTAFOutgoing'!T7))</f>
        <v/>
      </c>
      <c r="U7">
        <f>IF(COUNTIFS(T_StockCount[Part Name],$A7,T_StockCount[WeekIndex],20)&gt;0,SUMIFS(T_StockCount[CountedQty],T_StockCount[Part Name],$A7,T_StockCount[WeekIndex],20),IF(('T_SelfStock'!U11&lt;&gt;""),'T_SelfStock'!U11,T7-'Grid_Requirement'!U7+'Grid_TTAFOutgoing'!U7))</f>
        <v/>
      </c>
      <c r="V7">
        <f>IF(COUNTIFS(T_StockCount[Part Name],$A7,T_StockCount[WeekIndex],21)&gt;0,SUMIFS(T_StockCount[CountedQty],T_StockCount[Part Name],$A7,T_StockCount[WeekIndex],21),IF(('T_SelfStock'!V11&lt;&gt;""),'T_SelfStock'!V11,U7-'Grid_Requirement'!V7+'Grid_TTAFOutgoing'!V7))</f>
        <v/>
      </c>
      <c r="W7">
        <f>IF(COUNTIFS(T_StockCount[Part Name],$A7,T_StockCount[WeekIndex],22)&gt;0,SUMIFS(T_StockCount[CountedQty],T_StockCount[Part Name],$A7,T_StockCount[WeekIndex],22),IF(('T_SelfStock'!W11&lt;&gt;""),'T_SelfStock'!W11,V7-'Grid_Requirement'!W7+'Grid_TTAFOutgoing'!W7))</f>
        <v/>
      </c>
      <c r="X7">
        <f>IF(COUNTIFS(T_StockCount[Part Name],$A7,T_StockCount[WeekIndex],23)&gt;0,SUMIFS(T_StockCount[CountedQty],T_StockCount[Part Name],$A7,T_StockCount[WeekIndex],23),IF(('T_SelfStock'!X11&lt;&gt;""),'T_SelfStock'!X11,W7-'Grid_Requirement'!X7+'Grid_TTAFOutgoing'!X7))</f>
        <v/>
      </c>
      <c r="Y7">
        <f>IF(COUNTIFS(T_StockCount[Part Name],$A7,T_StockCount[WeekIndex],24)&gt;0,SUMIFS(T_StockCount[CountedQty],T_StockCount[Part Name],$A7,T_StockCount[WeekIndex],24),IF(('T_SelfStock'!Y11&lt;&gt;""),'T_SelfStock'!Y11,X7-'Grid_Requirement'!Y7+'Grid_TTAFOutgoing'!Y7))</f>
        <v/>
      </c>
      <c r="Z7">
        <f>IF(COUNTIFS(T_StockCount[Part Name],$A7,T_StockCount[WeekIndex],25)&gt;0,SUMIFS(T_StockCount[CountedQty],T_StockCount[Part Name],$A7,T_StockCount[WeekIndex],25),IF(('T_SelfStock'!Z11&lt;&gt;""),'T_SelfStock'!Z11,Y7-'Grid_Requirement'!Z7+'Grid_TTAFOutgoing'!Z7))</f>
        <v/>
      </c>
      <c r="AA7">
        <f>IF(COUNTIFS(T_StockCount[Part Name],$A7,T_StockCount[WeekIndex],26)&gt;0,SUMIFS(T_StockCount[CountedQty],T_StockCount[Part Name],$A7,T_StockCount[WeekIndex],26),IF(('T_SelfStock'!AA11&lt;&gt;""),'T_SelfStock'!AA11,Z7-'Grid_Requirement'!AA7+'Grid_TTAFOutgoing'!AA7))</f>
        <v/>
      </c>
      <c r="AB7">
        <f>IF(COUNTIFS(T_StockCount[Part Name],$A7,T_StockCount[WeekIndex],27)&gt;0,SUMIFS(T_StockCount[CountedQty],T_StockCount[Part Name],$A7,T_StockCount[WeekIndex],27),IF(('T_SelfStock'!AB11&lt;&gt;""),'T_SelfStock'!AB11,AA7-'Grid_Requirement'!AB7+'Grid_TTAFOutgoing'!AB7))</f>
        <v/>
      </c>
      <c r="AC7">
        <f>IF(COUNTIFS(T_StockCount[Part Name],$A7,T_StockCount[WeekIndex],28)&gt;0,SUMIFS(T_StockCount[CountedQty],T_StockCount[Part Name],$A7,T_StockCount[WeekIndex],28),IF(('T_SelfStock'!AC11&lt;&gt;""),'T_SelfStock'!AC11,AB7-'Grid_Requirement'!AC7+'Grid_TTAFOutgoing'!AC7))</f>
        <v/>
      </c>
      <c r="AD7">
        <f>IF(COUNTIFS(T_StockCount[Part Name],$A7,T_StockCount[WeekIndex],29)&gt;0,SUMIFS(T_StockCount[CountedQty],T_StockCount[Part Name],$A7,T_StockCount[WeekIndex],29),IF(('T_SelfStock'!AD11&lt;&gt;""),'T_SelfStock'!AD11,AC7-'Grid_Requirement'!AD7+'Grid_TTAFOutgoing'!AD7))</f>
        <v/>
      </c>
      <c r="AE7">
        <f>IF(COUNTIFS(T_StockCount[Part Name],$A7,T_StockCount[WeekIndex],30)&gt;0,SUMIFS(T_StockCount[CountedQty],T_StockCount[Part Name],$A7,T_StockCount[WeekIndex],30),IF(('T_SelfStock'!AE11&lt;&gt;""),'T_SelfStock'!AE11,AD7-'Grid_Requirement'!AE7+'Grid_TTAFOutgoing'!AE7))</f>
        <v/>
      </c>
      <c r="AF7">
        <f>IF(COUNTIFS(T_StockCount[Part Name],$A7,T_StockCount[WeekIndex],31)&gt;0,SUMIFS(T_StockCount[CountedQty],T_StockCount[Part Name],$A7,T_StockCount[WeekIndex],31),IF(('T_SelfStock'!AF11&lt;&gt;""),'T_SelfStock'!AF11,AE7-'Grid_Requirement'!AF7+'Grid_TTAFOutgoing'!AF7))</f>
        <v/>
      </c>
      <c r="AG7">
        <f>IF(COUNTIFS(T_StockCount[Part Name],$A7,T_StockCount[WeekIndex],32)&gt;0,SUMIFS(T_StockCount[CountedQty],T_StockCount[Part Name],$A7,T_StockCount[WeekIndex],32),IF(('T_SelfStock'!AG11&lt;&gt;""),'T_SelfStock'!AG11,AF7-'Grid_Requirement'!AG7+'Grid_TTAFOutgoing'!AG7))</f>
        <v/>
      </c>
      <c r="AH7">
        <f>IF(COUNTIFS(T_StockCount[Part Name],$A7,T_StockCount[WeekIndex],33)&gt;0,SUMIFS(T_StockCount[CountedQty],T_StockCount[Part Name],$A7,T_StockCount[WeekIndex],33),IF(('T_SelfStock'!AH11&lt;&gt;""),'T_SelfStock'!AH11,AG7-'Grid_Requirement'!AH7+'Grid_TTAFOutgoing'!AH7))</f>
        <v/>
      </c>
      <c r="AI7">
        <f>IF(COUNTIFS(T_StockCount[Part Name],$A7,T_StockCount[WeekIndex],34)&gt;0,SUMIFS(T_StockCount[CountedQty],T_StockCount[Part Name],$A7,T_StockCount[WeekIndex],34),IF(('T_SelfStock'!AI11&lt;&gt;""),'T_SelfStock'!AI11,AH7-'Grid_Requirement'!AI7+'Grid_TTAFOutgoing'!AI7))</f>
        <v/>
      </c>
      <c r="AJ7">
        <f>IF(COUNTIFS(T_StockCount[Part Name],$A7,T_StockCount[WeekIndex],35)&gt;0,SUMIFS(T_StockCount[CountedQty],T_StockCount[Part Name],$A7,T_StockCount[WeekIndex],35),IF(('T_SelfStock'!AJ11&lt;&gt;""),'T_SelfStock'!AJ11,AI7-'Grid_Requirement'!AJ7+'Grid_TTAFOutgoing'!AJ7))</f>
        <v/>
      </c>
      <c r="AK7">
        <f>IF(COUNTIFS(T_StockCount[Part Name],$A7,T_StockCount[WeekIndex],36)&gt;0,SUMIFS(T_StockCount[CountedQty],T_StockCount[Part Name],$A7,T_StockCount[WeekIndex],36),IF(('T_SelfStock'!AK11&lt;&gt;""),'T_SelfStock'!AK11,AJ7-'Grid_Requirement'!AK7+'Grid_TTAFOutgoing'!AK7))</f>
        <v/>
      </c>
      <c r="AL7">
        <f>IF(COUNTIFS(T_StockCount[Part Name],$A7,T_StockCount[WeekIndex],37)&gt;0,SUMIFS(T_StockCount[CountedQty],T_StockCount[Part Name],$A7,T_StockCount[WeekIndex],37),IF(('T_SelfStock'!AL11&lt;&gt;""),'T_SelfStock'!AL11,AK7-'Grid_Requirement'!AL7+'Grid_TTAFOutgoing'!AL7))</f>
        <v/>
      </c>
      <c r="AM7">
        <f>IF(COUNTIFS(T_StockCount[Part Name],$A7,T_StockCount[WeekIndex],38)&gt;0,SUMIFS(T_StockCount[CountedQty],T_StockCount[Part Name],$A7,T_StockCount[WeekIndex],38),IF(('T_SelfStock'!AM11&lt;&gt;""),'T_SelfStock'!AM11,AL7-'Grid_Requirement'!AM7+'Grid_TTAFOutgoing'!AM7))</f>
        <v/>
      </c>
      <c r="AN7">
        <f>IF(COUNTIFS(T_StockCount[Part Name],$A7,T_StockCount[WeekIndex],39)&gt;0,SUMIFS(T_StockCount[CountedQty],T_StockCount[Part Name],$A7,T_StockCount[WeekIndex],39),IF(('T_SelfStock'!AN11&lt;&gt;""),'T_SelfStock'!AN11,AM7-'Grid_Requirement'!AN7+'Grid_TTAFOutgoing'!AN7))</f>
        <v/>
      </c>
      <c r="AO7">
        <f>IF(COUNTIFS(T_StockCount[Part Name],$A7,T_StockCount[WeekIndex],40)&gt;0,SUMIFS(T_StockCount[CountedQty],T_StockCount[Part Name],$A7,T_StockCount[WeekIndex],40),IF(('T_SelfStock'!AO11&lt;&gt;""),'T_SelfStock'!AO11,AN7-'Grid_Requirement'!AO7+'Grid_TTAFOutgoing'!AO7))</f>
        <v/>
      </c>
      <c r="AP7">
        <f>IF(COUNTIFS(T_StockCount[Part Name],$A7,T_StockCount[WeekIndex],41)&gt;0,SUMIFS(T_StockCount[CountedQty],T_StockCount[Part Name],$A7,T_StockCount[WeekIndex],41),IF(('T_SelfStock'!AP11&lt;&gt;""),'T_SelfStock'!AP11,AO7-'Grid_Requirement'!AP7+'Grid_TTAFOutgoing'!AP7))</f>
        <v/>
      </c>
      <c r="AQ7">
        <f>IF(COUNTIFS(T_StockCount[Part Name],$A7,T_StockCount[WeekIndex],42)&gt;0,SUMIFS(T_StockCount[CountedQty],T_StockCount[Part Name],$A7,T_StockCount[WeekIndex],42),IF(('T_SelfStock'!AQ11&lt;&gt;""),'T_SelfStock'!AQ11,AP7-'Grid_Requirement'!AQ7+'Grid_TTAFOutgoing'!AQ7))</f>
        <v/>
      </c>
      <c r="AR7">
        <f>IF(COUNTIFS(T_StockCount[Part Name],$A7,T_StockCount[WeekIndex],43)&gt;0,SUMIFS(T_StockCount[CountedQty],T_StockCount[Part Name],$A7,T_StockCount[WeekIndex],43),IF(('T_SelfStock'!AR11&lt;&gt;""),'T_SelfStock'!AR11,AQ7-'Grid_Requirement'!AR7+'Grid_TTAFOutgoing'!AR7))</f>
        <v/>
      </c>
      <c r="AS7">
        <f>IF(COUNTIFS(T_StockCount[Part Name],$A7,T_StockCount[WeekIndex],44)&gt;0,SUMIFS(T_StockCount[CountedQty],T_StockCount[Part Name],$A7,T_StockCount[WeekIndex],44),IF(('T_SelfStock'!AS11&lt;&gt;""),'T_SelfStock'!AS11,AR7-'Grid_Requirement'!AS7+'Grid_TTAFOutgoing'!AS7))</f>
        <v/>
      </c>
      <c r="AT7">
        <f>IF(COUNTIFS(T_StockCount[Part Name],$A7,T_StockCount[WeekIndex],45)&gt;0,SUMIFS(T_StockCount[CountedQty],T_StockCount[Part Name],$A7,T_StockCount[WeekIndex],45),IF(('T_SelfStock'!AT11&lt;&gt;""),'T_SelfStock'!AT11,AS7-'Grid_Requirement'!AT7+'Grid_TTAFOutgoing'!AT7))</f>
        <v/>
      </c>
      <c r="AU7">
        <f>IF(COUNTIFS(T_StockCount[Part Name],$A7,T_StockCount[WeekIndex],46)&gt;0,SUMIFS(T_StockCount[CountedQty],T_StockCount[Part Name],$A7,T_StockCount[WeekIndex],46),IF(('T_SelfStock'!AU11&lt;&gt;""),'T_SelfStock'!AU11,AT7-'Grid_Requirement'!AU7+'Grid_TTAFOutgoing'!AU7))</f>
        <v/>
      </c>
      <c r="AV7">
        <f>IF(COUNTIFS(T_StockCount[Part Name],$A7,T_StockCount[WeekIndex],47)&gt;0,SUMIFS(T_StockCount[CountedQty],T_StockCount[Part Name],$A7,T_StockCount[WeekIndex],47),IF(('T_SelfStock'!AV11&lt;&gt;""),'T_SelfStock'!AV11,AU7-'Grid_Requirement'!AV7+'Grid_TTAFOutgoing'!AV7))</f>
        <v/>
      </c>
      <c r="AW7">
        <f>IF(COUNTIFS(T_StockCount[Part Name],$A7,T_StockCount[WeekIndex],48)&gt;0,SUMIFS(T_StockCount[CountedQty],T_StockCount[Part Name],$A7,T_StockCount[WeekIndex],48),IF(('T_SelfStock'!AW11&lt;&gt;""),'T_SelfStock'!AW11,AV7-'Grid_Requirement'!AW7+'Grid_TTAFOutgoing'!AW7))</f>
        <v/>
      </c>
      <c r="AX7">
        <f>IF(COUNTIFS(T_StockCount[Part Name],$A7,T_StockCount[WeekIndex],49)&gt;0,SUMIFS(T_StockCount[CountedQty],T_StockCount[Part Name],$A7,T_StockCount[WeekIndex],49),IF(('T_SelfStock'!AX11&lt;&gt;""),'T_SelfStock'!AX11,AW7-'Grid_Requirement'!AX7+'Grid_TTAFOutgoing'!AX7))</f>
        <v/>
      </c>
      <c r="AY7">
        <f>IF(COUNTIFS(T_StockCount[Part Name],$A7,T_StockCount[WeekIndex],50)&gt;0,SUMIFS(T_StockCount[CountedQty],T_StockCount[Part Name],$A7,T_StockCount[WeekIndex],50),IF(('T_SelfStock'!AY11&lt;&gt;""),'T_SelfStock'!AY11,AX7-'Grid_Requirement'!AY7+'Grid_TTAFOutgoing'!AY7))</f>
        <v/>
      </c>
      <c r="AZ7">
        <f>IF(COUNTIFS(T_StockCount[Part Name],$A7,T_StockCount[WeekIndex],51)&gt;0,SUMIFS(T_StockCount[CountedQty],T_StockCount[Part Name],$A7,T_StockCount[WeekIndex],51),IF(('T_SelfStock'!AZ11&lt;&gt;""),'T_SelfStock'!AZ11,AY7-'Grid_Requirement'!AZ7+'Grid_TTAFOutgoing'!AZ7))</f>
        <v/>
      </c>
      <c r="BA7">
        <f>IF(COUNTIFS(T_StockCount[Part Name],$A7,T_StockCount[WeekIndex],52)&gt;0,SUMIFS(T_StockCount[CountedQty],T_StockCount[Part Name],$A7,T_StockCount[WeekIndex],52),IF(('T_SelfStock'!BA11&lt;&gt;""),'T_SelfStock'!BA11,AZ7-'Grid_Requirement'!BA7+'Grid_TTAFOutgoing'!BA7))</f>
        <v/>
      </c>
      <c r="BB7">
        <f>IF(COUNTIFS(T_StockCount[Part Name],$A7,T_StockCount[WeekIndex],53)&gt;0,SUMIFS(T_StockCount[CountedQty],T_StockCount[Part Name],$A7,T_StockCount[WeekIndex],53),IF(('T_SelfStock'!BB11&lt;&gt;""),'T_SelfStock'!BB11,BA7-'Grid_Requirement'!BB7+'Grid_TTAFOutgoing'!BB7))</f>
        <v/>
      </c>
      <c r="BC7">
        <f>IF(COUNTIFS(T_StockCount[Part Name],$A7,T_StockCount[WeekIndex],54)&gt;0,SUMIFS(T_StockCount[CountedQty],T_StockCount[Part Name],$A7,T_StockCount[WeekIndex],54),IF(('T_SelfStock'!BC11&lt;&gt;""),'T_SelfStock'!BC11,BB7-'Grid_Requirement'!BC7+'Grid_TTAFOutgoing'!BC7))</f>
        <v/>
      </c>
      <c r="BD7">
        <f>IF(COUNTIFS(T_StockCount[Part Name],$A7,T_StockCount[WeekIndex],55)&gt;0,SUMIFS(T_StockCount[CountedQty],T_StockCount[Part Name],$A7,T_StockCount[WeekIndex],55),IF(('T_SelfStock'!BD11&lt;&gt;""),'T_SelfStock'!BD11,BC7-'Grid_Requirement'!BD7+'Grid_TTAFOutgoing'!BD7))</f>
        <v/>
      </c>
      <c r="BE7">
        <f>IF(COUNTIFS(T_StockCount[Part Name],$A7,T_StockCount[WeekIndex],56)&gt;0,SUMIFS(T_StockCount[CountedQty],T_StockCount[Part Name],$A7,T_StockCount[WeekIndex],56),IF(('T_SelfStock'!BE11&lt;&gt;""),'T_SelfStock'!BE11,BD7-'Grid_Requirement'!BE7+'Grid_TTAFOutgoing'!BE7))</f>
        <v/>
      </c>
      <c r="BF7">
        <f>IF(COUNTIFS(T_StockCount[Part Name],$A7,T_StockCount[WeekIndex],57)&gt;0,SUMIFS(T_StockCount[CountedQty],T_StockCount[Part Name],$A7,T_StockCount[WeekIndex],57),IF(('T_SelfStock'!BF11&lt;&gt;""),'T_SelfStock'!BF11,BE7-'Grid_Requirement'!BF7+'Grid_TTAFOutgoing'!BF7))</f>
        <v/>
      </c>
      <c r="BG7">
        <f>IF(COUNTIFS(T_StockCount[Part Name],$A7,T_StockCount[WeekIndex],58)&gt;0,SUMIFS(T_StockCount[CountedQty],T_StockCount[Part Name],$A7,T_StockCount[WeekIndex],58),IF(('T_SelfStock'!BG11&lt;&gt;""),'T_SelfStock'!BG11,BF7-'Grid_Requirement'!BG7+'Grid_TTAFOutgoing'!BG7))</f>
        <v/>
      </c>
      <c r="BH7">
        <f>IF(COUNTIFS(T_StockCount[Part Name],$A7,T_StockCount[WeekIndex],59)&gt;0,SUMIFS(T_StockCount[CountedQty],T_StockCount[Part Name],$A7,T_StockCount[WeekIndex],59),IF(('T_SelfStock'!BH11&lt;&gt;""),'T_SelfStock'!BH11,BG7-'Grid_Requirement'!BH7+'Grid_TTAFOutgoing'!BH7))</f>
        <v/>
      </c>
      <c r="BI7">
        <f>IF(COUNTIFS(T_StockCount[Part Name],$A7,T_StockCount[WeekIndex],60)&gt;0,SUMIFS(T_StockCount[CountedQty],T_StockCount[Part Name],$A7,T_StockCount[WeekIndex],60),IF(('T_SelfStock'!BI11&lt;&gt;""),'T_SelfStock'!BI11,BH7-'Grid_Requirement'!BI7+'Grid_TTAFOutgoing'!BI7))</f>
        <v/>
      </c>
      <c r="BJ7">
        <f>IF(COUNTIFS(T_StockCount[Part Name],$A7,T_StockCount[WeekIndex],61)&gt;0,SUMIFS(T_StockCount[CountedQty],T_StockCount[Part Name],$A7,T_StockCount[WeekIndex],61),IF(('T_SelfStock'!BJ11&lt;&gt;""),'T_SelfStock'!BJ11,BI7-'Grid_Requirement'!BJ7+'Grid_TTAFOutgoing'!BJ7))</f>
        <v/>
      </c>
      <c r="BK7">
        <f>IF(COUNTIFS(T_StockCount[Part Name],$A7,T_StockCount[WeekIndex],62)&gt;0,SUMIFS(T_StockCount[CountedQty],T_StockCount[Part Name],$A7,T_StockCount[WeekIndex],62),IF(('T_SelfStock'!BK11&lt;&gt;""),'T_SelfStock'!BK11,BJ7-'Grid_Requirement'!BK7+'Grid_TTAFOutgoing'!BK7))</f>
        <v/>
      </c>
      <c r="BL7">
        <f>IF(COUNTIFS(T_StockCount[Part Name],$A7,T_StockCount[WeekIndex],63)&gt;0,SUMIFS(T_StockCount[CountedQty],T_StockCount[Part Name],$A7,T_StockCount[WeekIndex],63),IF(('T_SelfStock'!BL11&lt;&gt;""),'T_SelfStock'!BL11,BK7-'Grid_Requirement'!BL7+'Grid_TTAFOutgoing'!BL7))</f>
        <v/>
      </c>
      <c r="BM7">
        <f>IF(COUNTIFS(T_StockCount[Part Name],$A7,T_StockCount[WeekIndex],64)&gt;0,SUMIFS(T_StockCount[CountedQty],T_StockCount[Part Name],$A7,T_StockCount[WeekIndex],64),IF(('T_SelfStock'!BM11&lt;&gt;""),'T_SelfStock'!BM11,BL7-'Grid_Requirement'!BM7+'Grid_TTAFOutgoing'!BM7))</f>
        <v/>
      </c>
      <c r="BN7">
        <f>IF(COUNTIFS(T_StockCount[Part Name],$A7,T_StockCount[WeekIndex],65)&gt;0,SUMIFS(T_StockCount[CountedQty],T_StockCount[Part Name],$A7,T_StockCount[WeekIndex],65),IF(('T_SelfStock'!BN11&lt;&gt;""),'T_SelfStock'!BN11,BM7-'Grid_Requirement'!BN7+'Grid_TTAFOutgoing'!BN7))</f>
        <v/>
      </c>
      <c r="BO7">
        <f>IF(COUNTIFS(T_StockCount[Part Name],$A7,T_StockCount[WeekIndex],66)&gt;0,SUMIFS(T_StockCount[CountedQty],T_StockCount[Part Name],$A7,T_StockCount[WeekIndex],66),IF(('T_SelfStock'!BO11&lt;&gt;""),'T_SelfStock'!BO11,BN7-'Grid_Requirement'!BO7+'Grid_TTAFOutgoing'!BO7))</f>
        <v/>
      </c>
      <c r="BP7">
        <f>IF(COUNTIFS(T_StockCount[Part Name],$A7,T_StockCount[WeekIndex],67)&gt;0,SUMIFS(T_StockCount[CountedQty],T_StockCount[Part Name],$A7,T_StockCount[WeekIndex],67),IF(('T_SelfStock'!BP11&lt;&gt;""),'T_SelfStock'!BP11,BO7-'Grid_Requirement'!BP7+'Grid_TTAFOutgoing'!BP7))</f>
        <v/>
      </c>
      <c r="BQ7">
        <f>IF(COUNTIFS(T_StockCount[Part Name],$A7,T_StockCount[WeekIndex],68)&gt;0,SUMIFS(T_StockCount[CountedQty],T_StockCount[Part Name],$A7,T_StockCount[WeekIndex],68),IF(('T_SelfStock'!BQ11&lt;&gt;""),'T_SelfStock'!BQ11,BP7-'Grid_Requirement'!BQ7+'Grid_TTAFOutgoing'!BQ7))</f>
        <v/>
      </c>
      <c r="BR7">
        <f>IF(COUNTIFS(T_StockCount[Part Name],$A7,T_StockCount[WeekIndex],69)&gt;0,SUMIFS(T_StockCount[CountedQty],T_StockCount[Part Name],$A7,T_StockCount[WeekIndex],69),IF(('T_SelfStock'!BR11&lt;&gt;""),'T_SelfStock'!BR11,BQ7-'Grid_Requirement'!BR7+'Grid_TTAFOutgoing'!BR7))</f>
        <v/>
      </c>
      <c r="BS7">
        <f>IF(COUNTIFS(T_StockCount[Part Name],$A7,T_StockCount[WeekIndex],70)&gt;0,SUMIFS(T_StockCount[CountedQty],T_StockCount[Part Name],$A7,T_StockCount[WeekIndex],70),IF(('T_SelfStock'!BS11&lt;&gt;""),'T_SelfStock'!BS11,BR7-'Grid_Requirement'!BS7+'Grid_TTAFOutgoing'!BS7))</f>
        <v/>
      </c>
      <c r="BT7">
        <f>IF(COUNTIFS(T_StockCount[Part Name],$A7,T_StockCount[WeekIndex],71)&gt;0,SUMIFS(T_StockCount[CountedQty],T_StockCount[Part Name],$A7,T_StockCount[WeekIndex],71),IF(('T_SelfStock'!BT11&lt;&gt;""),'T_SelfStock'!BT11,BS7-'Grid_Requirement'!BT7+'Grid_TTAFOutgoing'!BT7))</f>
        <v/>
      </c>
      <c r="BU7">
        <f>IF(COUNTIFS(T_StockCount[Part Name],$A7,T_StockCount[WeekIndex],72)&gt;0,SUMIFS(T_StockCount[CountedQty],T_StockCount[Part Name],$A7,T_StockCount[WeekIndex],72),IF(('T_SelfStock'!BU11&lt;&gt;""),'T_SelfStock'!BU11,BT7-'Grid_Requirement'!BU7+'Grid_TTAFOutgoing'!BU7))</f>
        <v/>
      </c>
      <c r="BV7">
        <f>IF(COUNTIFS(T_StockCount[Part Name],$A7,T_StockCount[WeekIndex],73)&gt;0,SUMIFS(T_StockCount[CountedQty],T_StockCount[Part Name],$A7,T_StockCount[WeekIndex],73),IF(('T_SelfStock'!BV11&lt;&gt;""),'T_SelfStock'!BV11,BU7-'Grid_Requirement'!BV7+'Grid_TTAFOutgoing'!BV7))</f>
        <v/>
      </c>
      <c r="BW7">
        <f>IF(COUNTIFS(T_StockCount[Part Name],$A7,T_StockCount[WeekIndex],74)&gt;0,SUMIFS(T_StockCount[CountedQty],T_StockCount[Part Name],$A7,T_StockCount[WeekIndex],74),IF(('T_SelfStock'!BW11&lt;&gt;""),'T_SelfStock'!BW11,BV7-'Grid_Requirement'!BW7+'Grid_TTAFOutgoing'!BW7))</f>
        <v/>
      </c>
      <c r="BX7">
        <f>IF(COUNTIFS(T_StockCount[Part Name],$A7,T_StockCount[WeekIndex],75)&gt;0,SUMIFS(T_StockCount[CountedQty],T_StockCount[Part Name],$A7,T_StockCount[WeekIndex],75),IF(('T_SelfStock'!BX11&lt;&gt;""),'T_SelfStock'!BX11,BW7-'Grid_Requirement'!BX7+'Grid_TTAFOutgoing'!BX7))</f>
        <v/>
      </c>
      <c r="BY7">
        <f>IF(COUNTIFS(T_StockCount[Part Name],$A7,T_StockCount[WeekIndex],76)&gt;0,SUMIFS(T_StockCount[CountedQty],T_StockCount[Part Name],$A7,T_StockCount[WeekIndex],76),IF(('T_SelfStock'!BY11&lt;&gt;""),'T_SelfStock'!BY11,BX7-'Grid_Requirement'!BY7+'Grid_TTAFOutgoing'!BY7))</f>
        <v/>
      </c>
      <c r="BZ7">
        <f>IF(COUNTIFS(T_StockCount[Part Name],$A7,T_StockCount[WeekIndex],77)&gt;0,SUMIFS(T_StockCount[CountedQty],T_StockCount[Part Name],$A7,T_StockCount[WeekIndex],77),IF(('T_SelfStock'!BZ11&lt;&gt;""),'T_SelfStock'!BZ11,BY7-'Grid_Requirement'!BZ7+'Grid_TTAFOutgoing'!BZ7))</f>
        <v/>
      </c>
      <c r="CA7">
        <f>IF(COUNTIFS(T_StockCount[Part Name],$A7,T_StockCount[WeekIndex],78)&gt;0,SUMIFS(T_StockCount[CountedQty],T_StockCount[Part Name],$A7,T_StockCount[WeekIndex],78),IF(('T_SelfStock'!CA11&lt;&gt;""),'T_SelfStock'!CA11,BZ7-'Grid_Requirement'!CA7+'Grid_TTAFOutgoing'!CA7))</f>
        <v/>
      </c>
      <c r="CB7">
        <f>IF(COUNTIFS(T_StockCount[Part Name],$A7,T_StockCount[WeekIndex],79)&gt;0,SUMIFS(T_StockCount[CountedQty],T_StockCount[Part Name],$A7,T_StockCount[WeekIndex],79),IF(('T_SelfStock'!CB11&lt;&gt;""),'T_SelfStock'!CB11,CA7-'Grid_Requirement'!CB7+'Grid_TTAFOutgoing'!CB7))</f>
        <v/>
      </c>
      <c r="CC7">
        <f>IF(COUNTIFS(T_StockCount[Part Name],$A7,T_StockCount[WeekIndex],80)&gt;0,SUMIFS(T_StockCount[CountedQty],T_StockCount[Part Name],$A7,T_StockCount[WeekIndex],80),IF(('T_SelfStock'!CC11&lt;&gt;""),'T_SelfStock'!CC11,CB7-'Grid_Requirement'!CC7+'Grid_TTAFOutgoing'!CC7))</f>
        <v/>
      </c>
      <c r="CD7">
        <f>IF(COUNTIFS(T_StockCount[Part Name],$A7,T_StockCount[WeekIndex],81)&gt;0,SUMIFS(T_StockCount[CountedQty],T_StockCount[Part Name],$A7,T_StockCount[WeekIndex],81),IF(('T_SelfStock'!CD11&lt;&gt;""),'T_SelfStock'!CD11,CC7-'Grid_Requirement'!CD7+'Grid_TTAFOutgoing'!CD7))</f>
        <v/>
      </c>
      <c r="CE7">
        <f>IF(COUNTIFS(T_StockCount[Part Name],$A7,T_StockCount[WeekIndex],82)&gt;0,SUMIFS(T_StockCount[CountedQty],T_StockCount[Part Name],$A7,T_StockCount[WeekIndex],82),IF(('T_SelfStock'!CE11&lt;&gt;""),'T_SelfStock'!CE11,CD7-'Grid_Requirement'!CE7+'Grid_TTAFOutgoing'!CE7))</f>
        <v/>
      </c>
      <c r="CF7">
        <f>IF(COUNTIFS(T_StockCount[Part Name],$A7,T_StockCount[WeekIndex],83)&gt;0,SUMIFS(T_StockCount[CountedQty],T_StockCount[Part Name],$A7,T_StockCount[WeekIndex],83),IF(('T_SelfStock'!CF11&lt;&gt;""),'T_SelfStock'!CF11,CE7-'Grid_Requirement'!CF7+'Grid_TTAFOutgoing'!CF7))</f>
        <v/>
      </c>
      <c r="CG7">
        <f>IF(COUNTIFS(T_StockCount[Part Name],$A7,T_StockCount[WeekIndex],84)&gt;0,SUMIFS(T_StockCount[CountedQty],T_StockCount[Part Name],$A7,T_StockCount[WeekIndex],84),IF(('T_SelfStock'!CG11&lt;&gt;""),'T_SelfStock'!CG11,CF7-'Grid_Requirement'!CG7+'Grid_TTAFOutgoing'!CG7))</f>
        <v/>
      </c>
      <c r="CH7">
        <f>IF(COUNTIFS(T_StockCount[Part Name],$A7,T_StockCount[WeekIndex],85)&gt;0,SUMIFS(T_StockCount[CountedQty],T_StockCount[Part Name],$A7,T_StockCount[WeekIndex],85),IF(('T_SelfStock'!CH11&lt;&gt;""),'T_SelfStock'!CH11,CG7-'Grid_Requirement'!CH7+'Grid_TTAFOutgoing'!CH7))</f>
        <v/>
      </c>
      <c r="CI7">
        <f>IF(COUNTIFS(T_StockCount[Part Name],$A7,T_StockCount[WeekIndex],86)&gt;0,SUMIFS(T_StockCount[CountedQty],T_StockCount[Part Name],$A7,T_StockCount[WeekIndex],86),IF(('T_SelfStock'!CI11&lt;&gt;""),'T_SelfStock'!CI11,CH7-'Grid_Requirement'!CI7+'Grid_TTAFOutgoing'!CI7))</f>
        <v/>
      </c>
      <c r="CJ7">
        <f>IF(COUNTIFS(T_StockCount[Part Name],$A7,T_StockCount[WeekIndex],87)&gt;0,SUMIFS(T_StockCount[CountedQty],T_StockCount[Part Name],$A7,T_StockCount[WeekIndex],87),IF(('T_SelfStock'!CJ11&lt;&gt;""),'T_SelfStock'!CJ11,CI7-'Grid_Requirement'!CJ7+'Grid_TTAFOutgoing'!CJ7))</f>
        <v/>
      </c>
      <c r="CK7">
        <f>IF(COUNTIFS(T_StockCount[Part Name],$A7,T_StockCount[WeekIndex],88)&gt;0,SUMIFS(T_StockCount[CountedQty],T_StockCount[Part Name],$A7,T_StockCount[WeekIndex],88),IF(('T_SelfStock'!CK11&lt;&gt;""),'T_SelfStock'!CK11,CJ7-'Grid_Requirement'!CK7+'Grid_TTAFOutgoing'!CK7))</f>
        <v/>
      </c>
      <c r="CL7">
        <f>IF(COUNTIFS(T_StockCount[Part Name],$A7,T_StockCount[WeekIndex],89)&gt;0,SUMIFS(T_StockCount[CountedQty],T_StockCount[Part Name],$A7,T_StockCount[WeekIndex],89),IF(('T_SelfStock'!CL11&lt;&gt;""),'T_SelfStock'!CL11,CK7-'Grid_Requirement'!CL7+'Grid_TTAFOutgoing'!CL7))</f>
        <v/>
      </c>
      <c r="CM7">
        <f>IF(COUNTIFS(T_StockCount[Part Name],$A7,T_StockCount[WeekIndex],90)&gt;0,SUMIFS(T_StockCount[CountedQty],T_StockCount[Part Name],$A7,T_StockCount[WeekIndex],90),IF(('T_SelfStock'!CM11&lt;&gt;""),'T_SelfStock'!CM11,CL7-'Grid_Requirement'!CM7+'Grid_TTAFOutgoing'!CM7))</f>
        <v/>
      </c>
      <c r="CN7">
        <f>IF(COUNTIFS(T_StockCount[Part Name],$A7,T_StockCount[WeekIndex],91)&gt;0,SUMIFS(T_StockCount[CountedQty],T_StockCount[Part Name],$A7,T_StockCount[WeekIndex],91),IF(('T_SelfStock'!CN11&lt;&gt;""),'T_SelfStock'!CN11,CM7-'Grid_Requirement'!CN7+'Grid_TTAFOutgoing'!CN7))</f>
        <v/>
      </c>
      <c r="CO7">
        <f>IF(COUNTIFS(T_StockCount[Part Name],$A7,T_StockCount[WeekIndex],92)&gt;0,SUMIFS(T_StockCount[CountedQty],T_StockCount[Part Name],$A7,T_StockCount[WeekIndex],92),IF(('T_SelfStock'!CO11&lt;&gt;""),'T_SelfStock'!CO11,CN7-'Grid_Requirement'!CO7+'Grid_TTAFOutgoing'!CO7))</f>
        <v/>
      </c>
      <c r="CP7">
        <f>IF(COUNTIFS(T_StockCount[Part Name],$A7,T_StockCount[WeekIndex],93)&gt;0,SUMIFS(T_StockCount[CountedQty],T_StockCount[Part Name],$A7,T_StockCount[WeekIndex],93),IF(('T_SelfStock'!CP11&lt;&gt;""),'T_SelfStock'!CP11,CO7-'Grid_Requirement'!CP7+'Grid_TTAFOutgoing'!CP7))</f>
        <v/>
      </c>
      <c r="CQ7">
        <f>IF(COUNTIFS(T_StockCount[Part Name],$A7,T_StockCount[WeekIndex],94)&gt;0,SUMIFS(T_StockCount[CountedQty],T_StockCount[Part Name],$A7,T_StockCount[WeekIndex],94),IF(('T_SelfStock'!CQ11&lt;&gt;""),'T_SelfStock'!CQ11,CP7-'Grid_Requirement'!CQ7+'Grid_TTAFOutgoing'!CQ7))</f>
        <v/>
      </c>
      <c r="CR7">
        <f>IF(COUNTIFS(T_StockCount[Part Name],$A7,T_StockCount[WeekIndex],95)&gt;0,SUMIFS(T_StockCount[CountedQty],T_StockCount[Part Name],$A7,T_StockCount[WeekIndex],95),IF(('T_SelfStock'!CR11&lt;&gt;""),'T_SelfStock'!CR11,CQ7-'Grid_Requirement'!CR7+'Grid_TTAFOutgoing'!CR7))</f>
        <v/>
      </c>
      <c r="CS7">
        <f>IF(COUNTIFS(T_StockCount[Part Name],$A7,T_StockCount[WeekIndex],96)&gt;0,SUMIFS(T_StockCount[CountedQty],T_StockCount[Part Name],$A7,T_StockCount[WeekIndex],96),IF(('T_SelfStock'!CS11&lt;&gt;""),'T_SelfStock'!CS11,CR7-'Grid_Requirement'!CS7+'Grid_TTAFOutgoing'!CS7))</f>
        <v/>
      </c>
      <c r="CT7">
        <f>IF(COUNTIFS(T_StockCount[Part Name],$A7,T_StockCount[WeekIndex],97)&gt;0,SUMIFS(T_StockCount[CountedQty],T_StockCount[Part Name],$A7,T_StockCount[WeekIndex],97),IF(('T_SelfStock'!CT11&lt;&gt;""),'T_SelfStock'!CT11,CS7-'Grid_Requirement'!CT7+'Grid_TTAFOutgoing'!CT7))</f>
        <v/>
      </c>
      <c r="CU7">
        <f>IF(COUNTIFS(T_StockCount[Part Name],$A7,T_StockCount[WeekIndex],98)&gt;0,SUMIFS(T_StockCount[CountedQty],T_StockCount[Part Name],$A7,T_StockCount[WeekIndex],98),IF(('T_SelfStock'!CU11&lt;&gt;""),'T_SelfStock'!CU11,CT7-'Grid_Requirement'!CU7+'Grid_TTAFOutgoing'!CU7))</f>
        <v/>
      </c>
      <c r="CV7">
        <f>IF(COUNTIFS(T_StockCount[Part Name],$A7,T_StockCount[WeekIndex],99)&gt;0,SUMIFS(T_StockCount[CountedQty],T_StockCount[Part Name],$A7,T_StockCount[WeekIndex],99),IF(('T_SelfStock'!CV11&lt;&gt;""),'T_SelfStock'!CV11,CU7-'Grid_Requirement'!CV7+'Grid_TTAFOutgoing'!CV7))</f>
        <v/>
      </c>
      <c r="CW7">
        <f>IF(COUNTIFS(T_StockCount[Part Name],$A7,T_StockCount[WeekIndex],100)&gt;0,SUMIFS(T_StockCount[CountedQty],T_StockCount[Part Name],$A7,T_StockCount[WeekIndex],100),IF(('T_SelfStock'!CW11&lt;&gt;""),'T_SelfStock'!CW11,CV7-'Grid_Requirement'!CW7+'Grid_TTAFOutgoing'!CW7))</f>
        <v/>
      </c>
      <c r="CX7">
        <f>IF(COUNTIFS(T_StockCount[Part Name],$A7,T_StockCount[WeekIndex],101)&gt;0,SUMIFS(T_StockCount[CountedQty],T_StockCount[Part Name],$A7,T_StockCount[WeekIndex],101),IF(('T_SelfStock'!CX11&lt;&gt;""),'T_SelfStock'!CX11,CW7-'Grid_Requirement'!CX7+'Grid_TTAFOutgoing'!CX7))</f>
        <v/>
      </c>
      <c r="CY7">
        <f>IF(COUNTIFS(T_StockCount[Part Name],$A7,T_StockCount[WeekIndex],102)&gt;0,SUMIFS(T_StockCount[CountedQty],T_StockCount[Part Name],$A7,T_StockCount[WeekIndex],102),IF(('T_SelfStock'!CY11&lt;&gt;""),'T_SelfStock'!CY11,CX7-'Grid_Requirement'!CY7+'Grid_TTAFOutgoing'!CY7))</f>
        <v/>
      </c>
      <c r="CZ7">
        <f>IF(COUNTIFS(T_StockCount[Part Name],$A7,T_StockCount[WeekIndex],103)&gt;0,SUMIFS(T_StockCount[CountedQty],T_StockCount[Part Name],$A7,T_StockCount[WeekIndex],103),IF(('T_SelfStock'!CZ11&lt;&gt;""),'T_SelfStock'!CZ11,CY7-'Grid_Requirement'!CZ7+'Grid_TTAFOutgoing'!CZ7))</f>
        <v/>
      </c>
      <c r="DA7">
        <f>IF(COUNTIFS(T_StockCount[Part Name],$A7,T_StockCount[WeekIndex],104)&gt;0,SUMIFS(T_StockCount[CountedQty],T_StockCount[Part Name],$A7,T_StockCount[WeekIndex],104),IF(('T_SelfStock'!DA11&lt;&gt;""),'T_SelfStock'!DA11,CZ7-'Grid_Requirement'!DA7+'Grid_TTAFOutgoing'!DA7))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Name],$A8,T_StockCount[WeekIndex],1),IF(('T_SelfStock'!B12&lt;&gt;""),'T_SelfStock'!B12,IFERROR(INDEX(T_OpeningStock[Opening_Qty],MATCH($A8,T_OpeningStock[Part Name],0)),0)-'Grid_Requirement'!B8+'Grid_TTAFOutgoing'!B8))</f>
        <v/>
      </c>
      <c r="C8">
        <f>IF(COUNTIFS(T_StockCount[Part Name],$A8,T_StockCount[WeekIndex],2)&gt;0,SUMIFS(T_StockCount[CountedQty],T_StockCount[Part Name],$A8,T_StockCount[WeekIndex],2),IF(('T_SelfStock'!C12&lt;&gt;""),'T_SelfStock'!C12,B8-'Grid_Requirement'!C8+'Grid_TTAFOutgoing'!C8))</f>
        <v/>
      </c>
      <c r="D8">
        <f>IF(COUNTIFS(T_StockCount[Part Name],$A8,T_StockCount[WeekIndex],3)&gt;0,SUMIFS(T_StockCount[CountedQty],T_StockCount[Part Name],$A8,T_StockCount[WeekIndex],3),IF(('T_SelfStock'!D12&lt;&gt;""),'T_SelfStock'!D12,C8-'Grid_Requirement'!D8+'Grid_TTAFOutgoing'!D8))</f>
        <v/>
      </c>
      <c r="E8">
        <f>IF(COUNTIFS(T_StockCount[Part Name],$A8,T_StockCount[WeekIndex],4)&gt;0,SUMIFS(T_StockCount[CountedQty],T_StockCount[Part Name],$A8,T_StockCount[WeekIndex],4),IF(('T_SelfStock'!E12&lt;&gt;""),'T_SelfStock'!E12,D8-'Grid_Requirement'!E8+'Grid_TTAFOutgoing'!E8))</f>
        <v/>
      </c>
      <c r="F8">
        <f>IF(COUNTIFS(T_StockCount[Part Name],$A8,T_StockCount[WeekIndex],5)&gt;0,SUMIFS(T_StockCount[CountedQty],T_StockCount[Part Name],$A8,T_StockCount[WeekIndex],5),IF(('T_SelfStock'!F12&lt;&gt;""),'T_SelfStock'!F12,E8-'Grid_Requirement'!F8+'Grid_TTAFOutgoing'!F8))</f>
        <v/>
      </c>
      <c r="G8">
        <f>IF(COUNTIFS(T_StockCount[Part Name],$A8,T_StockCount[WeekIndex],6)&gt;0,SUMIFS(T_StockCount[CountedQty],T_StockCount[Part Name],$A8,T_StockCount[WeekIndex],6),IF(('T_SelfStock'!G12&lt;&gt;""),'T_SelfStock'!G12,F8-'Grid_Requirement'!G8+'Grid_TTAFOutgoing'!G8))</f>
        <v/>
      </c>
      <c r="H8">
        <f>IF(COUNTIFS(T_StockCount[Part Name],$A8,T_StockCount[WeekIndex],7)&gt;0,SUMIFS(T_StockCount[CountedQty],T_StockCount[Part Name],$A8,T_StockCount[WeekIndex],7),IF(('T_SelfStock'!H12&lt;&gt;""),'T_SelfStock'!H12,G8-'Grid_Requirement'!H8+'Grid_TTAFOutgoing'!H8))</f>
        <v/>
      </c>
      <c r="I8">
        <f>IF(COUNTIFS(T_StockCount[Part Name],$A8,T_StockCount[WeekIndex],8)&gt;0,SUMIFS(T_StockCount[CountedQty],T_StockCount[Part Name],$A8,T_StockCount[WeekIndex],8),IF(('T_SelfStock'!I12&lt;&gt;""),'T_SelfStock'!I12,H8-'Grid_Requirement'!I8+'Grid_TTAFOutgoing'!I8))</f>
        <v/>
      </c>
      <c r="J8">
        <f>IF(COUNTIFS(T_StockCount[Part Name],$A8,T_StockCount[WeekIndex],9)&gt;0,SUMIFS(T_StockCount[CountedQty],T_StockCount[Part Name],$A8,T_StockCount[WeekIndex],9),IF(('T_SelfStock'!J12&lt;&gt;""),'T_SelfStock'!J12,I8-'Grid_Requirement'!J8+'Grid_TTAFOutgoing'!J8))</f>
        <v/>
      </c>
      <c r="K8">
        <f>IF(COUNTIFS(T_StockCount[Part Name],$A8,T_StockCount[WeekIndex],10)&gt;0,SUMIFS(T_StockCount[CountedQty],T_StockCount[Part Name],$A8,T_StockCount[WeekIndex],10),IF(('T_SelfStock'!K12&lt;&gt;""),'T_SelfStock'!K12,J8-'Grid_Requirement'!K8+'Grid_TTAFOutgoing'!K8))</f>
        <v/>
      </c>
      <c r="L8">
        <f>IF(COUNTIFS(T_StockCount[Part Name],$A8,T_StockCount[WeekIndex],11)&gt;0,SUMIFS(T_StockCount[CountedQty],T_StockCount[Part Name],$A8,T_StockCount[WeekIndex],11),IF(('T_SelfStock'!L12&lt;&gt;""),'T_SelfStock'!L12,K8-'Grid_Requirement'!L8+'Grid_TTAFOutgoing'!L8))</f>
        <v/>
      </c>
      <c r="M8">
        <f>IF(COUNTIFS(T_StockCount[Part Name],$A8,T_StockCount[WeekIndex],12)&gt;0,SUMIFS(T_StockCount[CountedQty],T_StockCount[Part Name],$A8,T_StockCount[WeekIndex],12),IF(('T_SelfStock'!M12&lt;&gt;""),'T_SelfStock'!M12,L8-'Grid_Requirement'!M8+'Grid_TTAFOutgoing'!M8))</f>
        <v/>
      </c>
      <c r="N8">
        <f>IF(COUNTIFS(T_StockCount[Part Name],$A8,T_StockCount[WeekIndex],13)&gt;0,SUMIFS(T_StockCount[CountedQty],T_StockCount[Part Name],$A8,T_StockCount[WeekIndex],13),IF(('T_SelfStock'!N12&lt;&gt;""),'T_SelfStock'!N12,M8-'Grid_Requirement'!N8+'Grid_TTAFOutgoing'!N8))</f>
        <v/>
      </c>
      <c r="O8">
        <f>IF(COUNTIFS(T_StockCount[Part Name],$A8,T_StockCount[WeekIndex],14)&gt;0,SUMIFS(T_StockCount[CountedQty],T_StockCount[Part Name],$A8,T_StockCount[WeekIndex],14),IF(('T_SelfStock'!O12&lt;&gt;""),'T_SelfStock'!O12,N8-'Grid_Requirement'!O8+'Grid_TTAFOutgoing'!O8))</f>
        <v/>
      </c>
      <c r="P8">
        <f>IF(COUNTIFS(T_StockCount[Part Name],$A8,T_StockCount[WeekIndex],15)&gt;0,SUMIFS(T_StockCount[CountedQty],T_StockCount[Part Name],$A8,T_StockCount[WeekIndex],15),IF(('T_SelfStock'!P12&lt;&gt;""),'T_SelfStock'!P12,O8-'Grid_Requirement'!P8+'Grid_TTAFOutgoing'!P8))</f>
        <v/>
      </c>
      <c r="Q8">
        <f>IF(COUNTIFS(T_StockCount[Part Name],$A8,T_StockCount[WeekIndex],16)&gt;0,SUMIFS(T_StockCount[CountedQty],T_StockCount[Part Name],$A8,T_StockCount[WeekIndex],16),IF(('T_SelfStock'!Q12&lt;&gt;""),'T_SelfStock'!Q12,P8-'Grid_Requirement'!Q8+'Grid_TTAFOutgoing'!Q8))</f>
        <v/>
      </c>
      <c r="R8">
        <f>IF(COUNTIFS(T_StockCount[Part Name],$A8,T_StockCount[WeekIndex],17)&gt;0,SUMIFS(T_StockCount[CountedQty],T_StockCount[Part Name],$A8,T_StockCount[WeekIndex],17),IF(('T_SelfStock'!R12&lt;&gt;""),'T_SelfStock'!R12,Q8-'Grid_Requirement'!R8+'Grid_TTAFOutgoing'!R8))</f>
        <v/>
      </c>
      <c r="S8">
        <f>IF(COUNTIFS(T_StockCount[Part Name],$A8,T_StockCount[WeekIndex],18)&gt;0,SUMIFS(T_StockCount[CountedQty],T_StockCount[Part Name],$A8,T_StockCount[WeekIndex],18),IF(('T_SelfStock'!S12&lt;&gt;""),'T_SelfStock'!S12,R8-'Grid_Requirement'!S8+'Grid_TTAFOutgoing'!S8))</f>
        <v/>
      </c>
      <c r="T8">
        <f>IF(COUNTIFS(T_StockCount[Part Name],$A8,T_StockCount[WeekIndex],19)&gt;0,SUMIFS(T_StockCount[CountedQty],T_StockCount[Part Name],$A8,T_StockCount[WeekIndex],19),IF(('T_SelfStock'!T12&lt;&gt;""),'T_SelfStock'!T12,S8-'Grid_Requirement'!T8+'Grid_TTAFOutgoing'!T8))</f>
        <v/>
      </c>
      <c r="U8">
        <f>IF(COUNTIFS(T_StockCount[Part Name],$A8,T_StockCount[WeekIndex],20)&gt;0,SUMIFS(T_StockCount[CountedQty],T_StockCount[Part Name],$A8,T_StockCount[WeekIndex],20),IF(('T_SelfStock'!U12&lt;&gt;""),'T_SelfStock'!U12,T8-'Grid_Requirement'!U8+'Grid_TTAFOutgoing'!U8))</f>
        <v/>
      </c>
      <c r="V8">
        <f>IF(COUNTIFS(T_StockCount[Part Name],$A8,T_StockCount[WeekIndex],21)&gt;0,SUMIFS(T_StockCount[CountedQty],T_StockCount[Part Name],$A8,T_StockCount[WeekIndex],21),IF(('T_SelfStock'!V12&lt;&gt;""),'T_SelfStock'!V12,U8-'Grid_Requirement'!V8+'Grid_TTAFOutgoing'!V8))</f>
        <v/>
      </c>
      <c r="W8">
        <f>IF(COUNTIFS(T_StockCount[Part Name],$A8,T_StockCount[WeekIndex],22)&gt;0,SUMIFS(T_StockCount[CountedQty],T_StockCount[Part Name],$A8,T_StockCount[WeekIndex],22),IF(('T_SelfStock'!W12&lt;&gt;""),'T_SelfStock'!W12,V8-'Grid_Requirement'!W8+'Grid_TTAFOutgoing'!W8))</f>
        <v/>
      </c>
      <c r="X8">
        <f>IF(COUNTIFS(T_StockCount[Part Name],$A8,T_StockCount[WeekIndex],23)&gt;0,SUMIFS(T_StockCount[CountedQty],T_StockCount[Part Name],$A8,T_StockCount[WeekIndex],23),IF(('T_SelfStock'!X12&lt;&gt;""),'T_SelfStock'!X12,W8-'Grid_Requirement'!X8+'Grid_TTAFOutgoing'!X8))</f>
        <v/>
      </c>
      <c r="Y8">
        <f>IF(COUNTIFS(T_StockCount[Part Name],$A8,T_StockCount[WeekIndex],24)&gt;0,SUMIFS(T_StockCount[CountedQty],T_StockCount[Part Name],$A8,T_StockCount[WeekIndex],24),IF(('T_SelfStock'!Y12&lt;&gt;""),'T_SelfStock'!Y12,X8-'Grid_Requirement'!Y8+'Grid_TTAFOutgoing'!Y8))</f>
        <v/>
      </c>
      <c r="Z8">
        <f>IF(COUNTIFS(T_StockCount[Part Name],$A8,T_StockCount[WeekIndex],25)&gt;0,SUMIFS(T_StockCount[CountedQty],T_StockCount[Part Name],$A8,T_StockCount[WeekIndex],25),IF(('T_SelfStock'!Z12&lt;&gt;""),'T_SelfStock'!Z12,Y8-'Grid_Requirement'!Z8+'Grid_TTAFOutgoing'!Z8))</f>
        <v/>
      </c>
      <c r="AA8">
        <f>IF(COUNTIFS(T_StockCount[Part Name],$A8,T_StockCount[WeekIndex],26)&gt;0,SUMIFS(T_StockCount[CountedQty],T_StockCount[Part Name],$A8,T_StockCount[WeekIndex],26),IF(('T_SelfStock'!AA12&lt;&gt;""),'T_SelfStock'!AA12,Z8-'Grid_Requirement'!AA8+'Grid_TTAFOutgoing'!AA8))</f>
        <v/>
      </c>
      <c r="AB8">
        <f>IF(COUNTIFS(T_StockCount[Part Name],$A8,T_StockCount[WeekIndex],27)&gt;0,SUMIFS(T_StockCount[CountedQty],T_StockCount[Part Name],$A8,T_StockCount[WeekIndex],27),IF(('T_SelfStock'!AB12&lt;&gt;""),'T_SelfStock'!AB12,AA8-'Grid_Requirement'!AB8+'Grid_TTAFOutgoing'!AB8))</f>
        <v/>
      </c>
      <c r="AC8">
        <f>IF(COUNTIFS(T_StockCount[Part Name],$A8,T_StockCount[WeekIndex],28)&gt;0,SUMIFS(T_StockCount[CountedQty],T_StockCount[Part Name],$A8,T_StockCount[WeekIndex],28),IF(('T_SelfStock'!AC12&lt;&gt;""),'T_SelfStock'!AC12,AB8-'Grid_Requirement'!AC8+'Grid_TTAFOutgoing'!AC8))</f>
        <v/>
      </c>
      <c r="AD8">
        <f>IF(COUNTIFS(T_StockCount[Part Name],$A8,T_StockCount[WeekIndex],29)&gt;0,SUMIFS(T_StockCount[CountedQty],T_StockCount[Part Name],$A8,T_StockCount[WeekIndex],29),IF(('T_SelfStock'!AD12&lt;&gt;""),'T_SelfStock'!AD12,AC8-'Grid_Requirement'!AD8+'Grid_TTAFOutgoing'!AD8))</f>
        <v/>
      </c>
      <c r="AE8">
        <f>IF(COUNTIFS(T_StockCount[Part Name],$A8,T_StockCount[WeekIndex],30)&gt;0,SUMIFS(T_StockCount[CountedQty],T_StockCount[Part Name],$A8,T_StockCount[WeekIndex],30),IF(('T_SelfStock'!AE12&lt;&gt;""),'T_SelfStock'!AE12,AD8-'Grid_Requirement'!AE8+'Grid_TTAFOutgoing'!AE8))</f>
        <v/>
      </c>
      <c r="AF8">
        <f>IF(COUNTIFS(T_StockCount[Part Name],$A8,T_StockCount[WeekIndex],31)&gt;0,SUMIFS(T_StockCount[CountedQty],T_StockCount[Part Name],$A8,T_StockCount[WeekIndex],31),IF(('T_SelfStock'!AF12&lt;&gt;""),'T_SelfStock'!AF12,AE8-'Grid_Requirement'!AF8+'Grid_TTAFOutgoing'!AF8))</f>
        <v/>
      </c>
      <c r="AG8">
        <f>IF(COUNTIFS(T_StockCount[Part Name],$A8,T_StockCount[WeekIndex],32)&gt;0,SUMIFS(T_StockCount[CountedQty],T_StockCount[Part Name],$A8,T_StockCount[WeekIndex],32),IF(('T_SelfStock'!AG12&lt;&gt;""),'T_SelfStock'!AG12,AF8-'Grid_Requirement'!AG8+'Grid_TTAFOutgoing'!AG8))</f>
        <v/>
      </c>
      <c r="AH8">
        <f>IF(COUNTIFS(T_StockCount[Part Name],$A8,T_StockCount[WeekIndex],33)&gt;0,SUMIFS(T_StockCount[CountedQty],T_StockCount[Part Name],$A8,T_StockCount[WeekIndex],33),IF(('T_SelfStock'!AH12&lt;&gt;""),'T_SelfStock'!AH12,AG8-'Grid_Requirement'!AH8+'Grid_TTAFOutgoing'!AH8))</f>
        <v/>
      </c>
      <c r="AI8">
        <f>IF(COUNTIFS(T_StockCount[Part Name],$A8,T_StockCount[WeekIndex],34)&gt;0,SUMIFS(T_StockCount[CountedQty],T_StockCount[Part Name],$A8,T_StockCount[WeekIndex],34),IF(('T_SelfStock'!AI12&lt;&gt;""),'T_SelfStock'!AI12,AH8-'Grid_Requirement'!AI8+'Grid_TTAFOutgoing'!AI8))</f>
        <v/>
      </c>
      <c r="AJ8">
        <f>IF(COUNTIFS(T_StockCount[Part Name],$A8,T_StockCount[WeekIndex],35)&gt;0,SUMIFS(T_StockCount[CountedQty],T_StockCount[Part Name],$A8,T_StockCount[WeekIndex],35),IF(('T_SelfStock'!AJ12&lt;&gt;""),'T_SelfStock'!AJ12,AI8-'Grid_Requirement'!AJ8+'Grid_TTAFOutgoing'!AJ8))</f>
        <v/>
      </c>
      <c r="AK8">
        <f>IF(COUNTIFS(T_StockCount[Part Name],$A8,T_StockCount[WeekIndex],36)&gt;0,SUMIFS(T_StockCount[CountedQty],T_StockCount[Part Name],$A8,T_StockCount[WeekIndex],36),IF(('T_SelfStock'!AK12&lt;&gt;""),'T_SelfStock'!AK12,AJ8-'Grid_Requirement'!AK8+'Grid_TTAFOutgoing'!AK8))</f>
        <v/>
      </c>
      <c r="AL8">
        <f>IF(COUNTIFS(T_StockCount[Part Name],$A8,T_StockCount[WeekIndex],37)&gt;0,SUMIFS(T_StockCount[CountedQty],T_StockCount[Part Name],$A8,T_StockCount[WeekIndex],37),IF(('T_SelfStock'!AL12&lt;&gt;""),'T_SelfStock'!AL12,AK8-'Grid_Requirement'!AL8+'Grid_TTAFOutgoing'!AL8))</f>
        <v/>
      </c>
      <c r="AM8">
        <f>IF(COUNTIFS(T_StockCount[Part Name],$A8,T_StockCount[WeekIndex],38)&gt;0,SUMIFS(T_StockCount[CountedQty],T_StockCount[Part Name],$A8,T_StockCount[WeekIndex],38),IF(('T_SelfStock'!AM12&lt;&gt;""),'T_SelfStock'!AM12,AL8-'Grid_Requirement'!AM8+'Grid_TTAFOutgoing'!AM8))</f>
        <v/>
      </c>
      <c r="AN8">
        <f>IF(COUNTIFS(T_StockCount[Part Name],$A8,T_StockCount[WeekIndex],39)&gt;0,SUMIFS(T_StockCount[CountedQty],T_StockCount[Part Name],$A8,T_StockCount[WeekIndex],39),IF(('T_SelfStock'!AN12&lt;&gt;""),'T_SelfStock'!AN12,AM8-'Grid_Requirement'!AN8+'Grid_TTAFOutgoing'!AN8))</f>
        <v/>
      </c>
      <c r="AO8">
        <f>IF(COUNTIFS(T_StockCount[Part Name],$A8,T_StockCount[WeekIndex],40)&gt;0,SUMIFS(T_StockCount[CountedQty],T_StockCount[Part Name],$A8,T_StockCount[WeekIndex],40),IF(('T_SelfStock'!AO12&lt;&gt;""),'T_SelfStock'!AO12,AN8-'Grid_Requirement'!AO8+'Grid_TTAFOutgoing'!AO8))</f>
        <v/>
      </c>
      <c r="AP8">
        <f>IF(COUNTIFS(T_StockCount[Part Name],$A8,T_StockCount[WeekIndex],41)&gt;0,SUMIFS(T_StockCount[CountedQty],T_StockCount[Part Name],$A8,T_StockCount[WeekIndex],41),IF(('T_SelfStock'!AP12&lt;&gt;""),'T_SelfStock'!AP12,AO8-'Grid_Requirement'!AP8+'Grid_TTAFOutgoing'!AP8))</f>
        <v/>
      </c>
      <c r="AQ8">
        <f>IF(COUNTIFS(T_StockCount[Part Name],$A8,T_StockCount[WeekIndex],42)&gt;0,SUMIFS(T_StockCount[CountedQty],T_StockCount[Part Name],$A8,T_StockCount[WeekIndex],42),IF(('T_SelfStock'!AQ12&lt;&gt;""),'T_SelfStock'!AQ12,AP8-'Grid_Requirement'!AQ8+'Grid_TTAFOutgoing'!AQ8))</f>
        <v/>
      </c>
      <c r="AR8">
        <f>IF(COUNTIFS(T_StockCount[Part Name],$A8,T_StockCount[WeekIndex],43)&gt;0,SUMIFS(T_StockCount[CountedQty],T_StockCount[Part Name],$A8,T_StockCount[WeekIndex],43),IF(('T_SelfStock'!AR12&lt;&gt;""),'T_SelfStock'!AR12,AQ8-'Grid_Requirement'!AR8+'Grid_TTAFOutgoing'!AR8))</f>
        <v/>
      </c>
      <c r="AS8">
        <f>IF(COUNTIFS(T_StockCount[Part Name],$A8,T_StockCount[WeekIndex],44)&gt;0,SUMIFS(T_StockCount[CountedQty],T_StockCount[Part Name],$A8,T_StockCount[WeekIndex],44),IF(('T_SelfStock'!AS12&lt;&gt;""),'T_SelfStock'!AS12,AR8-'Grid_Requirement'!AS8+'Grid_TTAFOutgoing'!AS8))</f>
        <v/>
      </c>
      <c r="AT8">
        <f>IF(COUNTIFS(T_StockCount[Part Name],$A8,T_StockCount[WeekIndex],45)&gt;0,SUMIFS(T_StockCount[CountedQty],T_StockCount[Part Name],$A8,T_StockCount[WeekIndex],45),IF(('T_SelfStock'!AT12&lt;&gt;""),'T_SelfStock'!AT12,AS8-'Grid_Requirement'!AT8+'Grid_TTAFOutgoing'!AT8))</f>
        <v/>
      </c>
      <c r="AU8">
        <f>IF(COUNTIFS(T_StockCount[Part Name],$A8,T_StockCount[WeekIndex],46)&gt;0,SUMIFS(T_StockCount[CountedQty],T_StockCount[Part Name],$A8,T_StockCount[WeekIndex],46),IF(('T_SelfStock'!AU12&lt;&gt;""),'T_SelfStock'!AU12,AT8-'Grid_Requirement'!AU8+'Grid_TTAFOutgoing'!AU8))</f>
        <v/>
      </c>
      <c r="AV8">
        <f>IF(COUNTIFS(T_StockCount[Part Name],$A8,T_StockCount[WeekIndex],47)&gt;0,SUMIFS(T_StockCount[CountedQty],T_StockCount[Part Name],$A8,T_StockCount[WeekIndex],47),IF(('T_SelfStock'!AV12&lt;&gt;""),'T_SelfStock'!AV12,AU8-'Grid_Requirement'!AV8+'Grid_TTAFOutgoing'!AV8))</f>
        <v/>
      </c>
      <c r="AW8">
        <f>IF(COUNTIFS(T_StockCount[Part Name],$A8,T_StockCount[WeekIndex],48)&gt;0,SUMIFS(T_StockCount[CountedQty],T_StockCount[Part Name],$A8,T_StockCount[WeekIndex],48),IF(('T_SelfStock'!AW12&lt;&gt;""),'T_SelfStock'!AW12,AV8-'Grid_Requirement'!AW8+'Grid_TTAFOutgoing'!AW8))</f>
        <v/>
      </c>
      <c r="AX8">
        <f>IF(COUNTIFS(T_StockCount[Part Name],$A8,T_StockCount[WeekIndex],49)&gt;0,SUMIFS(T_StockCount[CountedQty],T_StockCount[Part Name],$A8,T_StockCount[WeekIndex],49),IF(('T_SelfStock'!AX12&lt;&gt;""),'T_SelfStock'!AX12,AW8-'Grid_Requirement'!AX8+'Grid_TTAFOutgoing'!AX8))</f>
        <v/>
      </c>
      <c r="AY8">
        <f>IF(COUNTIFS(T_StockCount[Part Name],$A8,T_StockCount[WeekIndex],50)&gt;0,SUMIFS(T_StockCount[CountedQty],T_StockCount[Part Name],$A8,T_StockCount[WeekIndex],50),IF(('T_SelfStock'!AY12&lt;&gt;""),'T_SelfStock'!AY12,AX8-'Grid_Requirement'!AY8+'Grid_TTAFOutgoing'!AY8))</f>
        <v/>
      </c>
      <c r="AZ8">
        <f>IF(COUNTIFS(T_StockCount[Part Name],$A8,T_StockCount[WeekIndex],51)&gt;0,SUMIFS(T_StockCount[CountedQty],T_StockCount[Part Name],$A8,T_StockCount[WeekIndex],51),IF(('T_SelfStock'!AZ12&lt;&gt;""),'T_SelfStock'!AZ12,AY8-'Grid_Requirement'!AZ8+'Grid_TTAFOutgoing'!AZ8))</f>
        <v/>
      </c>
      <c r="BA8">
        <f>IF(COUNTIFS(T_StockCount[Part Name],$A8,T_StockCount[WeekIndex],52)&gt;0,SUMIFS(T_StockCount[CountedQty],T_StockCount[Part Name],$A8,T_StockCount[WeekIndex],52),IF(('T_SelfStock'!BA12&lt;&gt;""),'T_SelfStock'!BA12,AZ8-'Grid_Requirement'!BA8+'Grid_TTAFOutgoing'!BA8))</f>
        <v/>
      </c>
      <c r="BB8">
        <f>IF(COUNTIFS(T_StockCount[Part Name],$A8,T_StockCount[WeekIndex],53)&gt;0,SUMIFS(T_StockCount[CountedQty],T_StockCount[Part Name],$A8,T_StockCount[WeekIndex],53),IF(('T_SelfStock'!BB12&lt;&gt;""),'T_SelfStock'!BB12,BA8-'Grid_Requirement'!BB8+'Grid_TTAFOutgoing'!BB8))</f>
        <v/>
      </c>
      <c r="BC8">
        <f>IF(COUNTIFS(T_StockCount[Part Name],$A8,T_StockCount[WeekIndex],54)&gt;0,SUMIFS(T_StockCount[CountedQty],T_StockCount[Part Name],$A8,T_StockCount[WeekIndex],54),IF(('T_SelfStock'!BC12&lt;&gt;""),'T_SelfStock'!BC12,BB8-'Grid_Requirement'!BC8+'Grid_TTAFOutgoing'!BC8))</f>
        <v/>
      </c>
      <c r="BD8">
        <f>IF(COUNTIFS(T_StockCount[Part Name],$A8,T_StockCount[WeekIndex],55)&gt;0,SUMIFS(T_StockCount[CountedQty],T_StockCount[Part Name],$A8,T_StockCount[WeekIndex],55),IF(('T_SelfStock'!BD12&lt;&gt;""),'T_SelfStock'!BD12,BC8-'Grid_Requirement'!BD8+'Grid_TTAFOutgoing'!BD8))</f>
        <v/>
      </c>
      <c r="BE8">
        <f>IF(COUNTIFS(T_StockCount[Part Name],$A8,T_StockCount[WeekIndex],56)&gt;0,SUMIFS(T_StockCount[CountedQty],T_StockCount[Part Name],$A8,T_StockCount[WeekIndex],56),IF(('T_SelfStock'!BE12&lt;&gt;""),'T_SelfStock'!BE12,BD8-'Grid_Requirement'!BE8+'Grid_TTAFOutgoing'!BE8))</f>
        <v/>
      </c>
      <c r="BF8">
        <f>IF(COUNTIFS(T_StockCount[Part Name],$A8,T_StockCount[WeekIndex],57)&gt;0,SUMIFS(T_StockCount[CountedQty],T_StockCount[Part Name],$A8,T_StockCount[WeekIndex],57),IF(('T_SelfStock'!BF12&lt;&gt;""),'T_SelfStock'!BF12,BE8-'Grid_Requirement'!BF8+'Grid_TTAFOutgoing'!BF8))</f>
        <v/>
      </c>
      <c r="BG8">
        <f>IF(COUNTIFS(T_StockCount[Part Name],$A8,T_StockCount[WeekIndex],58)&gt;0,SUMIFS(T_StockCount[CountedQty],T_StockCount[Part Name],$A8,T_StockCount[WeekIndex],58),IF(('T_SelfStock'!BG12&lt;&gt;""),'T_SelfStock'!BG12,BF8-'Grid_Requirement'!BG8+'Grid_TTAFOutgoing'!BG8))</f>
        <v/>
      </c>
      <c r="BH8">
        <f>IF(COUNTIFS(T_StockCount[Part Name],$A8,T_StockCount[WeekIndex],59)&gt;0,SUMIFS(T_StockCount[CountedQty],T_StockCount[Part Name],$A8,T_StockCount[WeekIndex],59),IF(('T_SelfStock'!BH12&lt;&gt;""),'T_SelfStock'!BH12,BG8-'Grid_Requirement'!BH8+'Grid_TTAFOutgoing'!BH8))</f>
        <v/>
      </c>
      <c r="BI8">
        <f>IF(COUNTIFS(T_StockCount[Part Name],$A8,T_StockCount[WeekIndex],60)&gt;0,SUMIFS(T_StockCount[CountedQty],T_StockCount[Part Name],$A8,T_StockCount[WeekIndex],60),IF(('T_SelfStock'!BI12&lt;&gt;""),'T_SelfStock'!BI12,BH8-'Grid_Requirement'!BI8+'Grid_TTAFOutgoing'!BI8))</f>
        <v/>
      </c>
      <c r="BJ8">
        <f>IF(COUNTIFS(T_StockCount[Part Name],$A8,T_StockCount[WeekIndex],61)&gt;0,SUMIFS(T_StockCount[CountedQty],T_StockCount[Part Name],$A8,T_StockCount[WeekIndex],61),IF(('T_SelfStock'!BJ12&lt;&gt;""),'T_SelfStock'!BJ12,BI8-'Grid_Requirement'!BJ8+'Grid_TTAFOutgoing'!BJ8))</f>
        <v/>
      </c>
      <c r="BK8">
        <f>IF(COUNTIFS(T_StockCount[Part Name],$A8,T_StockCount[WeekIndex],62)&gt;0,SUMIFS(T_StockCount[CountedQty],T_StockCount[Part Name],$A8,T_StockCount[WeekIndex],62),IF(('T_SelfStock'!BK12&lt;&gt;""),'T_SelfStock'!BK12,BJ8-'Grid_Requirement'!BK8+'Grid_TTAFOutgoing'!BK8))</f>
        <v/>
      </c>
      <c r="BL8">
        <f>IF(COUNTIFS(T_StockCount[Part Name],$A8,T_StockCount[WeekIndex],63)&gt;0,SUMIFS(T_StockCount[CountedQty],T_StockCount[Part Name],$A8,T_StockCount[WeekIndex],63),IF(('T_SelfStock'!BL12&lt;&gt;""),'T_SelfStock'!BL12,BK8-'Grid_Requirement'!BL8+'Grid_TTAFOutgoing'!BL8))</f>
        <v/>
      </c>
      <c r="BM8">
        <f>IF(COUNTIFS(T_StockCount[Part Name],$A8,T_StockCount[WeekIndex],64)&gt;0,SUMIFS(T_StockCount[CountedQty],T_StockCount[Part Name],$A8,T_StockCount[WeekIndex],64),IF(('T_SelfStock'!BM12&lt;&gt;""),'T_SelfStock'!BM12,BL8-'Grid_Requirement'!BM8+'Grid_TTAFOutgoing'!BM8))</f>
        <v/>
      </c>
      <c r="BN8">
        <f>IF(COUNTIFS(T_StockCount[Part Name],$A8,T_StockCount[WeekIndex],65)&gt;0,SUMIFS(T_StockCount[CountedQty],T_StockCount[Part Name],$A8,T_StockCount[WeekIndex],65),IF(('T_SelfStock'!BN12&lt;&gt;""),'T_SelfStock'!BN12,BM8-'Grid_Requirement'!BN8+'Grid_TTAFOutgoing'!BN8))</f>
        <v/>
      </c>
      <c r="BO8">
        <f>IF(COUNTIFS(T_StockCount[Part Name],$A8,T_StockCount[WeekIndex],66)&gt;0,SUMIFS(T_StockCount[CountedQty],T_StockCount[Part Name],$A8,T_StockCount[WeekIndex],66),IF(('T_SelfStock'!BO12&lt;&gt;""),'T_SelfStock'!BO12,BN8-'Grid_Requirement'!BO8+'Grid_TTAFOutgoing'!BO8))</f>
        <v/>
      </c>
      <c r="BP8">
        <f>IF(COUNTIFS(T_StockCount[Part Name],$A8,T_StockCount[WeekIndex],67)&gt;0,SUMIFS(T_StockCount[CountedQty],T_StockCount[Part Name],$A8,T_StockCount[WeekIndex],67),IF(('T_SelfStock'!BP12&lt;&gt;""),'T_SelfStock'!BP12,BO8-'Grid_Requirement'!BP8+'Grid_TTAFOutgoing'!BP8))</f>
        <v/>
      </c>
      <c r="BQ8">
        <f>IF(COUNTIFS(T_StockCount[Part Name],$A8,T_StockCount[WeekIndex],68)&gt;0,SUMIFS(T_StockCount[CountedQty],T_StockCount[Part Name],$A8,T_StockCount[WeekIndex],68),IF(('T_SelfStock'!BQ12&lt;&gt;""),'T_SelfStock'!BQ12,BP8-'Grid_Requirement'!BQ8+'Grid_TTAFOutgoing'!BQ8))</f>
        <v/>
      </c>
      <c r="BR8">
        <f>IF(COUNTIFS(T_StockCount[Part Name],$A8,T_StockCount[WeekIndex],69)&gt;0,SUMIFS(T_StockCount[CountedQty],T_StockCount[Part Name],$A8,T_StockCount[WeekIndex],69),IF(('T_SelfStock'!BR12&lt;&gt;""),'T_SelfStock'!BR12,BQ8-'Grid_Requirement'!BR8+'Grid_TTAFOutgoing'!BR8))</f>
        <v/>
      </c>
      <c r="BS8">
        <f>IF(COUNTIFS(T_StockCount[Part Name],$A8,T_StockCount[WeekIndex],70)&gt;0,SUMIFS(T_StockCount[CountedQty],T_StockCount[Part Name],$A8,T_StockCount[WeekIndex],70),IF(('T_SelfStock'!BS12&lt;&gt;""),'T_SelfStock'!BS12,BR8-'Grid_Requirement'!BS8+'Grid_TTAFOutgoing'!BS8))</f>
        <v/>
      </c>
      <c r="BT8">
        <f>IF(COUNTIFS(T_StockCount[Part Name],$A8,T_StockCount[WeekIndex],71)&gt;0,SUMIFS(T_StockCount[CountedQty],T_StockCount[Part Name],$A8,T_StockCount[WeekIndex],71),IF(('T_SelfStock'!BT12&lt;&gt;""),'T_SelfStock'!BT12,BS8-'Grid_Requirement'!BT8+'Grid_TTAFOutgoing'!BT8))</f>
        <v/>
      </c>
      <c r="BU8">
        <f>IF(COUNTIFS(T_StockCount[Part Name],$A8,T_StockCount[WeekIndex],72)&gt;0,SUMIFS(T_StockCount[CountedQty],T_StockCount[Part Name],$A8,T_StockCount[WeekIndex],72),IF(('T_SelfStock'!BU12&lt;&gt;""),'T_SelfStock'!BU12,BT8-'Grid_Requirement'!BU8+'Grid_TTAFOutgoing'!BU8))</f>
        <v/>
      </c>
      <c r="BV8">
        <f>IF(COUNTIFS(T_StockCount[Part Name],$A8,T_StockCount[WeekIndex],73)&gt;0,SUMIFS(T_StockCount[CountedQty],T_StockCount[Part Name],$A8,T_StockCount[WeekIndex],73),IF(('T_SelfStock'!BV12&lt;&gt;""),'T_SelfStock'!BV12,BU8-'Grid_Requirement'!BV8+'Grid_TTAFOutgoing'!BV8))</f>
        <v/>
      </c>
      <c r="BW8">
        <f>IF(COUNTIFS(T_StockCount[Part Name],$A8,T_StockCount[WeekIndex],74)&gt;0,SUMIFS(T_StockCount[CountedQty],T_StockCount[Part Name],$A8,T_StockCount[WeekIndex],74),IF(('T_SelfStock'!BW12&lt;&gt;""),'T_SelfStock'!BW12,BV8-'Grid_Requirement'!BW8+'Grid_TTAFOutgoing'!BW8))</f>
        <v/>
      </c>
      <c r="BX8">
        <f>IF(COUNTIFS(T_StockCount[Part Name],$A8,T_StockCount[WeekIndex],75)&gt;0,SUMIFS(T_StockCount[CountedQty],T_StockCount[Part Name],$A8,T_StockCount[WeekIndex],75),IF(('T_SelfStock'!BX12&lt;&gt;""),'T_SelfStock'!BX12,BW8-'Grid_Requirement'!BX8+'Grid_TTAFOutgoing'!BX8))</f>
        <v/>
      </c>
      <c r="BY8">
        <f>IF(COUNTIFS(T_StockCount[Part Name],$A8,T_StockCount[WeekIndex],76)&gt;0,SUMIFS(T_StockCount[CountedQty],T_StockCount[Part Name],$A8,T_StockCount[WeekIndex],76),IF(('T_SelfStock'!BY12&lt;&gt;""),'T_SelfStock'!BY12,BX8-'Grid_Requirement'!BY8+'Grid_TTAFOutgoing'!BY8))</f>
        <v/>
      </c>
      <c r="BZ8">
        <f>IF(COUNTIFS(T_StockCount[Part Name],$A8,T_StockCount[WeekIndex],77)&gt;0,SUMIFS(T_StockCount[CountedQty],T_StockCount[Part Name],$A8,T_StockCount[WeekIndex],77),IF(('T_SelfStock'!BZ12&lt;&gt;""),'T_SelfStock'!BZ12,BY8-'Grid_Requirement'!BZ8+'Grid_TTAFOutgoing'!BZ8))</f>
        <v/>
      </c>
      <c r="CA8">
        <f>IF(COUNTIFS(T_StockCount[Part Name],$A8,T_StockCount[WeekIndex],78)&gt;0,SUMIFS(T_StockCount[CountedQty],T_StockCount[Part Name],$A8,T_StockCount[WeekIndex],78),IF(('T_SelfStock'!CA12&lt;&gt;""),'T_SelfStock'!CA12,BZ8-'Grid_Requirement'!CA8+'Grid_TTAFOutgoing'!CA8))</f>
        <v/>
      </c>
      <c r="CB8">
        <f>IF(COUNTIFS(T_StockCount[Part Name],$A8,T_StockCount[WeekIndex],79)&gt;0,SUMIFS(T_StockCount[CountedQty],T_StockCount[Part Name],$A8,T_StockCount[WeekIndex],79),IF(('T_SelfStock'!CB12&lt;&gt;""),'T_SelfStock'!CB12,CA8-'Grid_Requirement'!CB8+'Grid_TTAFOutgoing'!CB8))</f>
        <v/>
      </c>
      <c r="CC8">
        <f>IF(COUNTIFS(T_StockCount[Part Name],$A8,T_StockCount[WeekIndex],80)&gt;0,SUMIFS(T_StockCount[CountedQty],T_StockCount[Part Name],$A8,T_StockCount[WeekIndex],80),IF(('T_SelfStock'!CC12&lt;&gt;""),'T_SelfStock'!CC12,CB8-'Grid_Requirement'!CC8+'Grid_TTAFOutgoing'!CC8))</f>
        <v/>
      </c>
      <c r="CD8">
        <f>IF(COUNTIFS(T_StockCount[Part Name],$A8,T_StockCount[WeekIndex],81)&gt;0,SUMIFS(T_StockCount[CountedQty],T_StockCount[Part Name],$A8,T_StockCount[WeekIndex],81),IF(('T_SelfStock'!CD12&lt;&gt;""),'T_SelfStock'!CD12,CC8-'Grid_Requirement'!CD8+'Grid_TTAFOutgoing'!CD8))</f>
        <v/>
      </c>
      <c r="CE8">
        <f>IF(COUNTIFS(T_StockCount[Part Name],$A8,T_StockCount[WeekIndex],82)&gt;0,SUMIFS(T_StockCount[CountedQty],T_StockCount[Part Name],$A8,T_StockCount[WeekIndex],82),IF(('T_SelfStock'!CE12&lt;&gt;""),'T_SelfStock'!CE12,CD8-'Grid_Requirement'!CE8+'Grid_TTAFOutgoing'!CE8))</f>
        <v/>
      </c>
      <c r="CF8">
        <f>IF(COUNTIFS(T_StockCount[Part Name],$A8,T_StockCount[WeekIndex],83)&gt;0,SUMIFS(T_StockCount[CountedQty],T_StockCount[Part Name],$A8,T_StockCount[WeekIndex],83),IF(('T_SelfStock'!CF12&lt;&gt;""),'T_SelfStock'!CF12,CE8-'Grid_Requirement'!CF8+'Grid_TTAFOutgoing'!CF8))</f>
        <v/>
      </c>
      <c r="CG8">
        <f>IF(COUNTIFS(T_StockCount[Part Name],$A8,T_StockCount[WeekIndex],84)&gt;0,SUMIFS(T_StockCount[CountedQty],T_StockCount[Part Name],$A8,T_StockCount[WeekIndex],84),IF(('T_SelfStock'!CG12&lt;&gt;""),'T_SelfStock'!CG12,CF8-'Grid_Requirement'!CG8+'Grid_TTAFOutgoing'!CG8))</f>
        <v/>
      </c>
      <c r="CH8">
        <f>IF(COUNTIFS(T_StockCount[Part Name],$A8,T_StockCount[WeekIndex],85)&gt;0,SUMIFS(T_StockCount[CountedQty],T_StockCount[Part Name],$A8,T_StockCount[WeekIndex],85),IF(('T_SelfStock'!CH12&lt;&gt;""),'T_SelfStock'!CH12,CG8-'Grid_Requirement'!CH8+'Grid_TTAFOutgoing'!CH8))</f>
        <v/>
      </c>
      <c r="CI8">
        <f>IF(COUNTIFS(T_StockCount[Part Name],$A8,T_StockCount[WeekIndex],86)&gt;0,SUMIFS(T_StockCount[CountedQty],T_StockCount[Part Name],$A8,T_StockCount[WeekIndex],86),IF(('T_SelfStock'!CI12&lt;&gt;""),'T_SelfStock'!CI12,CH8-'Grid_Requirement'!CI8+'Grid_TTAFOutgoing'!CI8))</f>
        <v/>
      </c>
      <c r="CJ8">
        <f>IF(COUNTIFS(T_StockCount[Part Name],$A8,T_StockCount[WeekIndex],87)&gt;0,SUMIFS(T_StockCount[CountedQty],T_StockCount[Part Name],$A8,T_StockCount[WeekIndex],87),IF(('T_SelfStock'!CJ12&lt;&gt;""),'T_SelfStock'!CJ12,CI8-'Grid_Requirement'!CJ8+'Grid_TTAFOutgoing'!CJ8))</f>
        <v/>
      </c>
      <c r="CK8">
        <f>IF(COUNTIFS(T_StockCount[Part Name],$A8,T_StockCount[WeekIndex],88)&gt;0,SUMIFS(T_StockCount[CountedQty],T_StockCount[Part Name],$A8,T_StockCount[WeekIndex],88),IF(('T_SelfStock'!CK12&lt;&gt;""),'T_SelfStock'!CK12,CJ8-'Grid_Requirement'!CK8+'Grid_TTAFOutgoing'!CK8))</f>
        <v/>
      </c>
      <c r="CL8">
        <f>IF(COUNTIFS(T_StockCount[Part Name],$A8,T_StockCount[WeekIndex],89)&gt;0,SUMIFS(T_StockCount[CountedQty],T_StockCount[Part Name],$A8,T_StockCount[WeekIndex],89),IF(('T_SelfStock'!CL12&lt;&gt;""),'T_SelfStock'!CL12,CK8-'Grid_Requirement'!CL8+'Grid_TTAFOutgoing'!CL8))</f>
        <v/>
      </c>
      <c r="CM8">
        <f>IF(COUNTIFS(T_StockCount[Part Name],$A8,T_StockCount[WeekIndex],90)&gt;0,SUMIFS(T_StockCount[CountedQty],T_StockCount[Part Name],$A8,T_StockCount[WeekIndex],90),IF(('T_SelfStock'!CM12&lt;&gt;""),'T_SelfStock'!CM12,CL8-'Grid_Requirement'!CM8+'Grid_TTAFOutgoing'!CM8))</f>
        <v/>
      </c>
      <c r="CN8">
        <f>IF(COUNTIFS(T_StockCount[Part Name],$A8,T_StockCount[WeekIndex],91)&gt;0,SUMIFS(T_StockCount[CountedQty],T_StockCount[Part Name],$A8,T_StockCount[WeekIndex],91),IF(('T_SelfStock'!CN12&lt;&gt;""),'T_SelfStock'!CN12,CM8-'Grid_Requirement'!CN8+'Grid_TTAFOutgoing'!CN8))</f>
        <v/>
      </c>
      <c r="CO8">
        <f>IF(COUNTIFS(T_StockCount[Part Name],$A8,T_StockCount[WeekIndex],92)&gt;0,SUMIFS(T_StockCount[CountedQty],T_StockCount[Part Name],$A8,T_StockCount[WeekIndex],92),IF(('T_SelfStock'!CO12&lt;&gt;""),'T_SelfStock'!CO12,CN8-'Grid_Requirement'!CO8+'Grid_TTAFOutgoing'!CO8))</f>
        <v/>
      </c>
      <c r="CP8">
        <f>IF(COUNTIFS(T_StockCount[Part Name],$A8,T_StockCount[WeekIndex],93)&gt;0,SUMIFS(T_StockCount[CountedQty],T_StockCount[Part Name],$A8,T_StockCount[WeekIndex],93),IF(('T_SelfStock'!CP12&lt;&gt;""),'T_SelfStock'!CP12,CO8-'Grid_Requirement'!CP8+'Grid_TTAFOutgoing'!CP8))</f>
        <v/>
      </c>
      <c r="CQ8">
        <f>IF(COUNTIFS(T_StockCount[Part Name],$A8,T_StockCount[WeekIndex],94)&gt;0,SUMIFS(T_StockCount[CountedQty],T_StockCount[Part Name],$A8,T_StockCount[WeekIndex],94),IF(('T_SelfStock'!CQ12&lt;&gt;""),'T_SelfStock'!CQ12,CP8-'Grid_Requirement'!CQ8+'Grid_TTAFOutgoing'!CQ8))</f>
        <v/>
      </c>
      <c r="CR8">
        <f>IF(COUNTIFS(T_StockCount[Part Name],$A8,T_StockCount[WeekIndex],95)&gt;0,SUMIFS(T_StockCount[CountedQty],T_StockCount[Part Name],$A8,T_StockCount[WeekIndex],95),IF(('T_SelfStock'!CR12&lt;&gt;""),'T_SelfStock'!CR12,CQ8-'Grid_Requirement'!CR8+'Grid_TTAFOutgoing'!CR8))</f>
        <v/>
      </c>
      <c r="CS8">
        <f>IF(COUNTIFS(T_StockCount[Part Name],$A8,T_StockCount[WeekIndex],96)&gt;0,SUMIFS(T_StockCount[CountedQty],T_StockCount[Part Name],$A8,T_StockCount[WeekIndex],96),IF(('T_SelfStock'!CS12&lt;&gt;""),'T_SelfStock'!CS12,CR8-'Grid_Requirement'!CS8+'Grid_TTAFOutgoing'!CS8))</f>
        <v/>
      </c>
      <c r="CT8">
        <f>IF(COUNTIFS(T_StockCount[Part Name],$A8,T_StockCount[WeekIndex],97)&gt;0,SUMIFS(T_StockCount[CountedQty],T_StockCount[Part Name],$A8,T_StockCount[WeekIndex],97),IF(('T_SelfStock'!CT12&lt;&gt;""),'T_SelfStock'!CT12,CS8-'Grid_Requirement'!CT8+'Grid_TTAFOutgoing'!CT8))</f>
        <v/>
      </c>
      <c r="CU8">
        <f>IF(COUNTIFS(T_StockCount[Part Name],$A8,T_StockCount[WeekIndex],98)&gt;0,SUMIFS(T_StockCount[CountedQty],T_StockCount[Part Name],$A8,T_StockCount[WeekIndex],98),IF(('T_SelfStock'!CU12&lt;&gt;""),'T_SelfStock'!CU12,CT8-'Grid_Requirement'!CU8+'Grid_TTAFOutgoing'!CU8))</f>
        <v/>
      </c>
      <c r="CV8">
        <f>IF(COUNTIFS(T_StockCount[Part Name],$A8,T_StockCount[WeekIndex],99)&gt;0,SUMIFS(T_StockCount[CountedQty],T_StockCount[Part Name],$A8,T_StockCount[WeekIndex],99),IF(('T_SelfStock'!CV12&lt;&gt;""),'T_SelfStock'!CV12,CU8-'Grid_Requirement'!CV8+'Grid_TTAFOutgoing'!CV8))</f>
        <v/>
      </c>
      <c r="CW8">
        <f>IF(COUNTIFS(T_StockCount[Part Name],$A8,T_StockCount[WeekIndex],100)&gt;0,SUMIFS(T_StockCount[CountedQty],T_StockCount[Part Name],$A8,T_StockCount[WeekIndex],100),IF(('T_SelfStock'!CW12&lt;&gt;""),'T_SelfStock'!CW12,CV8-'Grid_Requirement'!CW8+'Grid_TTAFOutgoing'!CW8))</f>
        <v/>
      </c>
      <c r="CX8">
        <f>IF(COUNTIFS(T_StockCount[Part Name],$A8,T_StockCount[WeekIndex],101)&gt;0,SUMIFS(T_StockCount[CountedQty],T_StockCount[Part Name],$A8,T_StockCount[WeekIndex],101),IF(('T_SelfStock'!CX12&lt;&gt;""),'T_SelfStock'!CX12,CW8-'Grid_Requirement'!CX8+'Grid_TTAFOutgoing'!CX8))</f>
        <v/>
      </c>
      <c r="CY8">
        <f>IF(COUNTIFS(T_StockCount[Part Name],$A8,T_StockCount[WeekIndex],102)&gt;0,SUMIFS(T_StockCount[CountedQty],T_StockCount[Part Name],$A8,T_StockCount[WeekIndex],102),IF(('T_SelfStock'!CY12&lt;&gt;""),'T_SelfStock'!CY12,CX8-'Grid_Requirement'!CY8+'Grid_TTAFOutgoing'!CY8))</f>
        <v/>
      </c>
      <c r="CZ8">
        <f>IF(COUNTIFS(T_StockCount[Part Name],$A8,T_StockCount[WeekIndex],103)&gt;0,SUMIFS(T_StockCount[CountedQty],T_StockCount[Part Name],$A8,T_StockCount[WeekIndex],103),IF(('T_SelfStock'!CZ12&lt;&gt;""),'T_SelfStock'!CZ12,CY8-'Grid_Requirement'!CZ8+'Grid_TTAFOutgoing'!CZ8))</f>
        <v/>
      </c>
      <c r="DA8">
        <f>IF(COUNTIFS(T_StockCount[Part Name],$A8,T_StockCount[WeekIndex],104)&gt;0,SUMIFS(T_StockCount[CountedQty],T_StockCount[Part Name],$A8,T_StockCount[WeekIndex],104),IF(('T_SelfStock'!DA12&lt;&gt;""),'T_SelfStock'!DA12,CZ8-'Grid_Requirement'!DA8+'Grid_TTAFOutgoing'!DA8))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Name],$A9,T_StockCount[WeekIndex],1),IF(('T_SelfStock'!B13&lt;&gt;""),'T_SelfStock'!B13,IFERROR(INDEX(T_OpeningStock[Opening_Qty],MATCH($A9,T_OpeningStock[Part Name],0)),0)-'Grid_Requirement'!B9+'Grid_TTAFOutgoing'!B9))</f>
        <v/>
      </c>
      <c r="C9">
        <f>IF(COUNTIFS(T_StockCount[Part Name],$A9,T_StockCount[WeekIndex],2)&gt;0,SUMIFS(T_StockCount[CountedQty],T_StockCount[Part Name],$A9,T_StockCount[WeekIndex],2),IF(('T_SelfStock'!C13&lt;&gt;""),'T_SelfStock'!C13,B9-'Grid_Requirement'!C9+'Grid_TTAFOutgoing'!C9))</f>
        <v/>
      </c>
      <c r="D9">
        <f>IF(COUNTIFS(T_StockCount[Part Name],$A9,T_StockCount[WeekIndex],3)&gt;0,SUMIFS(T_StockCount[CountedQty],T_StockCount[Part Name],$A9,T_StockCount[WeekIndex],3),IF(('T_SelfStock'!D13&lt;&gt;""),'T_SelfStock'!D13,C9-'Grid_Requirement'!D9+'Grid_TTAFOutgoing'!D9))</f>
        <v/>
      </c>
      <c r="E9">
        <f>IF(COUNTIFS(T_StockCount[Part Name],$A9,T_StockCount[WeekIndex],4)&gt;0,SUMIFS(T_StockCount[CountedQty],T_StockCount[Part Name],$A9,T_StockCount[WeekIndex],4),IF(('T_SelfStock'!E13&lt;&gt;""),'T_SelfStock'!E13,D9-'Grid_Requirement'!E9+'Grid_TTAFOutgoing'!E9))</f>
        <v/>
      </c>
      <c r="F9">
        <f>IF(COUNTIFS(T_StockCount[Part Name],$A9,T_StockCount[WeekIndex],5)&gt;0,SUMIFS(T_StockCount[CountedQty],T_StockCount[Part Name],$A9,T_StockCount[WeekIndex],5),IF(('T_SelfStock'!F13&lt;&gt;""),'T_SelfStock'!F13,E9-'Grid_Requirement'!F9+'Grid_TTAFOutgoing'!F9))</f>
        <v/>
      </c>
      <c r="G9">
        <f>IF(COUNTIFS(T_StockCount[Part Name],$A9,T_StockCount[WeekIndex],6)&gt;0,SUMIFS(T_StockCount[CountedQty],T_StockCount[Part Name],$A9,T_StockCount[WeekIndex],6),IF(('T_SelfStock'!G13&lt;&gt;""),'T_SelfStock'!G13,F9-'Grid_Requirement'!G9+'Grid_TTAFOutgoing'!G9))</f>
        <v/>
      </c>
      <c r="H9">
        <f>IF(COUNTIFS(T_StockCount[Part Name],$A9,T_StockCount[WeekIndex],7)&gt;0,SUMIFS(T_StockCount[CountedQty],T_StockCount[Part Name],$A9,T_StockCount[WeekIndex],7),IF(('T_SelfStock'!H13&lt;&gt;""),'T_SelfStock'!H13,G9-'Grid_Requirement'!H9+'Grid_TTAFOutgoing'!H9))</f>
        <v/>
      </c>
      <c r="I9">
        <f>IF(COUNTIFS(T_StockCount[Part Name],$A9,T_StockCount[WeekIndex],8)&gt;0,SUMIFS(T_StockCount[CountedQty],T_StockCount[Part Name],$A9,T_StockCount[WeekIndex],8),IF(('T_SelfStock'!I13&lt;&gt;""),'T_SelfStock'!I13,H9-'Grid_Requirement'!I9+'Grid_TTAFOutgoing'!I9))</f>
        <v/>
      </c>
      <c r="J9">
        <f>IF(COUNTIFS(T_StockCount[Part Name],$A9,T_StockCount[WeekIndex],9)&gt;0,SUMIFS(T_StockCount[CountedQty],T_StockCount[Part Name],$A9,T_StockCount[WeekIndex],9),IF(('T_SelfStock'!J13&lt;&gt;""),'T_SelfStock'!J13,I9-'Grid_Requirement'!J9+'Grid_TTAFOutgoing'!J9))</f>
        <v/>
      </c>
      <c r="K9">
        <f>IF(COUNTIFS(T_StockCount[Part Name],$A9,T_StockCount[WeekIndex],10)&gt;0,SUMIFS(T_StockCount[CountedQty],T_StockCount[Part Name],$A9,T_StockCount[WeekIndex],10),IF(('T_SelfStock'!K13&lt;&gt;""),'T_SelfStock'!K13,J9-'Grid_Requirement'!K9+'Grid_TTAFOutgoing'!K9))</f>
        <v/>
      </c>
      <c r="L9">
        <f>IF(COUNTIFS(T_StockCount[Part Name],$A9,T_StockCount[WeekIndex],11)&gt;0,SUMIFS(T_StockCount[CountedQty],T_StockCount[Part Name],$A9,T_StockCount[WeekIndex],11),IF(('T_SelfStock'!L13&lt;&gt;""),'T_SelfStock'!L13,K9-'Grid_Requirement'!L9+'Grid_TTAFOutgoing'!L9))</f>
        <v/>
      </c>
      <c r="M9">
        <f>IF(COUNTIFS(T_StockCount[Part Name],$A9,T_StockCount[WeekIndex],12)&gt;0,SUMIFS(T_StockCount[CountedQty],T_StockCount[Part Name],$A9,T_StockCount[WeekIndex],12),IF(('T_SelfStock'!M13&lt;&gt;""),'T_SelfStock'!M13,L9-'Grid_Requirement'!M9+'Grid_TTAFOutgoing'!M9))</f>
        <v/>
      </c>
      <c r="N9">
        <f>IF(COUNTIFS(T_StockCount[Part Name],$A9,T_StockCount[WeekIndex],13)&gt;0,SUMIFS(T_StockCount[CountedQty],T_StockCount[Part Name],$A9,T_StockCount[WeekIndex],13),IF(('T_SelfStock'!N13&lt;&gt;""),'T_SelfStock'!N13,M9-'Grid_Requirement'!N9+'Grid_TTAFOutgoing'!N9))</f>
        <v/>
      </c>
      <c r="O9">
        <f>IF(COUNTIFS(T_StockCount[Part Name],$A9,T_StockCount[WeekIndex],14)&gt;0,SUMIFS(T_StockCount[CountedQty],T_StockCount[Part Name],$A9,T_StockCount[WeekIndex],14),IF(('T_SelfStock'!O13&lt;&gt;""),'T_SelfStock'!O13,N9-'Grid_Requirement'!O9+'Grid_TTAFOutgoing'!O9))</f>
        <v/>
      </c>
      <c r="P9">
        <f>IF(COUNTIFS(T_StockCount[Part Name],$A9,T_StockCount[WeekIndex],15)&gt;0,SUMIFS(T_StockCount[CountedQty],T_StockCount[Part Name],$A9,T_StockCount[WeekIndex],15),IF(('T_SelfStock'!P13&lt;&gt;""),'T_SelfStock'!P13,O9-'Grid_Requirement'!P9+'Grid_TTAFOutgoing'!P9))</f>
        <v/>
      </c>
      <c r="Q9">
        <f>IF(COUNTIFS(T_StockCount[Part Name],$A9,T_StockCount[WeekIndex],16)&gt;0,SUMIFS(T_StockCount[CountedQty],T_StockCount[Part Name],$A9,T_StockCount[WeekIndex],16),IF(('T_SelfStock'!Q13&lt;&gt;""),'T_SelfStock'!Q13,P9-'Grid_Requirement'!Q9+'Grid_TTAFOutgoing'!Q9))</f>
        <v/>
      </c>
      <c r="R9">
        <f>IF(COUNTIFS(T_StockCount[Part Name],$A9,T_StockCount[WeekIndex],17)&gt;0,SUMIFS(T_StockCount[CountedQty],T_StockCount[Part Name],$A9,T_StockCount[WeekIndex],17),IF(('T_SelfStock'!R13&lt;&gt;""),'T_SelfStock'!R13,Q9-'Grid_Requirement'!R9+'Grid_TTAFOutgoing'!R9))</f>
        <v/>
      </c>
      <c r="S9">
        <f>IF(COUNTIFS(T_StockCount[Part Name],$A9,T_StockCount[WeekIndex],18)&gt;0,SUMIFS(T_StockCount[CountedQty],T_StockCount[Part Name],$A9,T_StockCount[WeekIndex],18),IF(('T_SelfStock'!S13&lt;&gt;""),'T_SelfStock'!S13,R9-'Grid_Requirement'!S9+'Grid_TTAFOutgoing'!S9))</f>
        <v/>
      </c>
      <c r="T9">
        <f>IF(COUNTIFS(T_StockCount[Part Name],$A9,T_StockCount[WeekIndex],19)&gt;0,SUMIFS(T_StockCount[CountedQty],T_StockCount[Part Name],$A9,T_StockCount[WeekIndex],19),IF(('T_SelfStock'!T13&lt;&gt;""),'T_SelfStock'!T13,S9-'Grid_Requirement'!T9+'Grid_TTAFOutgoing'!T9))</f>
        <v/>
      </c>
      <c r="U9">
        <f>IF(COUNTIFS(T_StockCount[Part Name],$A9,T_StockCount[WeekIndex],20)&gt;0,SUMIFS(T_StockCount[CountedQty],T_StockCount[Part Name],$A9,T_StockCount[WeekIndex],20),IF(('T_SelfStock'!U13&lt;&gt;""),'T_SelfStock'!U13,T9-'Grid_Requirement'!U9+'Grid_TTAFOutgoing'!U9))</f>
        <v/>
      </c>
      <c r="V9">
        <f>IF(COUNTIFS(T_StockCount[Part Name],$A9,T_StockCount[WeekIndex],21)&gt;0,SUMIFS(T_StockCount[CountedQty],T_StockCount[Part Name],$A9,T_StockCount[WeekIndex],21),IF(('T_SelfStock'!V13&lt;&gt;""),'T_SelfStock'!V13,U9-'Grid_Requirement'!V9+'Grid_TTAFOutgoing'!V9))</f>
        <v/>
      </c>
      <c r="W9">
        <f>IF(COUNTIFS(T_StockCount[Part Name],$A9,T_StockCount[WeekIndex],22)&gt;0,SUMIFS(T_StockCount[CountedQty],T_StockCount[Part Name],$A9,T_StockCount[WeekIndex],22),IF(('T_SelfStock'!W13&lt;&gt;""),'T_SelfStock'!W13,V9-'Grid_Requirement'!W9+'Grid_TTAFOutgoing'!W9))</f>
        <v/>
      </c>
      <c r="X9">
        <f>IF(COUNTIFS(T_StockCount[Part Name],$A9,T_StockCount[WeekIndex],23)&gt;0,SUMIFS(T_StockCount[CountedQty],T_StockCount[Part Name],$A9,T_StockCount[WeekIndex],23),IF(('T_SelfStock'!X13&lt;&gt;""),'T_SelfStock'!X13,W9-'Grid_Requirement'!X9+'Grid_TTAFOutgoing'!X9))</f>
        <v/>
      </c>
      <c r="Y9">
        <f>IF(COUNTIFS(T_StockCount[Part Name],$A9,T_StockCount[WeekIndex],24)&gt;0,SUMIFS(T_StockCount[CountedQty],T_StockCount[Part Name],$A9,T_StockCount[WeekIndex],24),IF(('T_SelfStock'!Y13&lt;&gt;""),'T_SelfStock'!Y13,X9-'Grid_Requirement'!Y9+'Grid_TTAFOutgoing'!Y9))</f>
        <v/>
      </c>
      <c r="Z9">
        <f>IF(COUNTIFS(T_StockCount[Part Name],$A9,T_StockCount[WeekIndex],25)&gt;0,SUMIFS(T_StockCount[CountedQty],T_StockCount[Part Name],$A9,T_StockCount[WeekIndex],25),IF(('T_SelfStock'!Z13&lt;&gt;""),'T_SelfStock'!Z13,Y9-'Grid_Requirement'!Z9+'Grid_TTAFOutgoing'!Z9))</f>
        <v/>
      </c>
      <c r="AA9">
        <f>IF(COUNTIFS(T_StockCount[Part Name],$A9,T_StockCount[WeekIndex],26)&gt;0,SUMIFS(T_StockCount[CountedQty],T_StockCount[Part Name],$A9,T_StockCount[WeekIndex],26),IF(('T_SelfStock'!AA13&lt;&gt;""),'T_SelfStock'!AA13,Z9-'Grid_Requirement'!AA9+'Grid_TTAFOutgoing'!AA9))</f>
        <v/>
      </c>
      <c r="AB9">
        <f>IF(COUNTIFS(T_StockCount[Part Name],$A9,T_StockCount[WeekIndex],27)&gt;0,SUMIFS(T_StockCount[CountedQty],T_StockCount[Part Name],$A9,T_StockCount[WeekIndex],27),IF(('T_SelfStock'!AB13&lt;&gt;""),'T_SelfStock'!AB13,AA9-'Grid_Requirement'!AB9+'Grid_TTAFOutgoing'!AB9))</f>
        <v/>
      </c>
      <c r="AC9">
        <f>IF(COUNTIFS(T_StockCount[Part Name],$A9,T_StockCount[WeekIndex],28)&gt;0,SUMIFS(T_StockCount[CountedQty],T_StockCount[Part Name],$A9,T_StockCount[WeekIndex],28),IF(('T_SelfStock'!AC13&lt;&gt;""),'T_SelfStock'!AC13,AB9-'Grid_Requirement'!AC9+'Grid_TTAFOutgoing'!AC9))</f>
        <v/>
      </c>
      <c r="AD9">
        <f>IF(COUNTIFS(T_StockCount[Part Name],$A9,T_StockCount[WeekIndex],29)&gt;0,SUMIFS(T_StockCount[CountedQty],T_StockCount[Part Name],$A9,T_StockCount[WeekIndex],29),IF(('T_SelfStock'!AD13&lt;&gt;""),'T_SelfStock'!AD13,AC9-'Grid_Requirement'!AD9+'Grid_TTAFOutgoing'!AD9))</f>
        <v/>
      </c>
      <c r="AE9">
        <f>IF(COUNTIFS(T_StockCount[Part Name],$A9,T_StockCount[WeekIndex],30)&gt;0,SUMIFS(T_StockCount[CountedQty],T_StockCount[Part Name],$A9,T_StockCount[WeekIndex],30),IF(('T_SelfStock'!AE13&lt;&gt;""),'T_SelfStock'!AE13,AD9-'Grid_Requirement'!AE9+'Grid_TTAFOutgoing'!AE9))</f>
        <v/>
      </c>
      <c r="AF9">
        <f>IF(COUNTIFS(T_StockCount[Part Name],$A9,T_StockCount[WeekIndex],31)&gt;0,SUMIFS(T_StockCount[CountedQty],T_StockCount[Part Name],$A9,T_StockCount[WeekIndex],31),IF(('T_SelfStock'!AF13&lt;&gt;""),'T_SelfStock'!AF13,AE9-'Grid_Requirement'!AF9+'Grid_TTAFOutgoing'!AF9))</f>
        <v/>
      </c>
      <c r="AG9">
        <f>IF(COUNTIFS(T_StockCount[Part Name],$A9,T_StockCount[WeekIndex],32)&gt;0,SUMIFS(T_StockCount[CountedQty],T_StockCount[Part Name],$A9,T_StockCount[WeekIndex],32),IF(('T_SelfStock'!AG13&lt;&gt;""),'T_SelfStock'!AG13,AF9-'Grid_Requirement'!AG9+'Grid_TTAFOutgoing'!AG9))</f>
        <v/>
      </c>
      <c r="AH9">
        <f>IF(COUNTIFS(T_StockCount[Part Name],$A9,T_StockCount[WeekIndex],33)&gt;0,SUMIFS(T_StockCount[CountedQty],T_StockCount[Part Name],$A9,T_StockCount[WeekIndex],33),IF(('T_SelfStock'!AH13&lt;&gt;""),'T_SelfStock'!AH13,AG9-'Grid_Requirement'!AH9+'Grid_TTAFOutgoing'!AH9))</f>
        <v/>
      </c>
      <c r="AI9">
        <f>IF(COUNTIFS(T_StockCount[Part Name],$A9,T_StockCount[WeekIndex],34)&gt;0,SUMIFS(T_StockCount[CountedQty],T_StockCount[Part Name],$A9,T_StockCount[WeekIndex],34),IF(('T_SelfStock'!AI13&lt;&gt;""),'T_SelfStock'!AI13,AH9-'Grid_Requirement'!AI9+'Grid_TTAFOutgoing'!AI9))</f>
        <v/>
      </c>
      <c r="AJ9">
        <f>IF(COUNTIFS(T_StockCount[Part Name],$A9,T_StockCount[WeekIndex],35)&gt;0,SUMIFS(T_StockCount[CountedQty],T_StockCount[Part Name],$A9,T_StockCount[WeekIndex],35),IF(('T_SelfStock'!AJ13&lt;&gt;""),'T_SelfStock'!AJ13,AI9-'Grid_Requirement'!AJ9+'Grid_TTAFOutgoing'!AJ9))</f>
        <v/>
      </c>
      <c r="AK9">
        <f>IF(COUNTIFS(T_StockCount[Part Name],$A9,T_StockCount[WeekIndex],36)&gt;0,SUMIFS(T_StockCount[CountedQty],T_StockCount[Part Name],$A9,T_StockCount[WeekIndex],36),IF(('T_SelfStock'!AK13&lt;&gt;""),'T_SelfStock'!AK13,AJ9-'Grid_Requirement'!AK9+'Grid_TTAFOutgoing'!AK9))</f>
        <v/>
      </c>
      <c r="AL9">
        <f>IF(COUNTIFS(T_StockCount[Part Name],$A9,T_StockCount[WeekIndex],37)&gt;0,SUMIFS(T_StockCount[CountedQty],T_StockCount[Part Name],$A9,T_StockCount[WeekIndex],37),IF(('T_SelfStock'!AL13&lt;&gt;""),'T_SelfStock'!AL13,AK9-'Grid_Requirement'!AL9+'Grid_TTAFOutgoing'!AL9))</f>
        <v/>
      </c>
      <c r="AM9">
        <f>IF(COUNTIFS(T_StockCount[Part Name],$A9,T_StockCount[WeekIndex],38)&gt;0,SUMIFS(T_StockCount[CountedQty],T_StockCount[Part Name],$A9,T_StockCount[WeekIndex],38),IF(('T_SelfStock'!AM13&lt;&gt;""),'T_SelfStock'!AM13,AL9-'Grid_Requirement'!AM9+'Grid_TTAFOutgoing'!AM9))</f>
        <v/>
      </c>
      <c r="AN9">
        <f>IF(COUNTIFS(T_StockCount[Part Name],$A9,T_StockCount[WeekIndex],39)&gt;0,SUMIFS(T_StockCount[CountedQty],T_StockCount[Part Name],$A9,T_StockCount[WeekIndex],39),IF(('T_SelfStock'!AN13&lt;&gt;""),'T_SelfStock'!AN13,AM9-'Grid_Requirement'!AN9+'Grid_TTAFOutgoing'!AN9))</f>
        <v/>
      </c>
      <c r="AO9">
        <f>IF(COUNTIFS(T_StockCount[Part Name],$A9,T_StockCount[WeekIndex],40)&gt;0,SUMIFS(T_StockCount[CountedQty],T_StockCount[Part Name],$A9,T_StockCount[WeekIndex],40),IF(('T_SelfStock'!AO13&lt;&gt;""),'T_SelfStock'!AO13,AN9-'Grid_Requirement'!AO9+'Grid_TTAFOutgoing'!AO9))</f>
        <v/>
      </c>
      <c r="AP9">
        <f>IF(COUNTIFS(T_StockCount[Part Name],$A9,T_StockCount[WeekIndex],41)&gt;0,SUMIFS(T_StockCount[CountedQty],T_StockCount[Part Name],$A9,T_StockCount[WeekIndex],41),IF(('T_SelfStock'!AP13&lt;&gt;""),'T_SelfStock'!AP13,AO9-'Grid_Requirement'!AP9+'Grid_TTAFOutgoing'!AP9))</f>
        <v/>
      </c>
      <c r="AQ9">
        <f>IF(COUNTIFS(T_StockCount[Part Name],$A9,T_StockCount[WeekIndex],42)&gt;0,SUMIFS(T_StockCount[CountedQty],T_StockCount[Part Name],$A9,T_StockCount[WeekIndex],42),IF(('T_SelfStock'!AQ13&lt;&gt;""),'T_SelfStock'!AQ13,AP9-'Grid_Requirement'!AQ9+'Grid_TTAFOutgoing'!AQ9))</f>
        <v/>
      </c>
      <c r="AR9">
        <f>IF(COUNTIFS(T_StockCount[Part Name],$A9,T_StockCount[WeekIndex],43)&gt;0,SUMIFS(T_StockCount[CountedQty],T_StockCount[Part Name],$A9,T_StockCount[WeekIndex],43),IF(('T_SelfStock'!AR13&lt;&gt;""),'T_SelfStock'!AR13,AQ9-'Grid_Requirement'!AR9+'Grid_TTAFOutgoing'!AR9))</f>
        <v/>
      </c>
      <c r="AS9">
        <f>IF(COUNTIFS(T_StockCount[Part Name],$A9,T_StockCount[WeekIndex],44)&gt;0,SUMIFS(T_StockCount[CountedQty],T_StockCount[Part Name],$A9,T_StockCount[WeekIndex],44),IF(('T_SelfStock'!AS13&lt;&gt;""),'T_SelfStock'!AS13,AR9-'Grid_Requirement'!AS9+'Grid_TTAFOutgoing'!AS9))</f>
        <v/>
      </c>
      <c r="AT9">
        <f>IF(COUNTIFS(T_StockCount[Part Name],$A9,T_StockCount[WeekIndex],45)&gt;0,SUMIFS(T_StockCount[CountedQty],T_StockCount[Part Name],$A9,T_StockCount[WeekIndex],45),IF(('T_SelfStock'!AT13&lt;&gt;""),'T_SelfStock'!AT13,AS9-'Grid_Requirement'!AT9+'Grid_TTAFOutgoing'!AT9))</f>
        <v/>
      </c>
      <c r="AU9">
        <f>IF(COUNTIFS(T_StockCount[Part Name],$A9,T_StockCount[WeekIndex],46)&gt;0,SUMIFS(T_StockCount[CountedQty],T_StockCount[Part Name],$A9,T_StockCount[WeekIndex],46),IF(('T_SelfStock'!AU13&lt;&gt;""),'T_SelfStock'!AU13,AT9-'Grid_Requirement'!AU9+'Grid_TTAFOutgoing'!AU9))</f>
        <v/>
      </c>
      <c r="AV9">
        <f>IF(COUNTIFS(T_StockCount[Part Name],$A9,T_StockCount[WeekIndex],47)&gt;0,SUMIFS(T_StockCount[CountedQty],T_StockCount[Part Name],$A9,T_StockCount[WeekIndex],47),IF(('T_SelfStock'!AV13&lt;&gt;""),'T_SelfStock'!AV13,AU9-'Grid_Requirement'!AV9+'Grid_TTAFOutgoing'!AV9))</f>
        <v/>
      </c>
      <c r="AW9">
        <f>IF(COUNTIFS(T_StockCount[Part Name],$A9,T_StockCount[WeekIndex],48)&gt;0,SUMIFS(T_StockCount[CountedQty],T_StockCount[Part Name],$A9,T_StockCount[WeekIndex],48),IF(('T_SelfStock'!AW13&lt;&gt;""),'T_SelfStock'!AW13,AV9-'Grid_Requirement'!AW9+'Grid_TTAFOutgoing'!AW9))</f>
        <v/>
      </c>
      <c r="AX9">
        <f>IF(COUNTIFS(T_StockCount[Part Name],$A9,T_StockCount[WeekIndex],49)&gt;0,SUMIFS(T_StockCount[CountedQty],T_StockCount[Part Name],$A9,T_StockCount[WeekIndex],49),IF(('T_SelfStock'!AX13&lt;&gt;""),'T_SelfStock'!AX13,AW9-'Grid_Requirement'!AX9+'Grid_TTAFOutgoing'!AX9))</f>
        <v/>
      </c>
      <c r="AY9">
        <f>IF(COUNTIFS(T_StockCount[Part Name],$A9,T_StockCount[WeekIndex],50)&gt;0,SUMIFS(T_StockCount[CountedQty],T_StockCount[Part Name],$A9,T_StockCount[WeekIndex],50),IF(('T_SelfStock'!AY13&lt;&gt;""),'T_SelfStock'!AY13,AX9-'Grid_Requirement'!AY9+'Grid_TTAFOutgoing'!AY9))</f>
        <v/>
      </c>
      <c r="AZ9">
        <f>IF(COUNTIFS(T_StockCount[Part Name],$A9,T_StockCount[WeekIndex],51)&gt;0,SUMIFS(T_StockCount[CountedQty],T_StockCount[Part Name],$A9,T_StockCount[WeekIndex],51),IF(('T_SelfStock'!AZ13&lt;&gt;""),'T_SelfStock'!AZ13,AY9-'Grid_Requirement'!AZ9+'Grid_TTAFOutgoing'!AZ9))</f>
        <v/>
      </c>
      <c r="BA9">
        <f>IF(COUNTIFS(T_StockCount[Part Name],$A9,T_StockCount[WeekIndex],52)&gt;0,SUMIFS(T_StockCount[CountedQty],T_StockCount[Part Name],$A9,T_StockCount[WeekIndex],52),IF(('T_SelfStock'!BA13&lt;&gt;""),'T_SelfStock'!BA13,AZ9-'Grid_Requirement'!BA9+'Grid_TTAFOutgoing'!BA9))</f>
        <v/>
      </c>
      <c r="BB9">
        <f>IF(COUNTIFS(T_StockCount[Part Name],$A9,T_StockCount[WeekIndex],53)&gt;0,SUMIFS(T_StockCount[CountedQty],T_StockCount[Part Name],$A9,T_StockCount[WeekIndex],53),IF(('T_SelfStock'!BB13&lt;&gt;""),'T_SelfStock'!BB13,BA9-'Grid_Requirement'!BB9+'Grid_TTAFOutgoing'!BB9))</f>
        <v/>
      </c>
      <c r="BC9">
        <f>IF(COUNTIFS(T_StockCount[Part Name],$A9,T_StockCount[WeekIndex],54)&gt;0,SUMIFS(T_StockCount[CountedQty],T_StockCount[Part Name],$A9,T_StockCount[WeekIndex],54),IF(('T_SelfStock'!BC13&lt;&gt;""),'T_SelfStock'!BC13,BB9-'Grid_Requirement'!BC9+'Grid_TTAFOutgoing'!BC9))</f>
        <v/>
      </c>
      <c r="BD9">
        <f>IF(COUNTIFS(T_StockCount[Part Name],$A9,T_StockCount[WeekIndex],55)&gt;0,SUMIFS(T_StockCount[CountedQty],T_StockCount[Part Name],$A9,T_StockCount[WeekIndex],55),IF(('T_SelfStock'!BD13&lt;&gt;""),'T_SelfStock'!BD13,BC9-'Grid_Requirement'!BD9+'Grid_TTAFOutgoing'!BD9))</f>
        <v/>
      </c>
      <c r="BE9">
        <f>IF(COUNTIFS(T_StockCount[Part Name],$A9,T_StockCount[WeekIndex],56)&gt;0,SUMIFS(T_StockCount[CountedQty],T_StockCount[Part Name],$A9,T_StockCount[WeekIndex],56),IF(('T_SelfStock'!BE13&lt;&gt;""),'T_SelfStock'!BE13,BD9-'Grid_Requirement'!BE9+'Grid_TTAFOutgoing'!BE9))</f>
        <v/>
      </c>
      <c r="BF9">
        <f>IF(COUNTIFS(T_StockCount[Part Name],$A9,T_StockCount[WeekIndex],57)&gt;0,SUMIFS(T_StockCount[CountedQty],T_StockCount[Part Name],$A9,T_StockCount[WeekIndex],57),IF(('T_SelfStock'!BF13&lt;&gt;""),'T_SelfStock'!BF13,BE9-'Grid_Requirement'!BF9+'Grid_TTAFOutgoing'!BF9))</f>
        <v/>
      </c>
      <c r="BG9">
        <f>IF(COUNTIFS(T_StockCount[Part Name],$A9,T_StockCount[WeekIndex],58)&gt;0,SUMIFS(T_StockCount[CountedQty],T_StockCount[Part Name],$A9,T_StockCount[WeekIndex],58),IF(('T_SelfStock'!BG13&lt;&gt;""),'T_SelfStock'!BG13,BF9-'Grid_Requirement'!BG9+'Grid_TTAFOutgoing'!BG9))</f>
        <v/>
      </c>
      <c r="BH9">
        <f>IF(COUNTIFS(T_StockCount[Part Name],$A9,T_StockCount[WeekIndex],59)&gt;0,SUMIFS(T_StockCount[CountedQty],T_StockCount[Part Name],$A9,T_StockCount[WeekIndex],59),IF(('T_SelfStock'!BH13&lt;&gt;""),'T_SelfStock'!BH13,BG9-'Grid_Requirement'!BH9+'Grid_TTAFOutgoing'!BH9))</f>
        <v/>
      </c>
      <c r="BI9">
        <f>IF(COUNTIFS(T_StockCount[Part Name],$A9,T_StockCount[WeekIndex],60)&gt;0,SUMIFS(T_StockCount[CountedQty],T_StockCount[Part Name],$A9,T_StockCount[WeekIndex],60),IF(('T_SelfStock'!BI13&lt;&gt;""),'T_SelfStock'!BI13,BH9-'Grid_Requirement'!BI9+'Grid_TTAFOutgoing'!BI9))</f>
        <v/>
      </c>
      <c r="BJ9">
        <f>IF(COUNTIFS(T_StockCount[Part Name],$A9,T_StockCount[WeekIndex],61)&gt;0,SUMIFS(T_StockCount[CountedQty],T_StockCount[Part Name],$A9,T_StockCount[WeekIndex],61),IF(('T_SelfStock'!BJ13&lt;&gt;""),'T_SelfStock'!BJ13,BI9-'Grid_Requirement'!BJ9+'Grid_TTAFOutgoing'!BJ9))</f>
        <v/>
      </c>
      <c r="BK9">
        <f>IF(COUNTIFS(T_StockCount[Part Name],$A9,T_StockCount[WeekIndex],62)&gt;0,SUMIFS(T_StockCount[CountedQty],T_StockCount[Part Name],$A9,T_StockCount[WeekIndex],62),IF(('T_SelfStock'!BK13&lt;&gt;""),'T_SelfStock'!BK13,BJ9-'Grid_Requirement'!BK9+'Grid_TTAFOutgoing'!BK9))</f>
        <v/>
      </c>
      <c r="BL9">
        <f>IF(COUNTIFS(T_StockCount[Part Name],$A9,T_StockCount[WeekIndex],63)&gt;0,SUMIFS(T_StockCount[CountedQty],T_StockCount[Part Name],$A9,T_StockCount[WeekIndex],63),IF(('T_SelfStock'!BL13&lt;&gt;""),'T_SelfStock'!BL13,BK9-'Grid_Requirement'!BL9+'Grid_TTAFOutgoing'!BL9))</f>
        <v/>
      </c>
      <c r="BM9">
        <f>IF(COUNTIFS(T_StockCount[Part Name],$A9,T_StockCount[WeekIndex],64)&gt;0,SUMIFS(T_StockCount[CountedQty],T_StockCount[Part Name],$A9,T_StockCount[WeekIndex],64),IF(('T_SelfStock'!BM13&lt;&gt;""),'T_SelfStock'!BM13,BL9-'Grid_Requirement'!BM9+'Grid_TTAFOutgoing'!BM9))</f>
        <v/>
      </c>
      <c r="BN9">
        <f>IF(COUNTIFS(T_StockCount[Part Name],$A9,T_StockCount[WeekIndex],65)&gt;0,SUMIFS(T_StockCount[CountedQty],T_StockCount[Part Name],$A9,T_StockCount[WeekIndex],65),IF(('T_SelfStock'!BN13&lt;&gt;""),'T_SelfStock'!BN13,BM9-'Grid_Requirement'!BN9+'Grid_TTAFOutgoing'!BN9))</f>
        <v/>
      </c>
      <c r="BO9">
        <f>IF(COUNTIFS(T_StockCount[Part Name],$A9,T_StockCount[WeekIndex],66)&gt;0,SUMIFS(T_StockCount[CountedQty],T_StockCount[Part Name],$A9,T_StockCount[WeekIndex],66),IF(('T_SelfStock'!BO13&lt;&gt;""),'T_SelfStock'!BO13,BN9-'Grid_Requirement'!BO9+'Grid_TTAFOutgoing'!BO9))</f>
        <v/>
      </c>
      <c r="BP9">
        <f>IF(COUNTIFS(T_StockCount[Part Name],$A9,T_StockCount[WeekIndex],67)&gt;0,SUMIFS(T_StockCount[CountedQty],T_StockCount[Part Name],$A9,T_StockCount[WeekIndex],67),IF(('T_SelfStock'!BP13&lt;&gt;""),'T_SelfStock'!BP13,BO9-'Grid_Requirement'!BP9+'Grid_TTAFOutgoing'!BP9))</f>
        <v/>
      </c>
      <c r="BQ9">
        <f>IF(COUNTIFS(T_StockCount[Part Name],$A9,T_StockCount[WeekIndex],68)&gt;0,SUMIFS(T_StockCount[CountedQty],T_StockCount[Part Name],$A9,T_StockCount[WeekIndex],68),IF(('T_SelfStock'!BQ13&lt;&gt;""),'T_SelfStock'!BQ13,BP9-'Grid_Requirement'!BQ9+'Grid_TTAFOutgoing'!BQ9))</f>
        <v/>
      </c>
      <c r="BR9">
        <f>IF(COUNTIFS(T_StockCount[Part Name],$A9,T_StockCount[WeekIndex],69)&gt;0,SUMIFS(T_StockCount[CountedQty],T_StockCount[Part Name],$A9,T_StockCount[WeekIndex],69),IF(('T_SelfStock'!BR13&lt;&gt;""),'T_SelfStock'!BR13,BQ9-'Grid_Requirement'!BR9+'Grid_TTAFOutgoing'!BR9))</f>
        <v/>
      </c>
      <c r="BS9">
        <f>IF(COUNTIFS(T_StockCount[Part Name],$A9,T_StockCount[WeekIndex],70)&gt;0,SUMIFS(T_StockCount[CountedQty],T_StockCount[Part Name],$A9,T_StockCount[WeekIndex],70),IF(('T_SelfStock'!BS13&lt;&gt;""),'T_SelfStock'!BS13,BR9-'Grid_Requirement'!BS9+'Grid_TTAFOutgoing'!BS9))</f>
        <v/>
      </c>
      <c r="BT9">
        <f>IF(COUNTIFS(T_StockCount[Part Name],$A9,T_StockCount[WeekIndex],71)&gt;0,SUMIFS(T_StockCount[CountedQty],T_StockCount[Part Name],$A9,T_StockCount[WeekIndex],71),IF(('T_SelfStock'!BT13&lt;&gt;""),'T_SelfStock'!BT13,BS9-'Grid_Requirement'!BT9+'Grid_TTAFOutgoing'!BT9))</f>
        <v/>
      </c>
      <c r="BU9">
        <f>IF(COUNTIFS(T_StockCount[Part Name],$A9,T_StockCount[WeekIndex],72)&gt;0,SUMIFS(T_StockCount[CountedQty],T_StockCount[Part Name],$A9,T_StockCount[WeekIndex],72),IF(('T_SelfStock'!BU13&lt;&gt;""),'T_SelfStock'!BU13,BT9-'Grid_Requirement'!BU9+'Grid_TTAFOutgoing'!BU9))</f>
        <v/>
      </c>
      <c r="BV9">
        <f>IF(COUNTIFS(T_StockCount[Part Name],$A9,T_StockCount[WeekIndex],73)&gt;0,SUMIFS(T_StockCount[CountedQty],T_StockCount[Part Name],$A9,T_StockCount[WeekIndex],73),IF(('T_SelfStock'!BV13&lt;&gt;""),'T_SelfStock'!BV13,BU9-'Grid_Requirement'!BV9+'Grid_TTAFOutgoing'!BV9))</f>
        <v/>
      </c>
      <c r="BW9">
        <f>IF(COUNTIFS(T_StockCount[Part Name],$A9,T_StockCount[WeekIndex],74)&gt;0,SUMIFS(T_StockCount[CountedQty],T_StockCount[Part Name],$A9,T_StockCount[WeekIndex],74),IF(('T_SelfStock'!BW13&lt;&gt;""),'T_SelfStock'!BW13,BV9-'Grid_Requirement'!BW9+'Grid_TTAFOutgoing'!BW9))</f>
        <v/>
      </c>
      <c r="BX9">
        <f>IF(COUNTIFS(T_StockCount[Part Name],$A9,T_StockCount[WeekIndex],75)&gt;0,SUMIFS(T_StockCount[CountedQty],T_StockCount[Part Name],$A9,T_StockCount[WeekIndex],75),IF(('T_SelfStock'!BX13&lt;&gt;""),'T_SelfStock'!BX13,BW9-'Grid_Requirement'!BX9+'Grid_TTAFOutgoing'!BX9))</f>
        <v/>
      </c>
      <c r="BY9">
        <f>IF(COUNTIFS(T_StockCount[Part Name],$A9,T_StockCount[WeekIndex],76)&gt;0,SUMIFS(T_StockCount[CountedQty],T_StockCount[Part Name],$A9,T_StockCount[WeekIndex],76),IF(('T_SelfStock'!BY13&lt;&gt;""),'T_SelfStock'!BY13,BX9-'Grid_Requirement'!BY9+'Grid_TTAFOutgoing'!BY9))</f>
        <v/>
      </c>
      <c r="BZ9">
        <f>IF(COUNTIFS(T_StockCount[Part Name],$A9,T_StockCount[WeekIndex],77)&gt;0,SUMIFS(T_StockCount[CountedQty],T_StockCount[Part Name],$A9,T_StockCount[WeekIndex],77),IF(('T_SelfStock'!BZ13&lt;&gt;""),'T_SelfStock'!BZ13,BY9-'Grid_Requirement'!BZ9+'Grid_TTAFOutgoing'!BZ9))</f>
        <v/>
      </c>
      <c r="CA9">
        <f>IF(COUNTIFS(T_StockCount[Part Name],$A9,T_StockCount[WeekIndex],78)&gt;0,SUMIFS(T_StockCount[CountedQty],T_StockCount[Part Name],$A9,T_StockCount[WeekIndex],78),IF(('T_SelfStock'!CA13&lt;&gt;""),'T_SelfStock'!CA13,BZ9-'Grid_Requirement'!CA9+'Grid_TTAFOutgoing'!CA9))</f>
        <v/>
      </c>
      <c r="CB9">
        <f>IF(COUNTIFS(T_StockCount[Part Name],$A9,T_StockCount[WeekIndex],79)&gt;0,SUMIFS(T_StockCount[CountedQty],T_StockCount[Part Name],$A9,T_StockCount[WeekIndex],79),IF(('T_SelfStock'!CB13&lt;&gt;""),'T_SelfStock'!CB13,CA9-'Grid_Requirement'!CB9+'Grid_TTAFOutgoing'!CB9))</f>
        <v/>
      </c>
      <c r="CC9">
        <f>IF(COUNTIFS(T_StockCount[Part Name],$A9,T_StockCount[WeekIndex],80)&gt;0,SUMIFS(T_StockCount[CountedQty],T_StockCount[Part Name],$A9,T_StockCount[WeekIndex],80),IF(('T_SelfStock'!CC13&lt;&gt;""),'T_SelfStock'!CC13,CB9-'Grid_Requirement'!CC9+'Grid_TTAFOutgoing'!CC9))</f>
        <v/>
      </c>
      <c r="CD9">
        <f>IF(COUNTIFS(T_StockCount[Part Name],$A9,T_StockCount[WeekIndex],81)&gt;0,SUMIFS(T_StockCount[CountedQty],T_StockCount[Part Name],$A9,T_StockCount[WeekIndex],81),IF(('T_SelfStock'!CD13&lt;&gt;""),'T_SelfStock'!CD13,CC9-'Grid_Requirement'!CD9+'Grid_TTAFOutgoing'!CD9))</f>
        <v/>
      </c>
      <c r="CE9">
        <f>IF(COUNTIFS(T_StockCount[Part Name],$A9,T_StockCount[WeekIndex],82)&gt;0,SUMIFS(T_StockCount[CountedQty],T_StockCount[Part Name],$A9,T_StockCount[WeekIndex],82),IF(('T_SelfStock'!CE13&lt;&gt;""),'T_SelfStock'!CE13,CD9-'Grid_Requirement'!CE9+'Grid_TTAFOutgoing'!CE9))</f>
        <v/>
      </c>
      <c r="CF9">
        <f>IF(COUNTIFS(T_StockCount[Part Name],$A9,T_StockCount[WeekIndex],83)&gt;0,SUMIFS(T_StockCount[CountedQty],T_StockCount[Part Name],$A9,T_StockCount[WeekIndex],83),IF(('T_SelfStock'!CF13&lt;&gt;""),'T_SelfStock'!CF13,CE9-'Grid_Requirement'!CF9+'Grid_TTAFOutgoing'!CF9))</f>
        <v/>
      </c>
      <c r="CG9">
        <f>IF(COUNTIFS(T_StockCount[Part Name],$A9,T_StockCount[WeekIndex],84)&gt;0,SUMIFS(T_StockCount[CountedQty],T_StockCount[Part Name],$A9,T_StockCount[WeekIndex],84),IF(('T_SelfStock'!CG13&lt;&gt;""),'T_SelfStock'!CG13,CF9-'Grid_Requirement'!CG9+'Grid_TTAFOutgoing'!CG9))</f>
        <v/>
      </c>
      <c r="CH9">
        <f>IF(COUNTIFS(T_StockCount[Part Name],$A9,T_StockCount[WeekIndex],85)&gt;0,SUMIFS(T_StockCount[CountedQty],T_StockCount[Part Name],$A9,T_StockCount[WeekIndex],85),IF(('T_SelfStock'!CH13&lt;&gt;""),'T_SelfStock'!CH13,CG9-'Grid_Requirement'!CH9+'Grid_TTAFOutgoing'!CH9))</f>
        <v/>
      </c>
      <c r="CI9">
        <f>IF(COUNTIFS(T_StockCount[Part Name],$A9,T_StockCount[WeekIndex],86)&gt;0,SUMIFS(T_StockCount[CountedQty],T_StockCount[Part Name],$A9,T_StockCount[WeekIndex],86),IF(('T_SelfStock'!CI13&lt;&gt;""),'T_SelfStock'!CI13,CH9-'Grid_Requirement'!CI9+'Grid_TTAFOutgoing'!CI9))</f>
        <v/>
      </c>
      <c r="CJ9">
        <f>IF(COUNTIFS(T_StockCount[Part Name],$A9,T_StockCount[WeekIndex],87)&gt;0,SUMIFS(T_StockCount[CountedQty],T_StockCount[Part Name],$A9,T_StockCount[WeekIndex],87),IF(('T_SelfStock'!CJ13&lt;&gt;""),'T_SelfStock'!CJ13,CI9-'Grid_Requirement'!CJ9+'Grid_TTAFOutgoing'!CJ9))</f>
        <v/>
      </c>
      <c r="CK9">
        <f>IF(COUNTIFS(T_StockCount[Part Name],$A9,T_StockCount[WeekIndex],88)&gt;0,SUMIFS(T_StockCount[CountedQty],T_StockCount[Part Name],$A9,T_StockCount[WeekIndex],88),IF(('T_SelfStock'!CK13&lt;&gt;""),'T_SelfStock'!CK13,CJ9-'Grid_Requirement'!CK9+'Grid_TTAFOutgoing'!CK9))</f>
        <v/>
      </c>
      <c r="CL9">
        <f>IF(COUNTIFS(T_StockCount[Part Name],$A9,T_StockCount[WeekIndex],89)&gt;0,SUMIFS(T_StockCount[CountedQty],T_StockCount[Part Name],$A9,T_StockCount[WeekIndex],89),IF(('T_SelfStock'!CL13&lt;&gt;""),'T_SelfStock'!CL13,CK9-'Grid_Requirement'!CL9+'Grid_TTAFOutgoing'!CL9))</f>
        <v/>
      </c>
      <c r="CM9">
        <f>IF(COUNTIFS(T_StockCount[Part Name],$A9,T_StockCount[WeekIndex],90)&gt;0,SUMIFS(T_StockCount[CountedQty],T_StockCount[Part Name],$A9,T_StockCount[WeekIndex],90),IF(('T_SelfStock'!CM13&lt;&gt;""),'T_SelfStock'!CM13,CL9-'Grid_Requirement'!CM9+'Grid_TTAFOutgoing'!CM9))</f>
        <v/>
      </c>
      <c r="CN9">
        <f>IF(COUNTIFS(T_StockCount[Part Name],$A9,T_StockCount[WeekIndex],91)&gt;0,SUMIFS(T_StockCount[CountedQty],T_StockCount[Part Name],$A9,T_StockCount[WeekIndex],91),IF(('T_SelfStock'!CN13&lt;&gt;""),'T_SelfStock'!CN13,CM9-'Grid_Requirement'!CN9+'Grid_TTAFOutgoing'!CN9))</f>
        <v/>
      </c>
      <c r="CO9">
        <f>IF(COUNTIFS(T_StockCount[Part Name],$A9,T_StockCount[WeekIndex],92)&gt;0,SUMIFS(T_StockCount[CountedQty],T_StockCount[Part Name],$A9,T_StockCount[WeekIndex],92),IF(('T_SelfStock'!CO13&lt;&gt;""),'T_SelfStock'!CO13,CN9-'Grid_Requirement'!CO9+'Grid_TTAFOutgoing'!CO9))</f>
        <v/>
      </c>
      <c r="CP9">
        <f>IF(COUNTIFS(T_StockCount[Part Name],$A9,T_StockCount[WeekIndex],93)&gt;0,SUMIFS(T_StockCount[CountedQty],T_StockCount[Part Name],$A9,T_StockCount[WeekIndex],93),IF(('T_SelfStock'!CP13&lt;&gt;""),'T_SelfStock'!CP13,CO9-'Grid_Requirement'!CP9+'Grid_TTAFOutgoing'!CP9))</f>
        <v/>
      </c>
      <c r="CQ9">
        <f>IF(COUNTIFS(T_StockCount[Part Name],$A9,T_StockCount[WeekIndex],94)&gt;0,SUMIFS(T_StockCount[CountedQty],T_StockCount[Part Name],$A9,T_StockCount[WeekIndex],94),IF(('T_SelfStock'!CQ13&lt;&gt;""),'T_SelfStock'!CQ13,CP9-'Grid_Requirement'!CQ9+'Grid_TTAFOutgoing'!CQ9))</f>
        <v/>
      </c>
      <c r="CR9">
        <f>IF(COUNTIFS(T_StockCount[Part Name],$A9,T_StockCount[WeekIndex],95)&gt;0,SUMIFS(T_StockCount[CountedQty],T_StockCount[Part Name],$A9,T_StockCount[WeekIndex],95),IF(('T_SelfStock'!CR13&lt;&gt;""),'T_SelfStock'!CR13,CQ9-'Grid_Requirement'!CR9+'Grid_TTAFOutgoing'!CR9))</f>
        <v/>
      </c>
      <c r="CS9">
        <f>IF(COUNTIFS(T_StockCount[Part Name],$A9,T_StockCount[WeekIndex],96)&gt;0,SUMIFS(T_StockCount[CountedQty],T_StockCount[Part Name],$A9,T_StockCount[WeekIndex],96),IF(('T_SelfStock'!CS13&lt;&gt;""),'T_SelfStock'!CS13,CR9-'Grid_Requirement'!CS9+'Grid_TTAFOutgoing'!CS9))</f>
        <v/>
      </c>
      <c r="CT9">
        <f>IF(COUNTIFS(T_StockCount[Part Name],$A9,T_StockCount[WeekIndex],97)&gt;0,SUMIFS(T_StockCount[CountedQty],T_StockCount[Part Name],$A9,T_StockCount[WeekIndex],97),IF(('T_SelfStock'!CT13&lt;&gt;""),'T_SelfStock'!CT13,CS9-'Grid_Requirement'!CT9+'Grid_TTAFOutgoing'!CT9))</f>
        <v/>
      </c>
      <c r="CU9">
        <f>IF(COUNTIFS(T_StockCount[Part Name],$A9,T_StockCount[WeekIndex],98)&gt;0,SUMIFS(T_StockCount[CountedQty],T_StockCount[Part Name],$A9,T_StockCount[WeekIndex],98),IF(('T_SelfStock'!CU13&lt;&gt;""),'T_SelfStock'!CU13,CT9-'Grid_Requirement'!CU9+'Grid_TTAFOutgoing'!CU9))</f>
        <v/>
      </c>
      <c r="CV9">
        <f>IF(COUNTIFS(T_StockCount[Part Name],$A9,T_StockCount[WeekIndex],99)&gt;0,SUMIFS(T_StockCount[CountedQty],T_StockCount[Part Name],$A9,T_StockCount[WeekIndex],99),IF(('T_SelfStock'!CV13&lt;&gt;""),'T_SelfStock'!CV13,CU9-'Grid_Requirement'!CV9+'Grid_TTAFOutgoing'!CV9))</f>
        <v/>
      </c>
      <c r="CW9">
        <f>IF(COUNTIFS(T_StockCount[Part Name],$A9,T_StockCount[WeekIndex],100)&gt;0,SUMIFS(T_StockCount[CountedQty],T_StockCount[Part Name],$A9,T_StockCount[WeekIndex],100),IF(('T_SelfStock'!CW13&lt;&gt;""),'T_SelfStock'!CW13,CV9-'Grid_Requirement'!CW9+'Grid_TTAFOutgoing'!CW9))</f>
        <v/>
      </c>
      <c r="CX9">
        <f>IF(COUNTIFS(T_StockCount[Part Name],$A9,T_StockCount[WeekIndex],101)&gt;0,SUMIFS(T_StockCount[CountedQty],T_StockCount[Part Name],$A9,T_StockCount[WeekIndex],101),IF(('T_SelfStock'!CX13&lt;&gt;""),'T_SelfStock'!CX13,CW9-'Grid_Requirement'!CX9+'Grid_TTAFOutgoing'!CX9))</f>
        <v/>
      </c>
      <c r="CY9">
        <f>IF(COUNTIFS(T_StockCount[Part Name],$A9,T_StockCount[WeekIndex],102)&gt;0,SUMIFS(T_StockCount[CountedQty],T_StockCount[Part Name],$A9,T_StockCount[WeekIndex],102),IF(('T_SelfStock'!CY13&lt;&gt;""),'T_SelfStock'!CY13,CX9-'Grid_Requirement'!CY9+'Grid_TTAFOutgoing'!CY9))</f>
        <v/>
      </c>
      <c r="CZ9">
        <f>IF(COUNTIFS(T_StockCount[Part Name],$A9,T_StockCount[WeekIndex],103)&gt;0,SUMIFS(T_StockCount[CountedQty],T_StockCount[Part Name],$A9,T_StockCount[WeekIndex],103),IF(('T_SelfStock'!CZ13&lt;&gt;""),'T_SelfStock'!CZ13,CY9-'Grid_Requirement'!CZ9+'Grid_TTAFOutgoing'!CZ9))</f>
        <v/>
      </c>
      <c r="DA9">
        <f>IF(COUNTIFS(T_StockCount[Part Name],$A9,T_StockCount[WeekIndex],104)&gt;0,SUMIFS(T_StockCount[CountedQty],T_StockCount[Part Name],$A9,T_StockCount[WeekIndex],104),IF(('T_SelfStock'!DA13&lt;&gt;""),'T_SelfStock'!DA13,CZ9-'Grid_Requirement'!DA9+'Grid_TTAFOutgoing'!DA9))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Name],$A10,T_StockCount[WeekIndex],1),IF(('T_SelfStock'!B14&lt;&gt;""),'T_SelfStock'!B14,IFERROR(INDEX(T_OpeningStock[Opening_Qty],MATCH($A10,T_OpeningStock[Part Name],0)),0)-'Grid_Requirement'!B10+'Grid_TTAFOutgoing'!B10))</f>
        <v/>
      </c>
      <c r="C10">
        <f>IF(COUNTIFS(T_StockCount[Part Name],$A10,T_StockCount[WeekIndex],2)&gt;0,SUMIFS(T_StockCount[CountedQty],T_StockCount[Part Name],$A10,T_StockCount[WeekIndex],2),IF(('T_SelfStock'!C14&lt;&gt;""),'T_SelfStock'!C14,B10-'Grid_Requirement'!C10+'Grid_TTAFOutgoing'!C10))</f>
        <v/>
      </c>
      <c r="D10">
        <f>IF(COUNTIFS(T_StockCount[Part Name],$A10,T_StockCount[WeekIndex],3)&gt;0,SUMIFS(T_StockCount[CountedQty],T_StockCount[Part Name],$A10,T_StockCount[WeekIndex],3),IF(('T_SelfStock'!D14&lt;&gt;""),'T_SelfStock'!D14,C10-'Grid_Requirement'!D10+'Grid_TTAFOutgoing'!D10))</f>
        <v/>
      </c>
      <c r="E10">
        <f>IF(COUNTIFS(T_StockCount[Part Name],$A10,T_StockCount[WeekIndex],4)&gt;0,SUMIFS(T_StockCount[CountedQty],T_StockCount[Part Name],$A10,T_StockCount[WeekIndex],4),IF(('T_SelfStock'!E14&lt;&gt;""),'T_SelfStock'!E14,D10-'Grid_Requirement'!E10+'Grid_TTAFOutgoing'!E10))</f>
        <v/>
      </c>
      <c r="F10">
        <f>IF(COUNTIFS(T_StockCount[Part Name],$A10,T_StockCount[WeekIndex],5)&gt;0,SUMIFS(T_StockCount[CountedQty],T_StockCount[Part Name],$A10,T_StockCount[WeekIndex],5),IF(('T_SelfStock'!F14&lt;&gt;""),'T_SelfStock'!F14,E10-'Grid_Requirement'!F10+'Grid_TTAFOutgoing'!F10))</f>
        <v/>
      </c>
      <c r="G10">
        <f>IF(COUNTIFS(T_StockCount[Part Name],$A10,T_StockCount[WeekIndex],6)&gt;0,SUMIFS(T_StockCount[CountedQty],T_StockCount[Part Name],$A10,T_StockCount[WeekIndex],6),IF(('T_SelfStock'!G14&lt;&gt;""),'T_SelfStock'!G14,F10-'Grid_Requirement'!G10+'Grid_TTAFOutgoing'!G10))</f>
        <v/>
      </c>
      <c r="H10">
        <f>IF(COUNTIFS(T_StockCount[Part Name],$A10,T_StockCount[WeekIndex],7)&gt;0,SUMIFS(T_StockCount[CountedQty],T_StockCount[Part Name],$A10,T_StockCount[WeekIndex],7),IF(('T_SelfStock'!H14&lt;&gt;""),'T_SelfStock'!H14,G10-'Grid_Requirement'!H10+'Grid_TTAFOutgoing'!H10))</f>
        <v/>
      </c>
      <c r="I10">
        <f>IF(COUNTIFS(T_StockCount[Part Name],$A10,T_StockCount[WeekIndex],8)&gt;0,SUMIFS(T_StockCount[CountedQty],T_StockCount[Part Name],$A10,T_StockCount[WeekIndex],8),IF(('T_SelfStock'!I14&lt;&gt;""),'T_SelfStock'!I14,H10-'Grid_Requirement'!I10+'Grid_TTAFOutgoing'!I10))</f>
        <v/>
      </c>
      <c r="J10">
        <f>IF(COUNTIFS(T_StockCount[Part Name],$A10,T_StockCount[WeekIndex],9)&gt;0,SUMIFS(T_StockCount[CountedQty],T_StockCount[Part Name],$A10,T_StockCount[WeekIndex],9),IF(('T_SelfStock'!J14&lt;&gt;""),'T_SelfStock'!J14,I10-'Grid_Requirement'!J10+'Grid_TTAFOutgoing'!J10))</f>
        <v/>
      </c>
      <c r="K10">
        <f>IF(COUNTIFS(T_StockCount[Part Name],$A10,T_StockCount[WeekIndex],10)&gt;0,SUMIFS(T_StockCount[CountedQty],T_StockCount[Part Name],$A10,T_StockCount[WeekIndex],10),IF(('T_SelfStock'!K14&lt;&gt;""),'T_SelfStock'!K14,J10-'Grid_Requirement'!K10+'Grid_TTAFOutgoing'!K10))</f>
        <v/>
      </c>
      <c r="L10">
        <f>IF(COUNTIFS(T_StockCount[Part Name],$A10,T_StockCount[WeekIndex],11)&gt;0,SUMIFS(T_StockCount[CountedQty],T_StockCount[Part Name],$A10,T_StockCount[WeekIndex],11),IF(('T_SelfStock'!L14&lt;&gt;""),'T_SelfStock'!L14,K10-'Grid_Requirement'!L10+'Grid_TTAFOutgoing'!L10))</f>
        <v/>
      </c>
      <c r="M10">
        <f>IF(COUNTIFS(T_StockCount[Part Name],$A10,T_StockCount[WeekIndex],12)&gt;0,SUMIFS(T_StockCount[CountedQty],T_StockCount[Part Name],$A10,T_StockCount[WeekIndex],12),IF(('T_SelfStock'!M14&lt;&gt;""),'T_SelfStock'!M14,L10-'Grid_Requirement'!M10+'Grid_TTAFOutgoing'!M10))</f>
        <v/>
      </c>
      <c r="N10">
        <f>IF(COUNTIFS(T_StockCount[Part Name],$A10,T_StockCount[WeekIndex],13)&gt;0,SUMIFS(T_StockCount[CountedQty],T_StockCount[Part Name],$A10,T_StockCount[WeekIndex],13),IF(('T_SelfStock'!N14&lt;&gt;""),'T_SelfStock'!N14,M10-'Grid_Requirement'!N10+'Grid_TTAFOutgoing'!N10))</f>
        <v/>
      </c>
      <c r="O10">
        <f>IF(COUNTIFS(T_StockCount[Part Name],$A10,T_StockCount[WeekIndex],14)&gt;0,SUMIFS(T_StockCount[CountedQty],T_StockCount[Part Name],$A10,T_StockCount[WeekIndex],14),IF(('T_SelfStock'!O14&lt;&gt;""),'T_SelfStock'!O14,N10-'Grid_Requirement'!O10+'Grid_TTAFOutgoing'!O10))</f>
        <v/>
      </c>
      <c r="P10">
        <f>IF(COUNTIFS(T_StockCount[Part Name],$A10,T_StockCount[WeekIndex],15)&gt;0,SUMIFS(T_StockCount[CountedQty],T_StockCount[Part Name],$A10,T_StockCount[WeekIndex],15),IF(('T_SelfStock'!P14&lt;&gt;""),'T_SelfStock'!P14,O10-'Grid_Requirement'!P10+'Grid_TTAFOutgoing'!P10))</f>
        <v/>
      </c>
      <c r="Q10">
        <f>IF(COUNTIFS(T_StockCount[Part Name],$A10,T_StockCount[WeekIndex],16)&gt;0,SUMIFS(T_StockCount[CountedQty],T_StockCount[Part Name],$A10,T_StockCount[WeekIndex],16),IF(('T_SelfStock'!Q14&lt;&gt;""),'T_SelfStock'!Q14,P10-'Grid_Requirement'!Q10+'Grid_TTAFOutgoing'!Q10))</f>
        <v/>
      </c>
      <c r="R10">
        <f>IF(COUNTIFS(T_StockCount[Part Name],$A10,T_StockCount[WeekIndex],17)&gt;0,SUMIFS(T_StockCount[CountedQty],T_StockCount[Part Name],$A10,T_StockCount[WeekIndex],17),IF(('T_SelfStock'!R14&lt;&gt;""),'T_SelfStock'!R14,Q10-'Grid_Requirement'!R10+'Grid_TTAFOutgoing'!R10))</f>
        <v/>
      </c>
      <c r="S10">
        <f>IF(COUNTIFS(T_StockCount[Part Name],$A10,T_StockCount[WeekIndex],18)&gt;0,SUMIFS(T_StockCount[CountedQty],T_StockCount[Part Name],$A10,T_StockCount[WeekIndex],18),IF(('T_SelfStock'!S14&lt;&gt;""),'T_SelfStock'!S14,R10-'Grid_Requirement'!S10+'Grid_TTAFOutgoing'!S10))</f>
        <v/>
      </c>
      <c r="T10">
        <f>IF(COUNTIFS(T_StockCount[Part Name],$A10,T_StockCount[WeekIndex],19)&gt;0,SUMIFS(T_StockCount[CountedQty],T_StockCount[Part Name],$A10,T_StockCount[WeekIndex],19),IF(('T_SelfStock'!T14&lt;&gt;""),'T_SelfStock'!T14,S10-'Grid_Requirement'!T10+'Grid_TTAFOutgoing'!T10))</f>
        <v/>
      </c>
      <c r="U10">
        <f>IF(COUNTIFS(T_StockCount[Part Name],$A10,T_StockCount[WeekIndex],20)&gt;0,SUMIFS(T_StockCount[CountedQty],T_StockCount[Part Name],$A10,T_StockCount[WeekIndex],20),IF(('T_SelfStock'!U14&lt;&gt;""),'T_SelfStock'!U14,T10-'Grid_Requirement'!U10+'Grid_TTAFOutgoing'!U10))</f>
        <v/>
      </c>
      <c r="V10">
        <f>IF(COUNTIFS(T_StockCount[Part Name],$A10,T_StockCount[WeekIndex],21)&gt;0,SUMIFS(T_StockCount[CountedQty],T_StockCount[Part Name],$A10,T_StockCount[WeekIndex],21),IF(('T_SelfStock'!V14&lt;&gt;""),'T_SelfStock'!V14,U10-'Grid_Requirement'!V10+'Grid_TTAFOutgoing'!V10))</f>
        <v/>
      </c>
      <c r="W10">
        <f>IF(COUNTIFS(T_StockCount[Part Name],$A10,T_StockCount[WeekIndex],22)&gt;0,SUMIFS(T_StockCount[CountedQty],T_StockCount[Part Name],$A10,T_StockCount[WeekIndex],22),IF(('T_SelfStock'!W14&lt;&gt;""),'T_SelfStock'!W14,V10-'Grid_Requirement'!W10+'Grid_TTAFOutgoing'!W10))</f>
        <v/>
      </c>
      <c r="X10">
        <f>IF(COUNTIFS(T_StockCount[Part Name],$A10,T_StockCount[WeekIndex],23)&gt;0,SUMIFS(T_StockCount[CountedQty],T_StockCount[Part Name],$A10,T_StockCount[WeekIndex],23),IF(('T_SelfStock'!X14&lt;&gt;""),'T_SelfStock'!X14,W10-'Grid_Requirement'!X10+'Grid_TTAFOutgoing'!X10))</f>
        <v/>
      </c>
      <c r="Y10">
        <f>IF(COUNTIFS(T_StockCount[Part Name],$A10,T_StockCount[WeekIndex],24)&gt;0,SUMIFS(T_StockCount[CountedQty],T_StockCount[Part Name],$A10,T_StockCount[WeekIndex],24),IF(('T_SelfStock'!Y14&lt;&gt;""),'T_SelfStock'!Y14,X10-'Grid_Requirement'!Y10+'Grid_TTAFOutgoing'!Y10))</f>
        <v/>
      </c>
      <c r="Z10">
        <f>IF(COUNTIFS(T_StockCount[Part Name],$A10,T_StockCount[WeekIndex],25)&gt;0,SUMIFS(T_StockCount[CountedQty],T_StockCount[Part Name],$A10,T_StockCount[WeekIndex],25),IF(('T_SelfStock'!Z14&lt;&gt;""),'T_SelfStock'!Z14,Y10-'Grid_Requirement'!Z10+'Grid_TTAFOutgoing'!Z10))</f>
        <v/>
      </c>
      <c r="AA10">
        <f>IF(COUNTIFS(T_StockCount[Part Name],$A10,T_StockCount[WeekIndex],26)&gt;0,SUMIFS(T_StockCount[CountedQty],T_StockCount[Part Name],$A10,T_StockCount[WeekIndex],26),IF(('T_SelfStock'!AA14&lt;&gt;""),'T_SelfStock'!AA14,Z10-'Grid_Requirement'!AA10+'Grid_TTAFOutgoing'!AA10))</f>
        <v/>
      </c>
      <c r="AB10">
        <f>IF(COUNTIFS(T_StockCount[Part Name],$A10,T_StockCount[WeekIndex],27)&gt;0,SUMIFS(T_StockCount[CountedQty],T_StockCount[Part Name],$A10,T_StockCount[WeekIndex],27),IF(('T_SelfStock'!AB14&lt;&gt;""),'T_SelfStock'!AB14,AA10-'Grid_Requirement'!AB10+'Grid_TTAFOutgoing'!AB10))</f>
        <v/>
      </c>
      <c r="AC10">
        <f>IF(COUNTIFS(T_StockCount[Part Name],$A10,T_StockCount[WeekIndex],28)&gt;0,SUMIFS(T_StockCount[CountedQty],T_StockCount[Part Name],$A10,T_StockCount[WeekIndex],28),IF(('T_SelfStock'!AC14&lt;&gt;""),'T_SelfStock'!AC14,AB10-'Grid_Requirement'!AC10+'Grid_TTAFOutgoing'!AC10))</f>
        <v/>
      </c>
      <c r="AD10">
        <f>IF(COUNTIFS(T_StockCount[Part Name],$A10,T_StockCount[WeekIndex],29)&gt;0,SUMIFS(T_StockCount[CountedQty],T_StockCount[Part Name],$A10,T_StockCount[WeekIndex],29),IF(('T_SelfStock'!AD14&lt;&gt;""),'T_SelfStock'!AD14,AC10-'Grid_Requirement'!AD10+'Grid_TTAFOutgoing'!AD10))</f>
        <v/>
      </c>
      <c r="AE10">
        <f>IF(COUNTIFS(T_StockCount[Part Name],$A10,T_StockCount[WeekIndex],30)&gt;0,SUMIFS(T_StockCount[CountedQty],T_StockCount[Part Name],$A10,T_StockCount[WeekIndex],30),IF(('T_SelfStock'!AE14&lt;&gt;""),'T_SelfStock'!AE14,AD10-'Grid_Requirement'!AE10+'Grid_TTAFOutgoing'!AE10))</f>
        <v/>
      </c>
      <c r="AF10">
        <f>IF(COUNTIFS(T_StockCount[Part Name],$A10,T_StockCount[WeekIndex],31)&gt;0,SUMIFS(T_StockCount[CountedQty],T_StockCount[Part Name],$A10,T_StockCount[WeekIndex],31),IF(('T_SelfStock'!AF14&lt;&gt;""),'T_SelfStock'!AF14,AE10-'Grid_Requirement'!AF10+'Grid_TTAFOutgoing'!AF10))</f>
        <v/>
      </c>
      <c r="AG10">
        <f>IF(COUNTIFS(T_StockCount[Part Name],$A10,T_StockCount[WeekIndex],32)&gt;0,SUMIFS(T_StockCount[CountedQty],T_StockCount[Part Name],$A10,T_StockCount[WeekIndex],32),IF(('T_SelfStock'!AG14&lt;&gt;""),'T_SelfStock'!AG14,AF10-'Grid_Requirement'!AG10+'Grid_TTAFOutgoing'!AG10))</f>
        <v/>
      </c>
      <c r="AH10">
        <f>IF(COUNTIFS(T_StockCount[Part Name],$A10,T_StockCount[WeekIndex],33)&gt;0,SUMIFS(T_StockCount[CountedQty],T_StockCount[Part Name],$A10,T_StockCount[WeekIndex],33),IF(('T_SelfStock'!AH14&lt;&gt;""),'T_SelfStock'!AH14,AG10-'Grid_Requirement'!AH10+'Grid_TTAFOutgoing'!AH10))</f>
        <v/>
      </c>
      <c r="AI10">
        <f>IF(COUNTIFS(T_StockCount[Part Name],$A10,T_StockCount[WeekIndex],34)&gt;0,SUMIFS(T_StockCount[CountedQty],T_StockCount[Part Name],$A10,T_StockCount[WeekIndex],34),IF(('T_SelfStock'!AI14&lt;&gt;""),'T_SelfStock'!AI14,AH10-'Grid_Requirement'!AI10+'Grid_TTAFOutgoing'!AI10))</f>
        <v/>
      </c>
      <c r="AJ10">
        <f>IF(COUNTIFS(T_StockCount[Part Name],$A10,T_StockCount[WeekIndex],35)&gt;0,SUMIFS(T_StockCount[CountedQty],T_StockCount[Part Name],$A10,T_StockCount[WeekIndex],35),IF(('T_SelfStock'!AJ14&lt;&gt;""),'T_SelfStock'!AJ14,AI10-'Grid_Requirement'!AJ10+'Grid_TTAFOutgoing'!AJ10))</f>
        <v/>
      </c>
      <c r="AK10">
        <f>IF(COUNTIFS(T_StockCount[Part Name],$A10,T_StockCount[WeekIndex],36)&gt;0,SUMIFS(T_StockCount[CountedQty],T_StockCount[Part Name],$A10,T_StockCount[WeekIndex],36),IF(('T_SelfStock'!AK14&lt;&gt;""),'T_SelfStock'!AK14,AJ10-'Grid_Requirement'!AK10+'Grid_TTAFOutgoing'!AK10))</f>
        <v/>
      </c>
      <c r="AL10">
        <f>IF(COUNTIFS(T_StockCount[Part Name],$A10,T_StockCount[WeekIndex],37)&gt;0,SUMIFS(T_StockCount[CountedQty],T_StockCount[Part Name],$A10,T_StockCount[WeekIndex],37),IF(('T_SelfStock'!AL14&lt;&gt;""),'T_SelfStock'!AL14,AK10-'Grid_Requirement'!AL10+'Grid_TTAFOutgoing'!AL10))</f>
        <v/>
      </c>
      <c r="AM10">
        <f>IF(COUNTIFS(T_StockCount[Part Name],$A10,T_StockCount[WeekIndex],38)&gt;0,SUMIFS(T_StockCount[CountedQty],T_StockCount[Part Name],$A10,T_StockCount[WeekIndex],38),IF(('T_SelfStock'!AM14&lt;&gt;""),'T_SelfStock'!AM14,AL10-'Grid_Requirement'!AM10+'Grid_TTAFOutgoing'!AM10))</f>
        <v/>
      </c>
      <c r="AN10">
        <f>IF(COUNTIFS(T_StockCount[Part Name],$A10,T_StockCount[WeekIndex],39)&gt;0,SUMIFS(T_StockCount[CountedQty],T_StockCount[Part Name],$A10,T_StockCount[WeekIndex],39),IF(('T_SelfStock'!AN14&lt;&gt;""),'T_SelfStock'!AN14,AM10-'Grid_Requirement'!AN10+'Grid_TTAFOutgoing'!AN10))</f>
        <v/>
      </c>
      <c r="AO10">
        <f>IF(COUNTIFS(T_StockCount[Part Name],$A10,T_StockCount[WeekIndex],40)&gt;0,SUMIFS(T_StockCount[CountedQty],T_StockCount[Part Name],$A10,T_StockCount[WeekIndex],40),IF(('T_SelfStock'!AO14&lt;&gt;""),'T_SelfStock'!AO14,AN10-'Grid_Requirement'!AO10+'Grid_TTAFOutgoing'!AO10))</f>
        <v/>
      </c>
      <c r="AP10">
        <f>IF(COUNTIFS(T_StockCount[Part Name],$A10,T_StockCount[WeekIndex],41)&gt;0,SUMIFS(T_StockCount[CountedQty],T_StockCount[Part Name],$A10,T_StockCount[WeekIndex],41),IF(('T_SelfStock'!AP14&lt;&gt;""),'T_SelfStock'!AP14,AO10-'Grid_Requirement'!AP10+'Grid_TTAFOutgoing'!AP10))</f>
        <v/>
      </c>
      <c r="AQ10">
        <f>IF(COUNTIFS(T_StockCount[Part Name],$A10,T_StockCount[WeekIndex],42)&gt;0,SUMIFS(T_StockCount[CountedQty],T_StockCount[Part Name],$A10,T_StockCount[WeekIndex],42),IF(('T_SelfStock'!AQ14&lt;&gt;""),'T_SelfStock'!AQ14,AP10-'Grid_Requirement'!AQ10+'Grid_TTAFOutgoing'!AQ10))</f>
        <v/>
      </c>
      <c r="AR10">
        <f>IF(COUNTIFS(T_StockCount[Part Name],$A10,T_StockCount[WeekIndex],43)&gt;0,SUMIFS(T_StockCount[CountedQty],T_StockCount[Part Name],$A10,T_StockCount[WeekIndex],43),IF(('T_SelfStock'!AR14&lt;&gt;""),'T_SelfStock'!AR14,AQ10-'Grid_Requirement'!AR10+'Grid_TTAFOutgoing'!AR10))</f>
        <v/>
      </c>
      <c r="AS10">
        <f>IF(COUNTIFS(T_StockCount[Part Name],$A10,T_StockCount[WeekIndex],44)&gt;0,SUMIFS(T_StockCount[CountedQty],T_StockCount[Part Name],$A10,T_StockCount[WeekIndex],44),IF(('T_SelfStock'!AS14&lt;&gt;""),'T_SelfStock'!AS14,AR10-'Grid_Requirement'!AS10+'Grid_TTAFOutgoing'!AS10))</f>
        <v/>
      </c>
      <c r="AT10">
        <f>IF(COUNTIFS(T_StockCount[Part Name],$A10,T_StockCount[WeekIndex],45)&gt;0,SUMIFS(T_StockCount[CountedQty],T_StockCount[Part Name],$A10,T_StockCount[WeekIndex],45),IF(('T_SelfStock'!AT14&lt;&gt;""),'T_SelfStock'!AT14,AS10-'Grid_Requirement'!AT10+'Grid_TTAFOutgoing'!AT10))</f>
        <v/>
      </c>
      <c r="AU10">
        <f>IF(COUNTIFS(T_StockCount[Part Name],$A10,T_StockCount[WeekIndex],46)&gt;0,SUMIFS(T_StockCount[CountedQty],T_StockCount[Part Name],$A10,T_StockCount[WeekIndex],46),IF(('T_SelfStock'!AU14&lt;&gt;""),'T_SelfStock'!AU14,AT10-'Grid_Requirement'!AU10+'Grid_TTAFOutgoing'!AU10))</f>
        <v/>
      </c>
      <c r="AV10">
        <f>IF(COUNTIFS(T_StockCount[Part Name],$A10,T_StockCount[WeekIndex],47)&gt;0,SUMIFS(T_StockCount[CountedQty],T_StockCount[Part Name],$A10,T_StockCount[WeekIndex],47),IF(('T_SelfStock'!AV14&lt;&gt;""),'T_SelfStock'!AV14,AU10-'Grid_Requirement'!AV10+'Grid_TTAFOutgoing'!AV10))</f>
        <v/>
      </c>
      <c r="AW10">
        <f>IF(COUNTIFS(T_StockCount[Part Name],$A10,T_StockCount[WeekIndex],48)&gt;0,SUMIFS(T_StockCount[CountedQty],T_StockCount[Part Name],$A10,T_StockCount[WeekIndex],48),IF(('T_SelfStock'!AW14&lt;&gt;""),'T_SelfStock'!AW14,AV10-'Grid_Requirement'!AW10+'Grid_TTAFOutgoing'!AW10))</f>
        <v/>
      </c>
      <c r="AX10">
        <f>IF(COUNTIFS(T_StockCount[Part Name],$A10,T_StockCount[WeekIndex],49)&gt;0,SUMIFS(T_StockCount[CountedQty],T_StockCount[Part Name],$A10,T_StockCount[WeekIndex],49),IF(('T_SelfStock'!AX14&lt;&gt;""),'T_SelfStock'!AX14,AW10-'Grid_Requirement'!AX10+'Grid_TTAFOutgoing'!AX10))</f>
        <v/>
      </c>
      <c r="AY10">
        <f>IF(COUNTIFS(T_StockCount[Part Name],$A10,T_StockCount[WeekIndex],50)&gt;0,SUMIFS(T_StockCount[CountedQty],T_StockCount[Part Name],$A10,T_StockCount[WeekIndex],50),IF(('T_SelfStock'!AY14&lt;&gt;""),'T_SelfStock'!AY14,AX10-'Grid_Requirement'!AY10+'Grid_TTAFOutgoing'!AY10))</f>
        <v/>
      </c>
      <c r="AZ10">
        <f>IF(COUNTIFS(T_StockCount[Part Name],$A10,T_StockCount[WeekIndex],51)&gt;0,SUMIFS(T_StockCount[CountedQty],T_StockCount[Part Name],$A10,T_StockCount[WeekIndex],51),IF(('T_SelfStock'!AZ14&lt;&gt;""),'T_SelfStock'!AZ14,AY10-'Grid_Requirement'!AZ10+'Grid_TTAFOutgoing'!AZ10))</f>
        <v/>
      </c>
      <c r="BA10">
        <f>IF(COUNTIFS(T_StockCount[Part Name],$A10,T_StockCount[WeekIndex],52)&gt;0,SUMIFS(T_StockCount[CountedQty],T_StockCount[Part Name],$A10,T_StockCount[WeekIndex],52),IF(('T_SelfStock'!BA14&lt;&gt;""),'T_SelfStock'!BA14,AZ10-'Grid_Requirement'!BA10+'Grid_TTAFOutgoing'!BA10))</f>
        <v/>
      </c>
      <c r="BB10">
        <f>IF(COUNTIFS(T_StockCount[Part Name],$A10,T_StockCount[WeekIndex],53)&gt;0,SUMIFS(T_StockCount[CountedQty],T_StockCount[Part Name],$A10,T_StockCount[WeekIndex],53),IF(('T_SelfStock'!BB14&lt;&gt;""),'T_SelfStock'!BB14,BA10-'Grid_Requirement'!BB10+'Grid_TTAFOutgoing'!BB10))</f>
        <v/>
      </c>
      <c r="BC10">
        <f>IF(COUNTIFS(T_StockCount[Part Name],$A10,T_StockCount[WeekIndex],54)&gt;0,SUMIFS(T_StockCount[CountedQty],T_StockCount[Part Name],$A10,T_StockCount[WeekIndex],54),IF(('T_SelfStock'!BC14&lt;&gt;""),'T_SelfStock'!BC14,BB10-'Grid_Requirement'!BC10+'Grid_TTAFOutgoing'!BC10))</f>
        <v/>
      </c>
      <c r="BD10">
        <f>IF(COUNTIFS(T_StockCount[Part Name],$A10,T_StockCount[WeekIndex],55)&gt;0,SUMIFS(T_StockCount[CountedQty],T_StockCount[Part Name],$A10,T_StockCount[WeekIndex],55),IF(('T_SelfStock'!BD14&lt;&gt;""),'T_SelfStock'!BD14,BC10-'Grid_Requirement'!BD10+'Grid_TTAFOutgoing'!BD10))</f>
        <v/>
      </c>
      <c r="BE10">
        <f>IF(COUNTIFS(T_StockCount[Part Name],$A10,T_StockCount[WeekIndex],56)&gt;0,SUMIFS(T_StockCount[CountedQty],T_StockCount[Part Name],$A10,T_StockCount[WeekIndex],56),IF(('T_SelfStock'!BE14&lt;&gt;""),'T_SelfStock'!BE14,BD10-'Grid_Requirement'!BE10+'Grid_TTAFOutgoing'!BE10))</f>
        <v/>
      </c>
      <c r="BF10">
        <f>IF(COUNTIFS(T_StockCount[Part Name],$A10,T_StockCount[WeekIndex],57)&gt;0,SUMIFS(T_StockCount[CountedQty],T_StockCount[Part Name],$A10,T_StockCount[WeekIndex],57),IF(('T_SelfStock'!BF14&lt;&gt;""),'T_SelfStock'!BF14,BE10-'Grid_Requirement'!BF10+'Grid_TTAFOutgoing'!BF10))</f>
        <v/>
      </c>
      <c r="BG10">
        <f>IF(COUNTIFS(T_StockCount[Part Name],$A10,T_StockCount[WeekIndex],58)&gt;0,SUMIFS(T_StockCount[CountedQty],T_StockCount[Part Name],$A10,T_StockCount[WeekIndex],58),IF(('T_SelfStock'!BG14&lt;&gt;""),'T_SelfStock'!BG14,BF10-'Grid_Requirement'!BG10+'Grid_TTAFOutgoing'!BG10))</f>
        <v/>
      </c>
      <c r="BH10">
        <f>IF(COUNTIFS(T_StockCount[Part Name],$A10,T_StockCount[WeekIndex],59)&gt;0,SUMIFS(T_StockCount[CountedQty],T_StockCount[Part Name],$A10,T_StockCount[WeekIndex],59),IF(('T_SelfStock'!BH14&lt;&gt;""),'T_SelfStock'!BH14,BG10-'Grid_Requirement'!BH10+'Grid_TTAFOutgoing'!BH10))</f>
        <v/>
      </c>
      <c r="BI10">
        <f>IF(COUNTIFS(T_StockCount[Part Name],$A10,T_StockCount[WeekIndex],60)&gt;0,SUMIFS(T_StockCount[CountedQty],T_StockCount[Part Name],$A10,T_StockCount[WeekIndex],60),IF(('T_SelfStock'!BI14&lt;&gt;""),'T_SelfStock'!BI14,BH10-'Grid_Requirement'!BI10+'Grid_TTAFOutgoing'!BI10))</f>
        <v/>
      </c>
      <c r="BJ10">
        <f>IF(COUNTIFS(T_StockCount[Part Name],$A10,T_StockCount[WeekIndex],61)&gt;0,SUMIFS(T_StockCount[CountedQty],T_StockCount[Part Name],$A10,T_StockCount[WeekIndex],61),IF(('T_SelfStock'!BJ14&lt;&gt;""),'T_SelfStock'!BJ14,BI10-'Grid_Requirement'!BJ10+'Grid_TTAFOutgoing'!BJ10))</f>
        <v/>
      </c>
      <c r="BK10">
        <f>IF(COUNTIFS(T_StockCount[Part Name],$A10,T_StockCount[WeekIndex],62)&gt;0,SUMIFS(T_StockCount[CountedQty],T_StockCount[Part Name],$A10,T_StockCount[WeekIndex],62),IF(('T_SelfStock'!BK14&lt;&gt;""),'T_SelfStock'!BK14,BJ10-'Grid_Requirement'!BK10+'Grid_TTAFOutgoing'!BK10))</f>
        <v/>
      </c>
      <c r="BL10">
        <f>IF(COUNTIFS(T_StockCount[Part Name],$A10,T_StockCount[WeekIndex],63)&gt;0,SUMIFS(T_StockCount[CountedQty],T_StockCount[Part Name],$A10,T_StockCount[WeekIndex],63),IF(('T_SelfStock'!BL14&lt;&gt;""),'T_SelfStock'!BL14,BK10-'Grid_Requirement'!BL10+'Grid_TTAFOutgoing'!BL10))</f>
        <v/>
      </c>
      <c r="BM10">
        <f>IF(COUNTIFS(T_StockCount[Part Name],$A10,T_StockCount[WeekIndex],64)&gt;0,SUMIFS(T_StockCount[CountedQty],T_StockCount[Part Name],$A10,T_StockCount[WeekIndex],64),IF(('T_SelfStock'!BM14&lt;&gt;""),'T_SelfStock'!BM14,BL10-'Grid_Requirement'!BM10+'Grid_TTAFOutgoing'!BM10))</f>
        <v/>
      </c>
      <c r="BN10">
        <f>IF(COUNTIFS(T_StockCount[Part Name],$A10,T_StockCount[WeekIndex],65)&gt;0,SUMIFS(T_StockCount[CountedQty],T_StockCount[Part Name],$A10,T_StockCount[WeekIndex],65),IF(('T_SelfStock'!BN14&lt;&gt;""),'T_SelfStock'!BN14,BM10-'Grid_Requirement'!BN10+'Grid_TTAFOutgoing'!BN10))</f>
        <v/>
      </c>
      <c r="BO10">
        <f>IF(COUNTIFS(T_StockCount[Part Name],$A10,T_StockCount[WeekIndex],66)&gt;0,SUMIFS(T_StockCount[CountedQty],T_StockCount[Part Name],$A10,T_StockCount[WeekIndex],66),IF(('T_SelfStock'!BO14&lt;&gt;""),'T_SelfStock'!BO14,BN10-'Grid_Requirement'!BO10+'Grid_TTAFOutgoing'!BO10))</f>
        <v/>
      </c>
      <c r="BP10">
        <f>IF(COUNTIFS(T_StockCount[Part Name],$A10,T_StockCount[WeekIndex],67)&gt;0,SUMIFS(T_StockCount[CountedQty],T_StockCount[Part Name],$A10,T_StockCount[WeekIndex],67),IF(('T_SelfStock'!BP14&lt;&gt;""),'T_SelfStock'!BP14,BO10-'Grid_Requirement'!BP10+'Grid_TTAFOutgoing'!BP10))</f>
        <v/>
      </c>
      <c r="BQ10">
        <f>IF(COUNTIFS(T_StockCount[Part Name],$A10,T_StockCount[WeekIndex],68)&gt;0,SUMIFS(T_StockCount[CountedQty],T_StockCount[Part Name],$A10,T_StockCount[WeekIndex],68),IF(('T_SelfStock'!BQ14&lt;&gt;""),'T_SelfStock'!BQ14,BP10-'Grid_Requirement'!BQ10+'Grid_TTAFOutgoing'!BQ10))</f>
        <v/>
      </c>
      <c r="BR10">
        <f>IF(COUNTIFS(T_StockCount[Part Name],$A10,T_StockCount[WeekIndex],69)&gt;0,SUMIFS(T_StockCount[CountedQty],T_StockCount[Part Name],$A10,T_StockCount[WeekIndex],69),IF(('T_SelfStock'!BR14&lt;&gt;""),'T_SelfStock'!BR14,BQ10-'Grid_Requirement'!BR10+'Grid_TTAFOutgoing'!BR10))</f>
        <v/>
      </c>
      <c r="BS10">
        <f>IF(COUNTIFS(T_StockCount[Part Name],$A10,T_StockCount[WeekIndex],70)&gt;0,SUMIFS(T_StockCount[CountedQty],T_StockCount[Part Name],$A10,T_StockCount[WeekIndex],70),IF(('T_SelfStock'!BS14&lt;&gt;""),'T_SelfStock'!BS14,BR10-'Grid_Requirement'!BS10+'Grid_TTAFOutgoing'!BS10))</f>
        <v/>
      </c>
      <c r="BT10">
        <f>IF(COUNTIFS(T_StockCount[Part Name],$A10,T_StockCount[WeekIndex],71)&gt;0,SUMIFS(T_StockCount[CountedQty],T_StockCount[Part Name],$A10,T_StockCount[WeekIndex],71),IF(('T_SelfStock'!BT14&lt;&gt;""),'T_SelfStock'!BT14,BS10-'Grid_Requirement'!BT10+'Grid_TTAFOutgoing'!BT10))</f>
        <v/>
      </c>
      <c r="BU10">
        <f>IF(COUNTIFS(T_StockCount[Part Name],$A10,T_StockCount[WeekIndex],72)&gt;0,SUMIFS(T_StockCount[CountedQty],T_StockCount[Part Name],$A10,T_StockCount[WeekIndex],72),IF(('T_SelfStock'!BU14&lt;&gt;""),'T_SelfStock'!BU14,BT10-'Grid_Requirement'!BU10+'Grid_TTAFOutgoing'!BU10))</f>
        <v/>
      </c>
      <c r="BV10">
        <f>IF(COUNTIFS(T_StockCount[Part Name],$A10,T_StockCount[WeekIndex],73)&gt;0,SUMIFS(T_StockCount[CountedQty],T_StockCount[Part Name],$A10,T_StockCount[WeekIndex],73),IF(('T_SelfStock'!BV14&lt;&gt;""),'T_SelfStock'!BV14,BU10-'Grid_Requirement'!BV10+'Grid_TTAFOutgoing'!BV10))</f>
        <v/>
      </c>
      <c r="BW10">
        <f>IF(COUNTIFS(T_StockCount[Part Name],$A10,T_StockCount[WeekIndex],74)&gt;0,SUMIFS(T_StockCount[CountedQty],T_StockCount[Part Name],$A10,T_StockCount[WeekIndex],74),IF(('T_SelfStock'!BW14&lt;&gt;""),'T_SelfStock'!BW14,BV10-'Grid_Requirement'!BW10+'Grid_TTAFOutgoing'!BW10))</f>
        <v/>
      </c>
      <c r="BX10">
        <f>IF(COUNTIFS(T_StockCount[Part Name],$A10,T_StockCount[WeekIndex],75)&gt;0,SUMIFS(T_StockCount[CountedQty],T_StockCount[Part Name],$A10,T_StockCount[WeekIndex],75),IF(('T_SelfStock'!BX14&lt;&gt;""),'T_SelfStock'!BX14,BW10-'Grid_Requirement'!BX10+'Grid_TTAFOutgoing'!BX10))</f>
        <v/>
      </c>
      <c r="BY10">
        <f>IF(COUNTIFS(T_StockCount[Part Name],$A10,T_StockCount[WeekIndex],76)&gt;0,SUMIFS(T_StockCount[CountedQty],T_StockCount[Part Name],$A10,T_StockCount[WeekIndex],76),IF(('T_SelfStock'!BY14&lt;&gt;""),'T_SelfStock'!BY14,BX10-'Grid_Requirement'!BY10+'Grid_TTAFOutgoing'!BY10))</f>
        <v/>
      </c>
      <c r="BZ10">
        <f>IF(COUNTIFS(T_StockCount[Part Name],$A10,T_StockCount[WeekIndex],77)&gt;0,SUMIFS(T_StockCount[CountedQty],T_StockCount[Part Name],$A10,T_StockCount[WeekIndex],77),IF(('T_SelfStock'!BZ14&lt;&gt;""),'T_SelfStock'!BZ14,BY10-'Grid_Requirement'!BZ10+'Grid_TTAFOutgoing'!BZ10))</f>
        <v/>
      </c>
      <c r="CA10">
        <f>IF(COUNTIFS(T_StockCount[Part Name],$A10,T_StockCount[WeekIndex],78)&gt;0,SUMIFS(T_StockCount[CountedQty],T_StockCount[Part Name],$A10,T_StockCount[WeekIndex],78),IF(('T_SelfStock'!CA14&lt;&gt;""),'T_SelfStock'!CA14,BZ10-'Grid_Requirement'!CA10+'Grid_TTAFOutgoing'!CA10))</f>
        <v/>
      </c>
      <c r="CB10">
        <f>IF(COUNTIFS(T_StockCount[Part Name],$A10,T_StockCount[WeekIndex],79)&gt;0,SUMIFS(T_StockCount[CountedQty],T_StockCount[Part Name],$A10,T_StockCount[WeekIndex],79),IF(('T_SelfStock'!CB14&lt;&gt;""),'T_SelfStock'!CB14,CA10-'Grid_Requirement'!CB10+'Grid_TTAFOutgoing'!CB10))</f>
        <v/>
      </c>
      <c r="CC10">
        <f>IF(COUNTIFS(T_StockCount[Part Name],$A10,T_StockCount[WeekIndex],80)&gt;0,SUMIFS(T_StockCount[CountedQty],T_StockCount[Part Name],$A10,T_StockCount[WeekIndex],80),IF(('T_SelfStock'!CC14&lt;&gt;""),'T_SelfStock'!CC14,CB10-'Grid_Requirement'!CC10+'Grid_TTAFOutgoing'!CC10))</f>
        <v/>
      </c>
      <c r="CD10">
        <f>IF(COUNTIFS(T_StockCount[Part Name],$A10,T_StockCount[WeekIndex],81)&gt;0,SUMIFS(T_StockCount[CountedQty],T_StockCount[Part Name],$A10,T_StockCount[WeekIndex],81),IF(('T_SelfStock'!CD14&lt;&gt;""),'T_SelfStock'!CD14,CC10-'Grid_Requirement'!CD10+'Grid_TTAFOutgoing'!CD10))</f>
        <v/>
      </c>
      <c r="CE10">
        <f>IF(COUNTIFS(T_StockCount[Part Name],$A10,T_StockCount[WeekIndex],82)&gt;0,SUMIFS(T_StockCount[CountedQty],T_StockCount[Part Name],$A10,T_StockCount[WeekIndex],82),IF(('T_SelfStock'!CE14&lt;&gt;""),'T_SelfStock'!CE14,CD10-'Grid_Requirement'!CE10+'Grid_TTAFOutgoing'!CE10))</f>
        <v/>
      </c>
      <c r="CF10">
        <f>IF(COUNTIFS(T_StockCount[Part Name],$A10,T_StockCount[WeekIndex],83)&gt;0,SUMIFS(T_StockCount[CountedQty],T_StockCount[Part Name],$A10,T_StockCount[WeekIndex],83),IF(('T_SelfStock'!CF14&lt;&gt;""),'T_SelfStock'!CF14,CE10-'Grid_Requirement'!CF10+'Grid_TTAFOutgoing'!CF10))</f>
        <v/>
      </c>
      <c r="CG10">
        <f>IF(COUNTIFS(T_StockCount[Part Name],$A10,T_StockCount[WeekIndex],84)&gt;0,SUMIFS(T_StockCount[CountedQty],T_StockCount[Part Name],$A10,T_StockCount[WeekIndex],84),IF(('T_SelfStock'!CG14&lt;&gt;""),'T_SelfStock'!CG14,CF10-'Grid_Requirement'!CG10+'Grid_TTAFOutgoing'!CG10))</f>
        <v/>
      </c>
      <c r="CH10">
        <f>IF(COUNTIFS(T_StockCount[Part Name],$A10,T_StockCount[WeekIndex],85)&gt;0,SUMIFS(T_StockCount[CountedQty],T_StockCount[Part Name],$A10,T_StockCount[WeekIndex],85),IF(('T_SelfStock'!CH14&lt;&gt;""),'T_SelfStock'!CH14,CG10-'Grid_Requirement'!CH10+'Grid_TTAFOutgoing'!CH10))</f>
        <v/>
      </c>
      <c r="CI10">
        <f>IF(COUNTIFS(T_StockCount[Part Name],$A10,T_StockCount[WeekIndex],86)&gt;0,SUMIFS(T_StockCount[CountedQty],T_StockCount[Part Name],$A10,T_StockCount[WeekIndex],86),IF(('T_SelfStock'!CI14&lt;&gt;""),'T_SelfStock'!CI14,CH10-'Grid_Requirement'!CI10+'Grid_TTAFOutgoing'!CI10))</f>
        <v/>
      </c>
      <c r="CJ10">
        <f>IF(COUNTIFS(T_StockCount[Part Name],$A10,T_StockCount[WeekIndex],87)&gt;0,SUMIFS(T_StockCount[CountedQty],T_StockCount[Part Name],$A10,T_StockCount[WeekIndex],87),IF(('T_SelfStock'!CJ14&lt;&gt;""),'T_SelfStock'!CJ14,CI10-'Grid_Requirement'!CJ10+'Grid_TTAFOutgoing'!CJ10))</f>
        <v/>
      </c>
      <c r="CK10">
        <f>IF(COUNTIFS(T_StockCount[Part Name],$A10,T_StockCount[WeekIndex],88)&gt;0,SUMIFS(T_StockCount[CountedQty],T_StockCount[Part Name],$A10,T_StockCount[WeekIndex],88),IF(('T_SelfStock'!CK14&lt;&gt;""),'T_SelfStock'!CK14,CJ10-'Grid_Requirement'!CK10+'Grid_TTAFOutgoing'!CK10))</f>
        <v/>
      </c>
      <c r="CL10">
        <f>IF(COUNTIFS(T_StockCount[Part Name],$A10,T_StockCount[WeekIndex],89)&gt;0,SUMIFS(T_StockCount[CountedQty],T_StockCount[Part Name],$A10,T_StockCount[WeekIndex],89),IF(('T_SelfStock'!CL14&lt;&gt;""),'T_SelfStock'!CL14,CK10-'Grid_Requirement'!CL10+'Grid_TTAFOutgoing'!CL10))</f>
        <v/>
      </c>
      <c r="CM10">
        <f>IF(COUNTIFS(T_StockCount[Part Name],$A10,T_StockCount[WeekIndex],90)&gt;0,SUMIFS(T_StockCount[CountedQty],T_StockCount[Part Name],$A10,T_StockCount[WeekIndex],90),IF(('T_SelfStock'!CM14&lt;&gt;""),'T_SelfStock'!CM14,CL10-'Grid_Requirement'!CM10+'Grid_TTAFOutgoing'!CM10))</f>
        <v/>
      </c>
      <c r="CN10">
        <f>IF(COUNTIFS(T_StockCount[Part Name],$A10,T_StockCount[WeekIndex],91)&gt;0,SUMIFS(T_StockCount[CountedQty],T_StockCount[Part Name],$A10,T_StockCount[WeekIndex],91),IF(('T_SelfStock'!CN14&lt;&gt;""),'T_SelfStock'!CN14,CM10-'Grid_Requirement'!CN10+'Grid_TTAFOutgoing'!CN10))</f>
        <v/>
      </c>
      <c r="CO10">
        <f>IF(COUNTIFS(T_StockCount[Part Name],$A10,T_StockCount[WeekIndex],92)&gt;0,SUMIFS(T_StockCount[CountedQty],T_StockCount[Part Name],$A10,T_StockCount[WeekIndex],92),IF(('T_SelfStock'!CO14&lt;&gt;""),'T_SelfStock'!CO14,CN10-'Grid_Requirement'!CO10+'Grid_TTAFOutgoing'!CO10))</f>
        <v/>
      </c>
      <c r="CP10">
        <f>IF(COUNTIFS(T_StockCount[Part Name],$A10,T_StockCount[WeekIndex],93)&gt;0,SUMIFS(T_StockCount[CountedQty],T_StockCount[Part Name],$A10,T_StockCount[WeekIndex],93),IF(('T_SelfStock'!CP14&lt;&gt;""),'T_SelfStock'!CP14,CO10-'Grid_Requirement'!CP10+'Grid_TTAFOutgoing'!CP10))</f>
        <v/>
      </c>
      <c r="CQ10">
        <f>IF(COUNTIFS(T_StockCount[Part Name],$A10,T_StockCount[WeekIndex],94)&gt;0,SUMIFS(T_StockCount[CountedQty],T_StockCount[Part Name],$A10,T_StockCount[WeekIndex],94),IF(('T_SelfStock'!CQ14&lt;&gt;""),'T_SelfStock'!CQ14,CP10-'Grid_Requirement'!CQ10+'Grid_TTAFOutgoing'!CQ10))</f>
        <v/>
      </c>
      <c r="CR10">
        <f>IF(COUNTIFS(T_StockCount[Part Name],$A10,T_StockCount[WeekIndex],95)&gt;0,SUMIFS(T_StockCount[CountedQty],T_StockCount[Part Name],$A10,T_StockCount[WeekIndex],95),IF(('T_SelfStock'!CR14&lt;&gt;""),'T_SelfStock'!CR14,CQ10-'Grid_Requirement'!CR10+'Grid_TTAFOutgoing'!CR10))</f>
        <v/>
      </c>
      <c r="CS10">
        <f>IF(COUNTIFS(T_StockCount[Part Name],$A10,T_StockCount[WeekIndex],96)&gt;0,SUMIFS(T_StockCount[CountedQty],T_StockCount[Part Name],$A10,T_StockCount[WeekIndex],96),IF(('T_SelfStock'!CS14&lt;&gt;""),'T_SelfStock'!CS14,CR10-'Grid_Requirement'!CS10+'Grid_TTAFOutgoing'!CS10))</f>
        <v/>
      </c>
      <c r="CT10">
        <f>IF(COUNTIFS(T_StockCount[Part Name],$A10,T_StockCount[WeekIndex],97)&gt;0,SUMIFS(T_StockCount[CountedQty],T_StockCount[Part Name],$A10,T_StockCount[WeekIndex],97),IF(('T_SelfStock'!CT14&lt;&gt;""),'T_SelfStock'!CT14,CS10-'Grid_Requirement'!CT10+'Grid_TTAFOutgoing'!CT10))</f>
        <v/>
      </c>
      <c r="CU10">
        <f>IF(COUNTIFS(T_StockCount[Part Name],$A10,T_StockCount[WeekIndex],98)&gt;0,SUMIFS(T_StockCount[CountedQty],T_StockCount[Part Name],$A10,T_StockCount[WeekIndex],98),IF(('T_SelfStock'!CU14&lt;&gt;""),'T_SelfStock'!CU14,CT10-'Grid_Requirement'!CU10+'Grid_TTAFOutgoing'!CU10))</f>
        <v/>
      </c>
      <c r="CV10">
        <f>IF(COUNTIFS(T_StockCount[Part Name],$A10,T_StockCount[WeekIndex],99)&gt;0,SUMIFS(T_StockCount[CountedQty],T_StockCount[Part Name],$A10,T_StockCount[WeekIndex],99),IF(('T_SelfStock'!CV14&lt;&gt;""),'T_SelfStock'!CV14,CU10-'Grid_Requirement'!CV10+'Grid_TTAFOutgoing'!CV10))</f>
        <v/>
      </c>
      <c r="CW10">
        <f>IF(COUNTIFS(T_StockCount[Part Name],$A10,T_StockCount[WeekIndex],100)&gt;0,SUMIFS(T_StockCount[CountedQty],T_StockCount[Part Name],$A10,T_StockCount[WeekIndex],100),IF(('T_SelfStock'!CW14&lt;&gt;""),'T_SelfStock'!CW14,CV10-'Grid_Requirement'!CW10+'Grid_TTAFOutgoing'!CW10))</f>
        <v/>
      </c>
      <c r="CX10">
        <f>IF(COUNTIFS(T_StockCount[Part Name],$A10,T_StockCount[WeekIndex],101)&gt;0,SUMIFS(T_StockCount[CountedQty],T_StockCount[Part Name],$A10,T_StockCount[WeekIndex],101),IF(('T_SelfStock'!CX14&lt;&gt;""),'T_SelfStock'!CX14,CW10-'Grid_Requirement'!CX10+'Grid_TTAFOutgoing'!CX10))</f>
        <v/>
      </c>
      <c r="CY10">
        <f>IF(COUNTIFS(T_StockCount[Part Name],$A10,T_StockCount[WeekIndex],102)&gt;0,SUMIFS(T_StockCount[CountedQty],T_StockCount[Part Name],$A10,T_StockCount[WeekIndex],102),IF(('T_SelfStock'!CY14&lt;&gt;""),'T_SelfStock'!CY14,CX10-'Grid_Requirement'!CY10+'Grid_TTAFOutgoing'!CY10))</f>
        <v/>
      </c>
      <c r="CZ10">
        <f>IF(COUNTIFS(T_StockCount[Part Name],$A10,T_StockCount[WeekIndex],103)&gt;0,SUMIFS(T_StockCount[CountedQty],T_StockCount[Part Name],$A10,T_StockCount[WeekIndex],103),IF(('T_SelfStock'!CZ14&lt;&gt;""),'T_SelfStock'!CZ14,CY10-'Grid_Requirement'!CZ10+'Grid_TTAFOutgoing'!CZ10))</f>
        <v/>
      </c>
      <c r="DA10">
        <f>IF(COUNTIFS(T_StockCount[Part Name],$A10,T_StockCount[WeekIndex],104)&gt;0,SUMIFS(T_StockCount[CountedQty],T_StockCount[Part Name],$A10,T_StockCount[WeekIndex],104),IF(('T_SelfStock'!DA14&lt;&gt;""),'T_SelfStock'!DA14,CZ10-'Grid_Requirement'!DA10+'Grid_TTAFOutgoing'!DA10))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Name],$A11,T_StockCount[WeekIndex],1),IF(('T_SelfStock'!B15&lt;&gt;""),'T_SelfStock'!B15,IFERROR(INDEX(T_OpeningStock[Opening_Qty],MATCH($A11,T_OpeningStock[Part Name],0)),0)-'Grid_Requirement'!B11+'Grid_TTAFOutgoing'!B11))</f>
        <v/>
      </c>
      <c r="C11">
        <f>IF(COUNTIFS(T_StockCount[Part Name],$A11,T_StockCount[WeekIndex],2)&gt;0,SUMIFS(T_StockCount[CountedQty],T_StockCount[Part Name],$A11,T_StockCount[WeekIndex],2),IF(('T_SelfStock'!C15&lt;&gt;""),'T_SelfStock'!C15,B11-'Grid_Requirement'!C11+'Grid_TTAFOutgoing'!C11))</f>
        <v/>
      </c>
      <c r="D11">
        <f>IF(COUNTIFS(T_StockCount[Part Name],$A11,T_StockCount[WeekIndex],3)&gt;0,SUMIFS(T_StockCount[CountedQty],T_StockCount[Part Name],$A11,T_StockCount[WeekIndex],3),IF(('T_SelfStock'!D15&lt;&gt;""),'T_SelfStock'!D15,C11-'Grid_Requirement'!D11+'Grid_TTAFOutgoing'!D11))</f>
        <v/>
      </c>
      <c r="E11">
        <f>IF(COUNTIFS(T_StockCount[Part Name],$A11,T_StockCount[WeekIndex],4)&gt;0,SUMIFS(T_StockCount[CountedQty],T_StockCount[Part Name],$A11,T_StockCount[WeekIndex],4),IF(('T_SelfStock'!E15&lt;&gt;""),'T_SelfStock'!E15,D11-'Grid_Requirement'!E11+'Grid_TTAFOutgoing'!E11))</f>
        <v/>
      </c>
      <c r="F11">
        <f>IF(COUNTIFS(T_StockCount[Part Name],$A11,T_StockCount[WeekIndex],5)&gt;0,SUMIFS(T_StockCount[CountedQty],T_StockCount[Part Name],$A11,T_StockCount[WeekIndex],5),IF(('T_SelfStock'!F15&lt;&gt;""),'T_SelfStock'!F15,E11-'Grid_Requirement'!F11+'Grid_TTAFOutgoing'!F11))</f>
        <v/>
      </c>
      <c r="G11">
        <f>IF(COUNTIFS(T_StockCount[Part Name],$A11,T_StockCount[WeekIndex],6)&gt;0,SUMIFS(T_StockCount[CountedQty],T_StockCount[Part Name],$A11,T_StockCount[WeekIndex],6),IF(('T_SelfStock'!G15&lt;&gt;""),'T_SelfStock'!G15,F11-'Grid_Requirement'!G11+'Grid_TTAFOutgoing'!G11))</f>
        <v/>
      </c>
      <c r="H11">
        <f>IF(COUNTIFS(T_StockCount[Part Name],$A11,T_StockCount[WeekIndex],7)&gt;0,SUMIFS(T_StockCount[CountedQty],T_StockCount[Part Name],$A11,T_StockCount[WeekIndex],7),IF(('T_SelfStock'!H15&lt;&gt;""),'T_SelfStock'!H15,G11-'Grid_Requirement'!H11+'Grid_TTAFOutgoing'!H11))</f>
        <v/>
      </c>
      <c r="I11">
        <f>IF(COUNTIFS(T_StockCount[Part Name],$A11,T_StockCount[WeekIndex],8)&gt;0,SUMIFS(T_StockCount[CountedQty],T_StockCount[Part Name],$A11,T_StockCount[WeekIndex],8),IF(('T_SelfStock'!I15&lt;&gt;""),'T_SelfStock'!I15,H11-'Grid_Requirement'!I11+'Grid_TTAFOutgoing'!I11))</f>
        <v/>
      </c>
      <c r="J11">
        <f>IF(COUNTIFS(T_StockCount[Part Name],$A11,T_StockCount[WeekIndex],9)&gt;0,SUMIFS(T_StockCount[CountedQty],T_StockCount[Part Name],$A11,T_StockCount[WeekIndex],9),IF(('T_SelfStock'!J15&lt;&gt;""),'T_SelfStock'!J15,I11-'Grid_Requirement'!J11+'Grid_TTAFOutgoing'!J11))</f>
        <v/>
      </c>
      <c r="K11">
        <f>IF(COUNTIFS(T_StockCount[Part Name],$A11,T_StockCount[WeekIndex],10)&gt;0,SUMIFS(T_StockCount[CountedQty],T_StockCount[Part Name],$A11,T_StockCount[WeekIndex],10),IF(('T_SelfStock'!K15&lt;&gt;""),'T_SelfStock'!K15,J11-'Grid_Requirement'!K11+'Grid_TTAFOutgoing'!K11))</f>
        <v/>
      </c>
      <c r="L11">
        <f>IF(COUNTIFS(T_StockCount[Part Name],$A11,T_StockCount[WeekIndex],11)&gt;0,SUMIFS(T_StockCount[CountedQty],T_StockCount[Part Name],$A11,T_StockCount[WeekIndex],11),IF(('T_SelfStock'!L15&lt;&gt;""),'T_SelfStock'!L15,K11-'Grid_Requirement'!L11+'Grid_TTAFOutgoing'!L11))</f>
        <v/>
      </c>
      <c r="M11">
        <f>IF(COUNTIFS(T_StockCount[Part Name],$A11,T_StockCount[WeekIndex],12)&gt;0,SUMIFS(T_StockCount[CountedQty],T_StockCount[Part Name],$A11,T_StockCount[WeekIndex],12),IF(('T_SelfStock'!M15&lt;&gt;""),'T_SelfStock'!M15,L11-'Grid_Requirement'!M11+'Grid_TTAFOutgoing'!M11))</f>
        <v/>
      </c>
      <c r="N11">
        <f>IF(COUNTIFS(T_StockCount[Part Name],$A11,T_StockCount[WeekIndex],13)&gt;0,SUMIFS(T_StockCount[CountedQty],T_StockCount[Part Name],$A11,T_StockCount[WeekIndex],13),IF(('T_SelfStock'!N15&lt;&gt;""),'T_SelfStock'!N15,M11-'Grid_Requirement'!N11+'Grid_TTAFOutgoing'!N11))</f>
        <v/>
      </c>
      <c r="O11">
        <f>IF(COUNTIFS(T_StockCount[Part Name],$A11,T_StockCount[WeekIndex],14)&gt;0,SUMIFS(T_StockCount[CountedQty],T_StockCount[Part Name],$A11,T_StockCount[WeekIndex],14),IF(('T_SelfStock'!O15&lt;&gt;""),'T_SelfStock'!O15,N11-'Grid_Requirement'!O11+'Grid_TTAFOutgoing'!O11))</f>
        <v/>
      </c>
      <c r="P11">
        <f>IF(COUNTIFS(T_StockCount[Part Name],$A11,T_StockCount[WeekIndex],15)&gt;0,SUMIFS(T_StockCount[CountedQty],T_StockCount[Part Name],$A11,T_StockCount[WeekIndex],15),IF(('T_SelfStock'!P15&lt;&gt;""),'T_SelfStock'!P15,O11-'Grid_Requirement'!P11+'Grid_TTAFOutgoing'!P11))</f>
        <v/>
      </c>
      <c r="Q11">
        <f>IF(COUNTIFS(T_StockCount[Part Name],$A11,T_StockCount[WeekIndex],16)&gt;0,SUMIFS(T_StockCount[CountedQty],T_StockCount[Part Name],$A11,T_StockCount[WeekIndex],16),IF(('T_SelfStock'!Q15&lt;&gt;""),'T_SelfStock'!Q15,P11-'Grid_Requirement'!Q11+'Grid_TTAFOutgoing'!Q11))</f>
        <v/>
      </c>
      <c r="R11">
        <f>IF(COUNTIFS(T_StockCount[Part Name],$A11,T_StockCount[WeekIndex],17)&gt;0,SUMIFS(T_StockCount[CountedQty],T_StockCount[Part Name],$A11,T_StockCount[WeekIndex],17),IF(('T_SelfStock'!R15&lt;&gt;""),'T_SelfStock'!R15,Q11-'Grid_Requirement'!R11+'Grid_TTAFOutgoing'!R11))</f>
        <v/>
      </c>
      <c r="S11">
        <f>IF(COUNTIFS(T_StockCount[Part Name],$A11,T_StockCount[WeekIndex],18)&gt;0,SUMIFS(T_StockCount[CountedQty],T_StockCount[Part Name],$A11,T_StockCount[WeekIndex],18),IF(('T_SelfStock'!S15&lt;&gt;""),'T_SelfStock'!S15,R11-'Grid_Requirement'!S11+'Grid_TTAFOutgoing'!S11))</f>
        <v/>
      </c>
      <c r="T11">
        <f>IF(COUNTIFS(T_StockCount[Part Name],$A11,T_StockCount[WeekIndex],19)&gt;0,SUMIFS(T_StockCount[CountedQty],T_StockCount[Part Name],$A11,T_StockCount[WeekIndex],19),IF(('T_SelfStock'!T15&lt;&gt;""),'T_SelfStock'!T15,S11-'Grid_Requirement'!T11+'Grid_TTAFOutgoing'!T11))</f>
        <v/>
      </c>
      <c r="U11">
        <f>IF(COUNTIFS(T_StockCount[Part Name],$A11,T_StockCount[WeekIndex],20)&gt;0,SUMIFS(T_StockCount[CountedQty],T_StockCount[Part Name],$A11,T_StockCount[WeekIndex],20),IF(('T_SelfStock'!U15&lt;&gt;""),'T_SelfStock'!U15,T11-'Grid_Requirement'!U11+'Grid_TTAFOutgoing'!U11))</f>
        <v/>
      </c>
      <c r="V11">
        <f>IF(COUNTIFS(T_StockCount[Part Name],$A11,T_StockCount[WeekIndex],21)&gt;0,SUMIFS(T_StockCount[CountedQty],T_StockCount[Part Name],$A11,T_StockCount[WeekIndex],21),IF(('T_SelfStock'!V15&lt;&gt;""),'T_SelfStock'!V15,U11-'Grid_Requirement'!V11+'Grid_TTAFOutgoing'!V11))</f>
        <v/>
      </c>
      <c r="W11">
        <f>IF(COUNTIFS(T_StockCount[Part Name],$A11,T_StockCount[WeekIndex],22)&gt;0,SUMIFS(T_StockCount[CountedQty],T_StockCount[Part Name],$A11,T_StockCount[WeekIndex],22),IF(('T_SelfStock'!W15&lt;&gt;""),'T_SelfStock'!W15,V11-'Grid_Requirement'!W11+'Grid_TTAFOutgoing'!W11))</f>
        <v/>
      </c>
      <c r="X11">
        <f>IF(COUNTIFS(T_StockCount[Part Name],$A11,T_StockCount[WeekIndex],23)&gt;0,SUMIFS(T_StockCount[CountedQty],T_StockCount[Part Name],$A11,T_StockCount[WeekIndex],23),IF(('T_SelfStock'!X15&lt;&gt;""),'T_SelfStock'!X15,W11-'Grid_Requirement'!X11+'Grid_TTAFOutgoing'!X11))</f>
        <v/>
      </c>
      <c r="Y11">
        <f>IF(COUNTIFS(T_StockCount[Part Name],$A11,T_StockCount[WeekIndex],24)&gt;0,SUMIFS(T_StockCount[CountedQty],T_StockCount[Part Name],$A11,T_StockCount[WeekIndex],24),IF(('T_SelfStock'!Y15&lt;&gt;""),'T_SelfStock'!Y15,X11-'Grid_Requirement'!Y11+'Grid_TTAFOutgoing'!Y11))</f>
        <v/>
      </c>
      <c r="Z11">
        <f>IF(COUNTIFS(T_StockCount[Part Name],$A11,T_StockCount[WeekIndex],25)&gt;0,SUMIFS(T_StockCount[CountedQty],T_StockCount[Part Name],$A11,T_StockCount[WeekIndex],25),IF(('T_SelfStock'!Z15&lt;&gt;""),'T_SelfStock'!Z15,Y11-'Grid_Requirement'!Z11+'Grid_TTAFOutgoing'!Z11))</f>
        <v/>
      </c>
      <c r="AA11">
        <f>IF(COUNTIFS(T_StockCount[Part Name],$A11,T_StockCount[WeekIndex],26)&gt;0,SUMIFS(T_StockCount[CountedQty],T_StockCount[Part Name],$A11,T_StockCount[WeekIndex],26),IF(('T_SelfStock'!AA15&lt;&gt;""),'T_SelfStock'!AA15,Z11-'Grid_Requirement'!AA11+'Grid_TTAFOutgoing'!AA11))</f>
        <v/>
      </c>
      <c r="AB11">
        <f>IF(COUNTIFS(T_StockCount[Part Name],$A11,T_StockCount[WeekIndex],27)&gt;0,SUMIFS(T_StockCount[CountedQty],T_StockCount[Part Name],$A11,T_StockCount[WeekIndex],27),IF(('T_SelfStock'!AB15&lt;&gt;""),'T_SelfStock'!AB15,AA11-'Grid_Requirement'!AB11+'Grid_TTAFOutgoing'!AB11))</f>
        <v/>
      </c>
      <c r="AC11">
        <f>IF(COUNTIFS(T_StockCount[Part Name],$A11,T_StockCount[WeekIndex],28)&gt;0,SUMIFS(T_StockCount[CountedQty],T_StockCount[Part Name],$A11,T_StockCount[WeekIndex],28),IF(('T_SelfStock'!AC15&lt;&gt;""),'T_SelfStock'!AC15,AB11-'Grid_Requirement'!AC11+'Grid_TTAFOutgoing'!AC11))</f>
        <v/>
      </c>
      <c r="AD11">
        <f>IF(COUNTIFS(T_StockCount[Part Name],$A11,T_StockCount[WeekIndex],29)&gt;0,SUMIFS(T_StockCount[CountedQty],T_StockCount[Part Name],$A11,T_StockCount[WeekIndex],29),IF(('T_SelfStock'!AD15&lt;&gt;""),'T_SelfStock'!AD15,AC11-'Grid_Requirement'!AD11+'Grid_TTAFOutgoing'!AD11))</f>
        <v/>
      </c>
      <c r="AE11">
        <f>IF(COUNTIFS(T_StockCount[Part Name],$A11,T_StockCount[WeekIndex],30)&gt;0,SUMIFS(T_StockCount[CountedQty],T_StockCount[Part Name],$A11,T_StockCount[WeekIndex],30),IF(('T_SelfStock'!AE15&lt;&gt;""),'T_SelfStock'!AE15,AD11-'Grid_Requirement'!AE11+'Grid_TTAFOutgoing'!AE11))</f>
        <v/>
      </c>
      <c r="AF11">
        <f>IF(COUNTIFS(T_StockCount[Part Name],$A11,T_StockCount[WeekIndex],31)&gt;0,SUMIFS(T_StockCount[CountedQty],T_StockCount[Part Name],$A11,T_StockCount[WeekIndex],31),IF(('T_SelfStock'!AF15&lt;&gt;""),'T_SelfStock'!AF15,AE11-'Grid_Requirement'!AF11+'Grid_TTAFOutgoing'!AF11))</f>
        <v/>
      </c>
      <c r="AG11">
        <f>IF(COUNTIFS(T_StockCount[Part Name],$A11,T_StockCount[WeekIndex],32)&gt;0,SUMIFS(T_StockCount[CountedQty],T_StockCount[Part Name],$A11,T_StockCount[WeekIndex],32),IF(('T_SelfStock'!AG15&lt;&gt;""),'T_SelfStock'!AG15,AF11-'Grid_Requirement'!AG11+'Grid_TTAFOutgoing'!AG11))</f>
        <v/>
      </c>
      <c r="AH11">
        <f>IF(COUNTIFS(T_StockCount[Part Name],$A11,T_StockCount[WeekIndex],33)&gt;0,SUMIFS(T_StockCount[CountedQty],T_StockCount[Part Name],$A11,T_StockCount[WeekIndex],33),IF(('T_SelfStock'!AH15&lt;&gt;""),'T_SelfStock'!AH15,AG11-'Grid_Requirement'!AH11+'Grid_TTAFOutgoing'!AH11))</f>
        <v/>
      </c>
      <c r="AI11">
        <f>IF(COUNTIFS(T_StockCount[Part Name],$A11,T_StockCount[WeekIndex],34)&gt;0,SUMIFS(T_StockCount[CountedQty],T_StockCount[Part Name],$A11,T_StockCount[WeekIndex],34),IF(('T_SelfStock'!AI15&lt;&gt;""),'T_SelfStock'!AI15,AH11-'Grid_Requirement'!AI11+'Grid_TTAFOutgoing'!AI11))</f>
        <v/>
      </c>
      <c r="AJ11">
        <f>IF(COUNTIFS(T_StockCount[Part Name],$A11,T_StockCount[WeekIndex],35)&gt;0,SUMIFS(T_StockCount[CountedQty],T_StockCount[Part Name],$A11,T_StockCount[WeekIndex],35),IF(('T_SelfStock'!AJ15&lt;&gt;""),'T_SelfStock'!AJ15,AI11-'Grid_Requirement'!AJ11+'Grid_TTAFOutgoing'!AJ11))</f>
        <v/>
      </c>
      <c r="AK11">
        <f>IF(COUNTIFS(T_StockCount[Part Name],$A11,T_StockCount[WeekIndex],36)&gt;0,SUMIFS(T_StockCount[CountedQty],T_StockCount[Part Name],$A11,T_StockCount[WeekIndex],36),IF(('T_SelfStock'!AK15&lt;&gt;""),'T_SelfStock'!AK15,AJ11-'Grid_Requirement'!AK11+'Grid_TTAFOutgoing'!AK11))</f>
        <v/>
      </c>
      <c r="AL11">
        <f>IF(COUNTIFS(T_StockCount[Part Name],$A11,T_StockCount[WeekIndex],37)&gt;0,SUMIFS(T_StockCount[CountedQty],T_StockCount[Part Name],$A11,T_StockCount[WeekIndex],37),IF(('T_SelfStock'!AL15&lt;&gt;""),'T_SelfStock'!AL15,AK11-'Grid_Requirement'!AL11+'Grid_TTAFOutgoing'!AL11))</f>
        <v/>
      </c>
      <c r="AM11">
        <f>IF(COUNTIFS(T_StockCount[Part Name],$A11,T_StockCount[WeekIndex],38)&gt;0,SUMIFS(T_StockCount[CountedQty],T_StockCount[Part Name],$A11,T_StockCount[WeekIndex],38),IF(('T_SelfStock'!AM15&lt;&gt;""),'T_SelfStock'!AM15,AL11-'Grid_Requirement'!AM11+'Grid_TTAFOutgoing'!AM11))</f>
        <v/>
      </c>
      <c r="AN11">
        <f>IF(COUNTIFS(T_StockCount[Part Name],$A11,T_StockCount[WeekIndex],39)&gt;0,SUMIFS(T_StockCount[CountedQty],T_StockCount[Part Name],$A11,T_StockCount[WeekIndex],39),IF(('T_SelfStock'!AN15&lt;&gt;""),'T_SelfStock'!AN15,AM11-'Grid_Requirement'!AN11+'Grid_TTAFOutgoing'!AN11))</f>
        <v/>
      </c>
      <c r="AO11">
        <f>IF(COUNTIFS(T_StockCount[Part Name],$A11,T_StockCount[WeekIndex],40)&gt;0,SUMIFS(T_StockCount[CountedQty],T_StockCount[Part Name],$A11,T_StockCount[WeekIndex],40),IF(('T_SelfStock'!AO15&lt;&gt;""),'T_SelfStock'!AO15,AN11-'Grid_Requirement'!AO11+'Grid_TTAFOutgoing'!AO11))</f>
        <v/>
      </c>
      <c r="AP11">
        <f>IF(COUNTIFS(T_StockCount[Part Name],$A11,T_StockCount[WeekIndex],41)&gt;0,SUMIFS(T_StockCount[CountedQty],T_StockCount[Part Name],$A11,T_StockCount[WeekIndex],41),IF(('T_SelfStock'!AP15&lt;&gt;""),'T_SelfStock'!AP15,AO11-'Grid_Requirement'!AP11+'Grid_TTAFOutgoing'!AP11))</f>
        <v/>
      </c>
      <c r="AQ11">
        <f>IF(COUNTIFS(T_StockCount[Part Name],$A11,T_StockCount[WeekIndex],42)&gt;0,SUMIFS(T_StockCount[CountedQty],T_StockCount[Part Name],$A11,T_StockCount[WeekIndex],42),IF(('T_SelfStock'!AQ15&lt;&gt;""),'T_SelfStock'!AQ15,AP11-'Grid_Requirement'!AQ11+'Grid_TTAFOutgoing'!AQ11))</f>
        <v/>
      </c>
      <c r="AR11">
        <f>IF(COUNTIFS(T_StockCount[Part Name],$A11,T_StockCount[WeekIndex],43)&gt;0,SUMIFS(T_StockCount[CountedQty],T_StockCount[Part Name],$A11,T_StockCount[WeekIndex],43),IF(('T_SelfStock'!AR15&lt;&gt;""),'T_SelfStock'!AR15,AQ11-'Grid_Requirement'!AR11+'Grid_TTAFOutgoing'!AR11))</f>
        <v/>
      </c>
      <c r="AS11">
        <f>IF(COUNTIFS(T_StockCount[Part Name],$A11,T_StockCount[WeekIndex],44)&gt;0,SUMIFS(T_StockCount[CountedQty],T_StockCount[Part Name],$A11,T_StockCount[WeekIndex],44),IF(('T_SelfStock'!AS15&lt;&gt;""),'T_SelfStock'!AS15,AR11-'Grid_Requirement'!AS11+'Grid_TTAFOutgoing'!AS11))</f>
        <v/>
      </c>
      <c r="AT11">
        <f>IF(COUNTIFS(T_StockCount[Part Name],$A11,T_StockCount[WeekIndex],45)&gt;0,SUMIFS(T_StockCount[CountedQty],T_StockCount[Part Name],$A11,T_StockCount[WeekIndex],45),IF(('T_SelfStock'!AT15&lt;&gt;""),'T_SelfStock'!AT15,AS11-'Grid_Requirement'!AT11+'Grid_TTAFOutgoing'!AT11))</f>
        <v/>
      </c>
      <c r="AU11">
        <f>IF(COUNTIFS(T_StockCount[Part Name],$A11,T_StockCount[WeekIndex],46)&gt;0,SUMIFS(T_StockCount[CountedQty],T_StockCount[Part Name],$A11,T_StockCount[WeekIndex],46),IF(('T_SelfStock'!AU15&lt;&gt;""),'T_SelfStock'!AU15,AT11-'Grid_Requirement'!AU11+'Grid_TTAFOutgoing'!AU11))</f>
        <v/>
      </c>
      <c r="AV11">
        <f>IF(COUNTIFS(T_StockCount[Part Name],$A11,T_StockCount[WeekIndex],47)&gt;0,SUMIFS(T_StockCount[CountedQty],T_StockCount[Part Name],$A11,T_StockCount[WeekIndex],47),IF(('T_SelfStock'!AV15&lt;&gt;""),'T_SelfStock'!AV15,AU11-'Grid_Requirement'!AV11+'Grid_TTAFOutgoing'!AV11))</f>
        <v/>
      </c>
      <c r="AW11">
        <f>IF(COUNTIFS(T_StockCount[Part Name],$A11,T_StockCount[WeekIndex],48)&gt;0,SUMIFS(T_StockCount[CountedQty],T_StockCount[Part Name],$A11,T_StockCount[WeekIndex],48),IF(('T_SelfStock'!AW15&lt;&gt;""),'T_SelfStock'!AW15,AV11-'Grid_Requirement'!AW11+'Grid_TTAFOutgoing'!AW11))</f>
        <v/>
      </c>
      <c r="AX11">
        <f>IF(COUNTIFS(T_StockCount[Part Name],$A11,T_StockCount[WeekIndex],49)&gt;0,SUMIFS(T_StockCount[CountedQty],T_StockCount[Part Name],$A11,T_StockCount[WeekIndex],49),IF(('T_SelfStock'!AX15&lt;&gt;""),'T_SelfStock'!AX15,AW11-'Grid_Requirement'!AX11+'Grid_TTAFOutgoing'!AX11))</f>
        <v/>
      </c>
      <c r="AY11">
        <f>IF(COUNTIFS(T_StockCount[Part Name],$A11,T_StockCount[WeekIndex],50)&gt;0,SUMIFS(T_StockCount[CountedQty],T_StockCount[Part Name],$A11,T_StockCount[WeekIndex],50),IF(('T_SelfStock'!AY15&lt;&gt;""),'T_SelfStock'!AY15,AX11-'Grid_Requirement'!AY11+'Grid_TTAFOutgoing'!AY11))</f>
        <v/>
      </c>
      <c r="AZ11">
        <f>IF(COUNTIFS(T_StockCount[Part Name],$A11,T_StockCount[WeekIndex],51)&gt;0,SUMIFS(T_StockCount[CountedQty],T_StockCount[Part Name],$A11,T_StockCount[WeekIndex],51),IF(('T_SelfStock'!AZ15&lt;&gt;""),'T_SelfStock'!AZ15,AY11-'Grid_Requirement'!AZ11+'Grid_TTAFOutgoing'!AZ11))</f>
        <v/>
      </c>
      <c r="BA11">
        <f>IF(COUNTIFS(T_StockCount[Part Name],$A11,T_StockCount[WeekIndex],52)&gt;0,SUMIFS(T_StockCount[CountedQty],T_StockCount[Part Name],$A11,T_StockCount[WeekIndex],52),IF(('T_SelfStock'!BA15&lt;&gt;""),'T_SelfStock'!BA15,AZ11-'Grid_Requirement'!BA11+'Grid_TTAFOutgoing'!BA11))</f>
        <v/>
      </c>
      <c r="BB11">
        <f>IF(COUNTIFS(T_StockCount[Part Name],$A11,T_StockCount[WeekIndex],53)&gt;0,SUMIFS(T_StockCount[CountedQty],T_StockCount[Part Name],$A11,T_StockCount[WeekIndex],53),IF(('T_SelfStock'!BB15&lt;&gt;""),'T_SelfStock'!BB15,BA11-'Grid_Requirement'!BB11+'Grid_TTAFOutgoing'!BB11))</f>
        <v/>
      </c>
      <c r="BC11">
        <f>IF(COUNTIFS(T_StockCount[Part Name],$A11,T_StockCount[WeekIndex],54)&gt;0,SUMIFS(T_StockCount[CountedQty],T_StockCount[Part Name],$A11,T_StockCount[WeekIndex],54),IF(('T_SelfStock'!BC15&lt;&gt;""),'T_SelfStock'!BC15,BB11-'Grid_Requirement'!BC11+'Grid_TTAFOutgoing'!BC11))</f>
        <v/>
      </c>
      <c r="BD11">
        <f>IF(COUNTIFS(T_StockCount[Part Name],$A11,T_StockCount[WeekIndex],55)&gt;0,SUMIFS(T_StockCount[CountedQty],T_StockCount[Part Name],$A11,T_StockCount[WeekIndex],55),IF(('T_SelfStock'!BD15&lt;&gt;""),'T_SelfStock'!BD15,BC11-'Grid_Requirement'!BD11+'Grid_TTAFOutgoing'!BD11))</f>
        <v/>
      </c>
      <c r="BE11">
        <f>IF(COUNTIFS(T_StockCount[Part Name],$A11,T_StockCount[WeekIndex],56)&gt;0,SUMIFS(T_StockCount[CountedQty],T_StockCount[Part Name],$A11,T_StockCount[WeekIndex],56),IF(('T_SelfStock'!BE15&lt;&gt;""),'T_SelfStock'!BE15,BD11-'Grid_Requirement'!BE11+'Grid_TTAFOutgoing'!BE11))</f>
        <v/>
      </c>
      <c r="BF11">
        <f>IF(COUNTIFS(T_StockCount[Part Name],$A11,T_StockCount[WeekIndex],57)&gt;0,SUMIFS(T_StockCount[CountedQty],T_StockCount[Part Name],$A11,T_StockCount[WeekIndex],57),IF(('T_SelfStock'!BF15&lt;&gt;""),'T_SelfStock'!BF15,BE11-'Grid_Requirement'!BF11+'Grid_TTAFOutgoing'!BF11))</f>
        <v/>
      </c>
      <c r="BG11">
        <f>IF(COUNTIFS(T_StockCount[Part Name],$A11,T_StockCount[WeekIndex],58)&gt;0,SUMIFS(T_StockCount[CountedQty],T_StockCount[Part Name],$A11,T_StockCount[WeekIndex],58),IF(('T_SelfStock'!BG15&lt;&gt;""),'T_SelfStock'!BG15,BF11-'Grid_Requirement'!BG11+'Grid_TTAFOutgoing'!BG11))</f>
        <v/>
      </c>
      <c r="BH11">
        <f>IF(COUNTIFS(T_StockCount[Part Name],$A11,T_StockCount[WeekIndex],59)&gt;0,SUMIFS(T_StockCount[CountedQty],T_StockCount[Part Name],$A11,T_StockCount[WeekIndex],59),IF(('T_SelfStock'!BH15&lt;&gt;""),'T_SelfStock'!BH15,BG11-'Grid_Requirement'!BH11+'Grid_TTAFOutgoing'!BH11))</f>
        <v/>
      </c>
      <c r="BI11">
        <f>IF(COUNTIFS(T_StockCount[Part Name],$A11,T_StockCount[WeekIndex],60)&gt;0,SUMIFS(T_StockCount[CountedQty],T_StockCount[Part Name],$A11,T_StockCount[WeekIndex],60),IF(('T_SelfStock'!BI15&lt;&gt;""),'T_SelfStock'!BI15,BH11-'Grid_Requirement'!BI11+'Grid_TTAFOutgoing'!BI11))</f>
        <v/>
      </c>
      <c r="BJ11">
        <f>IF(COUNTIFS(T_StockCount[Part Name],$A11,T_StockCount[WeekIndex],61)&gt;0,SUMIFS(T_StockCount[CountedQty],T_StockCount[Part Name],$A11,T_StockCount[WeekIndex],61),IF(('T_SelfStock'!BJ15&lt;&gt;""),'T_SelfStock'!BJ15,BI11-'Grid_Requirement'!BJ11+'Grid_TTAFOutgoing'!BJ11))</f>
        <v/>
      </c>
      <c r="BK11">
        <f>IF(COUNTIFS(T_StockCount[Part Name],$A11,T_StockCount[WeekIndex],62)&gt;0,SUMIFS(T_StockCount[CountedQty],T_StockCount[Part Name],$A11,T_StockCount[WeekIndex],62),IF(('T_SelfStock'!BK15&lt;&gt;""),'T_SelfStock'!BK15,BJ11-'Grid_Requirement'!BK11+'Grid_TTAFOutgoing'!BK11))</f>
        <v/>
      </c>
      <c r="BL11">
        <f>IF(COUNTIFS(T_StockCount[Part Name],$A11,T_StockCount[WeekIndex],63)&gt;0,SUMIFS(T_StockCount[CountedQty],T_StockCount[Part Name],$A11,T_StockCount[WeekIndex],63),IF(('T_SelfStock'!BL15&lt;&gt;""),'T_SelfStock'!BL15,BK11-'Grid_Requirement'!BL11+'Grid_TTAFOutgoing'!BL11))</f>
        <v/>
      </c>
      <c r="BM11">
        <f>IF(COUNTIFS(T_StockCount[Part Name],$A11,T_StockCount[WeekIndex],64)&gt;0,SUMIFS(T_StockCount[CountedQty],T_StockCount[Part Name],$A11,T_StockCount[WeekIndex],64),IF(('T_SelfStock'!BM15&lt;&gt;""),'T_SelfStock'!BM15,BL11-'Grid_Requirement'!BM11+'Grid_TTAFOutgoing'!BM11))</f>
        <v/>
      </c>
      <c r="BN11">
        <f>IF(COUNTIFS(T_StockCount[Part Name],$A11,T_StockCount[WeekIndex],65)&gt;0,SUMIFS(T_StockCount[CountedQty],T_StockCount[Part Name],$A11,T_StockCount[WeekIndex],65),IF(('T_SelfStock'!BN15&lt;&gt;""),'T_SelfStock'!BN15,BM11-'Grid_Requirement'!BN11+'Grid_TTAFOutgoing'!BN11))</f>
        <v/>
      </c>
      <c r="BO11">
        <f>IF(COUNTIFS(T_StockCount[Part Name],$A11,T_StockCount[WeekIndex],66)&gt;0,SUMIFS(T_StockCount[CountedQty],T_StockCount[Part Name],$A11,T_StockCount[WeekIndex],66),IF(('T_SelfStock'!BO15&lt;&gt;""),'T_SelfStock'!BO15,BN11-'Grid_Requirement'!BO11+'Grid_TTAFOutgoing'!BO11))</f>
        <v/>
      </c>
      <c r="BP11">
        <f>IF(COUNTIFS(T_StockCount[Part Name],$A11,T_StockCount[WeekIndex],67)&gt;0,SUMIFS(T_StockCount[CountedQty],T_StockCount[Part Name],$A11,T_StockCount[WeekIndex],67),IF(('T_SelfStock'!BP15&lt;&gt;""),'T_SelfStock'!BP15,BO11-'Grid_Requirement'!BP11+'Grid_TTAFOutgoing'!BP11))</f>
        <v/>
      </c>
      <c r="BQ11">
        <f>IF(COUNTIFS(T_StockCount[Part Name],$A11,T_StockCount[WeekIndex],68)&gt;0,SUMIFS(T_StockCount[CountedQty],T_StockCount[Part Name],$A11,T_StockCount[WeekIndex],68),IF(('T_SelfStock'!BQ15&lt;&gt;""),'T_SelfStock'!BQ15,BP11-'Grid_Requirement'!BQ11+'Grid_TTAFOutgoing'!BQ11))</f>
        <v/>
      </c>
      <c r="BR11">
        <f>IF(COUNTIFS(T_StockCount[Part Name],$A11,T_StockCount[WeekIndex],69)&gt;0,SUMIFS(T_StockCount[CountedQty],T_StockCount[Part Name],$A11,T_StockCount[WeekIndex],69),IF(('T_SelfStock'!BR15&lt;&gt;""),'T_SelfStock'!BR15,BQ11-'Grid_Requirement'!BR11+'Grid_TTAFOutgoing'!BR11))</f>
        <v/>
      </c>
      <c r="BS11">
        <f>IF(COUNTIFS(T_StockCount[Part Name],$A11,T_StockCount[WeekIndex],70)&gt;0,SUMIFS(T_StockCount[CountedQty],T_StockCount[Part Name],$A11,T_StockCount[WeekIndex],70),IF(('T_SelfStock'!BS15&lt;&gt;""),'T_SelfStock'!BS15,BR11-'Grid_Requirement'!BS11+'Grid_TTAFOutgoing'!BS11))</f>
        <v/>
      </c>
      <c r="BT11">
        <f>IF(COUNTIFS(T_StockCount[Part Name],$A11,T_StockCount[WeekIndex],71)&gt;0,SUMIFS(T_StockCount[CountedQty],T_StockCount[Part Name],$A11,T_StockCount[WeekIndex],71),IF(('T_SelfStock'!BT15&lt;&gt;""),'T_SelfStock'!BT15,BS11-'Grid_Requirement'!BT11+'Grid_TTAFOutgoing'!BT11))</f>
        <v/>
      </c>
      <c r="BU11">
        <f>IF(COUNTIFS(T_StockCount[Part Name],$A11,T_StockCount[WeekIndex],72)&gt;0,SUMIFS(T_StockCount[CountedQty],T_StockCount[Part Name],$A11,T_StockCount[WeekIndex],72),IF(('T_SelfStock'!BU15&lt;&gt;""),'T_SelfStock'!BU15,BT11-'Grid_Requirement'!BU11+'Grid_TTAFOutgoing'!BU11))</f>
        <v/>
      </c>
      <c r="BV11">
        <f>IF(COUNTIFS(T_StockCount[Part Name],$A11,T_StockCount[WeekIndex],73)&gt;0,SUMIFS(T_StockCount[CountedQty],T_StockCount[Part Name],$A11,T_StockCount[WeekIndex],73),IF(('T_SelfStock'!BV15&lt;&gt;""),'T_SelfStock'!BV15,BU11-'Grid_Requirement'!BV11+'Grid_TTAFOutgoing'!BV11))</f>
        <v/>
      </c>
      <c r="BW11">
        <f>IF(COUNTIFS(T_StockCount[Part Name],$A11,T_StockCount[WeekIndex],74)&gt;0,SUMIFS(T_StockCount[CountedQty],T_StockCount[Part Name],$A11,T_StockCount[WeekIndex],74),IF(('T_SelfStock'!BW15&lt;&gt;""),'T_SelfStock'!BW15,BV11-'Grid_Requirement'!BW11+'Grid_TTAFOutgoing'!BW11))</f>
        <v/>
      </c>
      <c r="BX11">
        <f>IF(COUNTIFS(T_StockCount[Part Name],$A11,T_StockCount[WeekIndex],75)&gt;0,SUMIFS(T_StockCount[CountedQty],T_StockCount[Part Name],$A11,T_StockCount[WeekIndex],75),IF(('T_SelfStock'!BX15&lt;&gt;""),'T_SelfStock'!BX15,BW11-'Grid_Requirement'!BX11+'Grid_TTAFOutgoing'!BX11))</f>
        <v/>
      </c>
      <c r="BY11">
        <f>IF(COUNTIFS(T_StockCount[Part Name],$A11,T_StockCount[WeekIndex],76)&gt;0,SUMIFS(T_StockCount[CountedQty],T_StockCount[Part Name],$A11,T_StockCount[WeekIndex],76),IF(('T_SelfStock'!BY15&lt;&gt;""),'T_SelfStock'!BY15,BX11-'Grid_Requirement'!BY11+'Grid_TTAFOutgoing'!BY11))</f>
        <v/>
      </c>
      <c r="BZ11">
        <f>IF(COUNTIFS(T_StockCount[Part Name],$A11,T_StockCount[WeekIndex],77)&gt;0,SUMIFS(T_StockCount[CountedQty],T_StockCount[Part Name],$A11,T_StockCount[WeekIndex],77),IF(('T_SelfStock'!BZ15&lt;&gt;""),'T_SelfStock'!BZ15,BY11-'Grid_Requirement'!BZ11+'Grid_TTAFOutgoing'!BZ11))</f>
        <v/>
      </c>
      <c r="CA11">
        <f>IF(COUNTIFS(T_StockCount[Part Name],$A11,T_StockCount[WeekIndex],78)&gt;0,SUMIFS(T_StockCount[CountedQty],T_StockCount[Part Name],$A11,T_StockCount[WeekIndex],78),IF(('T_SelfStock'!CA15&lt;&gt;""),'T_SelfStock'!CA15,BZ11-'Grid_Requirement'!CA11+'Grid_TTAFOutgoing'!CA11))</f>
        <v/>
      </c>
      <c r="CB11">
        <f>IF(COUNTIFS(T_StockCount[Part Name],$A11,T_StockCount[WeekIndex],79)&gt;0,SUMIFS(T_StockCount[CountedQty],T_StockCount[Part Name],$A11,T_StockCount[WeekIndex],79),IF(('T_SelfStock'!CB15&lt;&gt;""),'T_SelfStock'!CB15,CA11-'Grid_Requirement'!CB11+'Grid_TTAFOutgoing'!CB11))</f>
        <v/>
      </c>
      <c r="CC11">
        <f>IF(COUNTIFS(T_StockCount[Part Name],$A11,T_StockCount[WeekIndex],80)&gt;0,SUMIFS(T_StockCount[CountedQty],T_StockCount[Part Name],$A11,T_StockCount[WeekIndex],80),IF(('T_SelfStock'!CC15&lt;&gt;""),'T_SelfStock'!CC15,CB11-'Grid_Requirement'!CC11+'Grid_TTAFOutgoing'!CC11))</f>
        <v/>
      </c>
      <c r="CD11">
        <f>IF(COUNTIFS(T_StockCount[Part Name],$A11,T_StockCount[WeekIndex],81)&gt;0,SUMIFS(T_StockCount[CountedQty],T_StockCount[Part Name],$A11,T_StockCount[WeekIndex],81),IF(('T_SelfStock'!CD15&lt;&gt;""),'T_SelfStock'!CD15,CC11-'Grid_Requirement'!CD11+'Grid_TTAFOutgoing'!CD11))</f>
        <v/>
      </c>
      <c r="CE11">
        <f>IF(COUNTIFS(T_StockCount[Part Name],$A11,T_StockCount[WeekIndex],82)&gt;0,SUMIFS(T_StockCount[CountedQty],T_StockCount[Part Name],$A11,T_StockCount[WeekIndex],82),IF(('T_SelfStock'!CE15&lt;&gt;""),'T_SelfStock'!CE15,CD11-'Grid_Requirement'!CE11+'Grid_TTAFOutgoing'!CE11))</f>
        <v/>
      </c>
      <c r="CF11">
        <f>IF(COUNTIFS(T_StockCount[Part Name],$A11,T_StockCount[WeekIndex],83)&gt;0,SUMIFS(T_StockCount[CountedQty],T_StockCount[Part Name],$A11,T_StockCount[WeekIndex],83),IF(('T_SelfStock'!CF15&lt;&gt;""),'T_SelfStock'!CF15,CE11-'Grid_Requirement'!CF11+'Grid_TTAFOutgoing'!CF11))</f>
        <v/>
      </c>
      <c r="CG11">
        <f>IF(COUNTIFS(T_StockCount[Part Name],$A11,T_StockCount[WeekIndex],84)&gt;0,SUMIFS(T_StockCount[CountedQty],T_StockCount[Part Name],$A11,T_StockCount[WeekIndex],84),IF(('T_SelfStock'!CG15&lt;&gt;""),'T_SelfStock'!CG15,CF11-'Grid_Requirement'!CG11+'Grid_TTAFOutgoing'!CG11))</f>
        <v/>
      </c>
      <c r="CH11">
        <f>IF(COUNTIFS(T_StockCount[Part Name],$A11,T_StockCount[WeekIndex],85)&gt;0,SUMIFS(T_StockCount[CountedQty],T_StockCount[Part Name],$A11,T_StockCount[WeekIndex],85),IF(('T_SelfStock'!CH15&lt;&gt;""),'T_SelfStock'!CH15,CG11-'Grid_Requirement'!CH11+'Grid_TTAFOutgoing'!CH11))</f>
        <v/>
      </c>
      <c r="CI11">
        <f>IF(COUNTIFS(T_StockCount[Part Name],$A11,T_StockCount[WeekIndex],86)&gt;0,SUMIFS(T_StockCount[CountedQty],T_StockCount[Part Name],$A11,T_StockCount[WeekIndex],86),IF(('T_SelfStock'!CI15&lt;&gt;""),'T_SelfStock'!CI15,CH11-'Grid_Requirement'!CI11+'Grid_TTAFOutgoing'!CI11))</f>
        <v/>
      </c>
      <c r="CJ11">
        <f>IF(COUNTIFS(T_StockCount[Part Name],$A11,T_StockCount[WeekIndex],87)&gt;0,SUMIFS(T_StockCount[CountedQty],T_StockCount[Part Name],$A11,T_StockCount[WeekIndex],87),IF(('T_SelfStock'!CJ15&lt;&gt;""),'T_SelfStock'!CJ15,CI11-'Grid_Requirement'!CJ11+'Grid_TTAFOutgoing'!CJ11))</f>
        <v/>
      </c>
      <c r="CK11">
        <f>IF(COUNTIFS(T_StockCount[Part Name],$A11,T_StockCount[WeekIndex],88)&gt;0,SUMIFS(T_StockCount[CountedQty],T_StockCount[Part Name],$A11,T_StockCount[WeekIndex],88),IF(('T_SelfStock'!CK15&lt;&gt;""),'T_SelfStock'!CK15,CJ11-'Grid_Requirement'!CK11+'Grid_TTAFOutgoing'!CK11))</f>
        <v/>
      </c>
      <c r="CL11">
        <f>IF(COUNTIFS(T_StockCount[Part Name],$A11,T_StockCount[WeekIndex],89)&gt;0,SUMIFS(T_StockCount[CountedQty],T_StockCount[Part Name],$A11,T_StockCount[WeekIndex],89),IF(('T_SelfStock'!CL15&lt;&gt;""),'T_SelfStock'!CL15,CK11-'Grid_Requirement'!CL11+'Grid_TTAFOutgoing'!CL11))</f>
        <v/>
      </c>
      <c r="CM11">
        <f>IF(COUNTIFS(T_StockCount[Part Name],$A11,T_StockCount[WeekIndex],90)&gt;0,SUMIFS(T_StockCount[CountedQty],T_StockCount[Part Name],$A11,T_StockCount[WeekIndex],90),IF(('T_SelfStock'!CM15&lt;&gt;""),'T_SelfStock'!CM15,CL11-'Grid_Requirement'!CM11+'Grid_TTAFOutgoing'!CM11))</f>
        <v/>
      </c>
      <c r="CN11">
        <f>IF(COUNTIFS(T_StockCount[Part Name],$A11,T_StockCount[WeekIndex],91)&gt;0,SUMIFS(T_StockCount[CountedQty],T_StockCount[Part Name],$A11,T_StockCount[WeekIndex],91),IF(('T_SelfStock'!CN15&lt;&gt;""),'T_SelfStock'!CN15,CM11-'Grid_Requirement'!CN11+'Grid_TTAFOutgoing'!CN11))</f>
        <v/>
      </c>
      <c r="CO11">
        <f>IF(COUNTIFS(T_StockCount[Part Name],$A11,T_StockCount[WeekIndex],92)&gt;0,SUMIFS(T_StockCount[CountedQty],T_StockCount[Part Name],$A11,T_StockCount[WeekIndex],92),IF(('T_SelfStock'!CO15&lt;&gt;""),'T_SelfStock'!CO15,CN11-'Grid_Requirement'!CO11+'Grid_TTAFOutgoing'!CO11))</f>
        <v/>
      </c>
      <c r="CP11">
        <f>IF(COUNTIFS(T_StockCount[Part Name],$A11,T_StockCount[WeekIndex],93)&gt;0,SUMIFS(T_StockCount[CountedQty],T_StockCount[Part Name],$A11,T_StockCount[WeekIndex],93),IF(('T_SelfStock'!CP15&lt;&gt;""),'T_SelfStock'!CP15,CO11-'Grid_Requirement'!CP11+'Grid_TTAFOutgoing'!CP11))</f>
        <v/>
      </c>
      <c r="CQ11">
        <f>IF(COUNTIFS(T_StockCount[Part Name],$A11,T_StockCount[WeekIndex],94)&gt;0,SUMIFS(T_StockCount[CountedQty],T_StockCount[Part Name],$A11,T_StockCount[WeekIndex],94),IF(('T_SelfStock'!CQ15&lt;&gt;""),'T_SelfStock'!CQ15,CP11-'Grid_Requirement'!CQ11+'Grid_TTAFOutgoing'!CQ11))</f>
        <v/>
      </c>
      <c r="CR11">
        <f>IF(COUNTIFS(T_StockCount[Part Name],$A11,T_StockCount[WeekIndex],95)&gt;0,SUMIFS(T_StockCount[CountedQty],T_StockCount[Part Name],$A11,T_StockCount[WeekIndex],95),IF(('T_SelfStock'!CR15&lt;&gt;""),'T_SelfStock'!CR15,CQ11-'Grid_Requirement'!CR11+'Grid_TTAFOutgoing'!CR11))</f>
        <v/>
      </c>
      <c r="CS11">
        <f>IF(COUNTIFS(T_StockCount[Part Name],$A11,T_StockCount[WeekIndex],96)&gt;0,SUMIFS(T_StockCount[CountedQty],T_StockCount[Part Name],$A11,T_StockCount[WeekIndex],96),IF(('T_SelfStock'!CS15&lt;&gt;""),'T_SelfStock'!CS15,CR11-'Grid_Requirement'!CS11+'Grid_TTAFOutgoing'!CS11))</f>
        <v/>
      </c>
      <c r="CT11">
        <f>IF(COUNTIFS(T_StockCount[Part Name],$A11,T_StockCount[WeekIndex],97)&gt;0,SUMIFS(T_StockCount[CountedQty],T_StockCount[Part Name],$A11,T_StockCount[WeekIndex],97),IF(('T_SelfStock'!CT15&lt;&gt;""),'T_SelfStock'!CT15,CS11-'Grid_Requirement'!CT11+'Grid_TTAFOutgoing'!CT11))</f>
        <v/>
      </c>
      <c r="CU11">
        <f>IF(COUNTIFS(T_StockCount[Part Name],$A11,T_StockCount[WeekIndex],98)&gt;0,SUMIFS(T_StockCount[CountedQty],T_StockCount[Part Name],$A11,T_StockCount[WeekIndex],98),IF(('T_SelfStock'!CU15&lt;&gt;""),'T_SelfStock'!CU15,CT11-'Grid_Requirement'!CU11+'Grid_TTAFOutgoing'!CU11))</f>
        <v/>
      </c>
      <c r="CV11">
        <f>IF(COUNTIFS(T_StockCount[Part Name],$A11,T_StockCount[WeekIndex],99)&gt;0,SUMIFS(T_StockCount[CountedQty],T_StockCount[Part Name],$A11,T_StockCount[WeekIndex],99),IF(('T_SelfStock'!CV15&lt;&gt;""),'T_SelfStock'!CV15,CU11-'Grid_Requirement'!CV11+'Grid_TTAFOutgoing'!CV11))</f>
        <v/>
      </c>
      <c r="CW11">
        <f>IF(COUNTIFS(T_StockCount[Part Name],$A11,T_StockCount[WeekIndex],100)&gt;0,SUMIFS(T_StockCount[CountedQty],T_StockCount[Part Name],$A11,T_StockCount[WeekIndex],100),IF(('T_SelfStock'!CW15&lt;&gt;""),'T_SelfStock'!CW15,CV11-'Grid_Requirement'!CW11+'Grid_TTAFOutgoing'!CW11))</f>
        <v/>
      </c>
      <c r="CX11">
        <f>IF(COUNTIFS(T_StockCount[Part Name],$A11,T_StockCount[WeekIndex],101)&gt;0,SUMIFS(T_StockCount[CountedQty],T_StockCount[Part Name],$A11,T_StockCount[WeekIndex],101),IF(('T_SelfStock'!CX15&lt;&gt;""),'T_SelfStock'!CX15,CW11-'Grid_Requirement'!CX11+'Grid_TTAFOutgoing'!CX11))</f>
        <v/>
      </c>
      <c r="CY11">
        <f>IF(COUNTIFS(T_StockCount[Part Name],$A11,T_StockCount[WeekIndex],102)&gt;0,SUMIFS(T_StockCount[CountedQty],T_StockCount[Part Name],$A11,T_StockCount[WeekIndex],102),IF(('T_SelfStock'!CY15&lt;&gt;""),'T_SelfStock'!CY15,CX11-'Grid_Requirement'!CY11+'Grid_TTAFOutgoing'!CY11))</f>
        <v/>
      </c>
      <c r="CZ11">
        <f>IF(COUNTIFS(T_StockCount[Part Name],$A11,T_StockCount[WeekIndex],103)&gt;0,SUMIFS(T_StockCount[CountedQty],T_StockCount[Part Name],$A11,T_StockCount[WeekIndex],103),IF(('T_SelfStock'!CZ15&lt;&gt;""),'T_SelfStock'!CZ15,CY11-'Grid_Requirement'!CZ11+'Grid_TTAFOutgoing'!CZ11))</f>
        <v/>
      </c>
      <c r="DA11">
        <f>IF(COUNTIFS(T_StockCount[Part Name],$A11,T_StockCount[WeekIndex],104)&gt;0,SUMIFS(T_StockCount[CountedQty],T_StockCount[Part Name],$A11,T_StockCount[WeekIndex],104),IF(('T_SelfStock'!DA15&lt;&gt;""),'T_SelfStock'!DA15,CZ11-'Grid_Requirement'!DA11+'Grid_TTAFOutgoing'!DA11))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Name],$A12,T_StockCount[WeekIndex],1),IF(('T_SelfStock'!B16&lt;&gt;""),'T_SelfStock'!B16,IFERROR(INDEX(T_OpeningStock[Opening_Qty],MATCH($A12,T_OpeningStock[Part Name],0)),0)-'Grid_Requirement'!B12+'Grid_TTAFOutgoing'!B12))</f>
        <v/>
      </c>
      <c r="C12">
        <f>IF(COUNTIFS(T_StockCount[Part Name],$A12,T_StockCount[WeekIndex],2)&gt;0,SUMIFS(T_StockCount[CountedQty],T_StockCount[Part Name],$A12,T_StockCount[WeekIndex],2),IF(('T_SelfStock'!C16&lt;&gt;""),'T_SelfStock'!C16,B12-'Grid_Requirement'!C12+'Grid_TTAFOutgoing'!C12))</f>
        <v/>
      </c>
      <c r="D12">
        <f>IF(COUNTIFS(T_StockCount[Part Name],$A12,T_StockCount[WeekIndex],3)&gt;0,SUMIFS(T_StockCount[CountedQty],T_StockCount[Part Name],$A12,T_StockCount[WeekIndex],3),IF(('T_SelfStock'!D16&lt;&gt;""),'T_SelfStock'!D16,C12-'Grid_Requirement'!D12+'Grid_TTAFOutgoing'!D12))</f>
        <v/>
      </c>
      <c r="E12">
        <f>IF(COUNTIFS(T_StockCount[Part Name],$A12,T_StockCount[WeekIndex],4)&gt;0,SUMIFS(T_StockCount[CountedQty],T_StockCount[Part Name],$A12,T_StockCount[WeekIndex],4),IF(('T_SelfStock'!E16&lt;&gt;""),'T_SelfStock'!E16,D12-'Grid_Requirement'!E12+'Grid_TTAFOutgoing'!E12))</f>
        <v/>
      </c>
      <c r="F12">
        <f>IF(COUNTIFS(T_StockCount[Part Name],$A12,T_StockCount[WeekIndex],5)&gt;0,SUMIFS(T_StockCount[CountedQty],T_StockCount[Part Name],$A12,T_StockCount[WeekIndex],5),IF(('T_SelfStock'!F16&lt;&gt;""),'T_SelfStock'!F16,E12-'Grid_Requirement'!F12+'Grid_TTAFOutgoing'!F12))</f>
        <v/>
      </c>
      <c r="G12">
        <f>IF(COUNTIFS(T_StockCount[Part Name],$A12,T_StockCount[WeekIndex],6)&gt;0,SUMIFS(T_StockCount[CountedQty],T_StockCount[Part Name],$A12,T_StockCount[WeekIndex],6),IF(('T_SelfStock'!G16&lt;&gt;""),'T_SelfStock'!G16,F12-'Grid_Requirement'!G12+'Grid_TTAFOutgoing'!G12))</f>
        <v/>
      </c>
      <c r="H12">
        <f>IF(COUNTIFS(T_StockCount[Part Name],$A12,T_StockCount[WeekIndex],7)&gt;0,SUMIFS(T_StockCount[CountedQty],T_StockCount[Part Name],$A12,T_StockCount[WeekIndex],7),IF(('T_SelfStock'!H16&lt;&gt;""),'T_SelfStock'!H16,G12-'Grid_Requirement'!H12+'Grid_TTAFOutgoing'!H12))</f>
        <v/>
      </c>
      <c r="I12">
        <f>IF(COUNTIFS(T_StockCount[Part Name],$A12,T_StockCount[WeekIndex],8)&gt;0,SUMIFS(T_StockCount[CountedQty],T_StockCount[Part Name],$A12,T_StockCount[WeekIndex],8),IF(('T_SelfStock'!I16&lt;&gt;""),'T_SelfStock'!I16,H12-'Grid_Requirement'!I12+'Grid_TTAFOutgoing'!I12))</f>
        <v/>
      </c>
      <c r="J12">
        <f>IF(COUNTIFS(T_StockCount[Part Name],$A12,T_StockCount[WeekIndex],9)&gt;0,SUMIFS(T_StockCount[CountedQty],T_StockCount[Part Name],$A12,T_StockCount[WeekIndex],9),IF(('T_SelfStock'!J16&lt;&gt;""),'T_SelfStock'!J16,I12-'Grid_Requirement'!J12+'Grid_TTAFOutgoing'!J12))</f>
        <v/>
      </c>
      <c r="K12">
        <f>IF(COUNTIFS(T_StockCount[Part Name],$A12,T_StockCount[WeekIndex],10)&gt;0,SUMIFS(T_StockCount[CountedQty],T_StockCount[Part Name],$A12,T_StockCount[WeekIndex],10),IF(('T_SelfStock'!K16&lt;&gt;""),'T_SelfStock'!K16,J12-'Grid_Requirement'!K12+'Grid_TTAFOutgoing'!K12))</f>
        <v/>
      </c>
      <c r="L12">
        <f>IF(COUNTIFS(T_StockCount[Part Name],$A12,T_StockCount[WeekIndex],11)&gt;0,SUMIFS(T_StockCount[CountedQty],T_StockCount[Part Name],$A12,T_StockCount[WeekIndex],11),IF(('T_SelfStock'!L16&lt;&gt;""),'T_SelfStock'!L16,K12-'Grid_Requirement'!L12+'Grid_TTAFOutgoing'!L12))</f>
        <v/>
      </c>
      <c r="M12">
        <f>IF(COUNTIFS(T_StockCount[Part Name],$A12,T_StockCount[WeekIndex],12)&gt;0,SUMIFS(T_StockCount[CountedQty],T_StockCount[Part Name],$A12,T_StockCount[WeekIndex],12),IF(('T_SelfStock'!M16&lt;&gt;""),'T_SelfStock'!M16,L12-'Grid_Requirement'!M12+'Grid_TTAFOutgoing'!M12))</f>
        <v/>
      </c>
      <c r="N12">
        <f>IF(COUNTIFS(T_StockCount[Part Name],$A12,T_StockCount[WeekIndex],13)&gt;0,SUMIFS(T_StockCount[CountedQty],T_StockCount[Part Name],$A12,T_StockCount[WeekIndex],13),IF(('T_SelfStock'!N16&lt;&gt;""),'T_SelfStock'!N16,M12-'Grid_Requirement'!N12+'Grid_TTAFOutgoing'!N12))</f>
        <v/>
      </c>
      <c r="O12">
        <f>IF(COUNTIFS(T_StockCount[Part Name],$A12,T_StockCount[WeekIndex],14)&gt;0,SUMIFS(T_StockCount[CountedQty],T_StockCount[Part Name],$A12,T_StockCount[WeekIndex],14),IF(('T_SelfStock'!O16&lt;&gt;""),'T_SelfStock'!O16,N12-'Grid_Requirement'!O12+'Grid_TTAFOutgoing'!O12))</f>
        <v/>
      </c>
      <c r="P12">
        <f>IF(COUNTIFS(T_StockCount[Part Name],$A12,T_StockCount[WeekIndex],15)&gt;0,SUMIFS(T_StockCount[CountedQty],T_StockCount[Part Name],$A12,T_StockCount[WeekIndex],15),IF(('T_SelfStock'!P16&lt;&gt;""),'T_SelfStock'!P16,O12-'Grid_Requirement'!P12+'Grid_TTAFOutgoing'!P12))</f>
        <v/>
      </c>
      <c r="Q12">
        <f>IF(COUNTIFS(T_StockCount[Part Name],$A12,T_StockCount[WeekIndex],16)&gt;0,SUMIFS(T_StockCount[CountedQty],T_StockCount[Part Name],$A12,T_StockCount[WeekIndex],16),IF(('T_SelfStock'!Q16&lt;&gt;""),'T_SelfStock'!Q16,P12-'Grid_Requirement'!Q12+'Grid_TTAFOutgoing'!Q12))</f>
        <v/>
      </c>
      <c r="R12">
        <f>IF(COUNTIFS(T_StockCount[Part Name],$A12,T_StockCount[WeekIndex],17)&gt;0,SUMIFS(T_StockCount[CountedQty],T_StockCount[Part Name],$A12,T_StockCount[WeekIndex],17),IF(('T_SelfStock'!R16&lt;&gt;""),'T_SelfStock'!R16,Q12-'Grid_Requirement'!R12+'Grid_TTAFOutgoing'!R12))</f>
        <v/>
      </c>
      <c r="S12">
        <f>IF(COUNTIFS(T_StockCount[Part Name],$A12,T_StockCount[WeekIndex],18)&gt;0,SUMIFS(T_StockCount[CountedQty],T_StockCount[Part Name],$A12,T_StockCount[WeekIndex],18),IF(('T_SelfStock'!S16&lt;&gt;""),'T_SelfStock'!S16,R12-'Grid_Requirement'!S12+'Grid_TTAFOutgoing'!S12))</f>
        <v/>
      </c>
      <c r="T12">
        <f>IF(COUNTIFS(T_StockCount[Part Name],$A12,T_StockCount[WeekIndex],19)&gt;0,SUMIFS(T_StockCount[CountedQty],T_StockCount[Part Name],$A12,T_StockCount[WeekIndex],19),IF(('T_SelfStock'!T16&lt;&gt;""),'T_SelfStock'!T16,S12-'Grid_Requirement'!T12+'Grid_TTAFOutgoing'!T12))</f>
        <v/>
      </c>
      <c r="U12">
        <f>IF(COUNTIFS(T_StockCount[Part Name],$A12,T_StockCount[WeekIndex],20)&gt;0,SUMIFS(T_StockCount[CountedQty],T_StockCount[Part Name],$A12,T_StockCount[WeekIndex],20),IF(('T_SelfStock'!U16&lt;&gt;""),'T_SelfStock'!U16,T12-'Grid_Requirement'!U12+'Grid_TTAFOutgoing'!U12))</f>
        <v/>
      </c>
      <c r="V12">
        <f>IF(COUNTIFS(T_StockCount[Part Name],$A12,T_StockCount[WeekIndex],21)&gt;0,SUMIFS(T_StockCount[CountedQty],T_StockCount[Part Name],$A12,T_StockCount[WeekIndex],21),IF(('T_SelfStock'!V16&lt;&gt;""),'T_SelfStock'!V16,U12-'Grid_Requirement'!V12+'Grid_TTAFOutgoing'!V12))</f>
        <v/>
      </c>
      <c r="W12">
        <f>IF(COUNTIFS(T_StockCount[Part Name],$A12,T_StockCount[WeekIndex],22)&gt;0,SUMIFS(T_StockCount[CountedQty],T_StockCount[Part Name],$A12,T_StockCount[WeekIndex],22),IF(('T_SelfStock'!W16&lt;&gt;""),'T_SelfStock'!W16,V12-'Grid_Requirement'!W12+'Grid_TTAFOutgoing'!W12))</f>
        <v/>
      </c>
      <c r="X12">
        <f>IF(COUNTIFS(T_StockCount[Part Name],$A12,T_StockCount[WeekIndex],23)&gt;0,SUMIFS(T_StockCount[CountedQty],T_StockCount[Part Name],$A12,T_StockCount[WeekIndex],23),IF(('T_SelfStock'!X16&lt;&gt;""),'T_SelfStock'!X16,W12-'Grid_Requirement'!X12+'Grid_TTAFOutgoing'!X12))</f>
        <v/>
      </c>
      <c r="Y12">
        <f>IF(COUNTIFS(T_StockCount[Part Name],$A12,T_StockCount[WeekIndex],24)&gt;0,SUMIFS(T_StockCount[CountedQty],T_StockCount[Part Name],$A12,T_StockCount[WeekIndex],24),IF(('T_SelfStock'!Y16&lt;&gt;""),'T_SelfStock'!Y16,X12-'Grid_Requirement'!Y12+'Grid_TTAFOutgoing'!Y12))</f>
        <v/>
      </c>
      <c r="Z12">
        <f>IF(COUNTIFS(T_StockCount[Part Name],$A12,T_StockCount[WeekIndex],25)&gt;0,SUMIFS(T_StockCount[CountedQty],T_StockCount[Part Name],$A12,T_StockCount[WeekIndex],25),IF(('T_SelfStock'!Z16&lt;&gt;""),'T_SelfStock'!Z16,Y12-'Grid_Requirement'!Z12+'Grid_TTAFOutgoing'!Z12))</f>
        <v/>
      </c>
      <c r="AA12">
        <f>IF(COUNTIFS(T_StockCount[Part Name],$A12,T_StockCount[WeekIndex],26)&gt;0,SUMIFS(T_StockCount[CountedQty],T_StockCount[Part Name],$A12,T_StockCount[WeekIndex],26),IF(('T_SelfStock'!AA16&lt;&gt;""),'T_SelfStock'!AA16,Z12-'Grid_Requirement'!AA12+'Grid_TTAFOutgoing'!AA12))</f>
        <v/>
      </c>
      <c r="AB12">
        <f>IF(COUNTIFS(T_StockCount[Part Name],$A12,T_StockCount[WeekIndex],27)&gt;0,SUMIFS(T_StockCount[CountedQty],T_StockCount[Part Name],$A12,T_StockCount[WeekIndex],27),IF(('T_SelfStock'!AB16&lt;&gt;""),'T_SelfStock'!AB16,AA12-'Grid_Requirement'!AB12+'Grid_TTAFOutgoing'!AB12))</f>
        <v/>
      </c>
      <c r="AC12">
        <f>IF(COUNTIFS(T_StockCount[Part Name],$A12,T_StockCount[WeekIndex],28)&gt;0,SUMIFS(T_StockCount[CountedQty],T_StockCount[Part Name],$A12,T_StockCount[WeekIndex],28),IF(('T_SelfStock'!AC16&lt;&gt;""),'T_SelfStock'!AC16,AB12-'Grid_Requirement'!AC12+'Grid_TTAFOutgoing'!AC12))</f>
        <v/>
      </c>
      <c r="AD12">
        <f>IF(COUNTIFS(T_StockCount[Part Name],$A12,T_StockCount[WeekIndex],29)&gt;0,SUMIFS(T_StockCount[CountedQty],T_StockCount[Part Name],$A12,T_StockCount[WeekIndex],29),IF(('T_SelfStock'!AD16&lt;&gt;""),'T_SelfStock'!AD16,AC12-'Grid_Requirement'!AD12+'Grid_TTAFOutgoing'!AD12))</f>
        <v/>
      </c>
      <c r="AE12">
        <f>IF(COUNTIFS(T_StockCount[Part Name],$A12,T_StockCount[WeekIndex],30)&gt;0,SUMIFS(T_StockCount[CountedQty],T_StockCount[Part Name],$A12,T_StockCount[WeekIndex],30),IF(('T_SelfStock'!AE16&lt;&gt;""),'T_SelfStock'!AE16,AD12-'Grid_Requirement'!AE12+'Grid_TTAFOutgoing'!AE12))</f>
        <v/>
      </c>
      <c r="AF12">
        <f>IF(COUNTIFS(T_StockCount[Part Name],$A12,T_StockCount[WeekIndex],31)&gt;0,SUMIFS(T_StockCount[CountedQty],T_StockCount[Part Name],$A12,T_StockCount[WeekIndex],31),IF(('T_SelfStock'!AF16&lt;&gt;""),'T_SelfStock'!AF16,AE12-'Grid_Requirement'!AF12+'Grid_TTAFOutgoing'!AF12))</f>
        <v/>
      </c>
      <c r="AG12">
        <f>IF(COUNTIFS(T_StockCount[Part Name],$A12,T_StockCount[WeekIndex],32)&gt;0,SUMIFS(T_StockCount[CountedQty],T_StockCount[Part Name],$A12,T_StockCount[WeekIndex],32),IF(('T_SelfStock'!AG16&lt;&gt;""),'T_SelfStock'!AG16,AF12-'Grid_Requirement'!AG12+'Grid_TTAFOutgoing'!AG12))</f>
        <v/>
      </c>
      <c r="AH12">
        <f>IF(COUNTIFS(T_StockCount[Part Name],$A12,T_StockCount[WeekIndex],33)&gt;0,SUMIFS(T_StockCount[CountedQty],T_StockCount[Part Name],$A12,T_StockCount[WeekIndex],33),IF(('T_SelfStock'!AH16&lt;&gt;""),'T_SelfStock'!AH16,AG12-'Grid_Requirement'!AH12+'Grid_TTAFOutgoing'!AH12))</f>
        <v/>
      </c>
      <c r="AI12">
        <f>IF(COUNTIFS(T_StockCount[Part Name],$A12,T_StockCount[WeekIndex],34)&gt;0,SUMIFS(T_StockCount[CountedQty],T_StockCount[Part Name],$A12,T_StockCount[WeekIndex],34),IF(('T_SelfStock'!AI16&lt;&gt;""),'T_SelfStock'!AI16,AH12-'Grid_Requirement'!AI12+'Grid_TTAFOutgoing'!AI12))</f>
        <v/>
      </c>
      <c r="AJ12">
        <f>IF(COUNTIFS(T_StockCount[Part Name],$A12,T_StockCount[WeekIndex],35)&gt;0,SUMIFS(T_StockCount[CountedQty],T_StockCount[Part Name],$A12,T_StockCount[WeekIndex],35),IF(('T_SelfStock'!AJ16&lt;&gt;""),'T_SelfStock'!AJ16,AI12-'Grid_Requirement'!AJ12+'Grid_TTAFOutgoing'!AJ12))</f>
        <v/>
      </c>
      <c r="AK12">
        <f>IF(COUNTIFS(T_StockCount[Part Name],$A12,T_StockCount[WeekIndex],36)&gt;0,SUMIFS(T_StockCount[CountedQty],T_StockCount[Part Name],$A12,T_StockCount[WeekIndex],36),IF(('T_SelfStock'!AK16&lt;&gt;""),'T_SelfStock'!AK16,AJ12-'Grid_Requirement'!AK12+'Grid_TTAFOutgoing'!AK12))</f>
        <v/>
      </c>
      <c r="AL12">
        <f>IF(COUNTIFS(T_StockCount[Part Name],$A12,T_StockCount[WeekIndex],37)&gt;0,SUMIFS(T_StockCount[CountedQty],T_StockCount[Part Name],$A12,T_StockCount[WeekIndex],37),IF(('T_SelfStock'!AL16&lt;&gt;""),'T_SelfStock'!AL16,AK12-'Grid_Requirement'!AL12+'Grid_TTAFOutgoing'!AL12))</f>
        <v/>
      </c>
      <c r="AM12">
        <f>IF(COUNTIFS(T_StockCount[Part Name],$A12,T_StockCount[WeekIndex],38)&gt;0,SUMIFS(T_StockCount[CountedQty],T_StockCount[Part Name],$A12,T_StockCount[WeekIndex],38),IF(('T_SelfStock'!AM16&lt;&gt;""),'T_SelfStock'!AM16,AL12-'Grid_Requirement'!AM12+'Grid_TTAFOutgoing'!AM12))</f>
        <v/>
      </c>
      <c r="AN12">
        <f>IF(COUNTIFS(T_StockCount[Part Name],$A12,T_StockCount[WeekIndex],39)&gt;0,SUMIFS(T_StockCount[CountedQty],T_StockCount[Part Name],$A12,T_StockCount[WeekIndex],39),IF(('T_SelfStock'!AN16&lt;&gt;""),'T_SelfStock'!AN16,AM12-'Grid_Requirement'!AN12+'Grid_TTAFOutgoing'!AN12))</f>
        <v/>
      </c>
      <c r="AO12">
        <f>IF(COUNTIFS(T_StockCount[Part Name],$A12,T_StockCount[WeekIndex],40)&gt;0,SUMIFS(T_StockCount[CountedQty],T_StockCount[Part Name],$A12,T_StockCount[WeekIndex],40),IF(('T_SelfStock'!AO16&lt;&gt;""),'T_SelfStock'!AO16,AN12-'Grid_Requirement'!AO12+'Grid_TTAFOutgoing'!AO12))</f>
        <v/>
      </c>
      <c r="AP12">
        <f>IF(COUNTIFS(T_StockCount[Part Name],$A12,T_StockCount[WeekIndex],41)&gt;0,SUMIFS(T_StockCount[CountedQty],T_StockCount[Part Name],$A12,T_StockCount[WeekIndex],41),IF(('T_SelfStock'!AP16&lt;&gt;""),'T_SelfStock'!AP16,AO12-'Grid_Requirement'!AP12+'Grid_TTAFOutgoing'!AP12))</f>
        <v/>
      </c>
      <c r="AQ12">
        <f>IF(COUNTIFS(T_StockCount[Part Name],$A12,T_StockCount[WeekIndex],42)&gt;0,SUMIFS(T_StockCount[CountedQty],T_StockCount[Part Name],$A12,T_StockCount[WeekIndex],42),IF(('T_SelfStock'!AQ16&lt;&gt;""),'T_SelfStock'!AQ16,AP12-'Grid_Requirement'!AQ12+'Grid_TTAFOutgoing'!AQ12))</f>
        <v/>
      </c>
      <c r="AR12">
        <f>IF(COUNTIFS(T_StockCount[Part Name],$A12,T_StockCount[WeekIndex],43)&gt;0,SUMIFS(T_StockCount[CountedQty],T_StockCount[Part Name],$A12,T_StockCount[WeekIndex],43),IF(('T_SelfStock'!AR16&lt;&gt;""),'T_SelfStock'!AR16,AQ12-'Grid_Requirement'!AR12+'Grid_TTAFOutgoing'!AR12))</f>
        <v/>
      </c>
      <c r="AS12">
        <f>IF(COUNTIFS(T_StockCount[Part Name],$A12,T_StockCount[WeekIndex],44)&gt;0,SUMIFS(T_StockCount[CountedQty],T_StockCount[Part Name],$A12,T_StockCount[WeekIndex],44),IF(('T_SelfStock'!AS16&lt;&gt;""),'T_SelfStock'!AS16,AR12-'Grid_Requirement'!AS12+'Grid_TTAFOutgoing'!AS12))</f>
        <v/>
      </c>
      <c r="AT12">
        <f>IF(COUNTIFS(T_StockCount[Part Name],$A12,T_StockCount[WeekIndex],45)&gt;0,SUMIFS(T_StockCount[CountedQty],T_StockCount[Part Name],$A12,T_StockCount[WeekIndex],45),IF(('T_SelfStock'!AT16&lt;&gt;""),'T_SelfStock'!AT16,AS12-'Grid_Requirement'!AT12+'Grid_TTAFOutgoing'!AT12))</f>
        <v/>
      </c>
      <c r="AU12">
        <f>IF(COUNTIFS(T_StockCount[Part Name],$A12,T_StockCount[WeekIndex],46)&gt;0,SUMIFS(T_StockCount[CountedQty],T_StockCount[Part Name],$A12,T_StockCount[WeekIndex],46),IF(('T_SelfStock'!AU16&lt;&gt;""),'T_SelfStock'!AU16,AT12-'Grid_Requirement'!AU12+'Grid_TTAFOutgoing'!AU12))</f>
        <v/>
      </c>
      <c r="AV12">
        <f>IF(COUNTIFS(T_StockCount[Part Name],$A12,T_StockCount[WeekIndex],47)&gt;0,SUMIFS(T_StockCount[CountedQty],T_StockCount[Part Name],$A12,T_StockCount[WeekIndex],47),IF(('T_SelfStock'!AV16&lt;&gt;""),'T_SelfStock'!AV16,AU12-'Grid_Requirement'!AV12+'Grid_TTAFOutgoing'!AV12))</f>
        <v/>
      </c>
      <c r="AW12">
        <f>IF(COUNTIFS(T_StockCount[Part Name],$A12,T_StockCount[WeekIndex],48)&gt;0,SUMIFS(T_StockCount[CountedQty],T_StockCount[Part Name],$A12,T_StockCount[WeekIndex],48),IF(('T_SelfStock'!AW16&lt;&gt;""),'T_SelfStock'!AW16,AV12-'Grid_Requirement'!AW12+'Grid_TTAFOutgoing'!AW12))</f>
        <v/>
      </c>
      <c r="AX12">
        <f>IF(COUNTIFS(T_StockCount[Part Name],$A12,T_StockCount[WeekIndex],49)&gt;0,SUMIFS(T_StockCount[CountedQty],T_StockCount[Part Name],$A12,T_StockCount[WeekIndex],49),IF(('T_SelfStock'!AX16&lt;&gt;""),'T_SelfStock'!AX16,AW12-'Grid_Requirement'!AX12+'Grid_TTAFOutgoing'!AX12))</f>
        <v/>
      </c>
      <c r="AY12">
        <f>IF(COUNTIFS(T_StockCount[Part Name],$A12,T_StockCount[WeekIndex],50)&gt;0,SUMIFS(T_StockCount[CountedQty],T_StockCount[Part Name],$A12,T_StockCount[WeekIndex],50),IF(('T_SelfStock'!AY16&lt;&gt;""),'T_SelfStock'!AY16,AX12-'Grid_Requirement'!AY12+'Grid_TTAFOutgoing'!AY12))</f>
        <v/>
      </c>
      <c r="AZ12">
        <f>IF(COUNTIFS(T_StockCount[Part Name],$A12,T_StockCount[WeekIndex],51)&gt;0,SUMIFS(T_StockCount[CountedQty],T_StockCount[Part Name],$A12,T_StockCount[WeekIndex],51),IF(('T_SelfStock'!AZ16&lt;&gt;""),'T_SelfStock'!AZ16,AY12-'Grid_Requirement'!AZ12+'Grid_TTAFOutgoing'!AZ12))</f>
        <v/>
      </c>
      <c r="BA12">
        <f>IF(COUNTIFS(T_StockCount[Part Name],$A12,T_StockCount[WeekIndex],52)&gt;0,SUMIFS(T_StockCount[CountedQty],T_StockCount[Part Name],$A12,T_StockCount[WeekIndex],52),IF(('T_SelfStock'!BA16&lt;&gt;""),'T_SelfStock'!BA16,AZ12-'Grid_Requirement'!BA12+'Grid_TTAFOutgoing'!BA12))</f>
        <v/>
      </c>
      <c r="BB12">
        <f>IF(COUNTIFS(T_StockCount[Part Name],$A12,T_StockCount[WeekIndex],53)&gt;0,SUMIFS(T_StockCount[CountedQty],T_StockCount[Part Name],$A12,T_StockCount[WeekIndex],53),IF(('T_SelfStock'!BB16&lt;&gt;""),'T_SelfStock'!BB16,BA12-'Grid_Requirement'!BB12+'Grid_TTAFOutgoing'!BB12))</f>
        <v/>
      </c>
      <c r="BC12">
        <f>IF(COUNTIFS(T_StockCount[Part Name],$A12,T_StockCount[WeekIndex],54)&gt;0,SUMIFS(T_StockCount[CountedQty],T_StockCount[Part Name],$A12,T_StockCount[WeekIndex],54),IF(('T_SelfStock'!BC16&lt;&gt;""),'T_SelfStock'!BC16,BB12-'Grid_Requirement'!BC12+'Grid_TTAFOutgoing'!BC12))</f>
        <v/>
      </c>
      <c r="BD12">
        <f>IF(COUNTIFS(T_StockCount[Part Name],$A12,T_StockCount[WeekIndex],55)&gt;0,SUMIFS(T_StockCount[CountedQty],T_StockCount[Part Name],$A12,T_StockCount[WeekIndex],55),IF(('T_SelfStock'!BD16&lt;&gt;""),'T_SelfStock'!BD16,BC12-'Grid_Requirement'!BD12+'Grid_TTAFOutgoing'!BD12))</f>
        <v/>
      </c>
      <c r="BE12">
        <f>IF(COUNTIFS(T_StockCount[Part Name],$A12,T_StockCount[WeekIndex],56)&gt;0,SUMIFS(T_StockCount[CountedQty],T_StockCount[Part Name],$A12,T_StockCount[WeekIndex],56),IF(('T_SelfStock'!BE16&lt;&gt;""),'T_SelfStock'!BE16,BD12-'Grid_Requirement'!BE12+'Grid_TTAFOutgoing'!BE12))</f>
        <v/>
      </c>
      <c r="BF12">
        <f>IF(COUNTIFS(T_StockCount[Part Name],$A12,T_StockCount[WeekIndex],57)&gt;0,SUMIFS(T_StockCount[CountedQty],T_StockCount[Part Name],$A12,T_StockCount[WeekIndex],57),IF(('T_SelfStock'!BF16&lt;&gt;""),'T_SelfStock'!BF16,BE12-'Grid_Requirement'!BF12+'Grid_TTAFOutgoing'!BF12))</f>
        <v/>
      </c>
      <c r="BG12">
        <f>IF(COUNTIFS(T_StockCount[Part Name],$A12,T_StockCount[WeekIndex],58)&gt;0,SUMIFS(T_StockCount[CountedQty],T_StockCount[Part Name],$A12,T_StockCount[WeekIndex],58),IF(('T_SelfStock'!BG16&lt;&gt;""),'T_SelfStock'!BG16,BF12-'Grid_Requirement'!BG12+'Grid_TTAFOutgoing'!BG12))</f>
        <v/>
      </c>
      <c r="BH12">
        <f>IF(COUNTIFS(T_StockCount[Part Name],$A12,T_StockCount[WeekIndex],59)&gt;0,SUMIFS(T_StockCount[CountedQty],T_StockCount[Part Name],$A12,T_StockCount[WeekIndex],59),IF(('T_SelfStock'!BH16&lt;&gt;""),'T_SelfStock'!BH16,BG12-'Grid_Requirement'!BH12+'Grid_TTAFOutgoing'!BH12))</f>
        <v/>
      </c>
      <c r="BI12">
        <f>IF(COUNTIFS(T_StockCount[Part Name],$A12,T_StockCount[WeekIndex],60)&gt;0,SUMIFS(T_StockCount[CountedQty],T_StockCount[Part Name],$A12,T_StockCount[WeekIndex],60),IF(('T_SelfStock'!BI16&lt;&gt;""),'T_SelfStock'!BI16,BH12-'Grid_Requirement'!BI12+'Grid_TTAFOutgoing'!BI12))</f>
        <v/>
      </c>
      <c r="BJ12">
        <f>IF(COUNTIFS(T_StockCount[Part Name],$A12,T_StockCount[WeekIndex],61)&gt;0,SUMIFS(T_StockCount[CountedQty],T_StockCount[Part Name],$A12,T_StockCount[WeekIndex],61),IF(('T_SelfStock'!BJ16&lt;&gt;""),'T_SelfStock'!BJ16,BI12-'Grid_Requirement'!BJ12+'Grid_TTAFOutgoing'!BJ12))</f>
        <v/>
      </c>
      <c r="BK12">
        <f>IF(COUNTIFS(T_StockCount[Part Name],$A12,T_StockCount[WeekIndex],62)&gt;0,SUMIFS(T_StockCount[CountedQty],T_StockCount[Part Name],$A12,T_StockCount[WeekIndex],62),IF(('T_SelfStock'!BK16&lt;&gt;""),'T_SelfStock'!BK16,BJ12-'Grid_Requirement'!BK12+'Grid_TTAFOutgoing'!BK12))</f>
        <v/>
      </c>
      <c r="BL12">
        <f>IF(COUNTIFS(T_StockCount[Part Name],$A12,T_StockCount[WeekIndex],63)&gt;0,SUMIFS(T_StockCount[CountedQty],T_StockCount[Part Name],$A12,T_StockCount[WeekIndex],63),IF(('T_SelfStock'!BL16&lt;&gt;""),'T_SelfStock'!BL16,BK12-'Grid_Requirement'!BL12+'Grid_TTAFOutgoing'!BL12))</f>
        <v/>
      </c>
      <c r="BM12">
        <f>IF(COUNTIFS(T_StockCount[Part Name],$A12,T_StockCount[WeekIndex],64)&gt;0,SUMIFS(T_StockCount[CountedQty],T_StockCount[Part Name],$A12,T_StockCount[WeekIndex],64),IF(('T_SelfStock'!BM16&lt;&gt;""),'T_SelfStock'!BM16,BL12-'Grid_Requirement'!BM12+'Grid_TTAFOutgoing'!BM12))</f>
        <v/>
      </c>
      <c r="BN12">
        <f>IF(COUNTIFS(T_StockCount[Part Name],$A12,T_StockCount[WeekIndex],65)&gt;0,SUMIFS(T_StockCount[CountedQty],T_StockCount[Part Name],$A12,T_StockCount[WeekIndex],65),IF(('T_SelfStock'!BN16&lt;&gt;""),'T_SelfStock'!BN16,BM12-'Grid_Requirement'!BN12+'Grid_TTAFOutgoing'!BN12))</f>
        <v/>
      </c>
      <c r="BO12">
        <f>IF(COUNTIFS(T_StockCount[Part Name],$A12,T_StockCount[WeekIndex],66)&gt;0,SUMIFS(T_StockCount[CountedQty],T_StockCount[Part Name],$A12,T_StockCount[WeekIndex],66),IF(('T_SelfStock'!BO16&lt;&gt;""),'T_SelfStock'!BO16,BN12-'Grid_Requirement'!BO12+'Grid_TTAFOutgoing'!BO12))</f>
        <v/>
      </c>
      <c r="BP12">
        <f>IF(COUNTIFS(T_StockCount[Part Name],$A12,T_StockCount[WeekIndex],67)&gt;0,SUMIFS(T_StockCount[CountedQty],T_StockCount[Part Name],$A12,T_StockCount[WeekIndex],67),IF(('T_SelfStock'!BP16&lt;&gt;""),'T_SelfStock'!BP16,BO12-'Grid_Requirement'!BP12+'Grid_TTAFOutgoing'!BP12))</f>
        <v/>
      </c>
      <c r="BQ12">
        <f>IF(COUNTIFS(T_StockCount[Part Name],$A12,T_StockCount[WeekIndex],68)&gt;0,SUMIFS(T_StockCount[CountedQty],T_StockCount[Part Name],$A12,T_StockCount[WeekIndex],68),IF(('T_SelfStock'!BQ16&lt;&gt;""),'T_SelfStock'!BQ16,BP12-'Grid_Requirement'!BQ12+'Grid_TTAFOutgoing'!BQ12))</f>
        <v/>
      </c>
      <c r="BR12">
        <f>IF(COUNTIFS(T_StockCount[Part Name],$A12,T_StockCount[WeekIndex],69)&gt;0,SUMIFS(T_StockCount[CountedQty],T_StockCount[Part Name],$A12,T_StockCount[WeekIndex],69),IF(('T_SelfStock'!BR16&lt;&gt;""),'T_SelfStock'!BR16,BQ12-'Grid_Requirement'!BR12+'Grid_TTAFOutgoing'!BR12))</f>
        <v/>
      </c>
      <c r="BS12">
        <f>IF(COUNTIFS(T_StockCount[Part Name],$A12,T_StockCount[WeekIndex],70)&gt;0,SUMIFS(T_StockCount[CountedQty],T_StockCount[Part Name],$A12,T_StockCount[WeekIndex],70),IF(('T_SelfStock'!BS16&lt;&gt;""),'T_SelfStock'!BS16,BR12-'Grid_Requirement'!BS12+'Grid_TTAFOutgoing'!BS12))</f>
        <v/>
      </c>
      <c r="BT12">
        <f>IF(COUNTIFS(T_StockCount[Part Name],$A12,T_StockCount[WeekIndex],71)&gt;0,SUMIFS(T_StockCount[CountedQty],T_StockCount[Part Name],$A12,T_StockCount[WeekIndex],71),IF(('T_SelfStock'!BT16&lt;&gt;""),'T_SelfStock'!BT16,BS12-'Grid_Requirement'!BT12+'Grid_TTAFOutgoing'!BT12))</f>
        <v/>
      </c>
      <c r="BU12">
        <f>IF(COUNTIFS(T_StockCount[Part Name],$A12,T_StockCount[WeekIndex],72)&gt;0,SUMIFS(T_StockCount[CountedQty],T_StockCount[Part Name],$A12,T_StockCount[WeekIndex],72),IF(('T_SelfStock'!BU16&lt;&gt;""),'T_SelfStock'!BU16,BT12-'Grid_Requirement'!BU12+'Grid_TTAFOutgoing'!BU12))</f>
        <v/>
      </c>
      <c r="BV12">
        <f>IF(COUNTIFS(T_StockCount[Part Name],$A12,T_StockCount[WeekIndex],73)&gt;0,SUMIFS(T_StockCount[CountedQty],T_StockCount[Part Name],$A12,T_StockCount[WeekIndex],73),IF(('T_SelfStock'!BV16&lt;&gt;""),'T_SelfStock'!BV16,BU12-'Grid_Requirement'!BV12+'Grid_TTAFOutgoing'!BV12))</f>
        <v/>
      </c>
      <c r="BW12">
        <f>IF(COUNTIFS(T_StockCount[Part Name],$A12,T_StockCount[WeekIndex],74)&gt;0,SUMIFS(T_StockCount[CountedQty],T_StockCount[Part Name],$A12,T_StockCount[WeekIndex],74),IF(('T_SelfStock'!BW16&lt;&gt;""),'T_SelfStock'!BW16,BV12-'Grid_Requirement'!BW12+'Grid_TTAFOutgoing'!BW12))</f>
        <v/>
      </c>
      <c r="BX12">
        <f>IF(COUNTIFS(T_StockCount[Part Name],$A12,T_StockCount[WeekIndex],75)&gt;0,SUMIFS(T_StockCount[CountedQty],T_StockCount[Part Name],$A12,T_StockCount[WeekIndex],75),IF(('T_SelfStock'!BX16&lt;&gt;""),'T_SelfStock'!BX16,BW12-'Grid_Requirement'!BX12+'Grid_TTAFOutgoing'!BX12))</f>
        <v/>
      </c>
      <c r="BY12">
        <f>IF(COUNTIFS(T_StockCount[Part Name],$A12,T_StockCount[WeekIndex],76)&gt;0,SUMIFS(T_StockCount[CountedQty],T_StockCount[Part Name],$A12,T_StockCount[WeekIndex],76),IF(('T_SelfStock'!BY16&lt;&gt;""),'T_SelfStock'!BY16,BX12-'Grid_Requirement'!BY12+'Grid_TTAFOutgoing'!BY12))</f>
        <v/>
      </c>
      <c r="BZ12">
        <f>IF(COUNTIFS(T_StockCount[Part Name],$A12,T_StockCount[WeekIndex],77)&gt;0,SUMIFS(T_StockCount[CountedQty],T_StockCount[Part Name],$A12,T_StockCount[WeekIndex],77),IF(('T_SelfStock'!BZ16&lt;&gt;""),'T_SelfStock'!BZ16,BY12-'Grid_Requirement'!BZ12+'Grid_TTAFOutgoing'!BZ12))</f>
        <v/>
      </c>
      <c r="CA12">
        <f>IF(COUNTIFS(T_StockCount[Part Name],$A12,T_StockCount[WeekIndex],78)&gt;0,SUMIFS(T_StockCount[CountedQty],T_StockCount[Part Name],$A12,T_StockCount[WeekIndex],78),IF(('T_SelfStock'!CA16&lt;&gt;""),'T_SelfStock'!CA16,BZ12-'Grid_Requirement'!CA12+'Grid_TTAFOutgoing'!CA12))</f>
        <v/>
      </c>
      <c r="CB12">
        <f>IF(COUNTIFS(T_StockCount[Part Name],$A12,T_StockCount[WeekIndex],79)&gt;0,SUMIFS(T_StockCount[CountedQty],T_StockCount[Part Name],$A12,T_StockCount[WeekIndex],79),IF(('T_SelfStock'!CB16&lt;&gt;""),'T_SelfStock'!CB16,CA12-'Grid_Requirement'!CB12+'Grid_TTAFOutgoing'!CB12))</f>
        <v/>
      </c>
      <c r="CC12">
        <f>IF(COUNTIFS(T_StockCount[Part Name],$A12,T_StockCount[WeekIndex],80)&gt;0,SUMIFS(T_StockCount[CountedQty],T_StockCount[Part Name],$A12,T_StockCount[WeekIndex],80),IF(('T_SelfStock'!CC16&lt;&gt;""),'T_SelfStock'!CC16,CB12-'Grid_Requirement'!CC12+'Grid_TTAFOutgoing'!CC12))</f>
        <v/>
      </c>
      <c r="CD12">
        <f>IF(COUNTIFS(T_StockCount[Part Name],$A12,T_StockCount[WeekIndex],81)&gt;0,SUMIFS(T_StockCount[CountedQty],T_StockCount[Part Name],$A12,T_StockCount[WeekIndex],81),IF(('T_SelfStock'!CD16&lt;&gt;""),'T_SelfStock'!CD16,CC12-'Grid_Requirement'!CD12+'Grid_TTAFOutgoing'!CD12))</f>
        <v/>
      </c>
      <c r="CE12">
        <f>IF(COUNTIFS(T_StockCount[Part Name],$A12,T_StockCount[WeekIndex],82)&gt;0,SUMIFS(T_StockCount[CountedQty],T_StockCount[Part Name],$A12,T_StockCount[WeekIndex],82),IF(('T_SelfStock'!CE16&lt;&gt;""),'T_SelfStock'!CE16,CD12-'Grid_Requirement'!CE12+'Grid_TTAFOutgoing'!CE12))</f>
        <v/>
      </c>
      <c r="CF12">
        <f>IF(COUNTIFS(T_StockCount[Part Name],$A12,T_StockCount[WeekIndex],83)&gt;0,SUMIFS(T_StockCount[CountedQty],T_StockCount[Part Name],$A12,T_StockCount[WeekIndex],83),IF(('T_SelfStock'!CF16&lt;&gt;""),'T_SelfStock'!CF16,CE12-'Grid_Requirement'!CF12+'Grid_TTAFOutgoing'!CF12))</f>
        <v/>
      </c>
      <c r="CG12">
        <f>IF(COUNTIFS(T_StockCount[Part Name],$A12,T_StockCount[WeekIndex],84)&gt;0,SUMIFS(T_StockCount[CountedQty],T_StockCount[Part Name],$A12,T_StockCount[WeekIndex],84),IF(('T_SelfStock'!CG16&lt;&gt;""),'T_SelfStock'!CG16,CF12-'Grid_Requirement'!CG12+'Grid_TTAFOutgoing'!CG12))</f>
        <v/>
      </c>
      <c r="CH12">
        <f>IF(COUNTIFS(T_StockCount[Part Name],$A12,T_StockCount[WeekIndex],85)&gt;0,SUMIFS(T_StockCount[CountedQty],T_StockCount[Part Name],$A12,T_StockCount[WeekIndex],85),IF(('T_SelfStock'!CH16&lt;&gt;""),'T_SelfStock'!CH16,CG12-'Grid_Requirement'!CH12+'Grid_TTAFOutgoing'!CH12))</f>
        <v/>
      </c>
      <c r="CI12">
        <f>IF(COUNTIFS(T_StockCount[Part Name],$A12,T_StockCount[WeekIndex],86)&gt;0,SUMIFS(T_StockCount[CountedQty],T_StockCount[Part Name],$A12,T_StockCount[WeekIndex],86),IF(('T_SelfStock'!CI16&lt;&gt;""),'T_SelfStock'!CI16,CH12-'Grid_Requirement'!CI12+'Grid_TTAFOutgoing'!CI12))</f>
        <v/>
      </c>
      <c r="CJ12">
        <f>IF(COUNTIFS(T_StockCount[Part Name],$A12,T_StockCount[WeekIndex],87)&gt;0,SUMIFS(T_StockCount[CountedQty],T_StockCount[Part Name],$A12,T_StockCount[WeekIndex],87),IF(('T_SelfStock'!CJ16&lt;&gt;""),'T_SelfStock'!CJ16,CI12-'Grid_Requirement'!CJ12+'Grid_TTAFOutgoing'!CJ12))</f>
        <v/>
      </c>
      <c r="CK12">
        <f>IF(COUNTIFS(T_StockCount[Part Name],$A12,T_StockCount[WeekIndex],88)&gt;0,SUMIFS(T_StockCount[CountedQty],T_StockCount[Part Name],$A12,T_StockCount[WeekIndex],88),IF(('T_SelfStock'!CK16&lt;&gt;""),'T_SelfStock'!CK16,CJ12-'Grid_Requirement'!CK12+'Grid_TTAFOutgoing'!CK12))</f>
        <v/>
      </c>
      <c r="CL12">
        <f>IF(COUNTIFS(T_StockCount[Part Name],$A12,T_StockCount[WeekIndex],89)&gt;0,SUMIFS(T_StockCount[CountedQty],T_StockCount[Part Name],$A12,T_StockCount[WeekIndex],89),IF(('T_SelfStock'!CL16&lt;&gt;""),'T_SelfStock'!CL16,CK12-'Grid_Requirement'!CL12+'Grid_TTAFOutgoing'!CL12))</f>
        <v/>
      </c>
      <c r="CM12">
        <f>IF(COUNTIFS(T_StockCount[Part Name],$A12,T_StockCount[WeekIndex],90)&gt;0,SUMIFS(T_StockCount[CountedQty],T_StockCount[Part Name],$A12,T_StockCount[WeekIndex],90),IF(('T_SelfStock'!CM16&lt;&gt;""),'T_SelfStock'!CM16,CL12-'Grid_Requirement'!CM12+'Grid_TTAFOutgoing'!CM12))</f>
        <v/>
      </c>
      <c r="CN12">
        <f>IF(COUNTIFS(T_StockCount[Part Name],$A12,T_StockCount[WeekIndex],91)&gt;0,SUMIFS(T_StockCount[CountedQty],T_StockCount[Part Name],$A12,T_StockCount[WeekIndex],91),IF(('T_SelfStock'!CN16&lt;&gt;""),'T_SelfStock'!CN16,CM12-'Grid_Requirement'!CN12+'Grid_TTAFOutgoing'!CN12))</f>
        <v/>
      </c>
      <c r="CO12">
        <f>IF(COUNTIFS(T_StockCount[Part Name],$A12,T_StockCount[WeekIndex],92)&gt;0,SUMIFS(T_StockCount[CountedQty],T_StockCount[Part Name],$A12,T_StockCount[WeekIndex],92),IF(('T_SelfStock'!CO16&lt;&gt;""),'T_SelfStock'!CO16,CN12-'Grid_Requirement'!CO12+'Grid_TTAFOutgoing'!CO12))</f>
        <v/>
      </c>
      <c r="CP12">
        <f>IF(COUNTIFS(T_StockCount[Part Name],$A12,T_StockCount[WeekIndex],93)&gt;0,SUMIFS(T_StockCount[CountedQty],T_StockCount[Part Name],$A12,T_StockCount[WeekIndex],93),IF(('T_SelfStock'!CP16&lt;&gt;""),'T_SelfStock'!CP16,CO12-'Grid_Requirement'!CP12+'Grid_TTAFOutgoing'!CP12))</f>
        <v/>
      </c>
      <c r="CQ12">
        <f>IF(COUNTIFS(T_StockCount[Part Name],$A12,T_StockCount[WeekIndex],94)&gt;0,SUMIFS(T_StockCount[CountedQty],T_StockCount[Part Name],$A12,T_StockCount[WeekIndex],94),IF(('T_SelfStock'!CQ16&lt;&gt;""),'T_SelfStock'!CQ16,CP12-'Grid_Requirement'!CQ12+'Grid_TTAFOutgoing'!CQ12))</f>
        <v/>
      </c>
      <c r="CR12">
        <f>IF(COUNTIFS(T_StockCount[Part Name],$A12,T_StockCount[WeekIndex],95)&gt;0,SUMIFS(T_StockCount[CountedQty],T_StockCount[Part Name],$A12,T_StockCount[WeekIndex],95),IF(('T_SelfStock'!CR16&lt;&gt;""),'T_SelfStock'!CR16,CQ12-'Grid_Requirement'!CR12+'Grid_TTAFOutgoing'!CR12))</f>
        <v/>
      </c>
      <c r="CS12">
        <f>IF(COUNTIFS(T_StockCount[Part Name],$A12,T_StockCount[WeekIndex],96)&gt;0,SUMIFS(T_StockCount[CountedQty],T_StockCount[Part Name],$A12,T_StockCount[WeekIndex],96),IF(('T_SelfStock'!CS16&lt;&gt;""),'T_SelfStock'!CS16,CR12-'Grid_Requirement'!CS12+'Grid_TTAFOutgoing'!CS12))</f>
        <v/>
      </c>
      <c r="CT12">
        <f>IF(COUNTIFS(T_StockCount[Part Name],$A12,T_StockCount[WeekIndex],97)&gt;0,SUMIFS(T_StockCount[CountedQty],T_StockCount[Part Name],$A12,T_StockCount[WeekIndex],97),IF(('T_SelfStock'!CT16&lt;&gt;""),'T_SelfStock'!CT16,CS12-'Grid_Requirement'!CT12+'Grid_TTAFOutgoing'!CT12))</f>
        <v/>
      </c>
      <c r="CU12">
        <f>IF(COUNTIFS(T_StockCount[Part Name],$A12,T_StockCount[WeekIndex],98)&gt;0,SUMIFS(T_StockCount[CountedQty],T_StockCount[Part Name],$A12,T_StockCount[WeekIndex],98),IF(('T_SelfStock'!CU16&lt;&gt;""),'T_SelfStock'!CU16,CT12-'Grid_Requirement'!CU12+'Grid_TTAFOutgoing'!CU12))</f>
        <v/>
      </c>
      <c r="CV12">
        <f>IF(COUNTIFS(T_StockCount[Part Name],$A12,T_StockCount[WeekIndex],99)&gt;0,SUMIFS(T_StockCount[CountedQty],T_StockCount[Part Name],$A12,T_StockCount[WeekIndex],99),IF(('T_SelfStock'!CV16&lt;&gt;""),'T_SelfStock'!CV16,CU12-'Grid_Requirement'!CV12+'Grid_TTAFOutgoing'!CV12))</f>
        <v/>
      </c>
      <c r="CW12">
        <f>IF(COUNTIFS(T_StockCount[Part Name],$A12,T_StockCount[WeekIndex],100)&gt;0,SUMIFS(T_StockCount[CountedQty],T_StockCount[Part Name],$A12,T_StockCount[WeekIndex],100),IF(('T_SelfStock'!CW16&lt;&gt;""),'T_SelfStock'!CW16,CV12-'Grid_Requirement'!CW12+'Grid_TTAFOutgoing'!CW12))</f>
        <v/>
      </c>
      <c r="CX12">
        <f>IF(COUNTIFS(T_StockCount[Part Name],$A12,T_StockCount[WeekIndex],101)&gt;0,SUMIFS(T_StockCount[CountedQty],T_StockCount[Part Name],$A12,T_StockCount[WeekIndex],101),IF(('T_SelfStock'!CX16&lt;&gt;""),'T_SelfStock'!CX16,CW12-'Grid_Requirement'!CX12+'Grid_TTAFOutgoing'!CX12))</f>
        <v/>
      </c>
      <c r="CY12">
        <f>IF(COUNTIFS(T_StockCount[Part Name],$A12,T_StockCount[WeekIndex],102)&gt;0,SUMIFS(T_StockCount[CountedQty],T_StockCount[Part Name],$A12,T_StockCount[WeekIndex],102),IF(('T_SelfStock'!CY16&lt;&gt;""),'T_SelfStock'!CY16,CX12-'Grid_Requirement'!CY12+'Grid_TTAFOutgoing'!CY12))</f>
        <v/>
      </c>
      <c r="CZ12">
        <f>IF(COUNTIFS(T_StockCount[Part Name],$A12,T_StockCount[WeekIndex],103)&gt;0,SUMIFS(T_StockCount[CountedQty],T_StockCount[Part Name],$A12,T_StockCount[WeekIndex],103),IF(('T_SelfStock'!CZ16&lt;&gt;""),'T_SelfStock'!CZ16,CY12-'Grid_Requirement'!CZ12+'Grid_TTAFOutgoing'!CZ12))</f>
        <v/>
      </c>
      <c r="DA12">
        <f>IF(COUNTIFS(T_StockCount[Part Name],$A12,T_StockCount[WeekIndex],104)&gt;0,SUMIFS(T_StockCount[CountedQty],T_StockCount[Part Name],$A12,T_StockCount[WeekIndex],104),IF(('T_SelfStock'!DA16&lt;&gt;""),'T_SelfStock'!DA16,CZ12-'Grid_Requirement'!DA12+'Grid_TTAFOutgoing'!DA12))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Name],$A13,T_StockCount[WeekIndex],1),IF(('T_SelfStock'!B17&lt;&gt;""),'T_SelfStock'!B17,IFERROR(INDEX(T_OpeningStock[Opening_Qty],MATCH($A13,T_OpeningStock[Part Name],0)),0)-'Grid_Requirement'!B13+'Grid_TTAFOutgoing'!B13))</f>
        <v/>
      </c>
      <c r="C13">
        <f>IF(COUNTIFS(T_StockCount[Part Name],$A13,T_StockCount[WeekIndex],2)&gt;0,SUMIFS(T_StockCount[CountedQty],T_StockCount[Part Name],$A13,T_StockCount[WeekIndex],2),IF(('T_SelfStock'!C17&lt;&gt;""),'T_SelfStock'!C17,B13-'Grid_Requirement'!C13+'Grid_TTAFOutgoing'!C13))</f>
        <v/>
      </c>
      <c r="D13">
        <f>IF(COUNTIFS(T_StockCount[Part Name],$A13,T_StockCount[WeekIndex],3)&gt;0,SUMIFS(T_StockCount[CountedQty],T_StockCount[Part Name],$A13,T_StockCount[WeekIndex],3),IF(('T_SelfStock'!D17&lt;&gt;""),'T_SelfStock'!D17,C13-'Grid_Requirement'!D13+'Grid_TTAFOutgoing'!D13))</f>
        <v/>
      </c>
      <c r="E13">
        <f>IF(COUNTIFS(T_StockCount[Part Name],$A13,T_StockCount[WeekIndex],4)&gt;0,SUMIFS(T_StockCount[CountedQty],T_StockCount[Part Name],$A13,T_StockCount[WeekIndex],4),IF(('T_SelfStock'!E17&lt;&gt;""),'T_SelfStock'!E17,D13-'Grid_Requirement'!E13+'Grid_TTAFOutgoing'!E13))</f>
        <v/>
      </c>
      <c r="F13">
        <f>IF(COUNTIFS(T_StockCount[Part Name],$A13,T_StockCount[WeekIndex],5)&gt;0,SUMIFS(T_StockCount[CountedQty],T_StockCount[Part Name],$A13,T_StockCount[WeekIndex],5),IF(('T_SelfStock'!F17&lt;&gt;""),'T_SelfStock'!F17,E13-'Grid_Requirement'!F13+'Grid_TTAFOutgoing'!F13))</f>
        <v/>
      </c>
      <c r="G13">
        <f>IF(COUNTIFS(T_StockCount[Part Name],$A13,T_StockCount[WeekIndex],6)&gt;0,SUMIFS(T_StockCount[CountedQty],T_StockCount[Part Name],$A13,T_StockCount[WeekIndex],6),IF(('T_SelfStock'!G17&lt;&gt;""),'T_SelfStock'!G17,F13-'Grid_Requirement'!G13+'Grid_TTAFOutgoing'!G13))</f>
        <v/>
      </c>
      <c r="H13">
        <f>IF(COUNTIFS(T_StockCount[Part Name],$A13,T_StockCount[WeekIndex],7)&gt;0,SUMIFS(T_StockCount[CountedQty],T_StockCount[Part Name],$A13,T_StockCount[WeekIndex],7),IF(('T_SelfStock'!H17&lt;&gt;""),'T_SelfStock'!H17,G13-'Grid_Requirement'!H13+'Grid_TTAFOutgoing'!H13))</f>
        <v/>
      </c>
      <c r="I13">
        <f>IF(COUNTIFS(T_StockCount[Part Name],$A13,T_StockCount[WeekIndex],8)&gt;0,SUMIFS(T_StockCount[CountedQty],T_StockCount[Part Name],$A13,T_StockCount[WeekIndex],8),IF(('T_SelfStock'!I17&lt;&gt;""),'T_SelfStock'!I17,H13-'Grid_Requirement'!I13+'Grid_TTAFOutgoing'!I13))</f>
        <v/>
      </c>
      <c r="J13">
        <f>IF(COUNTIFS(T_StockCount[Part Name],$A13,T_StockCount[WeekIndex],9)&gt;0,SUMIFS(T_StockCount[CountedQty],T_StockCount[Part Name],$A13,T_StockCount[WeekIndex],9),IF(('T_SelfStock'!J17&lt;&gt;""),'T_SelfStock'!J17,I13-'Grid_Requirement'!J13+'Grid_TTAFOutgoing'!J13))</f>
        <v/>
      </c>
      <c r="K13">
        <f>IF(COUNTIFS(T_StockCount[Part Name],$A13,T_StockCount[WeekIndex],10)&gt;0,SUMIFS(T_StockCount[CountedQty],T_StockCount[Part Name],$A13,T_StockCount[WeekIndex],10),IF(('T_SelfStock'!K17&lt;&gt;""),'T_SelfStock'!K17,J13-'Grid_Requirement'!K13+'Grid_TTAFOutgoing'!K13))</f>
        <v/>
      </c>
      <c r="L13">
        <f>IF(COUNTIFS(T_StockCount[Part Name],$A13,T_StockCount[WeekIndex],11)&gt;0,SUMIFS(T_StockCount[CountedQty],T_StockCount[Part Name],$A13,T_StockCount[WeekIndex],11),IF(('T_SelfStock'!L17&lt;&gt;""),'T_SelfStock'!L17,K13-'Grid_Requirement'!L13+'Grid_TTAFOutgoing'!L13))</f>
        <v/>
      </c>
      <c r="M13">
        <f>IF(COUNTIFS(T_StockCount[Part Name],$A13,T_StockCount[WeekIndex],12)&gt;0,SUMIFS(T_StockCount[CountedQty],T_StockCount[Part Name],$A13,T_StockCount[WeekIndex],12),IF(('T_SelfStock'!M17&lt;&gt;""),'T_SelfStock'!M17,L13-'Grid_Requirement'!M13+'Grid_TTAFOutgoing'!M13))</f>
        <v/>
      </c>
      <c r="N13">
        <f>IF(COUNTIFS(T_StockCount[Part Name],$A13,T_StockCount[WeekIndex],13)&gt;0,SUMIFS(T_StockCount[CountedQty],T_StockCount[Part Name],$A13,T_StockCount[WeekIndex],13),IF(('T_SelfStock'!N17&lt;&gt;""),'T_SelfStock'!N17,M13-'Grid_Requirement'!N13+'Grid_TTAFOutgoing'!N13))</f>
        <v/>
      </c>
      <c r="O13">
        <f>IF(COUNTIFS(T_StockCount[Part Name],$A13,T_StockCount[WeekIndex],14)&gt;0,SUMIFS(T_StockCount[CountedQty],T_StockCount[Part Name],$A13,T_StockCount[WeekIndex],14),IF(('T_SelfStock'!O17&lt;&gt;""),'T_SelfStock'!O17,N13-'Grid_Requirement'!O13+'Grid_TTAFOutgoing'!O13))</f>
        <v/>
      </c>
      <c r="P13">
        <f>IF(COUNTIFS(T_StockCount[Part Name],$A13,T_StockCount[WeekIndex],15)&gt;0,SUMIFS(T_StockCount[CountedQty],T_StockCount[Part Name],$A13,T_StockCount[WeekIndex],15),IF(('T_SelfStock'!P17&lt;&gt;""),'T_SelfStock'!P17,O13-'Grid_Requirement'!P13+'Grid_TTAFOutgoing'!P13))</f>
        <v/>
      </c>
      <c r="Q13">
        <f>IF(COUNTIFS(T_StockCount[Part Name],$A13,T_StockCount[WeekIndex],16)&gt;0,SUMIFS(T_StockCount[CountedQty],T_StockCount[Part Name],$A13,T_StockCount[WeekIndex],16),IF(('T_SelfStock'!Q17&lt;&gt;""),'T_SelfStock'!Q17,P13-'Grid_Requirement'!Q13+'Grid_TTAFOutgoing'!Q13))</f>
        <v/>
      </c>
      <c r="R13">
        <f>IF(COUNTIFS(T_StockCount[Part Name],$A13,T_StockCount[WeekIndex],17)&gt;0,SUMIFS(T_StockCount[CountedQty],T_StockCount[Part Name],$A13,T_StockCount[WeekIndex],17),IF(('T_SelfStock'!R17&lt;&gt;""),'T_SelfStock'!R17,Q13-'Grid_Requirement'!R13+'Grid_TTAFOutgoing'!R13))</f>
        <v/>
      </c>
      <c r="S13">
        <f>IF(COUNTIFS(T_StockCount[Part Name],$A13,T_StockCount[WeekIndex],18)&gt;0,SUMIFS(T_StockCount[CountedQty],T_StockCount[Part Name],$A13,T_StockCount[WeekIndex],18),IF(('T_SelfStock'!S17&lt;&gt;""),'T_SelfStock'!S17,R13-'Grid_Requirement'!S13+'Grid_TTAFOutgoing'!S13))</f>
        <v/>
      </c>
      <c r="T13">
        <f>IF(COUNTIFS(T_StockCount[Part Name],$A13,T_StockCount[WeekIndex],19)&gt;0,SUMIFS(T_StockCount[CountedQty],T_StockCount[Part Name],$A13,T_StockCount[WeekIndex],19),IF(('T_SelfStock'!T17&lt;&gt;""),'T_SelfStock'!T17,S13-'Grid_Requirement'!T13+'Grid_TTAFOutgoing'!T13))</f>
        <v/>
      </c>
      <c r="U13">
        <f>IF(COUNTIFS(T_StockCount[Part Name],$A13,T_StockCount[WeekIndex],20)&gt;0,SUMIFS(T_StockCount[CountedQty],T_StockCount[Part Name],$A13,T_StockCount[WeekIndex],20),IF(('T_SelfStock'!U17&lt;&gt;""),'T_SelfStock'!U17,T13-'Grid_Requirement'!U13+'Grid_TTAFOutgoing'!U13))</f>
        <v/>
      </c>
      <c r="V13">
        <f>IF(COUNTIFS(T_StockCount[Part Name],$A13,T_StockCount[WeekIndex],21)&gt;0,SUMIFS(T_StockCount[CountedQty],T_StockCount[Part Name],$A13,T_StockCount[WeekIndex],21),IF(('T_SelfStock'!V17&lt;&gt;""),'T_SelfStock'!V17,U13-'Grid_Requirement'!V13+'Grid_TTAFOutgoing'!V13))</f>
        <v/>
      </c>
      <c r="W13">
        <f>IF(COUNTIFS(T_StockCount[Part Name],$A13,T_StockCount[WeekIndex],22)&gt;0,SUMIFS(T_StockCount[CountedQty],T_StockCount[Part Name],$A13,T_StockCount[WeekIndex],22),IF(('T_SelfStock'!W17&lt;&gt;""),'T_SelfStock'!W17,V13-'Grid_Requirement'!W13+'Grid_TTAFOutgoing'!W13))</f>
        <v/>
      </c>
      <c r="X13">
        <f>IF(COUNTIFS(T_StockCount[Part Name],$A13,T_StockCount[WeekIndex],23)&gt;0,SUMIFS(T_StockCount[CountedQty],T_StockCount[Part Name],$A13,T_StockCount[WeekIndex],23),IF(('T_SelfStock'!X17&lt;&gt;""),'T_SelfStock'!X17,W13-'Grid_Requirement'!X13+'Grid_TTAFOutgoing'!X13))</f>
        <v/>
      </c>
      <c r="Y13">
        <f>IF(COUNTIFS(T_StockCount[Part Name],$A13,T_StockCount[WeekIndex],24)&gt;0,SUMIFS(T_StockCount[CountedQty],T_StockCount[Part Name],$A13,T_StockCount[WeekIndex],24),IF(('T_SelfStock'!Y17&lt;&gt;""),'T_SelfStock'!Y17,X13-'Grid_Requirement'!Y13+'Grid_TTAFOutgoing'!Y13))</f>
        <v/>
      </c>
      <c r="Z13">
        <f>IF(COUNTIFS(T_StockCount[Part Name],$A13,T_StockCount[WeekIndex],25)&gt;0,SUMIFS(T_StockCount[CountedQty],T_StockCount[Part Name],$A13,T_StockCount[WeekIndex],25),IF(('T_SelfStock'!Z17&lt;&gt;""),'T_SelfStock'!Z17,Y13-'Grid_Requirement'!Z13+'Grid_TTAFOutgoing'!Z13))</f>
        <v/>
      </c>
      <c r="AA13">
        <f>IF(COUNTIFS(T_StockCount[Part Name],$A13,T_StockCount[WeekIndex],26)&gt;0,SUMIFS(T_StockCount[CountedQty],T_StockCount[Part Name],$A13,T_StockCount[WeekIndex],26),IF(('T_SelfStock'!AA17&lt;&gt;""),'T_SelfStock'!AA17,Z13-'Grid_Requirement'!AA13+'Grid_TTAFOutgoing'!AA13))</f>
        <v/>
      </c>
      <c r="AB13">
        <f>IF(COUNTIFS(T_StockCount[Part Name],$A13,T_StockCount[WeekIndex],27)&gt;0,SUMIFS(T_StockCount[CountedQty],T_StockCount[Part Name],$A13,T_StockCount[WeekIndex],27),IF(('T_SelfStock'!AB17&lt;&gt;""),'T_SelfStock'!AB17,AA13-'Grid_Requirement'!AB13+'Grid_TTAFOutgoing'!AB13))</f>
        <v/>
      </c>
      <c r="AC13">
        <f>IF(COUNTIFS(T_StockCount[Part Name],$A13,T_StockCount[WeekIndex],28)&gt;0,SUMIFS(T_StockCount[CountedQty],T_StockCount[Part Name],$A13,T_StockCount[WeekIndex],28),IF(('T_SelfStock'!AC17&lt;&gt;""),'T_SelfStock'!AC17,AB13-'Grid_Requirement'!AC13+'Grid_TTAFOutgoing'!AC13))</f>
        <v/>
      </c>
      <c r="AD13">
        <f>IF(COUNTIFS(T_StockCount[Part Name],$A13,T_StockCount[WeekIndex],29)&gt;0,SUMIFS(T_StockCount[CountedQty],T_StockCount[Part Name],$A13,T_StockCount[WeekIndex],29),IF(('T_SelfStock'!AD17&lt;&gt;""),'T_SelfStock'!AD17,AC13-'Grid_Requirement'!AD13+'Grid_TTAFOutgoing'!AD13))</f>
        <v/>
      </c>
      <c r="AE13">
        <f>IF(COUNTIFS(T_StockCount[Part Name],$A13,T_StockCount[WeekIndex],30)&gt;0,SUMIFS(T_StockCount[CountedQty],T_StockCount[Part Name],$A13,T_StockCount[WeekIndex],30),IF(('T_SelfStock'!AE17&lt;&gt;""),'T_SelfStock'!AE17,AD13-'Grid_Requirement'!AE13+'Grid_TTAFOutgoing'!AE13))</f>
        <v/>
      </c>
      <c r="AF13">
        <f>IF(COUNTIFS(T_StockCount[Part Name],$A13,T_StockCount[WeekIndex],31)&gt;0,SUMIFS(T_StockCount[CountedQty],T_StockCount[Part Name],$A13,T_StockCount[WeekIndex],31),IF(('T_SelfStock'!AF17&lt;&gt;""),'T_SelfStock'!AF17,AE13-'Grid_Requirement'!AF13+'Grid_TTAFOutgoing'!AF13))</f>
        <v/>
      </c>
      <c r="AG13">
        <f>IF(COUNTIFS(T_StockCount[Part Name],$A13,T_StockCount[WeekIndex],32)&gt;0,SUMIFS(T_StockCount[CountedQty],T_StockCount[Part Name],$A13,T_StockCount[WeekIndex],32),IF(('T_SelfStock'!AG17&lt;&gt;""),'T_SelfStock'!AG17,AF13-'Grid_Requirement'!AG13+'Grid_TTAFOutgoing'!AG13))</f>
        <v/>
      </c>
      <c r="AH13">
        <f>IF(COUNTIFS(T_StockCount[Part Name],$A13,T_StockCount[WeekIndex],33)&gt;0,SUMIFS(T_StockCount[CountedQty],T_StockCount[Part Name],$A13,T_StockCount[WeekIndex],33),IF(('T_SelfStock'!AH17&lt;&gt;""),'T_SelfStock'!AH17,AG13-'Grid_Requirement'!AH13+'Grid_TTAFOutgoing'!AH13))</f>
        <v/>
      </c>
      <c r="AI13">
        <f>IF(COUNTIFS(T_StockCount[Part Name],$A13,T_StockCount[WeekIndex],34)&gt;0,SUMIFS(T_StockCount[CountedQty],T_StockCount[Part Name],$A13,T_StockCount[WeekIndex],34),IF(('T_SelfStock'!AI17&lt;&gt;""),'T_SelfStock'!AI17,AH13-'Grid_Requirement'!AI13+'Grid_TTAFOutgoing'!AI13))</f>
        <v/>
      </c>
      <c r="AJ13">
        <f>IF(COUNTIFS(T_StockCount[Part Name],$A13,T_StockCount[WeekIndex],35)&gt;0,SUMIFS(T_StockCount[CountedQty],T_StockCount[Part Name],$A13,T_StockCount[WeekIndex],35),IF(('T_SelfStock'!AJ17&lt;&gt;""),'T_SelfStock'!AJ17,AI13-'Grid_Requirement'!AJ13+'Grid_TTAFOutgoing'!AJ13))</f>
        <v/>
      </c>
      <c r="AK13">
        <f>IF(COUNTIFS(T_StockCount[Part Name],$A13,T_StockCount[WeekIndex],36)&gt;0,SUMIFS(T_StockCount[CountedQty],T_StockCount[Part Name],$A13,T_StockCount[WeekIndex],36),IF(('T_SelfStock'!AK17&lt;&gt;""),'T_SelfStock'!AK17,AJ13-'Grid_Requirement'!AK13+'Grid_TTAFOutgoing'!AK13))</f>
        <v/>
      </c>
      <c r="AL13">
        <f>IF(COUNTIFS(T_StockCount[Part Name],$A13,T_StockCount[WeekIndex],37)&gt;0,SUMIFS(T_StockCount[CountedQty],T_StockCount[Part Name],$A13,T_StockCount[WeekIndex],37),IF(('T_SelfStock'!AL17&lt;&gt;""),'T_SelfStock'!AL17,AK13-'Grid_Requirement'!AL13+'Grid_TTAFOutgoing'!AL13))</f>
        <v/>
      </c>
      <c r="AM13">
        <f>IF(COUNTIFS(T_StockCount[Part Name],$A13,T_StockCount[WeekIndex],38)&gt;0,SUMIFS(T_StockCount[CountedQty],T_StockCount[Part Name],$A13,T_StockCount[WeekIndex],38),IF(('T_SelfStock'!AM17&lt;&gt;""),'T_SelfStock'!AM17,AL13-'Grid_Requirement'!AM13+'Grid_TTAFOutgoing'!AM13))</f>
        <v/>
      </c>
      <c r="AN13">
        <f>IF(COUNTIFS(T_StockCount[Part Name],$A13,T_StockCount[WeekIndex],39)&gt;0,SUMIFS(T_StockCount[CountedQty],T_StockCount[Part Name],$A13,T_StockCount[WeekIndex],39),IF(('T_SelfStock'!AN17&lt;&gt;""),'T_SelfStock'!AN17,AM13-'Grid_Requirement'!AN13+'Grid_TTAFOutgoing'!AN13))</f>
        <v/>
      </c>
      <c r="AO13">
        <f>IF(COUNTIFS(T_StockCount[Part Name],$A13,T_StockCount[WeekIndex],40)&gt;0,SUMIFS(T_StockCount[CountedQty],T_StockCount[Part Name],$A13,T_StockCount[WeekIndex],40),IF(('T_SelfStock'!AO17&lt;&gt;""),'T_SelfStock'!AO17,AN13-'Grid_Requirement'!AO13+'Grid_TTAFOutgoing'!AO13))</f>
        <v/>
      </c>
      <c r="AP13">
        <f>IF(COUNTIFS(T_StockCount[Part Name],$A13,T_StockCount[WeekIndex],41)&gt;0,SUMIFS(T_StockCount[CountedQty],T_StockCount[Part Name],$A13,T_StockCount[WeekIndex],41),IF(('T_SelfStock'!AP17&lt;&gt;""),'T_SelfStock'!AP17,AO13-'Grid_Requirement'!AP13+'Grid_TTAFOutgoing'!AP13))</f>
        <v/>
      </c>
      <c r="AQ13">
        <f>IF(COUNTIFS(T_StockCount[Part Name],$A13,T_StockCount[WeekIndex],42)&gt;0,SUMIFS(T_StockCount[CountedQty],T_StockCount[Part Name],$A13,T_StockCount[WeekIndex],42),IF(('T_SelfStock'!AQ17&lt;&gt;""),'T_SelfStock'!AQ17,AP13-'Grid_Requirement'!AQ13+'Grid_TTAFOutgoing'!AQ13))</f>
        <v/>
      </c>
      <c r="AR13">
        <f>IF(COUNTIFS(T_StockCount[Part Name],$A13,T_StockCount[WeekIndex],43)&gt;0,SUMIFS(T_StockCount[CountedQty],T_StockCount[Part Name],$A13,T_StockCount[WeekIndex],43),IF(('T_SelfStock'!AR17&lt;&gt;""),'T_SelfStock'!AR17,AQ13-'Grid_Requirement'!AR13+'Grid_TTAFOutgoing'!AR13))</f>
        <v/>
      </c>
      <c r="AS13">
        <f>IF(COUNTIFS(T_StockCount[Part Name],$A13,T_StockCount[WeekIndex],44)&gt;0,SUMIFS(T_StockCount[CountedQty],T_StockCount[Part Name],$A13,T_StockCount[WeekIndex],44),IF(('T_SelfStock'!AS17&lt;&gt;""),'T_SelfStock'!AS17,AR13-'Grid_Requirement'!AS13+'Grid_TTAFOutgoing'!AS13))</f>
        <v/>
      </c>
      <c r="AT13">
        <f>IF(COUNTIFS(T_StockCount[Part Name],$A13,T_StockCount[WeekIndex],45)&gt;0,SUMIFS(T_StockCount[CountedQty],T_StockCount[Part Name],$A13,T_StockCount[WeekIndex],45),IF(('T_SelfStock'!AT17&lt;&gt;""),'T_SelfStock'!AT17,AS13-'Grid_Requirement'!AT13+'Grid_TTAFOutgoing'!AT13))</f>
        <v/>
      </c>
      <c r="AU13">
        <f>IF(COUNTIFS(T_StockCount[Part Name],$A13,T_StockCount[WeekIndex],46)&gt;0,SUMIFS(T_StockCount[CountedQty],T_StockCount[Part Name],$A13,T_StockCount[WeekIndex],46),IF(('T_SelfStock'!AU17&lt;&gt;""),'T_SelfStock'!AU17,AT13-'Grid_Requirement'!AU13+'Grid_TTAFOutgoing'!AU13))</f>
        <v/>
      </c>
      <c r="AV13">
        <f>IF(COUNTIFS(T_StockCount[Part Name],$A13,T_StockCount[WeekIndex],47)&gt;0,SUMIFS(T_StockCount[CountedQty],T_StockCount[Part Name],$A13,T_StockCount[WeekIndex],47),IF(('T_SelfStock'!AV17&lt;&gt;""),'T_SelfStock'!AV17,AU13-'Grid_Requirement'!AV13+'Grid_TTAFOutgoing'!AV13))</f>
        <v/>
      </c>
      <c r="AW13">
        <f>IF(COUNTIFS(T_StockCount[Part Name],$A13,T_StockCount[WeekIndex],48)&gt;0,SUMIFS(T_StockCount[CountedQty],T_StockCount[Part Name],$A13,T_StockCount[WeekIndex],48),IF(('T_SelfStock'!AW17&lt;&gt;""),'T_SelfStock'!AW17,AV13-'Grid_Requirement'!AW13+'Grid_TTAFOutgoing'!AW13))</f>
        <v/>
      </c>
      <c r="AX13">
        <f>IF(COUNTIFS(T_StockCount[Part Name],$A13,T_StockCount[WeekIndex],49)&gt;0,SUMIFS(T_StockCount[CountedQty],T_StockCount[Part Name],$A13,T_StockCount[WeekIndex],49),IF(('T_SelfStock'!AX17&lt;&gt;""),'T_SelfStock'!AX17,AW13-'Grid_Requirement'!AX13+'Grid_TTAFOutgoing'!AX13))</f>
        <v/>
      </c>
      <c r="AY13">
        <f>IF(COUNTIFS(T_StockCount[Part Name],$A13,T_StockCount[WeekIndex],50)&gt;0,SUMIFS(T_StockCount[CountedQty],T_StockCount[Part Name],$A13,T_StockCount[WeekIndex],50),IF(('T_SelfStock'!AY17&lt;&gt;""),'T_SelfStock'!AY17,AX13-'Grid_Requirement'!AY13+'Grid_TTAFOutgoing'!AY13))</f>
        <v/>
      </c>
      <c r="AZ13">
        <f>IF(COUNTIFS(T_StockCount[Part Name],$A13,T_StockCount[WeekIndex],51)&gt;0,SUMIFS(T_StockCount[CountedQty],T_StockCount[Part Name],$A13,T_StockCount[WeekIndex],51),IF(('T_SelfStock'!AZ17&lt;&gt;""),'T_SelfStock'!AZ17,AY13-'Grid_Requirement'!AZ13+'Grid_TTAFOutgoing'!AZ13))</f>
        <v/>
      </c>
      <c r="BA13">
        <f>IF(COUNTIFS(T_StockCount[Part Name],$A13,T_StockCount[WeekIndex],52)&gt;0,SUMIFS(T_StockCount[CountedQty],T_StockCount[Part Name],$A13,T_StockCount[WeekIndex],52),IF(('T_SelfStock'!BA17&lt;&gt;""),'T_SelfStock'!BA17,AZ13-'Grid_Requirement'!BA13+'Grid_TTAFOutgoing'!BA13))</f>
        <v/>
      </c>
      <c r="BB13">
        <f>IF(COUNTIFS(T_StockCount[Part Name],$A13,T_StockCount[WeekIndex],53)&gt;0,SUMIFS(T_StockCount[CountedQty],T_StockCount[Part Name],$A13,T_StockCount[WeekIndex],53),IF(('T_SelfStock'!BB17&lt;&gt;""),'T_SelfStock'!BB17,BA13-'Grid_Requirement'!BB13+'Grid_TTAFOutgoing'!BB13))</f>
        <v/>
      </c>
      <c r="BC13">
        <f>IF(COUNTIFS(T_StockCount[Part Name],$A13,T_StockCount[WeekIndex],54)&gt;0,SUMIFS(T_StockCount[CountedQty],T_StockCount[Part Name],$A13,T_StockCount[WeekIndex],54),IF(('T_SelfStock'!BC17&lt;&gt;""),'T_SelfStock'!BC17,BB13-'Grid_Requirement'!BC13+'Grid_TTAFOutgoing'!BC13))</f>
        <v/>
      </c>
      <c r="BD13">
        <f>IF(COUNTIFS(T_StockCount[Part Name],$A13,T_StockCount[WeekIndex],55)&gt;0,SUMIFS(T_StockCount[CountedQty],T_StockCount[Part Name],$A13,T_StockCount[WeekIndex],55),IF(('T_SelfStock'!BD17&lt;&gt;""),'T_SelfStock'!BD17,BC13-'Grid_Requirement'!BD13+'Grid_TTAFOutgoing'!BD13))</f>
        <v/>
      </c>
      <c r="BE13">
        <f>IF(COUNTIFS(T_StockCount[Part Name],$A13,T_StockCount[WeekIndex],56)&gt;0,SUMIFS(T_StockCount[CountedQty],T_StockCount[Part Name],$A13,T_StockCount[WeekIndex],56),IF(('T_SelfStock'!BE17&lt;&gt;""),'T_SelfStock'!BE17,BD13-'Grid_Requirement'!BE13+'Grid_TTAFOutgoing'!BE13))</f>
        <v/>
      </c>
      <c r="BF13">
        <f>IF(COUNTIFS(T_StockCount[Part Name],$A13,T_StockCount[WeekIndex],57)&gt;0,SUMIFS(T_StockCount[CountedQty],T_StockCount[Part Name],$A13,T_StockCount[WeekIndex],57),IF(('T_SelfStock'!BF17&lt;&gt;""),'T_SelfStock'!BF17,BE13-'Grid_Requirement'!BF13+'Grid_TTAFOutgoing'!BF13))</f>
        <v/>
      </c>
      <c r="BG13">
        <f>IF(COUNTIFS(T_StockCount[Part Name],$A13,T_StockCount[WeekIndex],58)&gt;0,SUMIFS(T_StockCount[CountedQty],T_StockCount[Part Name],$A13,T_StockCount[WeekIndex],58),IF(('T_SelfStock'!BG17&lt;&gt;""),'T_SelfStock'!BG17,BF13-'Grid_Requirement'!BG13+'Grid_TTAFOutgoing'!BG13))</f>
        <v/>
      </c>
      <c r="BH13">
        <f>IF(COUNTIFS(T_StockCount[Part Name],$A13,T_StockCount[WeekIndex],59)&gt;0,SUMIFS(T_StockCount[CountedQty],T_StockCount[Part Name],$A13,T_StockCount[WeekIndex],59),IF(('T_SelfStock'!BH17&lt;&gt;""),'T_SelfStock'!BH17,BG13-'Grid_Requirement'!BH13+'Grid_TTAFOutgoing'!BH13))</f>
        <v/>
      </c>
      <c r="BI13">
        <f>IF(COUNTIFS(T_StockCount[Part Name],$A13,T_StockCount[WeekIndex],60)&gt;0,SUMIFS(T_StockCount[CountedQty],T_StockCount[Part Name],$A13,T_StockCount[WeekIndex],60),IF(('T_SelfStock'!BI17&lt;&gt;""),'T_SelfStock'!BI17,BH13-'Grid_Requirement'!BI13+'Grid_TTAFOutgoing'!BI13))</f>
        <v/>
      </c>
      <c r="BJ13">
        <f>IF(COUNTIFS(T_StockCount[Part Name],$A13,T_StockCount[WeekIndex],61)&gt;0,SUMIFS(T_StockCount[CountedQty],T_StockCount[Part Name],$A13,T_StockCount[WeekIndex],61),IF(('T_SelfStock'!BJ17&lt;&gt;""),'T_SelfStock'!BJ17,BI13-'Grid_Requirement'!BJ13+'Grid_TTAFOutgoing'!BJ13))</f>
        <v/>
      </c>
      <c r="BK13">
        <f>IF(COUNTIFS(T_StockCount[Part Name],$A13,T_StockCount[WeekIndex],62)&gt;0,SUMIFS(T_StockCount[CountedQty],T_StockCount[Part Name],$A13,T_StockCount[WeekIndex],62),IF(('T_SelfStock'!BK17&lt;&gt;""),'T_SelfStock'!BK17,BJ13-'Grid_Requirement'!BK13+'Grid_TTAFOutgoing'!BK13))</f>
        <v/>
      </c>
      <c r="BL13">
        <f>IF(COUNTIFS(T_StockCount[Part Name],$A13,T_StockCount[WeekIndex],63)&gt;0,SUMIFS(T_StockCount[CountedQty],T_StockCount[Part Name],$A13,T_StockCount[WeekIndex],63),IF(('T_SelfStock'!BL17&lt;&gt;""),'T_SelfStock'!BL17,BK13-'Grid_Requirement'!BL13+'Grid_TTAFOutgoing'!BL13))</f>
        <v/>
      </c>
      <c r="BM13">
        <f>IF(COUNTIFS(T_StockCount[Part Name],$A13,T_StockCount[WeekIndex],64)&gt;0,SUMIFS(T_StockCount[CountedQty],T_StockCount[Part Name],$A13,T_StockCount[WeekIndex],64),IF(('T_SelfStock'!BM17&lt;&gt;""),'T_SelfStock'!BM17,BL13-'Grid_Requirement'!BM13+'Grid_TTAFOutgoing'!BM13))</f>
        <v/>
      </c>
      <c r="BN13">
        <f>IF(COUNTIFS(T_StockCount[Part Name],$A13,T_StockCount[WeekIndex],65)&gt;0,SUMIFS(T_StockCount[CountedQty],T_StockCount[Part Name],$A13,T_StockCount[WeekIndex],65),IF(('T_SelfStock'!BN17&lt;&gt;""),'T_SelfStock'!BN17,BM13-'Grid_Requirement'!BN13+'Grid_TTAFOutgoing'!BN13))</f>
        <v/>
      </c>
      <c r="BO13">
        <f>IF(COUNTIFS(T_StockCount[Part Name],$A13,T_StockCount[WeekIndex],66)&gt;0,SUMIFS(T_StockCount[CountedQty],T_StockCount[Part Name],$A13,T_StockCount[WeekIndex],66),IF(('T_SelfStock'!BO17&lt;&gt;""),'T_SelfStock'!BO17,BN13-'Grid_Requirement'!BO13+'Grid_TTAFOutgoing'!BO13))</f>
        <v/>
      </c>
      <c r="BP13">
        <f>IF(COUNTIFS(T_StockCount[Part Name],$A13,T_StockCount[WeekIndex],67)&gt;0,SUMIFS(T_StockCount[CountedQty],T_StockCount[Part Name],$A13,T_StockCount[WeekIndex],67),IF(('T_SelfStock'!BP17&lt;&gt;""),'T_SelfStock'!BP17,BO13-'Grid_Requirement'!BP13+'Grid_TTAFOutgoing'!BP13))</f>
        <v/>
      </c>
      <c r="BQ13">
        <f>IF(COUNTIFS(T_StockCount[Part Name],$A13,T_StockCount[WeekIndex],68)&gt;0,SUMIFS(T_StockCount[CountedQty],T_StockCount[Part Name],$A13,T_StockCount[WeekIndex],68),IF(('T_SelfStock'!BQ17&lt;&gt;""),'T_SelfStock'!BQ17,BP13-'Grid_Requirement'!BQ13+'Grid_TTAFOutgoing'!BQ13))</f>
        <v/>
      </c>
      <c r="BR13">
        <f>IF(COUNTIFS(T_StockCount[Part Name],$A13,T_StockCount[WeekIndex],69)&gt;0,SUMIFS(T_StockCount[CountedQty],T_StockCount[Part Name],$A13,T_StockCount[WeekIndex],69),IF(('T_SelfStock'!BR17&lt;&gt;""),'T_SelfStock'!BR17,BQ13-'Grid_Requirement'!BR13+'Grid_TTAFOutgoing'!BR13))</f>
        <v/>
      </c>
      <c r="BS13">
        <f>IF(COUNTIFS(T_StockCount[Part Name],$A13,T_StockCount[WeekIndex],70)&gt;0,SUMIFS(T_StockCount[CountedQty],T_StockCount[Part Name],$A13,T_StockCount[WeekIndex],70),IF(('T_SelfStock'!BS17&lt;&gt;""),'T_SelfStock'!BS17,BR13-'Grid_Requirement'!BS13+'Grid_TTAFOutgoing'!BS13))</f>
        <v/>
      </c>
      <c r="BT13">
        <f>IF(COUNTIFS(T_StockCount[Part Name],$A13,T_StockCount[WeekIndex],71)&gt;0,SUMIFS(T_StockCount[CountedQty],T_StockCount[Part Name],$A13,T_StockCount[WeekIndex],71),IF(('T_SelfStock'!BT17&lt;&gt;""),'T_SelfStock'!BT17,BS13-'Grid_Requirement'!BT13+'Grid_TTAFOutgoing'!BT13))</f>
        <v/>
      </c>
      <c r="BU13">
        <f>IF(COUNTIFS(T_StockCount[Part Name],$A13,T_StockCount[WeekIndex],72)&gt;0,SUMIFS(T_StockCount[CountedQty],T_StockCount[Part Name],$A13,T_StockCount[WeekIndex],72),IF(('T_SelfStock'!BU17&lt;&gt;""),'T_SelfStock'!BU17,BT13-'Grid_Requirement'!BU13+'Grid_TTAFOutgoing'!BU13))</f>
        <v/>
      </c>
      <c r="BV13">
        <f>IF(COUNTIFS(T_StockCount[Part Name],$A13,T_StockCount[WeekIndex],73)&gt;0,SUMIFS(T_StockCount[CountedQty],T_StockCount[Part Name],$A13,T_StockCount[WeekIndex],73),IF(('T_SelfStock'!BV17&lt;&gt;""),'T_SelfStock'!BV17,BU13-'Grid_Requirement'!BV13+'Grid_TTAFOutgoing'!BV13))</f>
        <v/>
      </c>
      <c r="BW13">
        <f>IF(COUNTIFS(T_StockCount[Part Name],$A13,T_StockCount[WeekIndex],74)&gt;0,SUMIFS(T_StockCount[CountedQty],T_StockCount[Part Name],$A13,T_StockCount[WeekIndex],74),IF(('T_SelfStock'!BW17&lt;&gt;""),'T_SelfStock'!BW17,BV13-'Grid_Requirement'!BW13+'Grid_TTAFOutgoing'!BW13))</f>
        <v/>
      </c>
      <c r="BX13">
        <f>IF(COUNTIFS(T_StockCount[Part Name],$A13,T_StockCount[WeekIndex],75)&gt;0,SUMIFS(T_StockCount[CountedQty],T_StockCount[Part Name],$A13,T_StockCount[WeekIndex],75),IF(('T_SelfStock'!BX17&lt;&gt;""),'T_SelfStock'!BX17,BW13-'Grid_Requirement'!BX13+'Grid_TTAFOutgoing'!BX13))</f>
        <v/>
      </c>
      <c r="BY13">
        <f>IF(COUNTIFS(T_StockCount[Part Name],$A13,T_StockCount[WeekIndex],76)&gt;0,SUMIFS(T_StockCount[CountedQty],T_StockCount[Part Name],$A13,T_StockCount[WeekIndex],76),IF(('T_SelfStock'!BY17&lt;&gt;""),'T_SelfStock'!BY17,BX13-'Grid_Requirement'!BY13+'Grid_TTAFOutgoing'!BY13))</f>
        <v/>
      </c>
      <c r="BZ13">
        <f>IF(COUNTIFS(T_StockCount[Part Name],$A13,T_StockCount[WeekIndex],77)&gt;0,SUMIFS(T_StockCount[CountedQty],T_StockCount[Part Name],$A13,T_StockCount[WeekIndex],77),IF(('T_SelfStock'!BZ17&lt;&gt;""),'T_SelfStock'!BZ17,BY13-'Grid_Requirement'!BZ13+'Grid_TTAFOutgoing'!BZ13))</f>
        <v/>
      </c>
      <c r="CA13">
        <f>IF(COUNTIFS(T_StockCount[Part Name],$A13,T_StockCount[WeekIndex],78)&gt;0,SUMIFS(T_StockCount[CountedQty],T_StockCount[Part Name],$A13,T_StockCount[WeekIndex],78),IF(('T_SelfStock'!CA17&lt;&gt;""),'T_SelfStock'!CA17,BZ13-'Grid_Requirement'!CA13+'Grid_TTAFOutgoing'!CA13))</f>
        <v/>
      </c>
      <c r="CB13">
        <f>IF(COUNTIFS(T_StockCount[Part Name],$A13,T_StockCount[WeekIndex],79)&gt;0,SUMIFS(T_StockCount[CountedQty],T_StockCount[Part Name],$A13,T_StockCount[WeekIndex],79),IF(('T_SelfStock'!CB17&lt;&gt;""),'T_SelfStock'!CB17,CA13-'Grid_Requirement'!CB13+'Grid_TTAFOutgoing'!CB13))</f>
        <v/>
      </c>
      <c r="CC13">
        <f>IF(COUNTIFS(T_StockCount[Part Name],$A13,T_StockCount[WeekIndex],80)&gt;0,SUMIFS(T_StockCount[CountedQty],T_StockCount[Part Name],$A13,T_StockCount[WeekIndex],80),IF(('T_SelfStock'!CC17&lt;&gt;""),'T_SelfStock'!CC17,CB13-'Grid_Requirement'!CC13+'Grid_TTAFOutgoing'!CC13))</f>
        <v/>
      </c>
      <c r="CD13">
        <f>IF(COUNTIFS(T_StockCount[Part Name],$A13,T_StockCount[WeekIndex],81)&gt;0,SUMIFS(T_StockCount[CountedQty],T_StockCount[Part Name],$A13,T_StockCount[WeekIndex],81),IF(('T_SelfStock'!CD17&lt;&gt;""),'T_SelfStock'!CD17,CC13-'Grid_Requirement'!CD13+'Grid_TTAFOutgoing'!CD13))</f>
        <v/>
      </c>
      <c r="CE13">
        <f>IF(COUNTIFS(T_StockCount[Part Name],$A13,T_StockCount[WeekIndex],82)&gt;0,SUMIFS(T_StockCount[CountedQty],T_StockCount[Part Name],$A13,T_StockCount[WeekIndex],82),IF(('T_SelfStock'!CE17&lt;&gt;""),'T_SelfStock'!CE17,CD13-'Grid_Requirement'!CE13+'Grid_TTAFOutgoing'!CE13))</f>
        <v/>
      </c>
      <c r="CF13">
        <f>IF(COUNTIFS(T_StockCount[Part Name],$A13,T_StockCount[WeekIndex],83)&gt;0,SUMIFS(T_StockCount[CountedQty],T_StockCount[Part Name],$A13,T_StockCount[WeekIndex],83),IF(('T_SelfStock'!CF17&lt;&gt;""),'T_SelfStock'!CF17,CE13-'Grid_Requirement'!CF13+'Grid_TTAFOutgoing'!CF13))</f>
        <v/>
      </c>
      <c r="CG13">
        <f>IF(COUNTIFS(T_StockCount[Part Name],$A13,T_StockCount[WeekIndex],84)&gt;0,SUMIFS(T_StockCount[CountedQty],T_StockCount[Part Name],$A13,T_StockCount[WeekIndex],84),IF(('T_SelfStock'!CG17&lt;&gt;""),'T_SelfStock'!CG17,CF13-'Grid_Requirement'!CG13+'Grid_TTAFOutgoing'!CG13))</f>
        <v/>
      </c>
      <c r="CH13">
        <f>IF(COUNTIFS(T_StockCount[Part Name],$A13,T_StockCount[WeekIndex],85)&gt;0,SUMIFS(T_StockCount[CountedQty],T_StockCount[Part Name],$A13,T_StockCount[WeekIndex],85),IF(('T_SelfStock'!CH17&lt;&gt;""),'T_SelfStock'!CH17,CG13-'Grid_Requirement'!CH13+'Grid_TTAFOutgoing'!CH13))</f>
        <v/>
      </c>
      <c r="CI13">
        <f>IF(COUNTIFS(T_StockCount[Part Name],$A13,T_StockCount[WeekIndex],86)&gt;0,SUMIFS(T_StockCount[CountedQty],T_StockCount[Part Name],$A13,T_StockCount[WeekIndex],86),IF(('T_SelfStock'!CI17&lt;&gt;""),'T_SelfStock'!CI17,CH13-'Grid_Requirement'!CI13+'Grid_TTAFOutgoing'!CI13))</f>
        <v/>
      </c>
      <c r="CJ13">
        <f>IF(COUNTIFS(T_StockCount[Part Name],$A13,T_StockCount[WeekIndex],87)&gt;0,SUMIFS(T_StockCount[CountedQty],T_StockCount[Part Name],$A13,T_StockCount[WeekIndex],87),IF(('T_SelfStock'!CJ17&lt;&gt;""),'T_SelfStock'!CJ17,CI13-'Grid_Requirement'!CJ13+'Grid_TTAFOutgoing'!CJ13))</f>
        <v/>
      </c>
      <c r="CK13">
        <f>IF(COUNTIFS(T_StockCount[Part Name],$A13,T_StockCount[WeekIndex],88)&gt;0,SUMIFS(T_StockCount[CountedQty],T_StockCount[Part Name],$A13,T_StockCount[WeekIndex],88),IF(('T_SelfStock'!CK17&lt;&gt;""),'T_SelfStock'!CK17,CJ13-'Grid_Requirement'!CK13+'Grid_TTAFOutgoing'!CK13))</f>
        <v/>
      </c>
      <c r="CL13">
        <f>IF(COUNTIFS(T_StockCount[Part Name],$A13,T_StockCount[WeekIndex],89)&gt;0,SUMIFS(T_StockCount[CountedQty],T_StockCount[Part Name],$A13,T_StockCount[WeekIndex],89),IF(('T_SelfStock'!CL17&lt;&gt;""),'T_SelfStock'!CL17,CK13-'Grid_Requirement'!CL13+'Grid_TTAFOutgoing'!CL13))</f>
        <v/>
      </c>
      <c r="CM13">
        <f>IF(COUNTIFS(T_StockCount[Part Name],$A13,T_StockCount[WeekIndex],90)&gt;0,SUMIFS(T_StockCount[CountedQty],T_StockCount[Part Name],$A13,T_StockCount[WeekIndex],90),IF(('T_SelfStock'!CM17&lt;&gt;""),'T_SelfStock'!CM17,CL13-'Grid_Requirement'!CM13+'Grid_TTAFOutgoing'!CM13))</f>
        <v/>
      </c>
      <c r="CN13">
        <f>IF(COUNTIFS(T_StockCount[Part Name],$A13,T_StockCount[WeekIndex],91)&gt;0,SUMIFS(T_StockCount[CountedQty],T_StockCount[Part Name],$A13,T_StockCount[WeekIndex],91),IF(('T_SelfStock'!CN17&lt;&gt;""),'T_SelfStock'!CN17,CM13-'Grid_Requirement'!CN13+'Grid_TTAFOutgoing'!CN13))</f>
        <v/>
      </c>
      <c r="CO13">
        <f>IF(COUNTIFS(T_StockCount[Part Name],$A13,T_StockCount[WeekIndex],92)&gt;0,SUMIFS(T_StockCount[CountedQty],T_StockCount[Part Name],$A13,T_StockCount[WeekIndex],92),IF(('T_SelfStock'!CO17&lt;&gt;""),'T_SelfStock'!CO17,CN13-'Grid_Requirement'!CO13+'Grid_TTAFOutgoing'!CO13))</f>
        <v/>
      </c>
      <c r="CP13">
        <f>IF(COUNTIFS(T_StockCount[Part Name],$A13,T_StockCount[WeekIndex],93)&gt;0,SUMIFS(T_StockCount[CountedQty],T_StockCount[Part Name],$A13,T_StockCount[WeekIndex],93),IF(('T_SelfStock'!CP17&lt;&gt;""),'T_SelfStock'!CP17,CO13-'Grid_Requirement'!CP13+'Grid_TTAFOutgoing'!CP13))</f>
        <v/>
      </c>
      <c r="CQ13">
        <f>IF(COUNTIFS(T_StockCount[Part Name],$A13,T_StockCount[WeekIndex],94)&gt;0,SUMIFS(T_StockCount[CountedQty],T_StockCount[Part Name],$A13,T_StockCount[WeekIndex],94),IF(('T_SelfStock'!CQ17&lt;&gt;""),'T_SelfStock'!CQ17,CP13-'Grid_Requirement'!CQ13+'Grid_TTAFOutgoing'!CQ13))</f>
        <v/>
      </c>
      <c r="CR13">
        <f>IF(COUNTIFS(T_StockCount[Part Name],$A13,T_StockCount[WeekIndex],95)&gt;0,SUMIFS(T_StockCount[CountedQty],T_StockCount[Part Name],$A13,T_StockCount[WeekIndex],95),IF(('T_SelfStock'!CR17&lt;&gt;""),'T_SelfStock'!CR17,CQ13-'Grid_Requirement'!CR13+'Grid_TTAFOutgoing'!CR13))</f>
        <v/>
      </c>
      <c r="CS13">
        <f>IF(COUNTIFS(T_StockCount[Part Name],$A13,T_StockCount[WeekIndex],96)&gt;0,SUMIFS(T_StockCount[CountedQty],T_StockCount[Part Name],$A13,T_StockCount[WeekIndex],96),IF(('T_SelfStock'!CS17&lt;&gt;""),'T_SelfStock'!CS17,CR13-'Grid_Requirement'!CS13+'Grid_TTAFOutgoing'!CS13))</f>
        <v/>
      </c>
      <c r="CT13">
        <f>IF(COUNTIFS(T_StockCount[Part Name],$A13,T_StockCount[WeekIndex],97)&gt;0,SUMIFS(T_StockCount[CountedQty],T_StockCount[Part Name],$A13,T_StockCount[WeekIndex],97),IF(('T_SelfStock'!CT17&lt;&gt;""),'T_SelfStock'!CT17,CS13-'Grid_Requirement'!CT13+'Grid_TTAFOutgoing'!CT13))</f>
        <v/>
      </c>
      <c r="CU13">
        <f>IF(COUNTIFS(T_StockCount[Part Name],$A13,T_StockCount[WeekIndex],98)&gt;0,SUMIFS(T_StockCount[CountedQty],T_StockCount[Part Name],$A13,T_StockCount[WeekIndex],98),IF(('T_SelfStock'!CU17&lt;&gt;""),'T_SelfStock'!CU17,CT13-'Grid_Requirement'!CU13+'Grid_TTAFOutgoing'!CU13))</f>
        <v/>
      </c>
      <c r="CV13">
        <f>IF(COUNTIFS(T_StockCount[Part Name],$A13,T_StockCount[WeekIndex],99)&gt;0,SUMIFS(T_StockCount[CountedQty],T_StockCount[Part Name],$A13,T_StockCount[WeekIndex],99),IF(('T_SelfStock'!CV17&lt;&gt;""),'T_SelfStock'!CV17,CU13-'Grid_Requirement'!CV13+'Grid_TTAFOutgoing'!CV13))</f>
        <v/>
      </c>
      <c r="CW13">
        <f>IF(COUNTIFS(T_StockCount[Part Name],$A13,T_StockCount[WeekIndex],100)&gt;0,SUMIFS(T_StockCount[CountedQty],T_StockCount[Part Name],$A13,T_StockCount[WeekIndex],100),IF(('T_SelfStock'!CW17&lt;&gt;""),'T_SelfStock'!CW17,CV13-'Grid_Requirement'!CW13+'Grid_TTAFOutgoing'!CW13))</f>
        <v/>
      </c>
      <c r="CX13">
        <f>IF(COUNTIFS(T_StockCount[Part Name],$A13,T_StockCount[WeekIndex],101)&gt;0,SUMIFS(T_StockCount[CountedQty],T_StockCount[Part Name],$A13,T_StockCount[WeekIndex],101),IF(('T_SelfStock'!CX17&lt;&gt;""),'T_SelfStock'!CX17,CW13-'Grid_Requirement'!CX13+'Grid_TTAFOutgoing'!CX13))</f>
        <v/>
      </c>
      <c r="CY13">
        <f>IF(COUNTIFS(T_StockCount[Part Name],$A13,T_StockCount[WeekIndex],102)&gt;0,SUMIFS(T_StockCount[CountedQty],T_StockCount[Part Name],$A13,T_StockCount[WeekIndex],102),IF(('T_SelfStock'!CY17&lt;&gt;""),'T_SelfStock'!CY17,CX13-'Grid_Requirement'!CY13+'Grid_TTAFOutgoing'!CY13))</f>
        <v/>
      </c>
      <c r="CZ13">
        <f>IF(COUNTIFS(T_StockCount[Part Name],$A13,T_StockCount[WeekIndex],103)&gt;0,SUMIFS(T_StockCount[CountedQty],T_StockCount[Part Name],$A13,T_StockCount[WeekIndex],103),IF(('T_SelfStock'!CZ17&lt;&gt;""),'T_SelfStock'!CZ17,CY13-'Grid_Requirement'!CZ13+'Grid_TTAFOutgoing'!CZ13))</f>
        <v/>
      </c>
      <c r="DA13">
        <f>IF(COUNTIFS(T_StockCount[Part Name],$A13,T_StockCount[WeekIndex],104)&gt;0,SUMIFS(T_StockCount[CountedQty],T_StockCount[Part Name],$A13,T_StockCount[WeekIndex],104),IF(('T_SelfStock'!DA17&lt;&gt;""),'T_SelfStock'!DA17,CZ13-'Grid_Requirement'!DA13+'Grid_TTAFOutgoing'!DA13))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Name],$A14,T_StockCount[WeekIndex],1),IF(('T_SelfStock'!B18&lt;&gt;""),'T_SelfStock'!B18,IFERROR(INDEX(T_OpeningStock[Opening_Qty],MATCH($A14,T_OpeningStock[Part Name],0)),0)-'Grid_Requirement'!B14+'Grid_TTAFOutgoing'!B14))</f>
        <v/>
      </c>
      <c r="C14">
        <f>IF(COUNTIFS(T_StockCount[Part Name],$A14,T_StockCount[WeekIndex],2)&gt;0,SUMIFS(T_StockCount[CountedQty],T_StockCount[Part Name],$A14,T_StockCount[WeekIndex],2),IF(('T_SelfStock'!C18&lt;&gt;""),'T_SelfStock'!C18,B14-'Grid_Requirement'!C14+'Grid_TTAFOutgoing'!C14))</f>
        <v/>
      </c>
      <c r="D14">
        <f>IF(COUNTIFS(T_StockCount[Part Name],$A14,T_StockCount[WeekIndex],3)&gt;0,SUMIFS(T_StockCount[CountedQty],T_StockCount[Part Name],$A14,T_StockCount[WeekIndex],3),IF(('T_SelfStock'!D18&lt;&gt;""),'T_SelfStock'!D18,C14-'Grid_Requirement'!D14+'Grid_TTAFOutgoing'!D14))</f>
        <v/>
      </c>
      <c r="E14">
        <f>IF(COUNTIFS(T_StockCount[Part Name],$A14,T_StockCount[WeekIndex],4)&gt;0,SUMIFS(T_StockCount[CountedQty],T_StockCount[Part Name],$A14,T_StockCount[WeekIndex],4),IF(('T_SelfStock'!E18&lt;&gt;""),'T_SelfStock'!E18,D14-'Grid_Requirement'!E14+'Grid_TTAFOutgoing'!E14))</f>
        <v/>
      </c>
      <c r="F14">
        <f>IF(COUNTIFS(T_StockCount[Part Name],$A14,T_StockCount[WeekIndex],5)&gt;0,SUMIFS(T_StockCount[CountedQty],T_StockCount[Part Name],$A14,T_StockCount[WeekIndex],5),IF(('T_SelfStock'!F18&lt;&gt;""),'T_SelfStock'!F18,E14-'Grid_Requirement'!F14+'Grid_TTAFOutgoing'!F14))</f>
        <v/>
      </c>
      <c r="G14">
        <f>IF(COUNTIFS(T_StockCount[Part Name],$A14,T_StockCount[WeekIndex],6)&gt;0,SUMIFS(T_StockCount[CountedQty],T_StockCount[Part Name],$A14,T_StockCount[WeekIndex],6),IF(('T_SelfStock'!G18&lt;&gt;""),'T_SelfStock'!G18,F14-'Grid_Requirement'!G14+'Grid_TTAFOutgoing'!G14))</f>
        <v/>
      </c>
      <c r="H14">
        <f>IF(COUNTIFS(T_StockCount[Part Name],$A14,T_StockCount[WeekIndex],7)&gt;0,SUMIFS(T_StockCount[CountedQty],T_StockCount[Part Name],$A14,T_StockCount[WeekIndex],7),IF(('T_SelfStock'!H18&lt;&gt;""),'T_SelfStock'!H18,G14-'Grid_Requirement'!H14+'Grid_TTAFOutgoing'!H14))</f>
        <v/>
      </c>
      <c r="I14">
        <f>IF(COUNTIFS(T_StockCount[Part Name],$A14,T_StockCount[WeekIndex],8)&gt;0,SUMIFS(T_StockCount[CountedQty],T_StockCount[Part Name],$A14,T_StockCount[WeekIndex],8),IF(('T_SelfStock'!I18&lt;&gt;""),'T_SelfStock'!I18,H14-'Grid_Requirement'!I14+'Grid_TTAFOutgoing'!I14))</f>
        <v/>
      </c>
      <c r="J14">
        <f>IF(COUNTIFS(T_StockCount[Part Name],$A14,T_StockCount[WeekIndex],9)&gt;0,SUMIFS(T_StockCount[CountedQty],T_StockCount[Part Name],$A14,T_StockCount[WeekIndex],9),IF(('T_SelfStock'!J18&lt;&gt;""),'T_SelfStock'!J18,I14-'Grid_Requirement'!J14+'Grid_TTAFOutgoing'!J14))</f>
        <v/>
      </c>
      <c r="K14">
        <f>IF(COUNTIFS(T_StockCount[Part Name],$A14,T_StockCount[WeekIndex],10)&gt;0,SUMIFS(T_StockCount[CountedQty],T_StockCount[Part Name],$A14,T_StockCount[WeekIndex],10),IF(('T_SelfStock'!K18&lt;&gt;""),'T_SelfStock'!K18,J14-'Grid_Requirement'!K14+'Grid_TTAFOutgoing'!K14))</f>
        <v/>
      </c>
      <c r="L14">
        <f>IF(COUNTIFS(T_StockCount[Part Name],$A14,T_StockCount[WeekIndex],11)&gt;0,SUMIFS(T_StockCount[CountedQty],T_StockCount[Part Name],$A14,T_StockCount[WeekIndex],11),IF(('T_SelfStock'!L18&lt;&gt;""),'T_SelfStock'!L18,K14-'Grid_Requirement'!L14+'Grid_TTAFOutgoing'!L14))</f>
        <v/>
      </c>
      <c r="M14">
        <f>IF(COUNTIFS(T_StockCount[Part Name],$A14,T_StockCount[WeekIndex],12)&gt;0,SUMIFS(T_StockCount[CountedQty],T_StockCount[Part Name],$A14,T_StockCount[WeekIndex],12),IF(('T_SelfStock'!M18&lt;&gt;""),'T_SelfStock'!M18,L14-'Grid_Requirement'!M14+'Grid_TTAFOutgoing'!M14))</f>
        <v/>
      </c>
      <c r="N14">
        <f>IF(COUNTIFS(T_StockCount[Part Name],$A14,T_StockCount[WeekIndex],13)&gt;0,SUMIFS(T_StockCount[CountedQty],T_StockCount[Part Name],$A14,T_StockCount[WeekIndex],13),IF(('T_SelfStock'!N18&lt;&gt;""),'T_SelfStock'!N18,M14-'Grid_Requirement'!N14+'Grid_TTAFOutgoing'!N14))</f>
        <v/>
      </c>
      <c r="O14">
        <f>IF(COUNTIFS(T_StockCount[Part Name],$A14,T_StockCount[WeekIndex],14)&gt;0,SUMIFS(T_StockCount[CountedQty],T_StockCount[Part Name],$A14,T_StockCount[WeekIndex],14),IF(('T_SelfStock'!O18&lt;&gt;""),'T_SelfStock'!O18,N14-'Grid_Requirement'!O14+'Grid_TTAFOutgoing'!O14))</f>
        <v/>
      </c>
      <c r="P14">
        <f>IF(COUNTIFS(T_StockCount[Part Name],$A14,T_StockCount[WeekIndex],15)&gt;0,SUMIFS(T_StockCount[CountedQty],T_StockCount[Part Name],$A14,T_StockCount[WeekIndex],15),IF(('T_SelfStock'!P18&lt;&gt;""),'T_SelfStock'!P18,O14-'Grid_Requirement'!P14+'Grid_TTAFOutgoing'!P14))</f>
        <v/>
      </c>
      <c r="Q14">
        <f>IF(COUNTIFS(T_StockCount[Part Name],$A14,T_StockCount[WeekIndex],16)&gt;0,SUMIFS(T_StockCount[CountedQty],T_StockCount[Part Name],$A14,T_StockCount[WeekIndex],16),IF(('T_SelfStock'!Q18&lt;&gt;""),'T_SelfStock'!Q18,P14-'Grid_Requirement'!Q14+'Grid_TTAFOutgoing'!Q14))</f>
        <v/>
      </c>
      <c r="R14">
        <f>IF(COUNTIFS(T_StockCount[Part Name],$A14,T_StockCount[WeekIndex],17)&gt;0,SUMIFS(T_StockCount[CountedQty],T_StockCount[Part Name],$A14,T_StockCount[WeekIndex],17),IF(('T_SelfStock'!R18&lt;&gt;""),'T_SelfStock'!R18,Q14-'Grid_Requirement'!R14+'Grid_TTAFOutgoing'!R14))</f>
        <v/>
      </c>
      <c r="S14">
        <f>IF(COUNTIFS(T_StockCount[Part Name],$A14,T_StockCount[WeekIndex],18)&gt;0,SUMIFS(T_StockCount[CountedQty],T_StockCount[Part Name],$A14,T_StockCount[WeekIndex],18),IF(('T_SelfStock'!S18&lt;&gt;""),'T_SelfStock'!S18,R14-'Grid_Requirement'!S14+'Grid_TTAFOutgoing'!S14))</f>
        <v/>
      </c>
      <c r="T14">
        <f>IF(COUNTIFS(T_StockCount[Part Name],$A14,T_StockCount[WeekIndex],19)&gt;0,SUMIFS(T_StockCount[CountedQty],T_StockCount[Part Name],$A14,T_StockCount[WeekIndex],19),IF(('T_SelfStock'!T18&lt;&gt;""),'T_SelfStock'!T18,S14-'Grid_Requirement'!T14+'Grid_TTAFOutgoing'!T14))</f>
        <v/>
      </c>
      <c r="U14">
        <f>IF(COUNTIFS(T_StockCount[Part Name],$A14,T_StockCount[WeekIndex],20)&gt;0,SUMIFS(T_StockCount[CountedQty],T_StockCount[Part Name],$A14,T_StockCount[WeekIndex],20),IF(('T_SelfStock'!U18&lt;&gt;""),'T_SelfStock'!U18,T14-'Grid_Requirement'!U14+'Grid_TTAFOutgoing'!U14))</f>
        <v/>
      </c>
      <c r="V14">
        <f>IF(COUNTIFS(T_StockCount[Part Name],$A14,T_StockCount[WeekIndex],21)&gt;0,SUMIFS(T_StockCount[CountedQty],T_StockCount[Part Name],$A14,T_StockCount[WeekIndex],21),IF(('T_SelfStock'!V18&lt;&gt;""),'T_SelfStock'!V18,U14-'Grid_Requirement'!V14+'Grid_TTAFOutgoing'!V14))</f>
        <v/>
      </c>
      <c r="W14">
        <f>IF(COUNTIFS(T_StockCount[Part Name],$A14,T_StockCount[WeekIndex],22)&gt;0,SUMIFS(T_StockCount[CountedQty],T_StockCount[Part Name],$A14,T_StockCount[WeekIndex],22),IF(('T_SelfStock'!W18&lt;&gt;""),'T_SelfStock'!W18,V14-'Grid_Requirement'!W14+'Grid_TTAFOutgoing'!W14))</f>
        <v/>
      </c>
      <c r="X14">
        <f>IF(COUNTIFS(T_StockCount[Part Name],$A14,T_StockCount[WeekIndex],23)&gt;0,SUMIFS(T_StockCount[CountedQty],T_StockCount[Part Name],$A14,T_StockCount[WeekIndex],23),IF(('T_SelfStock'!X18&lt;&gt;""),'T_SelfStock'!X18,W14-'Grid_Requirement'!X14+'Grid_TTAFOutgoing'!X14))</f>
        <v/>
      </c>
      <c r="Y14">
        <f>IF(COUNTIFS(T_StockCount[Part Name],$A14,T_StockCount[WeekIndex],24)&gt;0,SUMIFS(T_StockCount[CountedQty],T_StockCount[Part Name],$A14,T_StockCount[WeekIndex],24),IF(('T_SelfStock'!Y18&lt;&gt;""),'T_SelfStock'!Y18,X14-'Grid_Requirement'!Y14+'Grid_TTAFOutgoing'!Y14))</f>
        <v/>
      </c>
      <c r="Z14">
        <f>IF(COUNTIFS(T_StockCount[Part Name],$A14,T_StockCount[WeekIndex],25)&gt;0,SUMIFS(T_StockCount[CountedQty],T_StockCount[Part Name],$A14,T_StockCount[WeekIndex],25),IF(('T_SelfStock'!Z18&lt;&gt;""),'T_SelfStock'!Z18,Y14-'Grid_Requirement'!Z14+'Grid_TTAFOutgoing'!Z14))</f>
        <v/>
      </c>
      <c r="AA14">
        <f>IF(COUNTIFS(T_StockCount[Part Name],$A14,T_StockCount[WeekIndex],26)&gt;0,SUMIFS(T_StockCount[CountedQty],T_StockCount[Part Name],$A14,T_StockCount[WeekIndex],26),IF(('T_SelfStock'!AA18&lt;&gt;""),'T_SelfStock'!AA18,Z14-'Grid_Requirement'!AA14+'Grid_TTAFOutgoing'!AA14))</f>
        <v/>
      </c>
      <c r="AB14">
        <f>IF(COUNTIFS(T_StockCount[Part Name],$A14,T_StockCount[WeekIndex],27)&gt;0,SUMIFS(T_StockCount[CountedQty],T_StockCount[Part Name],$A14,T_StockCount[WeekIndex],27),IF(('T_SelfStock'!AB18&lt;&gt;""),'T_SelfStock'!AB18,AA14-'Grid_Requirement'!AB14+'Grid_TTAFOutgoing'!AB14))</f>
        <v/>
      </c>
      <c r="AC14">
        <f>IF(COUNTIFS(T_StockCount[Part Name],$A14,T_StockCount[WeekIndex],28)&gt;0,SUMIFS(T_StockCount[CountedQty],T_StockCount[Part Name],$A14,T_StockCount[WeekIndex],28),IF(('T_SelfStock'!AC18&lt;&gt;""),'T_SelfStock'!AC18,AB14-'Grid_Requirement'!AC14+'Grid_TTAFOutgoing'!AC14))</f>
        <v/>
      </c>
      <c r="AD14">
        <f>IF(COUNTIFS(T_StockCount[Part Name],$A14,T_StockCount[WeekIndex],29)&gt;0,SUMIFS(T_StockCount[CountedQty],T_StockCount[Part Name],$A14,T_StockCount[WeekIndex],29),IF(('T_SelfStock'!AD18&lt;&gt;""),'T_SelfStock'!AD18,AC14-'Grid_Requirement'!AD14+'Grid_TTAFOutgoing'!AD14))</f>
        <v/>
      </c>
      <c r="AE14">
        <f>IF(COUNTIFS(T_StockCount[Part Name],$A14,T_StockCount[WeekIndex],30)&gt;0,SUMIFS(T_StockCount[CountedQty],T_StockCount[Part Name],$A14,T_StockCount[WeekIndex],30),IF(('T_SelfStock'!AE18&lt;&gt;""),'T_SelfStock'!AE18,AD14-'Grid_Requirement'!AE14+'Grid_TTAFOutgoing'!AE14))</f>
        <v/>
      </c>
      <c r="AF14">
        <f>IF(COUNTIFS(T_StockCount[Part Name],$A14,T_StockCount[WeekIndex],31)&gt;0,SUMIFS(T_StockCount[CountedQty],T_StockCount[Part Name],$A14,T_StockCount[WeekIndex],31),IF(('T_SelfStock'!AF18&lt;&gt;""),'T_SelfStock'!AF18,AE14-'Grid_Requirement'!AF14+'Grid_TTAFOutgoing'!AF14))</f>
        <v/>
      </c>
      <c r="AG14">
        <f>IF(COUNTIFS(T_StockCount[Part Name],$A14,T_StockCount[WeekIndex],32)&gt;0,SUMIFS(T_StockCount[CountedQty],T_StockCount[Part Name],$A14,T_StockCount[WeekIndex],32),IF(('T_SelfStock'!AG18&lt;&gt;""),'T_SelfStock'!AG18,AF14-'Grid_Requirement'!AG14+'Grid_TTAFOutgoing'!AG14))</f>
        <v/>
      </c>
      <c r="AH14">
        <f>IF(COUNTIFS(T_StockCount[Part Name],$A14,T_StockCount[WeekIndex],33)&gt;0,SUMIFS(T_StockCount[CountedQty],T_StockCount[Part Name],$A14,T_StockCount[WeekIndex],33),IF(('T_SelfStock'!AH18&lt;&gt;""),'T_SelfStock'!AH18,AG14-'Grid_Requirement'!AH14+'Grid_TTAFOutgoing'!AH14))</f>
        <v/>
      </c>
      <c r="AI14">
        <f>IF(COUNTIFS(T_StockCount[Part Name],$A14,T_StockCount[WeekIndex],34)&gt;0,SUMIFS(T_StockCount[CountedQty],T_StockCount[Part Name],$A14,T_StockCount[WeekIndex],34),IF(('T_SelfStock'!AI18&lt;&gt;""),'T_SelfStock'!AI18,AH14-'Grid_Requirement'!AI14+'Grid_TTAFOutgoing'!AI14))</f>
        <v/>
      </c>
      <c r="AJ14">
        <f>IF(COUNTIFS(T_StockCount[Part Name],$A14,T_StockCount[WeekIndex],35)&gt;0,SUMIFS(T_StockCount[CountedQty],T_StockCount[Part Name],$A14,T_StockCount[WeekIndex],35),IF(('T_SelfStock'!AJ18&lt;&gt;""),'T_SelfStock'!AJ18,AI14-'Grid_Requirement'!AJ14+'Grid_TTAFOutgoing'!AJ14))</f>
        <v/>
      </c>
      <c r="AK14">
        <f>IF(COUNTIFS(T_StockCount[Part Name],$A14,T_StockCount[WeekIndex],36)&gt;0,SUMIFS(T_StockCount[CountedQty],T_StockCount[Part Name],$A14,T_StockCount[WeekIndex],36),IF(('T_SelfStock'!AK18&lt;&gt;""),'T_SelfStock'!AK18,AJ14-'Grid_Requirement'!AK14+'Grid_TTAFOutgoing'!AK14))</f>
        <v/>
      </c>
      <c r="AL14">
        <f>IF(COUNTIFS(T_StockCount[Part Name],$A14,T_StockCount[WeekIndex],37)&gt;0,SUMIFS(T_StockCount[CountedQty],T_StockCount[Part Name],$A14,T_StockCount[WeekIndex],37),IF(('T_SelfStock'!AL18&lt;&gt;""),'T_SelfStock'!AL18,AK14-'Grid_Requirement'!AL14+'Grid_TTAFOutgoing'!AL14))</f>
        <v/>
      </c>
      <c r="AM14">
        <f>IF(COUNTIFS(T_StockCount[Part Name],$A14,T_StockCount[WeekIndex],38)&gt;0,SUMIFS(T_StockCount[CountedQty],T_StockCount[Part Name],$A14,T_StockCount[WeekIndex],38),IF(('T_SelfStock'!AM18&lt;&gt;""),'T_SelfStock'!AM18,AL14-'Grid_Requirement'!AM14+'Grid_TTAFOutgoing'!AM14))</f>
        <v/>
      </c>
      <c r="AN14">
        <f>IF(COUNTIFS(T_StockCount[Part Name],$A14,T_StockCount[WeekIndex],39)&gt;0,SUMIFS(T_StockCount[CountedQty],T_StockCount[Part Name],$A14,T_StockCount[WeekIndex],39),IF(('T_SelfStock'!AN18&lt;&gt;""),'T_SelfStock'!AN18,AM14-'Grid_Requirement'!AN14+'Grid_TTAFOutgoing'!AN14))</f>
        <v/>
      </c>
      <c r="AO14">
        <f>IF(COUNTIFS(T_StockCount[Part Name],$A14,T_StockCount[WeekIndex],40)&gt;0,SUMIFS(T_StockCount[CountedQty],T_StockCount[Part Name],$A14,T_StockCount[WeekIndex],40),IF(('T_SelfStock'!AO18&lt;&gt;""),'T_SelfStock'!AO18,AN14-'Grid_Requirement'!AO14+'Grid_TTAFOutgoing'!AO14))</f>
        <v/>
      </c>
      <c r="AP14">
        <f>IF(COUNTIFS(T_StockCount[Part Name],$A14,T_StockCount[WeekIndex],41)&gt;0,SUMIFS(T_StockCount[CountedQty],T_StockCount[Part Name],$A14,T_StockCount[WeekIndex],41),IF(('T_SelfStock'!AP18&lt;&gt;""),'T_SelfStock'!AP18,AO14-'Grid_Requirement'!AP14+'Grid_TTAFOutgoing'!AP14))</f>
        <v/>
      </c>
      <c r="AQ14">
        <f>IF(COUNTIFS(T_StockCount[Part Name],$A14,T_StockCount[WeekIndex],42)&gt;0,SUMIFS(T_StockCount[CountedQty],T_StockCount[Part Name],$A14,T_StockCount[WeekIndex],42),IF(('T_SelfStock'!AQ18&lt;&gt;""),'T_SelfStock'!AQ18,AP14-'Grid_Requirement'!AQ14+'Grid_TTAFOutgoing'!AQ14))</f>
        <v/>
      </c>
      <c r="AR14">
        <f>IF(COUNTIFS(T_StockCount[Part Name],$A14,T_StockCount[WeekIndex],43)&gt;0,SUMIFS(T_StockCount[CountedQty],T_StockCount[Part Name],$A14,T_StockCount[WeekIndex],43),IF(('T_SelfStock'!AR18&lt;&gt;""),'T_SelfStock'!AR18,AQ14-'Grid_Requirement'!AR14+'Grid_TTAFOutgoing'!AR14))</f>
        <v/>
      </c>
      <c r="AS14">
        <f>IF(COUNTIFS(T_StockCount[Part Name],$A14,T_StockCount[WeekIndex],44)&gt;0,SUMIFS(T_StockCount[CountedQty],T_StockCount[Part Name],$A14,T_StockCount[WeekIndex],44),IF(('T_SelfStock'!AS18&lt;&gt;""),'T_SelfStock'!AS18,AR14-'Grid_Requirement'!AS14+'Grid_TTAFOutgoing'!AS14))</f>
        <v/>
      </c>
      <c r="AT14">
        <f>IF(COUNTIFS(T_StockCount[Part Name],$A14,T_StockCount[WeekIndex],45)&gt;0,SUMIFS(T_StockCount[CountedQty],T_StockCount[Part Name],$A14,T_StockCount[WeekIndex],45),IF(('T_SelfStock'!AT18&lt;&gt;""),'T_SelfStock'!AT18,AS14-'Grid_Requirement'!AT14+'Grid_TTAFOutgoing'!AT14))</f>
        <v/>
      </c>
      <c r="AU14">
        <f>IF(COUNTIFS(T_StockCount[Part Name],$A14,T_StockCount[WeekIndex],46)&gt;0,SUMIFS(T_StockCount[CountedQty],T_StockCount[Part Name],$A14,T_StockCount[WeekIndex],46),IF(('T_SelfStock'!AU18&lt;&gt;""),'T_SelfStock'!AU18,AT14-'Grid_Requirement'!AU14+'Grid_TTAFOutgoing'!AU14))</f>
        <v/>
      </c>
      <c r="AV14">
        <f>IF(COUNTIFS(T_StockCount[Part Name],$A14,T_StockCount[WeekIndex],47)&gt;0,SUMIFS(T_StockCount[CountedQty],T_StockCount[Part Name],$A14,T_StockCount[WeekIndex],47),IF(('T_SelfStock'!AV18&lt;&gt;""),'T_SelfStock'!AV18,AU14-'Grid_Requirement'!AV14+'Grid_TTAFOutgoing'!AV14))</f>
        <v/>
      </c>
      <c r="AW14">
        <f>IF(COUNTIFS(T_StockCount[Part Name],$A14,T_StockCount[WeekIndex],48)&gt;0,SUMIFS(T_StockCount[CountedQty],T_StockCount[Part Name],$A14,T_StockCount[WeekIndex],48),IF(('T_SelfStock'!AW18&lt;&gt;""),'T_SelfStock'!AW18,AV14-'Grid_Requirement'!AW14+'Grid_TTAFOutgoing'!AW14))</f>
        <v/>
      </c>
      <c r="AX14">
        <f>IF(COUNTIFS(T_StockCount[Part Name],$A14,T_StockCount[WeekIndex],49)&gt;0,SUMIFS(T_StockCount[CountedQty],T_StockCount[Part Name],$A14,T_StockCount[WeekIndex],49),IF(('T_SelfStock'!AX18&lt;&gt;""),'T_SelfStock'!AX18,AW14-'Grid_Requirement'!AX14+'Grid_TTAFOutgoing'!AX14))</f>
        <v/>
      </c>
      <c r="AY14">
        <f>IF(COUNTIFS(T_StockCount[Part Name],$A14,T_StockCount[WeekIndex],50)&gt;0,SUMIFS(T_StockCount[CountedQty],T_StockCount[Part Name],$A14,T_StockCount[WeekIndex],50),IF(('T_SelfStock'!AY18&lt;&gt;""),'T_SelfStock'!AY18,AX14-'Grid_Requirement'!AY14+'Grid_TTAFOutgoing'!AY14))</f>
        <v/>
      </c>
      <c r="AZ14">
        <f>IF(COUNTIFS(T_StockCount[Part Name],$A14,T_StockCount[WeekIndex],51)&gt;0,SUMIFS(T_StockCount[CountedQty],T_StockCount[Part Name],$A14,T_StockCount[WeekIndex],51),IF(('T_SelfStock'!AZ18&lt;&gt;""),'T_SelfStock'!AZ18,AY14-'Grid_Requirement'!AZ14+'Grid_TTAFOutgoing'!AZ14))</f>
        <v/>
      </c>
      <c r="BA14">
        <f>IF(COUNTIFS(T_StockCount[Part Name],$A14,T_StockCount[WeekIndex],52)&gt;0,SUMIFS(T_StockCount[CountedQty],T_StockCount[Part Name],$A14,T_StockCount[WeekIndex],52),IF(('T_SelfStock'!BA18&lt;&gt;""),'T_SelfStock'!BA18,AZ14-'Grid_Requirement'!BA14+'Grid_TTAFOutgoing'!BA14))</f>
        <v/>
      </c>
      <c r="BB14">
        <f>IF(COUNTIFS(T_StockCount[Part Name],$A14,T_StockCount[WeekIndex],53)&gt;0,SUMIFS(T_StockCount[CountedQty],T_StockCount[Part Name],$A14,T_StockCount[WeekIndex],53),IF(('T_SelfStock'!BB18&lt;&gt;""),'T_SelfStock'!BB18,BA14-'Grid_Requirement'!BB14+'Grid_TTAFOutgoing'!BB14))</f>
        <v/>
      </c>
      <c r="BC14">
        <f>IF(COUNTIFS(T_StockCount[Part Name],$A14,T_StockCount[WeekIndex],54)&gt;0,SUMIFS(T_StockCount[CountedQty],T_StockCount[Part Name],$A14,T_StockCount[WeekIndex],54),IF(('T_SelfStock'!BC18&lt;&gt;""),'T_SelfStock'!BC18,BB14-'Grid_Requirement'!BC14+'Grid_TTAFOutgoing'!BC14))</f>
        <v/>
      </c>
      <c r="BD14">
        <f>IF(COUNTIFS(T_StockCount[Part Name],$A14,T_StockCount[WeekIndex],55)&gt;0,SUMIFS(T_StockCount[CountedQty],T_StockCount[Part Name],$A14,T_StockCount[WeekIndex],55),IF(('T_SelfStock'!BD18&lt;&gt;""),'T_SelfStock'!BD18,BC14-'Grid_Requirement'!BD14+'Grid_TTAFOutgoing'!BD14))</f>
        <v/>
      </c>
      <c r="BE14">
        <f>IF(COUNTIFS(T_StockCount[Part Name],$A14,T_StockCount[WeekIndex],56)&gt;0,SUMIFS(T_StockCount[CountedQty],T_StockCount[Part Name],$A14,T_StockCount[WeekIndex],56),IF(('T_SelfStock'!BE18&lt;&gt;""),'T_SelfStock'!BE18,BD14-'Grid_Requirement'!BE14+'Grid_TTAFOutgoing'!BE14))</f>
        <v/>
      </c>
      <c r="BF14">
        <f>IF(COUNTIFS(T_StockCount[Part Name],$A14,T_StockCount[WeekIndex],57)&gt;0,SUMIFS(T_StockCount[CountedQty],T_StockCount[Part Name],$A14,T_StockCount[WeekIndex],57),IF(('T_SelfStock'!BF18&lt;&gt;""),'T_SelfStock'!BF18,BE14-'Grid_Requirement'!BF14+'Grid_TTAFOutgoing'!BF14))</f>
        <v/>
      </c>
      <c r="BG14">
        <f>IF(COUNTIFS(T_StockCount[Part Name],$A14,T_StockCount[WeekIndex],58)&gt;0,SUMIFS(T_StockCount[CountedQty],T_StockCount[Part Name],$A14,T_StockCount[WeekIndex],58),IF(('T_SelfStock'!BG18&lt;&gt;""),'T_SelfStock'!BG18,BF14-'Grid_Requirement'!BG14+'Grid_TTAFOutgoing'!BG14))</f>
        <v/>
      </c>
      <c r="BH14">
        <f>IF(COUNTIFS(T_StockCount[Part Name],$A14,T_StockCount[WeekIndex],59)&gt;0,SUMIFS(T_StockCount[CountedQty],T_StockCount[Part Name],$A14,T_StockCount[WeekIndex],59),IF(('T_SelfStock'!BH18&lt;&gt;""),'T_SelfStock'!BH18,BG14-'Grid_Requirement'!BH14+'Grid_TTAFOutgoing'!BH14))</f>
        <v/>
      </c>
      <c r="BI14">
        <f>IF(COUNTIFS(T_StockCount[Part Name],$A14,T_StockCount[WeekIndex],60)&gt;0,SUMIFS(T_StockCount[CountedQty],T_StockCount[Part Name],$A14,T_StockCount[WeekIndex],60),IF(('T_SelfStock'!BI18&lt;&gt;""),'T_SelfStock'!BI18,BH14-'Grid_Requirement'!BI14+'Grid_TTAFOutgoing'!BI14))</f>
        <v/>
      </c>
      <c r="BJ14">
        <f>IF(COUNTIFS(T_StockCount[Part Name],$A14,T_StockCount[WeekIndex],61)&gt;0,SUMIFS(T_StockCount[CountedQty],T_StockCount[Part Name],$A14,T_StockCount[WeekIndex],61),IF(('T_SelfStock'!BJ18&lt;&gt;""),'T_SelfStock'!BJ18,BI14-'Grid_Requirement'!BJ14+'Grid_TTAFOutgoing'!BJ14))</f>
        <v/>
      </c>
      <c r="BK14">
        <f>IF(COUNTIFS(T_StockCount[Part Name],$A14,T_StockCount[WeekIndex],62)&gt;0,SUMIFS(T_StockCount[CountedQty],T_StockCount[Part Name],$A14,T_StockCount[WeekIndex],62),IF(('T_SelfStock'!BK18&lt;&gt;""),'T_SelfStock'!BK18,BJ14-'Grid_Requirement'!BK14+'Grid_TTAFOutgoing'!BK14))</f>
        <v/>
      </c>
      <c r="BL14">
        <f>IF(COUNTIFS(T_StockCount[Part Name],$A14,T_StockCount[WeekIndex],63)&gt;0,SUMIFS(T_StockCount[CountedQty],T_StockCount[Part Name],$A14,T_StockCount[WeekIndex],63),IF(('T_SelfStock'!BL18&lt;&gt;""),'T_SelfStock'!BL18,BK14-'Grid_Requirement'!BL14+'Grid_TTAFOutgoing'!BL14))</f>
        <v/>
      </c>
      <c r="BM14">
        <f>IF(COUNTIFS(T_StockCount[Part Name],$A14,T_StockCount[WeekIndex],64)&gt;0,SUMIFS(T_StockCount[CountedQty],T_StockCount[Part Name],$A14,T_StockCount[WeekIndex],64),IF(('T_SelfStock'!BM18&lt;&gt;""),'T_SelfStock'!BM18,BL14-'Grid_Requirement'!BM14+'Grid_TTAFOutgoing'!BM14))</f>
        <v/>
      </c>
      <c r="BN14">
        <f>IF(COUNTIFS(T_StockCount[Part Name],$A14,T_StockCount[WeekIndex],65)&gt;0,SUMIFS(T_StockCount[CountedQty],T_StockCount[Part Name],$A14,T_StockCount[WeekIndex],65),IF(('T_SelfStock'!BN18&lt;&gt;""),'T_SelfStock'!BN18,BM14-'Grid_Requirement'!BN14+'Grid_TTAFOutgoing'!BN14))</f>
        <v/>
      </c>
      <c r="BO14">
        <f>IF(COUNTIFS(T_StockCount[Part Name],$A14,T_StockCount[WeekIndex],66)&gt;0,SUMIFS(T_StockCount[CountedQty],T_StockCount[Part Name],$A14,T_StockCount[WeekIndex],66),IF(('T_SelfStock'!BO18&lt;&gt;""),'T_SelfStock'!BO18,BN14-'Grid_Requirement'!BO14+'Grid_TTAFOutgoing'!BO14))</f>
        <v/>
      </c>
      <c r="BP14">
        <f>IF(COUNTIFS(T_StockCount[Part Name],$A14,T_StockCount[WeekIndex],67)&gt;0,SUMIFS(T_StockCount[CountedQty],T_StockCount[Part Name],$A14,T_StockCount[WeekIndex],67),IF(('T_SelfStock'!BP18&lt;&gt;""),'T_SelfStock'!BP18,BO14-'Grid_Requirement'!BP14+'Grid_TTAFOutgoing'!BP14))</f>
        <v/>
      </c>
      <c r="BQ14">
        <f>IF(COUNTIFS(T_StockCount[Part Name],$A14,T_StockCount[WeekIndex],68)&gt;0,SUMIFS(T_StockCount[CountedQty],T_StockCount[Part Name],$A14,T_StockCount[WeekIndex],68),IF(('T_SelfStock'!BQ18&lt;&gt;""),'T_SelfStock'!BQ18,BP14-'Grid_Requirement'!BQ14+'Grid_TTAFOutgoing'!BQ14))</f>
        <v/>
      </c>
      <c r="BR14">
        <f>IF(COUNTIFS(T_StockCount[Part Name],$A14,T_StockCount[WeekIndex],69)&gt;0,SUMIFS(T_StockCount[CountedQty],T_StockCount[Part Name],$A14,T_StockCount[WeekIndex],69),IF(('T_SelfStock'!BR18&lt;&gt;""),'T_SelfStock'!BR18,BQ14-'Grid_Requirement'!BR14+'Grid_TTAFOutgoing'!BR14))</f>
        <v/>
      </c>
      <c r="BS14">
        <f>IF(COUNTIFS(T_StockCount[Part Name],$A14,T_StockCount[WeekIndex],70)&gt;0,SUMIFS(T_StockCount[CountedQty],T_StockCount[Part Name],$A14,T_StockCount[WeekIndex],70),IF(('T_SelfStock'!BS18&lt;&gt;""),'T_SelfStock'!BS18,BR14-'Grid_Requirement'!BS14+'Grid_TTAFOutgoing'!BS14))</f>
        <v/>
      </c>
      <c r="BT14">
        <f>IF(COUNTIFS(T_StockCount[Part Name],$A14,T_StockCount[WeekIndex],71)&gt;0,SUMIFS(T_StockCount[CountedQty],T_StockCount[Part Name],$A14,T_StockCount[WeekIndex],71),IF(('T_SelfStock'!BT18&lt;&gt;""),'T_SelfStock'!BT18,BS14-'Grid_Requirement'!BT14+'Grid_TTAFOutgoing'!BT14))</f>
        <v/>
      </c>
      <c r="BU14">
        <f>IF(COUNTIFS(T_StockCount[Part Name],$A14,T_StockCount[WeekIndex],72)&gt;0,SUMIFS(T_StockCount[CountedQty],T_StockCount[Part Name],$A14,T_StockCount[WeekIndex],72),IF(('T_SelfStock'!BU18&lt;&gt;""),'T_SelfStock'!BU18,BT14-'Grid_Requirement'!BU14+'Grid_TTAFOutgoing'!BU14))</f>
        <v/>
      </c>
      <c r="BV14">
        <f>IF(COUNTIFS(T_StockCount[Part Name],$A14,T_StockCount[WeekIndex],73)&gt;0,SUMIFS(T_StockCount[CountedQty],T_StockCount[Part Name],$A14,T_StockCount[WeekIndex],73),IF(('T_SelfStock'!BV18&lt;&gt;""),'T_SelfStock'!BV18,BU14-'Grid_Requirement'!BV14+'Grid_TTAFOutgoing'!BV14))</f>
        <v/>
      </c>
      <c r="BW14">
        <f>IF(COUNTIFS(T_StockCount[Part Name],$A14,T_StockCount[WeekIndex],74)&gt;0,SUMIFS(T_StockCount[CountedQty],T_StockCount[Part Name],$A14,T_StockCount[WeekIndex],74),IF(('T_SelfStock'!BW18&lt;&gt;""),'T_SelfStock'!BW18,BV14-'Grid_Requirement'!BW14+'Grid_TTAFOutgoing'!BW14))</f>
        <v/>
      </c>
      <c r="BX14">
        <f>IF(COUNTIFS(T_StockCount[Part Name],$A14,T_StockCount[WeekIndex],75)&gt;0,SUMIFS(T_StockCount[CountedQty],T_StockCount[Part Name],$A14,T_StockCount[WeekIndex],75),IF(('T_SelfStock'!BX18&lt;&gt;""),'T_SelfStock'!BX18,BW14-'Grid_Requirement'!BX14+'Grid_TTAFOutgoing'!BX14))</f>
        <v/>
      </c>
      <c r="BY14">
        <f>IF(COUNTIFS(T_StockCount[Part Name],$A14,T_StockCount[WeekIndex],76)&gt;0,SUMIFS(T_StockCount[CountedQty],T_StockCount[Part Name],$A14,T_StockCount[WeekIndex],76),IF(('T_SelfStock'!BY18&lt;&gt;""),'T_SelfStock'!BY18,BX14-'Grid_Requirement'!BY14+'Grid_TTAFOutgoing'!BY14))</f>
        <v/>
      </c>
      <c r="BZ14">
        <f>IF(COUNTIFS(T_StockCount[Part Name],$A14,T_StockCount[WeekIndex],77)&gt;0,SUMIFS(T_StockCount[CountedQty],T_StockCount[Part Name],$A14,T_StockCount[WeekIndex],77),IF(('T_SelfStock'!BZ18&lt;&gt;""),'T_SelfStock'!BZ18,BY14-'Grid_Requirement'!BZ14+'Grid_TTAFOutgoing'!BZ14))</f>
        <v/>
      </c>
      <c r="CA14">
        <f>IF(COUNTIFS(T_StockCount[Part Name],$A14,T_StockCount[WeekIndex],78)&gt;0,SUMIFS(T_StockCount[CountedQty],T_StockCount[Part Name],$A14,T_StockCount[WeekIndex],78),IF(('T_SelfStock'!CA18&lt;&gt;""),'T_SelfStock'!CA18,BZ14-'Grid_Requirement'!CA14+'Grid_TTAFOutgoing'!CA14))</f>
        <v/>
      </c>
      <c r="CB14">
        <f>IF(COUNTIFS(T_StockCount[Part Name],$A14,T_StockCount[WeekIndex],79)&gt;0,SUMIFS(T_StockCount[CountedQty],T_StockCount[Part Name],$A14,T_StockCount[WeekIndex],79),IF(('T_SelfStock'!CB18&lt;&gt;""),'T_SelfStock'!CB18,CA14-'Grid_Requirement'!CB14+'Grid_TTAFOutgoing'!CB14))</f>
        <v/>
      </c>
      <c r="CC14">
        <f>IF(COUNTIFS(T_StockCount[Part Name],$A14,T_StockCount[WeekIndex],80)&gt;0,SUMIFS(T_StockCount[CountedQty],T_StockCount[Part Name],$A14,T_StockCount[WeekIndex],80),IF(('T_SelfStock'!CC18&lt;&gt;""),'T_SelfStock'!CC18,CB14-'Grid_Requirement'!CC14+'Grid_TTAFOutgoing'!CC14))</f>
        <v/>
      </c>
      <c r="CD14">
        <f>IF(COUNTIFS(T_StockCount[Part Name],$A14,T_StockCount[WeekIndex],81)&gt;0,SUMIFS(T_StockCount[CountedQty],T_StockCount[Part Name],$A14,T_StockCount[WeekIndex],81),IF(('T_SelfStock'!CD18&lt;&gt;""),'T_SelfStock'!CD18,CC14-'Grid_Requirement'!CD14+'Grid_TTAFOutgoing'!CD14))</f>
        <v/>
      </c>
      <c r="CE14">
        <f>IF(COUNTIFS(T_StockCount[Part Name],$A14,T_StockCount[WeekIndex],82)&gt;0,SUMIFS(T_StockCount[CountedQty],T_StockCount[Part Name],$A14,T_StockCount[WeekIndex],82),IF(('T_SelfStock'!CE18&lt;&gt;""),'T_SelfStock'!CE18,CD14-'Grid_Requirement'!CE14+'Grid_TTAFOutgoing'!CE14))</f>
        <v/>
      </c>
      <c r="CF14">
        <f>IF(COUNTIFS(T_StockCount[Part Name],$A14,T_StockCount[WeekIndex],83)&gt;0,SUMIFS(T_StockCount[CountedQty],T_StockCount[Part Name],$A14,T_StockCount[WeekIndex],83),IF(('T_SelfStock'!CF18&lt;&gt;""),'T_SelfStock'!CF18,CE14-'Grid_Requirement'!CF14+'Grid_TTAFOutgoing'!CF14))</f>
        <v/>
      </c>
      <c r="CG14">
        <f>IF(COUNTIFS(T_StockCount[Part Name],$A14,T_StockCount[WeekIndex],84)&gt;0,SUMIFS(T_StockCount[CountedQty],T_StockCount[Part Name],$A14,T_StockCount[WeekIndex],84),IF(('T_SelfStock'!CG18&lt;&gt;""),'T_SelfStock'!CG18,CF14-'Grid_Requirement'!CG14+'Grid_TTAFOutgoing'!CG14))</f>
        <v/>
      </c>
      <c r="CH14">
        <f>IF(COUNTIFS(T_StockCount[Part Name],$A14,T_StockCount[WeekIndex],85)&gt;0,SUMIFS(T_StockCount[CountedQty],T_StockCount[Part Name],$A14,T_StockCount[WeekIndex],85),IF(('T_SelfStock'!CH18&lt;&gt;""),'T_SelfStock'!CH18,CG14-'Grid_Requirement'!CH14+'Grid_TTAFOutgoing'!CH14))</f>
        <v/>
      </c>
      <c r="CI14">
        <f>IF(COUNTIFS(T_StockCount[Part Name],$A14,T_StockCount[WeekIndex],86)&gt;0,SUMIFS(T_StockCount[CountedQty],T_StockCount[Part Name],$A14,T_StockCount[WeekIndex],86),IF(('T_SelfStock'!CI18&lt;&gt;""),'T_SelfStock'!CI18,CH14-'Grid_Requirement'!CI14+'Grid_TTAFOutgoing'!CI14))</f>
        <v/>
      </c>
      <c r="CJ14">
        <f>IF(COUNTIFS(T_StockCount[Part Name],$A14,T_StockCount[WeekIndex],87)&gt;0,SUMIFS(T_StockCount[CountedQty],T_StockCount[Part Name],$A14,T_StockCount[WeekIndex],87),IF(('T_SelfStock'!CJ18&lt;&gt;""),'T_SelfStock'!CJ18,CI14-'Grid_Requirement'!CJ14+'Grid_TTAFOutgoing'!CJ14))</f>
        <v/>
      </c>
      <c r="CK14">
        <f>IF(COUNTIFS(T_StockCount[Part Name],$A14,T_StockCount[WeekIndex],88)&gt;0,SUMIFS(T_StockCount[CountedQty],T_StockCount[Part Name],$A14,T_StockCount[WeekIndex],88),IF(('T_SelfStock'!CK18&lt;&gt;""),'T_SelfStock'!CK18,CJ14-'Grid_Requirement'!CK14+'Grid_TTAFOutgoing'!CK14))</f>
        <v/>
      </c>
      <c r="CL14">
        <f>IF(COUNTIFS(T_StockCount[Part Name],$A14,T_StockCount[WeekIndex],89)&gt;0,SUMIFS(T_StockCount[CountedQty],T_StockCount[Part Name],$A14,T_StockCount[WeekIndex],89),IF(('T_SelfStock'!CL18&lt;&gt;""),'T_SelfStock'!CL18,CK14-'Grid_Requirement'!CL14+'Grid_TTAFOutgoing'!CL14))</f>
        <v/>
      </c>
      <c r="CM14">
        <f>IF(COUNTIFS(T_StockCount[Part Name],$A14,T_StockCount[WeekIndex],90)&gt;0,SUMIFS(T_StockCount[CountedQty],T_StockCount[Part Name],$A14,T_StockCount[WeekIndex],90),IF(('T_SelfStock'!CM18&lt;&gt;""),'T_SelfStock'!CM18,CL14-'Grid_Requirement'!CM14+'Grid_TTAFOutgoing'!CM14))</f>
        <v/>
      </c>
      <c r="CN14">
        <f>IF(COUNTIFS(T_StockCount[Part Name],$A14,T_StockCount[WeekIndex],91)&gt;0,SUMIFS(T_StockCount[CountedQty],T_StockCount[Part Name],$A14,T_StockCount[WeekIndex],91),IF(('T_SelfStock'!CN18&lt;&gt;""),'T_SelfStock'!CN18,CM14-'Grid_Requirement'!CN14+'Grid_TTAFOutgoing'!CN14))</f>
        <v/>
      </c>
      <c r="CO14">
        <f>IF(COUNTIFS(T_StockCount[Part Name],$A14,T_StockCount[WeekIndex],92)&gt;0,SUMIFS(T_StockCount[CountedQty],T_StockCount[Part Name],$A14,T_StockCount[WeekIndex],92),IF(('T_SelfStock'!CO18&lt;&gt;""),'T_SelfStock'!CO18,CN14-'Grid_Requirement'!CO14+'Grid_TTAFOutgoing'!CO14))</f>
        <v/>
      </c>
      <c r="CP14">
        <f>IF(COUNTIFS(T_StockCount[Part Name],$A14,T_StockCount[WeekIndex],93)&gt;0,SUMIFS(T_StockCount[CountedQty],T_StockCount[Part Name],$A14,T_StockCount[WeekIndex],93),IF(('T_SelfStock'!CP18&lt;&gt;""),'T_SelfStock'!CP18,CO14-'Grid_Requirement'!CP14+'Grid_TTAFOutgoing'!CP14))</f>
        <v/>
      </c>
      <c r="CQ14">
        <f>IF(COUNTIFS(T_StockCount[Part Name],$A14,T_StockCount[WeekIndex],94)&gt;0,SUMIFS(T_StockCount[CountedQty],T_StockCount[Part Name],$A14,T_StockCount[WeekIndex],94),IF(('T_SelfStock'!CQ18&lt;&gt;""),'T_SelfStock'!CQ18,CP14-'Grid_Requirement'!CQ14+'Grid_TTAFOutgoing'!CQ14))</f>
        <v/>
      </c>
      <c r="CR14">
        <f>IF(COUNTIFS(T_StockCount[Part Name],$A14,T_StockCount[WeekIndex],95)&gt;0,SUMIFS(T_StockCount[CountedQty],T_StockCount[Part Name],$A14,T_StockCount[WeekIndex],95),IF(('T_SelfStock'!CR18&lt;&gt;""),'T_SelfStock'!CR18,CQ14-'Grid_Requirement'!CR14+'Grid_TTAFOutgoing'!CR14))</f>
        <v/>
      </c>
      <c r="CS14">
        <f>IF(COUNTIFS(T_StockCount[Part Name],$A14,T_StockCount[WeekIndex],96)&gt;0,SUMIFS(T_StockCount[CountedQty],T_StockCount[Part Name],$A14,T_StockCount[WeekIndex],96),IF(('T_SelfStock'!CS18&lt;&gt;""),'T_SelfStock'!CS18,CR14-'Grid_Requirement'!CS14+'Grid_TTAFOutgoing'!CS14))</f>
        <v/>
      </c>
      <c r="CT14">
        <f>IF(COUNTIFS(T_StockCount[Part Name],$A14,T_StockCount[WeekIndex],97)&gt;0,SUMIFS(T_StockCount[CountedQty],T_StockCount[Part Name],$A14,T_StockCount[WeekIndex],97),IF(('T_SelfStock'!CT18&lt;&gt;""),'T_SelfStock'!CT18,CS14-'Grid_Requirement'!CT14+'Grid_TTAFOutgoing'!CT14))</f>
        <v/>
      </c>
      <c r="CU14">
        <f>IF(COUNTIFS(T_StockCount[Part Name],$A14,T_StockCount[WeekIndex],98)&gt;0,SUMIFS(T_StockCount[CountedQty],T_StockCount[Part Name],$A14,T_StockCount[WeekIndex],98),IF(('T_SelfStock'!CU18&lt;&gt;""),'T_SelfStock'!CU18,CT14-'Grid_Requirement'!CU14+'Grid_TTAFOutgoing'!CU14))</f>
        <v/>
      </c>
      <c r="CV14">
        <f>IF(COUNTIFS(T_StockCount[Part Name],$A14,T_StockCount[WeekIndex],99)&gt;0,SUMIFS(T_StockCount[CountedQty],T_StockCount[Part Name],$A14,T_StockCount[WeekIndex],99),IF(('T_SelfStock'!CV18&lt;&gt;""),'T_SelfStock'!CV18,CU14-'Grid_Requirement'!CV14+'Grid_TTAFOutgoing'!CV14))</f>
        <v/>
      </c>
      <c r="CW14">
        <f>IF(COUNTIFS(T_StockCount[Part Name],$A14,T_StockCount[WeekIndex],100)&gt;0,SUMIFS(T_StockCount[CountedQty],T_StockCount[Part Name],$A14,T_StockCount[WeekIndex],100),IF(('T_SelfStock'!CW18&lt;&gt;""),'T_SelfStock'!CW18,CV14-'Grid_Requirement'!CW14+'Grid_TTAFOutgoing'!CW14))</f>
        <v/>
      </c>
      <c r="CX14">
        <f>IF(COUNTIFS(T_StockCount[Part Name],$A14,T_StockCount[WeekIndex],101)&gt;0,SUMIFS(T_StockCount[CountedQty],T_StockCount[Part Name],$A14,T_StockCount[WeekIndex],101),IF(('T_SelfStock'!CX18&lt;&gt;""),'T_SelfStock'!CX18,CW14-'Grid_Requirement'!CX14+'Grid_TTAFOutgoing'!CX14))</f>
        <v/>
      </c>
      <c r="CY14">
        <f>IF(COUNTIFS(T_StockCount[Part Name],$A14,T_StockCount[WeekIndex],102)&gt;0,SUMIFS(T_StockCount[CountedQty],T_StockCount[Part Name],$A14,T_StockCount[WeekIndex],102),IF(('T_SelfStock'!CY18&lt;&gt;""),'T_SelfStock'!CY18,CX14-'Grid_Requirement'!CY14+'Grid_TTAFOutgoing'!CY14))</f>
        <v/>
      </c>
      <c r="CZ14">
        <f>IF(COUNTIFS(T_StockCount[Part Name],$A14,T_StockCount[WeekIndex],103)&gt;0,SUMIFS(T_StockCount[CountedQty],T_StockCount[Part Name],$A14,T_StockCount[WeekIndex],103),IF(('T_SelfStock'!CZ18&lt;&gt;""),'T_SelfStock'!CZ18,CY14-'Grid_Requirement'!CZ14+'Grid_TTAFOutgoing'!CZ14))</f>
        <v/>
      </c>
      <c r="DA14">
        <f>IF(COUNTIFS(T_StockCount[Part Name],$A14,T_StockCount[WeekIndex],104)&gt;0,SUMIFS(T_StockCount[CountedQty],T_StockCount[Part Name],$A14,T_StockCount[WeekIndex],104),IF(('T_SelfStock'!DA18&lt;&gt;""),'T_SelfStock'!DA18,CZ14-'Grid_Requirement'!DA14+'Grid_TTAFOutgoing'!DA14))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Name],$A15,T_StockCount[WeekIndex],1),IF(('T_SelfStock'!B19&lt;&gt;""),'T_SelfStock'!B19,IFERROR(INDEX(T_OpeningStock[Opening_Qty],MATCH($A15,T_OpeningStock[Part Name],0)),0)-'Grid_Requirement'!B15+'Grid_TTAFOutgoing'!B15))</f>
        <v/>
      </c>
      <c r="C15">
        <f>IF(COUNTIFS(T_StockCount[Part Name],$A15,T_StockCount[WeekIndex],2)&gt;0,SUMIFS(T_StockCount[CountedQty],T_StockCount[Part Name],$A15,T_StockCount[WeekIndex],2),IF(('T_SelfStock'!C19&lt;&gt;""),'T_SelfStock'!C19,B15-'Grid_Requirement'!C15+'Grid_TTAFOutgoing'!C15))</f>
        <v/>
      </c>
      <c r="D15">
        <f>IF(COUNTIFS(T_StockCount[Part Name],$A15,T_StockCount[WeekIndex],3)&gt;0,SUMIFS(T_StockCount[CountedQty],T_StockCount[Part Name],$A15,T_StockCount[WeekIndex],3),IF(('T_SelfStock'!D19&lt;&gt;""),'T_SelfStock'!D19,C15-'Grid_Requirement'!D15+'Grid_TTAFOutgoing'!D15))</f>
        <v/>
      </c>
      <c r="E15">
        <f>IF(COUNTIFS(T_StockCount[Part Name],$A15,T_StockCount[WeekIndex],4)&gt;0,SUMIFS(T_StockCount[CountedQty],T_StockCount[Part Name],$A15,T_StockCount[WeekIndex],4),IF(('T_SelfStock'!E19&lt;&gt;""),'T_SelfStock'!E19,D15-'Grid_Requirement'!E15+'Grid_TTAFOutgoing'!E15))</f>
        <v/>
      </c>
      <c r="F15">
        <f>IF(COUNTIFS(T_StockCount[Part Name],$A15,T_StockCount[WeekIndex],5)&gt;0,SUMIFS(T_StockCount[CountedQty],T_StockCount[Part Name],$A15,T_StockCount[WeekIndex],5),IF(('T_SelfStock'!F19&lt;&gt;""),'T_SelfStock'!F19,E15-'Grid_Requirement'!F15+'Grid_TTAFOutgoing'!F15))</f>
        <v/>
      </c>
      <c r="G15">
        <f>IF(COUNTIFS(T_StockCount[Part Name],$A15,T_StockCount[WeekIndex],6)&gt;0,SUMIFS(T_StockCount[CountedQty],T_StockCount[Part Name],$A15,T_StockCount[WeekIndex],6),IF(('T_SelfStock'!G19&lt;&gt;""),'T_SelfStock'!G19,F15-'Grid_Requirement'!G15+'Grid_TTAFOutgoing'!G15))</f>
        <v/>
      </c>
      <c r="H15">
        <f>IF(COUNTIFS(T_StockCount[Part Name],$A15,T_StockCount[WeekIndex],7)&gt;0,SUMIFS(T_StockCount[CountedQty],T_StockCount[Part Name],$A15,T_StockCount[WeekIndex],7),IF(('T_SelfStock'!H19&lt;&gt;""),'T_SelfStock'!H19,G15-'Grid_Requirement'!H15+'Grid_TTAFOutgoing'!H15))</f>
        <v/>
      </c>
      <c r="I15">
        <f>IF(COUNTIFS(T_StockCount[Part Name],$A15,T_StockCount[WeekIndex],8)&gt;0,SUMIFS(T_StockCount[CountedQty],T_StockCount[Part Name],$A15,T_StockCount[WeekIndex],8),IF(('T_SelfStock'!I19&lt;&gt;""),'T_SelfStock'!I19,H15-'Grid_Requirement'!I15+'Grid_TTAFOutgoing'!I15))</f>
        <v/>
      </c>
      <c r="J15">
        <f>IF(COUNTIFS(T_StockCount[Part Name],$A15,T_StockCount[WeekIndex],9)&gt;0,SUMIFS(T_StockCount[CountedQty],T_StockCount[Part Name],$A15,T_StockCount[WeekIndex],9),IF(('T_SelfStock'!J19&lt;&gt;""),'T_SelfStock'!J19,I15-'Grid_Requirement'!J15+'Grid_TTAFOutgoing'!J15))</f>
        <v/>
      </c>
      <c r="K15">
        <f>IF(COUNTIFS(T_StockCount[Part Name],$A15,T_StockCount[WeekIndex],10)&gt;0,SUMIFS(T_StockCount[CountedQty],T_StockCount[Part Name],$A15,T_StockCount[WeekIndex],10),IF(('T_SelfStock'!K19&lt;&gt;""),'T_SelfStock'!K19,J15-'Grid_Requirement'!K15+'Grid_TTAFOutgoing'!K15))</f>
        <v/>
      </c>
      <c r="L15">
        <f>IF(COUNTIFS(T_StockCount[Part Name],$A15,T_StockCount[WeekIndex],11)&gt;0,SUMIFS(T_StockCount[CountedQty],T_StockCount[Part Name],$A15,T_StockCount[WeekIndex],11),IF(('T_SelfStock'!L19&lt;&gt;""),'T_SelfStock'!L19,K15-'Grid_Requirement'!L15+'Grid_TTAFOutgoing'!L15))</f>
        <v/>
      </c>
      <c r="M15">
        <f>IF(COUNTIFS(T_StockCount[Part Name],$A15,T_StockCount[WeekIndex],12)&gt;0,SUMIFS(T_StockCount[CountedQty],T_StockCount[Part Name],$A15,T_StockCount[WeekIndex],12),IF(('T_SelfStock'!M19&lt;&gt;""),'T_SelfStock'!M19,L15-'Grid_Requirement'!M15+'Grid_TTAFOutgoing'!M15))</f>
        <v/>
      </c>
      <c r="N15">
        <f>IF(COUNTIFS(T_StockCount[Part Name],$A15,T_StockCount[WeekIndex],13)&gt;0,SUMIFS(T_StockCount[CountedQty],T_StockCount[Part Name],$A15,T_StockCount[WeekIndex],13),IF(('T_SelfStock'!N19&lt;&gt;""),'T_SelfStock'!N19,M15-'Grid_Requirement'!N15+'Grid_TTAFOutgoing'!N15))</f>
        <v/>
      </c>
      <c r="O15">
        <f>IF(COUNTIFS(T_StockCount[Part Name],$A15,T_StockCount[WeekIndex],14)&gt;0,SUMIFS(T_StockCount[CountedQty],T_StockCount[Part Name],$A15,T_StockCount[WeekIndex],14),IF(('T_SelfStock'!O19&lt;&gt;""),'T_SelfStock'!O19,N15-'Grid_Requirement'!O15+'Grid_TTAFOutgoing'!O15))</f>
        <v/>
      </c>
      <c r="P15">
        <f>IF(COUNTIFS(T_StockCount[Part Name],$A15,T_StockCount[WeekIndex],15)&gt;0,SUMIFS(T_StockCount[CountedQty],T_StockCount[Part Name],$A15,T_StockCount[WeekIndex],15),IF(('T_SelfStock'!P19&lt;&gt;""),'T_SelfStock'!P19,O15-'Grid_Requirement'!P15+'Grid_TTAFOutgoing'!P15))</f>
        <v/>
      </c>
      <c r="Q15">
        <f>IF(COUNTIFS(T_StockCount[Part Name],$A15,T_StockCount[WeekIndex],16)&gt;0,SUMIFS(T_StockCount[CountedQty],T_StockCount[Part Name],$A15,T_StockCount[WeekIndex],16),IF(('T_SelfStock'!Q19&lt;&gt;""),'T_SelfStock'!Q19,P15-'Grid_Requirement'!Q15+'Grid_TTAFOutgoing'!Q15))</f>
        <v/>
      </c>
      <c r="R15">
        <f>IF(COUNTIFS(T_StockCount[Part Name],$A15,T_StockCount[WeekIndex],17)&gt;0,SUMIFS(T_StockCount[CountedQty],T_StockCount[Part Name],$A15,T_StockCount[WeekIndex],17),IF(('T_SelfStock'!R19&lt;&gt;""),'T_SelfStock'!R19,Q15-'Grid_Requirement'!R15+'Grid_TTAFOutgoing'!R15))</f>
        <v/>
      </c>
      <c r="S15">
        <f>IF(COUNTIFS(T_StockCount[Part Name],$A15,T_StockCount[WeekIndex],18)&gt;0,SUMIFS(T_StockCount[CountedQty],T_StockCount[Part Name],$A15,T_StockCount[WeekIndex],18),IF(('T_SelfStock'!S19&lt;&gt;""),'T_SelfStock'!S19,R15-'Grid_Requirement'!S15+'Grid_TTAFOutgoing'!S15))</f>
        <v/>
      </c>
      <c r="T15">
        <f>IF(COUNTIFS(T_StockCount[Part Name],$A15,T_StockCount[WeekIndex],19)&gt;0,SUMIFS(T_StockCount[CountedQty],T_StockCount[Part Name],$A15,T_StockCount[WeekIndex],19),IF(('T_SelfStock'!T19&lt;&gt;""),'T_SelfStock'!T19,S15-'Grid_Requirement'!T15+'Grid_TTAFOutgoing'!T15))</f>
        <v/>
      </c>
      <c r="U15">
        <f>IF(COUNTIFS(T_StockCount[Part Name],$A15,T_StockCount[WeekIndex],20)&gt;0,SUMIFS(T_StockCount[CountedQty],T_StockCount[Part Name],$A15,T_StockCount[WeekIndex],20),IF(('T_SelfStock'!U19&lt;&gt;""),'T_SelfStock'!U19,T15-'Grid_Requirement'!U15+'Grid_TTAFOutgoing'!U15))</f>
        <v/>
      </c>
      <c r="V15">
        <f>IF(COUNTIFS(T_StockCount[Part Name],$A15,T_StockCount[WeekIndex],21)&gt;0,SUMIFS(T_StockCount[CountedQty],T_StockCount[Part Name],$A15,T_StockCount[WeekIndex],21),IF(('T_SelfStock'!V19&lt;&gt;""),'T_SelfStock'!V19,U15-'Grid_Requirement'!V15+'Grid_TTAFOutgoing'!V15))</f>
        <v/>
      </c>
      <c r="W15">
        <f>IF(COUNTIFS(T_StockCount[Part Name],$A15,T_StockCount[WeekIndex],22)&gt;0,SUMIFS(T_StockCount[CountedQty],T_StockCount[Part Name],$A15,T_StockCount[WeekIndex],22),IF(('T_SelfStock'!W19&lt;&gt;""),'T_SelfStock'!W19,V15-'Grid_Requirement'!W15+'Grid_TTAFOutgoing'!W15))</f>
        <v/>
      </c>
      <c r="X15">
        <f>IF(COUNTIFS(T_StockCount[Part Name],$A15,T_StockCount[WeekIndex],23)&gt;0,SUMIFS(T_StockCount[CountedQty],T_StockCount[Part Name],$A15,T_StockCount[WeekIndex],23),IF(('T_SelfStock'!X19&lt;&gt;""),'T_SelfStock'!X19,W15-'Grid_Requirement'!X15+'Grid_TTAFOutgoing'!X15))</f>
        <v/>
      </c>
      <c r="Y15">
        <f>IF(COUNTIFS(T_StockCount[Part Name],$A15,T_StockCount[WeekIndex],24)&gt;0,SUMIFS(T_StockCount[CountedQty],T_StockCount[Part Name],$A15,T_StockCount[WeekIndex],24),IF(('T_SelfStock'!Y19&lt;&gt;""),'T_SelfStock'!Y19,X15-'Grid_Requirement'!Y15+'Grid_TTAFOutgoing'!Y15))</f>
        <v/>
      </c>
      <c r="Z15">
        <f>IF(COUNTIFS(T_StockCount[Part Name],$A15,T_StockCount[WeekIndex],25)&gt;0,SUMIFS(T_StockCount[CountedQty],T_StockCount[Part Name],$A15,T_StockCount[WeekIndex],25),IF(('T_SelfStock'!Z19&lt;&gt;""),'T_SelfStock'!Z19,Y15-'Grid_Requirement'!Z15+'Grid_TTAFOutgoing'!Z15))</f>
        <v/>
      </c>
      <c r="AA15">
        <f>IF(COUNTIFS(T_StockCount[Part Name],$A15,T_StockCount[WeekIndex],26)&gt;0,SUMIFS(T_StockCount[CountedQty],T_StockCount[Part Name],$A15,T_StockCount[WeekIndex],26),IF(('T_SelfStock'!AA19&lt;&gt;""),'T_SelfStock'!AA19,Z15-'Grid_Requirement'!AA15+'Grid_TTAFOutgoing'!AA15))</f>
        <v/>
      </c>
      <c r="AB15">
        <f>IF(COUNTIFS(T_StockCount[Part Name],$A15,T_StockCount[WeekIndex],27)&gt;0,SUMIFS(T_StockCount[CountedQty],T_StockCount[Part Name],$A15,T_StockCount[WeekIndex],27),IF(('T_SelfStock'!AB19&lt;&gt;""),'T_SelfStock'!AB19,AA15-'Grid_Requirement'!AB15+'Grid_TTAFOutgoing'!AB15))</f>
        <v/>
      </c>
      <c r="AC15">
        <f>IF(COUNTIFS(T_StockCount[Part Name],$A15,T_StockCount[WeekIndex],28)&gt;0,SUMIFS(T_StockCount[CountedQty],T_StockCount[Part Name],$A15,T_StockCount[WeekIndex],28),IF(('T_SelfStock'!AC19&lt;&gt;""),'T_SelfStock'!AC19,AB15-'Grid_Requirement'!AC15+'Grid_TTAFOutgoing'!AC15))</f>
        <v/>
      </c>
      <c r="AD15">
        <f>IF(COUNTIFS(T_StockCount[Part Name],$A15,T_StockCount[WeekIndex],29)&gt;0,SUMIFS(T_StockCount[CountedQty],T_StockCount[Part Name],$A15,T_StockCount[WeekIndex],29),IF(('T_SelfStock'!AD19&lt;&gt;""),'T_SelfStock'!AD19,AC15-'Grid_Requirement'!AD15+'Grid_TTAFOutgoing'!AD15))</f>
        <v/>
      </c>
      <c r="AE15">
        <f>IF(COUNTIFS(T_StockCount[Part Name],$A15,T_StockCount[WeekIndex],30)&gt;0,SUMIFS(T_StockCount[CountedQty],T_StockCount[Part Name],$A15,T_StockCount[WeekIndex],30),IF(('T_SelfStock'!AE19&lt;&gt;""),'T_SelfStock'!AE19,AD15-'Grid_Requirement'!AE15+'Grid_TTAFOutgoing'!AE15))</f>
        <v/>
      </c>
      <c r="AF15">
        <f>IF(COUNTIFS(T_StockCount[Part Name],$A15,T_StockCount[WeekIndex],31)&gt;0,SUMIFS(T_StockCount[CountedQty],T_StockCount[Part Name],$A15,T_StockCount[WeekIndex],31),IF(('T_SelfStock'!AF19&lt;&gt;""),'T_SelfStock'!AF19,AE15-'Grid_Requirement'!AF15+'Grid_TTAFOutgoing'!AF15))</f>
        <v/>
      </c>
      <c r="AG15">
        <f>IF(COUNTIFS(T_StockCount[Part Name],$A15,T_StockCount[WeekIndex],32)&gt;0,SUMIFS(T_StockCount[CountedQty],T_StockCount[Part Name],$A15,T_StockCount[WeekIndex],32),IF(('T_SelfStock'!AG19&lt;&gt;""),'T_SelfStock'!AG19,AF15-'Grid_Requirement'!AG15+'Grid_TTAFOutgoing'!AG15))</f>
        <v/>
      </c>
      <c r="AH15">
        <f>IF(COUNTIFS(T_StockCount[Part Name],$A15,T_StockCount[WeekIndex],33)&gt;0,SUMIFS(T_StockCount[CountedQty],T_StockCount[Part Name],$A15,T_StockCount[WeekIndex],33),IF(('T_SelfStock'!AH19&lt;&gt;""),'T_SelfStock'!AH19,AG15-'Grid_Requirement'!AH15+'Grid_TTAFOutgoing'!AH15))</f>
        <v/>
      </c>
      <c r="AI15">
        <f>IF(COUNTIFS(T_StockCount[Part Name],$A15,T_StockCount[WeekIndex],34)&gt;0,SUMIFS(T_StockCount[CountedQty],T_StockCount[Part Name],$A15,T_StockCount[WeekIndex],34),IF(('T_SelfStock'!AI19&lt;&gt;""),'T_SelfStock'!AI19,AH15-'Grid_Requirement'!AI15+'Grid_TTAFOutgoing'!AI15))</f>
        <v/>
      </c>
      <c r="AJ15">
        <f>IF(COUNTIFS(T_StockCount[Part Name],$A15,T_StockCount[WeekIndex],35)&gt;0,SUMIFS(T_StockCount[CountedQty],T_StockCount[Part Name],$A15,T_StockCount[WeekIndex],35),IF(('T_SelfStock'!AJ19&lt;&gt;""),'T_SelfStock'!AJ19,AI15-'Grid_Requirement'!AJ15+'Grid_TTAFOutgoing'!AJ15))</f>
        <v/>
      </c>
      <c r="AK15">
        <f>IF(COUNTIFS(T_StockCount[Part Name],$A15,T_StockCount[WeekIndex],36)&gt;0,SUMIFS(T_StockCount[CountedQty],T_StockCount[Part Name],$A15,T_StockCount[WeekIndex],36),IF(('T_SelfStock'!AK19&lt;&gt;""),'T_SelfStock'!AK19,AJ15-'Grid_Requirement'!AK15+'Grid_TTAFOutgoing'!AK15))</f>
        <v/>
      </c>
      <c r="AL15">
        <f>IF(COUNTIFS(T_StockCount[Part Name],$A15,T_StockCount[WeekIndex],37)&gt;0,SUMIFS(T_StockCount[CountedQty],T_StockCount[Part Name],$A15,T_StockCount[WeekIndex],37),IF(('T_SelfStock'!AL19&lt;&gt;""),'T_SelfStock'!AL19,AK15-'Grid_Requirement'!AL15+'Grid_TTAFOutgoing'!AL15))</f>
        <v/>
      </c>
      <c r="AM15">
        <f>IF(COUNTIFS(T_StockCount[Part Name],$A15,T_StockCount[WeekIndex],38)&gt;0,SUMIFS(T_StockCount[CountedQty],T_StockCount[Part Name],$A15,T_StockCount[WeekIndex],38),IF(('T_SelfStock'!AM19&lt;&gt;""),'T_SelfStock'!AM19,AL15-'Grid_Requirement'!AM15+'Grid_TTAFOutgoing'!AM15))</f>
        <v/>
      </c>
      <c r="AN15">
        <f>IF(COUNTIFS(T_StockCount[Part Name],$A15,T_StockCount[WeekIndex],39)&gt;0,SUMIFS(T_StockCount[CountedQty],T_StockCount[Part Name],$A15,T_StockCount[WeekIndex],39),IF(('T_SelfStock'!AN19&lt;&gt;""),'T_SelfStock'!AN19,AM15-'Grid_Requirement'!AN15+'Grid_TTAFOutgoing'!AN15))</f>
        <v/>
      </c>
      <c r="AO15">
        <f>IF(COUNTIFS(T_StockCount[Part Name],$A15,T_StockCount[WeekIndex],40)&gt;0,SUMIFS(T_StockCount[CountedQty],T_StockCount[Part Name],$A15,T_StockCount[WeekIndex],40),IF(('T_SelfStock'!AO19&lt;&gt;""),'T_SelfStock'!AO19,AN15-'Grid_Requirement'!AO15+'Grid_TTAFOutgoing'!AO15))</f>
        <v/>
      </c>
      <c r="AP15">
        <f>IF(COUNTIFS(T_StockCount[Part Name],$A15,T_StockCount[WeekIndex],41)&gt;0,SUMIFS(T_StockCount[CountedQty],T_StockCount[Part Name],$A15,T_StockCount[WeekIndex],41),IF(('T_SelfStock'!AP19&lt;&gt;""),'T_SelfStock'!AP19,AO15-'Grid_Requirement'!AP15+'Grid_TTAFOutgoing'!AP15))</f>
        <v/>
      </c>
      <c r="AQ15">
        <f>IF(COUNTIFS(T_StockCount[Part Name],$A15,T_StockCount[WeekIndex],42)&gt;0,SUMIFS(T_StockCount[CountedQty],T_StockCount[Part Name],$A15,T_StockCount[WeekIndex],42),IF(('T_SelfStock'!AQ19&lt;&gt;""),'T_SelfStock'!AQ19,AP15-'Grid_Requirement'!AQ15+'Grid_TTAFOutgoing'!AQ15))</f>
        <v/>
      </c>
      <c r="AR15">
        <f>IF(COUNTIFS(T_StockCount[Part Name],$A15,T_StockCount[WeekIndex],43)&gt;0,SUMIFS(T_StockCount[CountedQty],T_StockCount[Part Name],$A15,T_StockCount[WeekIndex],43),IF(('T_SelfStock'!AR19&lt;&gt;""),'T_SelfStock'!AR19,AQ15-'Grid_Requirement'!AR15+'Grid_TTAFOutgoing'!AR15))</f>
        <v/>
      </c>
      <c r="AS15">
        <f>IF(COUNTIFS(T_StockCount[Part Name],$A15,T_StockCount[WeekIndex],44)&gt;0,SUMIFS(T_StockCount[CountedQty],T_StockCount[Part Name],$A15,T_StockCount[WeekIndex],44),IF(('T_SelfStock'!AS19&lt;&gt;""),'T_SelfStock'!AS19,AR15-'Grid_Requirement'!AS15+'Grid_TTAFOutgoing'!AS15))</f>
        <v/>
      </c>
      <c r="AT15">
        <f>IF(COUNTIFS(T_StockCount[Part Name],$A15,T_StockCount[WeekIndex],45)&gt;0,SUMIFS(T_StockCount[CountedQty],T_StockCount[Part Name],$A15,T_StockCount[WeekIndex],45),IF(('T_SelfStock'!AT19&lt;&gt;""),'T_SelfStock'!AT19,AS15-'Grid_Requirement'!AT15+'Grid_TTAFOutgoing'!AT15))</f>
        <v/>
      </c>
      <c r="AU15">
        <f>IF(COUNTIFS(T_StockCount[Part Name],$A15,T_StockCount[WeekIndex],46)&gt;0,SUMIFS(T_StockCount[CountedQty],T_StockCount[Part Name],$A15,T_StockCount[WeekIndex],46),IF(('T_SelfStock'!AU19&lt;&gt;""),'T_SelfStock'!AU19,AT15-'Grid_Requirement'!AU15+'Grid_TTAFOutgoing'!AU15))</f>
        <v/>
      </c>
      <c r="AV15">
        <f>IF(COUNTIFS(T_StockCount[Part Name],$A15,T_StockCount[WeekIndex],47)&gt;0,SUMIFS(T_StockCount[CountedQty],T_StockCount[Part Name],$A15,T_StockCount[WeekIndex],47),IF(('T_SelfStock'!AV19&lt;&gt;""),'T_SelfStock'!AV19,AU15-'Grid_Requirement'!AV15+'Grid_TTAFOutgoing'!AV15))</f>
        <v/>
      </c>
      <c r="AW15">
        <f>IF(COUNTIFS(T_StockCount[Part Name],$A15,T_StockCount[WeekIndex],48)&gt;0,SUMIFS(T_StockCount[CountedQty],T_StockCount[Part Name],$A15,T_StockCount[WeekIndex],48),IF(('T_SelfStock'!AW19&lt;&gt;""),'T_SelfStock'!AW19,AV15-'Grid_Requirement'!AW15+'Grid_TTAFOutgoing'!AW15))</f>
        <v/>
      </c>
      <c r="AX15">
        <f>IF(COUNTIFS(T_StockCount[Part Name],$A15,T_StockCount[WeekIndex],49)&gt;0,SUMIFS(T_StockCount[CountedQty],T_StockCount[Part Name],$A15,T_StockCount[WeekIndex],49),IF(('T_SelfStock'!AX19&lt;&gt;""),'T_SelfStock'!AX19,AW15-'Grid_Requirement'!AX15+'Grid_TTAFOutgoing'!AX15))</f>
        <v/>
      </c>
      <c r="AY15">
        <f>IF(COUNTIFS(T_StockCount[Part Name],$A15,T_StockCount[WeekIndex],50)&gt;0,SUMIFS(T_StockCount[CountedQty],T_StockCount[Part Name],$A15,T_StockCount[WeekIndex],50),IF(('T_SelfStock'!AY19&lt;&gt;""),'T_SelfStock'!AY19,AX15-'Grid_Requirement'!AY15+'Grid_TTAFOutgoing'!AY15))</f>
        <v/>
      </c>
      <c r="AZ15">
        <f>IF(COUNTIFS(T_StockCount[Part Name],$A15,T_StockCount[WeekIndex],51)&gt;0,SUMIFS(T_StockCount[CountedQty],T_StockCount[Part Name],$A15,T_StockCount[WeekIndex],51),IF(('T_SelfStock'!AZ19&lt;&gt;""),'T_SelfStock'!AZ19,AY15-'Grid_Requirement'!AZ15+'Grid_TTAFOutgoing'!AZ15))</f>
        <v/>
      </c>
      <c r="BA15">
        <f>IF(COUNTIFS(T_StockCount[Part Name],$A15,T_StockCount[WeekIndex],52)&gt;0,SUMIFS(T_StockCount[CountedQty],T_StockCount[Part Name],$A15,T_StockCount[WeekIndex],52),IF(('T_SelfStock'!BA19&lt;&gt;""),'T_SelfStock'!BA19,AZ15-'Grid_Requirement'!BA15+'Grid_TTAFOutgoing'!BA15))</f>
        <v/>
      </c>
      <c r="BB15">
        <f>IF(COUNTIFS(T_StockCount[Part Name],$A15,T_StockCount[WeekIndex],53)&gt;0,SUMIFS(T_StockCount[CountedQty],T_StockCount[Part Name],$A15,T_StockCount[WeekIndex],53),IF(('T_SelfStock'!BB19&lt;&gt;""),'T_SelfStock'!BB19,BA15-'Grid_Requirement'!BB15+'Grid_TTAFOutgoing'!BB15))</f>
        <v/>
      </c>
      <c r="BC15">
        <f>IF(COUNTIFS(T_StockCount[Part Name],$A15,T_StockCount[WeekIndex],54)&gt;0,SUMIFS(T_StockCount[CountedQty],T_StockCount[Part Name],$A15,T_StockCount[WeekIndex],54),IF(('T_SelfStock'!BC19&lt;&gt;""),'T_SelfStock'!BC19,BB15-'Grid_Requirement'!BC15+'Grid_TTAFOutgoing'!BC15))</f>
        <v/>
      </c>
      <c r="BD15">
        <f>IF(COUNTIFS(T_StockCount[Part Name],$A15,T_StockCount[WeekIndex],55)&gt;0,SUMIFS(T_StockCount[CountedQty],T_StockCount[Part Name],$A15,T_StockCount[WeekIndex],55),IF(('T_SelfStock'!BD19&lt;&gt;""),'T_SelfStock'!BD19,BC15-'Grid_Requirement'!BD15+'Grid_TTAFOutgoing'!BD15))</f>
        <v/>
      </c>
      <c r="BE15">
        <f>IF(COUNTIFS(T_StockCount[Part Name],$A15,T_StockCount[WeekIndex],56)&gt;0,SUMIFS(T_StockCount[CountedQty],T_StockCount[Part Name],$A15,T_StockCount[WeekIndex],56),IF(('T_SelfStock'!BE19&lt;&gt;""),'T_SelfStock'!BE19,BD15-'Grid_Requirement'!BE15+'Grid_TTAFOutgoing'!BE15))</f>
        <v/>
      </c>
      <c r="BF15">
        <f>IF(COUNTIFS(T_StockCount[Part Name],$A15,T_StockCount[WeekIndex],57)&gt;0,SUMIFS(T_StockCount[CountedQty],T_StockCount[Part Name],$A15,T_StockCount[WeekIndex],57),IF(('T_SelfStock'!BF19&lt;&gt;""),'T_SelfStock'!BF19,BE15-'Grid_Requirement'!BF15+'Grid_TTAFOutgoing'!BF15))</f>
        <v/>
      </c>
      <c r="BG15">
        <f>IF(COUNTIFS(T_StockCount[Part Name],$A15,T_StockCount[WeekIndex],58)&gt;0,SUMIFS(T_StockCount[CountedQty],T_StockCount[Part Name],$A15,T_StockCount[WeekIndex],58),IF(('T_SelfStock'!BG19&lt;&gt;""),'T_SelfStock'!BG19,BF15-'Grid_Requirement'!BG15+'Grid_TTAFOutgoing'!BG15))</f>
        <v/>
      </c>
      <c r="BH15">
        <f>IF(COUNTIFS(T_StockCount[Part Name],$A15,T_StockCount[WeekIndex],59)&gt;0,SUMIFS(T_StockCount[CountedQty],T_StockCount[Part Name],$A15,T_StockCount[WeekIndex],59),IF(('T_SelfStock'!BH19&lt;&gt;""),'T_SelfStock'!BH19,BG15-'Grid_Requirement'!BH15+'Grid_TTAFOutgoing'!BH15))</f>
        <v/>
      </c>
      <c r="BI15">
        <f>IF(COUNTIFS(T_StockCount[Part Name],$A15,T_StockCount[WeekIndex],60)&gt;0,SUMIFS(T_StockCount[CountedQty],T_StockCount[Part Name],$A15,T_StockCount[WeekIndex],60),IF(('T_SelfStock'!BI19&lt;&gt;""),'T_SelfStock'!BI19,BH15-'Grid_Requirement'!BI15+'Grid_TTAFOutgoing'!BI15))</f>
        <v/>
      </c>
      <c r="BJ15">
        <f>IF(COUNTIFS(T_StockCount[Part Name],$A15,T_StockCount[WeekIndex],61)&gt;0,SUMIFS(T_StockCount[CountedQty],T_StockCount[Part Name],$A15,T_StockCount[WeekIndex],61),IF(('T_SelfStock'!BJ19&lt;&gt;""),'T_SelfStock'!BJ19,BI15-'Grid_Requirement'!BJ15+'Grid_TTAFOutgoing'!BJ15))</f>
        <v/>
      </c>
      <c r="BK15">
        <f>IF(COUNTIFS(T_StockCount[Part Name],$A15,T_StockCount[WeekIndex],62)&gt;0,SUMIFS(T_StockCount[CountedQty],T_StockCount[Part Name],$A15,T_StockCount[WeekIndex],62),IF(('T_SelfStock'!BK19&lt;&gt;""),'T_SelfStock'!BK19,BJ15-'Grid_Requirement'!BK15+'Grid_TTAFOutgoing'!BK15))</f>
        <v/>
      </c>
      <c r="BL15">
        <f>IF(COUNTIFS(T_StockCount[Part Name],$A15,T_StockCount[WeekIndex],63)&gt;0,SUMIFS(T_StockCount[CountedQty],T_StockCount[Part Name],$A15,T_StockCount[WeekIndex],63),IF(('T_SelfStock'!BL19&lt;&gt;""),'T_SelfStock'!BL19,BK15-'Grid_Requirement'!BL15+'Grid_TTAFOutgoing'!BL15))</f>
        <v/>
      </c>
      <c r="BM15">
        <f>IF(COUNTIFS(T_StockCount[Part Name],$A15,T_StockCount[WeekIndex],64)&gt;0,SUMIFS(T_StockCount[CountedQty],T_StockCount[Part Name],$A15,T_StockCount[WeekIndex],64),IF(('T_SelfStock'!BM19&lt;&gt;""),'T_SelfStock'!BM19,BL15-'Grid_Requirement'!BM15+'Grid_TTAFOutgoing'!BM15))</f>
        <v/>
      </c>
      <c r="BN15">
        <f>IF(COUNTIFS(T_StockCount[Part Name],$A15,T_StockCount[WeekIndex],65)&gt;0,SUMIFS(T_StockCount[CountedQty],T_StockCount[Part Name],$A15,T_StockCount[WeekIndex],65),IF(('T_SelfStock'!BN19&lt;&gt;""),'T_SelfStock'!BN19,BM15-'Grid_Requirement'!BN15+'Grid_TTAFOutgoing'!BN15))</f>
        <v/>
      </c>
      <c r="BO15">
        <f>IF(COUNTIFS(T_StockCount[Part Name],$A15,T_StockCount[WeekIndex],66)&gt;0,SUMIFS(T_StockCount[CountedQty],T_StockCount[Part Name],$A15,T_StockCount[WeekIndex],66),IF(('T_SelfStock'!BO19&lt;&gt;""),'T_SelfStock'!BO19,BN15-'Grid_Requirement'!BO15+'Grid_TTAFOutgoing'!BO15))</f>
        <v/>
      </c>
      <c r="BP15">
        <f>IF(COUNTIFS(T_StockCount[Part Name],$A15,T_StockCount[WeekIndex],67)&gt;0,SUMIFS(T_StockCount[CountedQty],T_StockCount[Part Name],$A15,T_StockCount[WeekIndex],67),IF(('T_SelfStock'!BP19&lt;&gt;""),'T_SelfStock'!BP19,BO15-'Grid_Requirement'!BP15+'Grid_TTAFOutgoing'!BP15))</f>
        <v/>
      </c>
      <c r="BQ15">
        <f>IF(COUNTIFS(T_StockCount[Part Name],$A15,T_StockCount[WeekIndex],68)&gt;0,SUMIFS(T_StockCount[CountedQty],T_StockCount[Part Name],$A15,T_StockCount[WeekIndex],68),IF(('T_SelfStock'!BQ19&lt;&gt;""),'T_SelfStock'!BQ19,BP15-'Grid_Requirement'!BQ15+'Grid_TTAFOutgoing'!BQ15))</f>
        <v/>
      </c>
      <c r="BR15">
        <f>IF(COUNTIFS(T_StockCount[Part Name],$A15,T_StockCount[WeekIndex],69)&gt;0,SUMIFS(T_StockCount[CountedQty],T_StockCount[Part Name],$A15,T_StockCount[WeekIndex],69),IF(('T_SelfStock'!BR19&lt;&gt;""),'T_SelfStock'!BR19,BQ15-'Grid_Requirement'!BR15+'Grid_TTAFOutgoing'!BR15))</f>
        <v/>
      </c>
      <c r="BS15">
        <f>IF(COUNTIFS(T_StockCount[Part Name],$A15,T_StockCount[WeekIndex],70)&gt;0,SUMIFS(T_StockCount[CountedQty],T_StockCount[Part Name],$A15,T_StockCount[WeekIndex],70),IF(('T_SelfStock'!BS19&lt;&gt;""),'T_SelfStock'!BS19,BR15-'Grid_Requirement'!BS15+'Grid_TTAFOutgoing'!BS15))</f>
        <v/>
      </c>
      <c r="BT15">
        <f>IF(COUNTIFS(T_StockCount[Part Name],$A15,T_StockCount[WeekIndex],71)&gt;0,SUMIFS(T_StockCount[CountedQty],T_StockCount[Part Name],$A15,T_StockCount[WeekIndex],71),IF(('T_SelfStock'!BT19&lt;&gt;""),'T_SelfStock'!BT19,BS15-'Grid_Requirement'!BT15+'Grid_TTAFOutgoing'!BT15))</f>
        <v/>
      </c>
      <c r="BU15">
        <f>IF(COUNTIFS(T_StockCount[Part Name],$A15,T_StockCount[WeekIndex],72)&gt;0,SUMIFS(T_StockCount[CountedQty],T_StockCount[Part Name],$A15,T_StockCount[WeekIndex],72),IF(('T_SelfStock'!BU19&lt;&gt;""),'T_SelfStock'!BU19,BT15-'Grid_Requirement'!BU15+'Grid_TTAFOutgoing'!BU15))</f>
        <v/>
      </c>
      <c r="BV15">
        <f>IF(COUNTIFS(T_StockCount[Part Name],$A15,T_StockCount[WeekIndex],73)&gt;0,SUMIFS(T_StockCount[CountedQty],T_StockCount[Part Name],$A15,T_StockCount[WeekIndex],73),IF(('T_SelfStock'!BV19&lt;&gt;""),'T_SelfStock'!BV19,BU15-'Grid_Requirement'!BV15+'Grid_TTAFOutgoing'!BV15))</f>
        <v/>
      </c>
      <c r="BW15">
        <f>IF(COUNTIFS(T_StockCount[Part Name],$A15,T_StockCount[WeekIndex],74)&gt;0,SUMIFS(T_StockCount[CountedQty],T_StockCount[Part Name],$A15,T_StockCount[WeekIndex],74),IF(('T_SelfStock'!BW19&lt;&gt;""),'T_SelfStock'!BW19,BV15-'Grid_Requirement'!BW15+'Grid_TTAFOutgoing'!BW15))</f>
        <v/>
      </c>
      <c r="BX15">
        <f>IF(COUNTIFS(T_StockCount[Part Name],$A15,T_StockCount[WeekIndex],75)&gt;0,SUMIFS(T_StockCount[CountedQty],T_StockCount[Part Name],$A15,T_StockCount[WeekIndex],75),IF(('T_SelfStock'!BX19&lt;&gt;""),'T_SelfStock'!BX19,BW15-'Grid_Requirement'!BX15+'Grid_TTAFOutgoing'!BX15))</f>
        <v/>
      </c>
      <c r="BY15">
        <f>IF(COUNTIFS(T_StockCount[Part Name],$A15,T_StockCount[WeekIndex],76)&gt;0,SUMIFS(T_StockCount[CountedQty],T_StockCount[Part Name],$A15,T_StockCount[WeekIndex],76),IF(('T_SelfStock'!BY19&lt;&gt;""),'T_SelfStock'!BY19,BX15-'Grid_Requirement'!BY15+'Grid_TTAFOutgoing'!BY15))</f>
        <v/>
      </c>
      <c r="BZ15">
        <f>IF(COUNTIFS(T_StockCount[Part Name],$A15,T_StockCount[WeekIndex],77)&gt;0,SUMIFS(T_StockCount[CountedQty],T_StockCount[Part Name],$A15,T_StockCount[WeekIndex],77),IF(('T_SelfStock'!BZ19&lt;&gt;""),'T_SelfStock'!BZ19,BY15-'Grid_Requirement'!BZ15+'Grid_TTAFOutgoing'!BZ15))</f>
        <v/>
      </c>
      <c r="CA15">
        <f>IF(COUNTIFS(T_StockCount[Part Name],$A15,T_StockCount[WeekIndex],78)&gt;0,SUMIFS(T_StockCount[CountedQty],T_StockCount[Part Name],$A15,T_StockCount[WeekIndex],78),IF(('T_SelfStock'!CA19&lt;&gt;""),'T_SelfStock'!CA19,BZ15-'Grid_Requirement'!CA15+'Grid_TTAFOutgoing'!CA15))</f>
        <v/>
      </c>
      <c r="CB15">
        <f>IF(COUNTIFS(T_StockCount[Part Name],$A15,T_StockCount[WeekIndex],79)&gt;0,SUMIFS(T_StockCount[CountedQty],T_StockCount[Part Name],$A15,T_StockCount[WeekIndex],79),IF(('T_SelfStock'!CB19&lt;&gt;""),'T_SelfStock'!CB19,CA15-'Grid_Requirement'!CB15+'Grid_TTAFOutgoing'!CB15))</f>
        <v/>
      </c>
      <c r="CC15">
        <f>IF(COUNTIFS(T_StockCount[Part Name],$A15,T_StockCount[WeekIndex],80)&gt;0,SUMIFS(T_StockCount[CountedQty],T_StockCount[Part Name],$A15,T_StockCount[WeekIndex],80),IF(('T_SelfStock'!CC19&lt;&gt;""),'T_SelfStock'!CC19,CB15-'Grid_Requirement'!CC15+'Grid_TTAFOutgoing'!CC15))</f>
        <v/>
      </c>
      <c r="CD15">
        <f>IF(COUNTIFS(T_StockCount[Part Name],$A15,T_StockCount[WeekIndex],81)&gt;0,SUMIFS(T_StockCount[CountedQty],T_StockCount[Part Name],$A15,T_StockCount[WeekIndex],81),IF(('T_SelfStock'!CD19&lt;&gt;""),'T_SelfStock'!CD19,CC15-'Grid_Requirement'!CD15+'Grid_TTAFOutgoing'!CD15))</f>
        <v/>
      </c>
      <c r="CE15">
        <f>IF(COUNTIFS(T_StockCount[Part Name],$A15,T_StockCount[WeekIndex],82)&gt;0,SUMIFS(T_StockCount[CountedQty],T_StockCount[Part Name],$A15,T_StockCount[WeekIndex],82),IF(('T_SelfStock'!CE19&lt;&gt;""),'T_SelfStock'!CE19,CD15-'Grid_Requirement'!CE15+'Grid_TTAFOutgoing'!CE15))</f>
        <v/>
      </c>
      <c r="CF15">
        <f>IF(COUNTIFS(T_StockCount[Part Name],$A15,T_StockCount[WeekIndex],83)&gt;0,SUMIFS(T_StockCount[CountedQty],T_StockCount[Part Name],$A15,T_StockCount[WeekIndex],83),IF(('T_SelfStock'!CF19&lt;&gt;""),'T_SelfStock'!CF19,CE15-'Grid_Requirement'!CF15+'Grid_TTAFOutgoing'!CF15))</f>
        <v/>
      </c>
      <c r="CG15">
        <f>IF(COUNTIFS(T_StockCount[Part Name],$A15,T_StockCount[WeekIndex],84)&gt;0,SUMIFS(T_StockCount[CountedQty],T_StockCount[Part Name],$A15,T_StockCount[WeekIndex],84),IF(('T_SelfStock'!CG19&lt;&gt;""),'T_SelfStock'!CG19,CF15-'Grid_Requirement'!CG15+'Grid_TTAFOutgoing'!CG15))</f>
        <v/>
      </c>
      <c r="CH15">
        <f>IF(COUNTIFS(T_StockCount[Part Name],$A15,T_StockCount[WeekIndex],85)&gt;0,SUMIFS(T_StockCount[CountedQty],T_StockCount[Part Name],$A15,T_StockCount[WeekIndex],85),IF(('T_SelfStock'!CH19&lt;&gt;""),'T_SelfStock'!CH19,CG15-'Grid_Requirement'!CH15+'Grid_TTAFOutgoing'!CH15))</f>
        <v/>
      </c>
      <c r="CI15">
        <f>IF(COUNTIFS(T_StockCount[Part Name],$A15,T_StockCount[WeekIndex],86)&gt;0,SUMIFS(T_StockCount[CountedQty],T_StockCount[Part Name],$A15,T_StockCount[WeekIndex],86),IF(('T_SelfStock'!CI19&lt;&gt;""),'T_SelfStock'!CI19,CH15-'Grid_Requirement'!CI15+'Grid_TTAFOutgoing'!CI15))</f>
        <v/>
      </c>
      <c r="CJ15">
        <f>IF(COUNTIFS(T_StockCount[Part Name],$A15,T_StockCount[WeekIndex],87)&gt;0,SUMIFS(T_StockCount[CountedQty],T_StockCount[Part Name],$A15,T_StockCount[WeekIndex],87),IF(('T_SelfStock'!CJ19&lt;&gt;""),'T_SelfStock'!CJ19,CI15-'Grid_Requirement'!CJ15+'Grid_TTAFOutgoing'!CJ15))</f>
        <v/>
      </c>
      <c r="CK15">
        <f>IF(COUNTIFS(T_StockCount[Part Name],$A15,T_StockCount[WeekIndex],88)&gt;0,SUMIFS(T_StockCount[CountedQty],T_StockCount[Part Name],$A15,T_StockCount[WeekIndex],88),IF(('T_SelfStock'!CK19&lt;&gt;""),'T_SelfStock'!CK19,CJ15-'Grid_Requirement'!CK15+'Grid_TTAFOutgoing'!CK15))</f>
        <v/>
      </c>
      <c r="CL15">
        <f>IF(COUNTIFS(T_StockCount[Part Name],$A15,T_StockCount[WeekIndex],89)&gt;0,SUMIFS(T_StockCount[CountedQty],T_StockCount[Part Name],$A15,T_StockCount[WeekIndex],89),IF(('T_SelfStock'!CL19&lt;&gt;""),'T_SelfStock'!CL19,CK15-'Grid_Requirement'!CL15+'Grid_TTAFOutgoing'!CL15))</f>
        <v/>
      </c>
      <c r="CM15">
        <f>IF(COUNTIFS(T_StockCount[Part Name],$A15,T_StockCount[WeekIndex],90)&gt;0,SUMIFS(T_StockCount[CountedQty],T_StockCount[Part Name],$A15,T_StockCount[WeekIndex],90),IF(('T_SelfStock'!CM19&lt;&gt;""),'T_SelfStock'!CM19,CL15-'Grid_Requirement'!CM15+'Grid_TTAFOutgoing'!CM15))</f>
        <v/>
      </c>
      <c r="CN15">
        <f>IF(COUNTIFS(T_StockCount[Part Name],$A15,T_StockCount[WeekIndex],91)&gt;0,SUMIFS(T_StockCount[CountedQty],T_StockCount[Part Name],$A15,T_StockCount[WeekIndex],91),IF(('T_SelfStock'!CN19&lt;&gt;""),'T_SelfStock'!CN19,CM15-'Grid_Requirement'!CN15+'Grid_TTAFOutgoing'!CN15))</f>
        <v/>
      </c>
      <c r="CO15">
        <f>IF(COUNTIFS(T_StockCount[Part Name],$A15,T_StockCount[WeekIndex],92)&gt;0,SUMIFS(T_StockCount[CountedQty],T_StockCount[Part Name],$A15,T_StockCount[WeekIndex],92),IF(('T_SelfStock'!CO19&lt;&gt;""),'T_SelfStock'!CO19,CN15-'Grid_Requirement'!CO15+'Grid_TTAFOutgoing'!CO15))</f>
        <v/>
      </c>
      <c r="CP15">
        <f>IF(COUNTIFS(T_StockCount[Part Name],$A15,T_StockCount[WeekIndex],93)&gt;0,SUMIFS(T_StockCount[CountedQty],T_StockCount[Part Name],$A15,T_StockCount[WeekIndex],93),IF(('T_SelfStock'!CP19&lt;&gt;""),'T_SelfStock'!CP19,CO15-'Grid_Requirement'!CP15+'Grid_TTAFOutgoing'!CP15))</f>
        <v/>
      </c>
      <c r="CQ15">
        <f>IF(COUNTIFS(T_StockCount[Part Name],$A15,T_StockCount[WeekIndex],94)&gt;0,SUMIFS(T_StockCount[CountedQty],T_StockCount[Part Name],$A15,T_StockCount[WeekIndex],94),IF(('T_SelfStock'!CQ19&lt;&gt;""),'T_SelfStock'!CQ19,CP15-'Grid_Requirement'!CQ15+'Grid_TTAFOutgoing'!CQ15))</f>
        <v/>
      </c>
      <c r="CR15">
        <f>IF(COUNTIFS(T_StockCount[Part Name],$A15,T_StockCount[WeekIndex],95)&gt;0,SUMIFS(T_StockCount[CountedQty],T_StockCount[Part Name],$A15,T_StockCount[WeekIndex],95),IF(('T_SelfStock'!CR19&lt;&gt;""),'T_SelfStock'!CR19,CQ15-'Grid_Requirement'!CR15+'Grid_TTAFOutgoing'!CR15))</f>
        <v/>
      </c>
      <c r="CS15">
        <f>IF(COUNTIFS(T_StockCount[Part Name],$A15,T_StockCount[WeekIndex],96)&gt;0,SUMIFS(T_StockCount[CountedQty],T_StockCount[Part Name],$A15,T_StockCount[WeekIndex],96),IF(('T_SelfStock'!CS19&lt;&gt;""),'T_SelfStock'!CS19,CR15-'Grid_Requirement'!CS15+'Grid_TTAFOutgoing'!CS15))</f>
        <v/>
      </c>
      <c r="CT15">
        <f>IF(COUNTIFS(T_StockCount[Part Name],$A15,T_StockCount[WeekIndex],97)&gt;0,SUMIFS(T_StockCount[CountedQty],T_StockCount[Part Name],$A15,T_StockCount[WeekIndex],97),IF(('T_SelfStock'!CT19&lt;&gt;""),'T_SelfStock'!CT19,CS15-'Grid_Requirement'!CT15+'Grid_TTAFOutgoing'!CT15))</f>
        <v/>
      </c>
      <c r="CU15">
        <f>IF(COUNTIFS(T_StockCount[Part Name],$A15,T_StockCount[WeekIndex],98)&gt;0,SUMIFS(T_StockCount[CountedQty],T_StockCount[Part Name],$A15,T_StockCount[WeekIndex],98),IF(('T_SelfStock'!CU19&lt;&gt;""),'T_SelfStock'!CU19,CT15-'Grid_Requirement'!CU15+'Grid_TTAFOutgoing'!CU15))</f>
        <v/>
      </c>
      <c r="CV15">
        <f>IF(COUNTIFS(T_StockCount[Part Name],$A15,T_StockCount[WeekIndex],99)&gt;0,SUMIFS(T_StockCount[CountedQty],T_StockCount[Part Name],$A15,T_StockCount[WeekIndex],99),IF(('T_SelfStock'!CV19&lt;&gt;""),'T_SelfStock'!CV19,CU15-'Grid_Requirement'!CV15+'Grid_TTAFOutgoing'!CV15))</f>
        <v/>
      </c>
      <c r="CW15">
        <f>IF(COUNTIFS(T_StockCount[Part Name],$A15,T_StockCount[WeekIndex],100)&gt;0,SUMIFS(T_StockCount[CountedQty],T_StockCount[Part Name],$A15,T_StockCount[WeekIndex],100),IF(('T_SelfStock'!CW19&lt;&gt;""),'T_SelfStock'!CW19,CV15-'Grid_Requirement'!CW15+'Grid_TTAFOutgoing'!CW15))</f>
        <v/>
      </c>
      <c r="CX15">
        <f>IF(COUNTIFS(T_StockCount[Part Name],$A15,T_StockCount[WeekIndex],101)&gt;0,SUMIFS(T_StockCount[CountedQty],T_StockCount[Part Name],$A15,T_StockCount[WeekIndex],101),IF(('T_SelfStock'!CX19&lt;&gt;""),'T_SelfStock'!CX19,CW15-'Grid_Requirement'!CX15+'Grid_TTAFOutgoing'!CX15))</f>
        <v/>
      </c>
      <c r="CY15">
        <f>IF(COUNTIFS(T_StockCount[Part Name],$A15,T_StockCount[WeekIndex],102)&gt;0,SUMIFS(T_StockCount[CountedQty],T_StockCount[Part Name],$A15,T_StockCount[WeekIndex],102),IF(('T_SelfStock'!CY19&lt;&gt;""),'T_SelfStock'!CY19,CX15-'Grid_Requirement'!CY15+'Grid_TTAFOutgoing'!CY15))</f>
        <v/>
      </c>
      <c r="CZ15">
        <f>IF(COUNTIFS(T_StockCount[Part Name],$A15,T_StockCount[WeekIndex],103)&gt;0,SUMIFS(T_StockCount[CountedQty],T_StockCount[Part Name],$A15,T_StockCount[WeekIndex],103),IF(('T_SelfStock'!CZ19&lt;&gt;""),'T_SelfStock'!CZ19,CY15-'Grid_Requirement'!CZ15+'Grid_TTAFOutgoing'!CZ15))</f>
        <v/>
      </c>
      <c r="DA15">
        <f>IF(COUNTIFS(T_StockCount[Part Name],$A15,T_StockCount[WeekIndex],104)&gt;0,SUMIFS(T_StockCount[CountedQty],T_StockCount[Part Name],$A15,T_StockCount[WeekIndex],104),IF(('T_SelfStock'!DA19&lt;&gt;""),'T_SelfStock'!DA19,CZ15-'Grid_Requirement'!DA15+'Grid_TTAFOutgoing'!DA15))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Name],$A16,T_StockCount[WeekIndex],1),IF(('T_SelfStock'!B20&lt;&gt;""),'T_SelfStock'!B20,IFERROR(INDEX(T_OpeningStock[Opening_Qty],MATCH($A16,T_OpeningStock[Part Name],0)),0)-'Grid_Requirement'!B16+'Grid_TTAFOutgoing'!B16))</f>
        <v/>
      </c>
      <c r="C16">
        <f>IF(COUNTIFS(T_StockCount[Part Name],$A16,T_StockCount[WeekIndex],2)&gt;0,SUMIFS(T_StockCount[CountedQty],T_StockCount[Part Name],$A16,T_StockCount[WeekIndex],2),IF(('T_SelfStock'!C20&lt;&gt;""),'T_SelfStock'!C20,B16-'Grid_Requirement'!C16+'Grid_TTAFOutgoing'!C16))</f>
        <v/>
      </c>
      <c r="D16">
        <f>IF(COUNTIFS(T_StockCount[Part Name],$A16,T_StockCount[WeekIndex],3)&gt;0,SUMIFS(T_StockCount[CountedQty],T_StockCount[Part Name],$A16,T_StockCount[WeekIndex],3),IF(('T_SelfStock'!D20&lt;&gt;""),'T_SelfStock'!D20,C16-'Grid_Requirement'!D16+'Grid_TTAFOutgoing'!D16))</f>
        <v/>
      </c>
      <c r="E16">
        <f>IF(COUNTIFS(T_StockCount[Part Name],$A16,T_StockCount[WeekIndex],4)&gt;0,SUMIFS(T_StockCount[CountedQty],T_StockCount[Part Name],$A16,T_StockCount[WeekIndex],4),IF(('T_SelfStock'!E20&lt;&gt;""),'T_SelfStock'!E20,D16-'Grid_Requirement'!E16+'Grid_TTAFOutgoing'!E16))</f>
        <v/>
      </c>
      <c r="F16">
        <f>IF(COUNTIFS(T_StockCount[Part Name],$A16,T_StockCount[WeekIndex],5)&gt;0,SUMIFS(T_StockCount[CountedQty],T_StockCount[Part Name],$A16,T_StockCount[WeekIndex],5),IF(('T_SelfStock'!F20&lt;&gt;""),'T_SelfStock'!F20,E16-'Grid_Requirement'!F16+'Grid_TTAFOutgoing'!F16))</f>
        <v/>
      </c>
      <c r="G16">
        <f>IF(COUNTIFS(T_StockCount[Part Name],$A16,T_StockCount[WeekIndex],6)&gt;0,SUMIFS(T_StockCount[CountedQty],T_StockCount[Part Name],$A16,T_StockCount[WeekIndex],6),IF(('T_SelfStock'!G20&lt;&gt;""),'T_SelfStock'!G20,F16-'Grid_Requirement'!G16+'Grid_TTAFOutgoing'!G16))</f>
        <v/>
      </c>
      <c r="H16">
        <f>IF(COUNTIFS(T_StockCount[Part Name],$A16,T_StockCount[WeekIndex],7)&gt;0,SUMIFS(T_StockCount[CountedQty],T_StockCount[Part Name],$A16,T_StockCount[WeekIndex],7),IF(('T_SelfStock'!H20&lt;&gt;""),'T_SelfStock'!H20,G16-'Grid_Requirement'!H16+'Grid_TTAFOutgoing'!H16))</f>
        <v/>
      </c>
      <c r="I16">
        <f>IF(COUNTIFS(T_StockCount[Part Name],$A16,T_StockCount[WeekIndex],8)&gt;0,SUMIFS(T_StockCount[CountedQty],T_StockCount[Part Name],$A16,T_StockCount[WeekIndex],8),IF(('T_SelfStock'!I20&lt;&gt;""),'T_SelfStock'!I20,H16-'Grid_Requirement'!I16+'Grid_TTAFOutgoing'!I16))</f>
        <v/>
      </c>
      <c r="J16">
        <f>IF(COUNTIFS(T_StockCount[Part Name],$A16,T_StockCount[WeekIndex],9)&gt;0,SUMIFS(T_StockCount[CountedQty],T_StockCount[Part Name],$A16,T_StockCount[WeekIndex],9),IF(('T_SelfStock'!J20&lt;&gt;""),'T_SelfStock'!J20,I16-'Grid_Requirement'!J16+'Grid_TTAFOutgoing'!J16))</f>
        <v/>
      </c>
      <c r="K16">
        <f>IF(COUNTIFS(T_StockCount[Part Name],$A16,T_StockCount[WeekIndex],10)&gt;0,SUMIFS(T_StockCount[CountedQty],T_StockCount[Part Name],$A16,T_StockCount[WeekIndex],10),IF(('T_SelfStock'!K20&lt;&gt;""),'T_SelfStock'!K20,J16-'Grid_Requirement'!K16+'Grid_TTAFOutgoing'!K16))</f>
        <v/>
      </c>
      <c r="L16">
        <f>IF(COUNTIFS(T_StockCount[Part Name],$A16,T_StockCount[WeekIndex],11)&gt;0,SUMIFS(T_StockCount[CountedQty],T_StockCount[Part Name],$A16,T_StockCount[WeekIndex],11),IF(('T_SelfStock'!L20&lt;&gt;""),'T_SelfStock'!L20,K16-'Grid_Requirement'!L16+'Grid_TTAFOutgoing'!L16))</f>
        <v/>
      </c>
      <c r="M16">
        <f>IF(COUNTIFS(T_StockCount[Part Name],$A16,T_StockCount[WeekIndex],12)&gt;0,SUMIFS(T_StockCount[CountedQty],T_StockCount[Part Name],$A16,T_StockCount[WeekIndex],12),IF(('T_SelfStock'!M20&lt;&gt;""),'T_SelfStock'!M20,L16-'Grid_Requirement'!M16+'Grid_TTAFOutgoing'!M16))</f>
        <v/>
      </c>
      <c r="N16">
        <f>IF(COUNTIFS(T_StockCount[Part Name],$A16,T_StockCount[WeekIndex],13)&gt;0,SUMIFS(T_StockCount[CountedQty],T_StockCount[Part Name],$A16,T_StockCount[WeekIndex],13),IF(('T_SelfStock'!N20&lt;&gt;""),'T_SelfStock'!N20,M16-'Grid_Requirement'!N16+'Grid_TTAFOutgoing'!N16))</f>
        <v/>
      </c>
      <c r="O16">
        <f>IF(COUNTIFS(T_StockCount[Part Name],$A16,T_StockCount[WeekIndex],14)&gt;0,SUMIFS(T_StockCount[CountedQty],T_StockCount[Part Name],$A16,T_StockCount[WeekIndex],14),IF(('T_SelfStock'!O20&lt;&gt;""),'T_SelfStock'!O20,N16-'Grid_Requirement'!O16+'Grid_TTAFOutgoing'!O16))</f>
        <v/>
      </c>
      <c r="P16">
        <f>IF(COUNTIFS(T_StockCount[Part Name],$A16,T_StockCount[WeekIndex],15)&gt;0,SUMIFS(T_StockCount[CountedQty],T_StockCount[Part Name],$A16,T_StockCount[WeekIndex],15),IF(('T_SelfStock'!P20&lt;&gt;""),'T_SelfStock'!P20,O16-'Grid_Requirement'!P16+'Grid_TTAFOutgoing'!P16))</f>
        <v/>
      </c>
      <c r="Q16">
        <f>IF(COUNTIFS(T_StockCount[Part Name],$A16,T_StockCount[WeekIndex],16)&gt;0,SUMIFS(T_StockCount[CountedQty],T_StockCount[Part Name],$A16,T_StockCount[WeekIndex],16),IF(('T_SelfStock'!Q20&lt;&gt;""),'T_SelfStock'!Q20,P16-'Grid_Requirement'!Q16+'Grid_TTAFOutgoing'!Q16))</f>
        <v/>
      </c>
      <c r="R16">
        <f>IF(COUNTIFS(T_StockCount[Part Name],$A16,T_StockCount[WeekIndex],17)&gt;0,SUMIFS(T_StockCount[CountedQty],T_StockCount[Part Name],$A16,T_StockCount[WeekIndex],17),IF(('T_SelfStock'!R20&lt;&gt;""),'T_SelfStock'!R20,Q16-'Grid_Requirement'!R16+'Grid_TTAFOutgoing'!R16))</f>
        <v/>
      </c>
      <c r="S16">
        <f>IF(COUNTIFS(T_StockCount[Part Name],$A16,T_StockCount[WeekIndex],18)&gt;0,SUMIFS(T_StockCount[CountedQty],T_StockCount[Part Name],$A16,T_StockCount[WeekIndex],18),IF(('T_SelfStock'!S20&lt;&gt;""),'T_SelfStock'!S20,R16-'Grid_Requirement'!S16+'Grid_TTAFOutgoing'!S16))</f>
        <v/>
      </c>
      <c r="T16">
        <f>IF(COUNTIFS(T_StockCount[Part Name],$A16,T_StockCount[WeekIndex],19)&gt;0,SUMIFS(T_StockCount[CountedQty],T_StockCount[Part Name],$A16,T_StockCount[WeekIndex],19),IF(('T_SelfStock'!T20&lt;&gt;""),'T_SelfStock'!T20,S16-'Grid_Requirement'!T16+'Grid_TTAFOutgoing'!T16))</f>
        <v/>
      </c>
      <c r="U16">
        <f>IF(COUNTIFS(T_StockCount[Part Name],$A16,T_StockCount[WeekIndex],20)&gt;0,SUMIFS(T_StockCount[CountedQty],T_StockCount[Part Name],$A16,T_StockCount[WeekIndex],20),IF(('T_SelfStock'!U20&lt;&gt;""),'T_SelfStock'!U20,T16-'Grid_Requirement'!U16+'Grid_TTAFOutgoing'!U16))</f>
        <v/>
      </c>
      <c r="V16">
        <f>IF(COUNTIFS(T_StockCount[Part Name],$A16,T_StockCount[WeekIndex],21)&gt;0,SUMIFS(T_StockCount[CountedQty],T_StockCount[Part Name],$A16,T_StockCount[WeekIndex],21),IF(('T_SelfStock'!V20&lt;&gt;""),'T_SelfStock'!V20,U16-'Grid_Requirement'!V16+'Grid_TTAFOutgoing'!V16))</f>
        <v/>
      </c>
      <c r="W16">
        <f>IF(COUNTIFS(T_StockCount[Part Name],$A16,T_StockCount[WeekIndex],22)&gt;0,SUMIFS(T_StockCount[CountedQty],T_StockCount[Part Name],$A16,T_StockCount[WeekIndex],22),IF(('T_SelfStock'!W20&lt;&gt;""),'T_SelfStock'!W20,V16-'Grid_Requirement'!W16+'Grid_TTAFOutgoing'!W16))</f>
        <v/>
      </c>
      <c r="X16">
        <f>IF(COUNTIFS(T_StockCount[Part Name],$A16,T_StockCount[WeekIndex],23)&gt;0,SUMIFS(T_StockCount[CountedQty],T_StockCount[Part Name],$A16,T_StockCount[WeekIndex],23),IF(('T_SelfStock'!X20&lt;&gt;""),'T_SelfStock'!X20,W16-'Grid_Requirement'!X16+'Grid_TTAFOutgoing'!X16))</f>
        <v/>
      </c>
      <c r="Y16">
        <f>IF(COUNTIFS(T_StockCount[Part Name],$A16,T_StockCount[WeekIndex],24)&gt;0,SUMIFS(T_StockCount[CountedQty],T_StockCount[Part Name],$A16,T_StockCount[WeekIndex],24),IF(('T_SelfStock'!Y20&lt;&gt;""),'T_SelfStock'!Y20,X16-'Grid_Requirement'!Y16+'Grid_TTAFOutgoing'!Y16))</f>
        <v/>
      </c>
      <c r="Z16">
        <f>IF(COUNTIFS(T_StockCount[Part Name],$A16,T_StockCount[WeekIndex],25)&gt;0,SUMIFS(T_StockCount[CountedQty],T_StockCount[Part Name],$A16,T_StockCount[WeekIndex],25),IF(('T_SelfStock'!Z20&lt;&gt;""),'T_SelfStock'!Z20,Y16-'Grid_Requirement'!Z16+'Grid_TTAFOutgoing'!Z16))</f>
        <v/>
      </c>
      <c r="AA16">
        <f>IF(COUNTIFS(T_StockCount[Part Name],$A16,T_StockCount[WeekIndex],26)&gt;0,SUMIFS(T_StockCount[CountedQty],T_StockCount[Part Name],$A16,T_StockCount[WeekIndex],26),IF(('T_SelfStock'!AA20&lt;&gt;""),'T_SelfStock'!AA20,Z16-'Grid_Requirement'!AA16+'Grid_TTAFOutgoing'!AA16))</f>
        <v/>
      </c>
      <c r="AB16">
        <f>IF(COUNTIFS(T_StockCount[Part Name],$A16,T_StockCount[WeekIndex],27)&gt;0,SUMIFS(T_StockCount[CountedQty],T_StockCount[Part Name],$A16,T_StockCount[WeekIndex],27),IF(('T_SelfStock'!AB20&lt;&gt;""),'T_SelfStock'!AB20,AA16-'Grid_Requirement'!AB16+'Grid_TTAFOutgoing'!AB16))</f>
        <v/>
      </c>
      <c r="AC16">
        <f>IF(COUNTIFS(T_StockCount[Part Name],$A16,T_StockCount[WeekIndex],28)&gt;0,SUMIFS(T_StockCount[CountedQty],T_StockCount[Part Name],$A16,T_StockCount[WeekIndex],28),IF(('T_SelfStock'!AC20&lt;&gt;""),'T_SelfStock'!AC20,AB16-'Grid_Requirement'!AC16+'Grid_TTAFOutgoing'!AC16))</f>
        <v/>
      </c>
      <c r="AD16">
        <f>IF(COUNTIFS(T_StockCount[Part Name],$A16,T_StockCount[WeekIndex],29)&gt;0,SUMIFS(T_StockCount[CountedQty],T_StockCount[Part Name],$A16,T_StockCount[WeekIndex],29),IF(('T_SelfStock'!AD20&lt;&gt;""),'T_SelfStock'!AD20,AC16-'Grid_Requirement'!AD16+'Grid_TTAFOutgoing'!AD16))</f>
        <v/>
      </c>
      <c r="AE16">
        <f>IF(COUNTIFS(T_StockCount[Part Name],$A16,T_StockCount[WeekIndex],30)&gt;0,SUMIFS(T_StockCount[CountedQty],T_StockCount[Part Name],$A16,T_StockCount[WeekIndex],30),IF(('T_SelfStock'!AE20&lt;&gt;""),'T_SelfStock'!AE20,AD16-'Grid_Requirement'!AE16+'Grid_TTAFOutgoing'!AE16))</f>
        <v/>
      </c>
      <c r="AF16">
        <f>IF(COUNTIFS(T_StockCount[Part Name],$A16,T_StockCount[WeekIndex],31)&gt;0,SUMIFS(T_StockCount[CountedQty],T_StockCount[Part Name],$A16,T_StockCount[WeekIndex],31),IF(('T_SelfStock'!AF20&lt;&gt;""),'T_SelfStock'!AF20,AE16-'Grid_Requirement'!AF16+'Grid_TTAFOutgoing'!AF16))</f>
        <v/>
      </c>
      <c r="AG16">
        <f>IF(COUNTIFS(T_StockCount[Part Name],$A16,T_StockCount[WeekIndex],32)&gt;0,SUMIFS(T_StockCount[CountedQty],T_StockCount[Part Name],$A16,T_StockCount[WeekIndex],32),IF(('T_SelfStock'!AG20&lt;&gt;""),'T_SelfStock'!AG20,AF16-'Grid_Requirement'!AG16+'Grid_TTAFOutgoing'!AG16))</f>
        <v/>
      </c>
      <c r="AH16">
        <f>IF(COUNTIFS(T_StockCount[Part Name],$A16,T_StockCount[WeekIndex],33)&gt;0,SUMIFS(T_StockCount[CountedQty],T_StockCount[Part Name],$A16,T_StockCount[WeekIndex],33),IF(('T_SelfStock'!AH20&lt;&gt;""),'T_SelfStock'!AH20,AG16-'Grid_Requirement'!AH16+'Grid_TTAFOutgoing'!AH16))</f>
        <v/>
      </c>
      <c r="AI16">
        <f>IF(COUNTIFS(T_StockCount[Part Name],$A16,T_StockCount[WeekIndex],34)&gt;0,SUMIFS(T_StockCount[CountedQty],T_StockCount[Part Name],$A16,T_StockCount[WeekIndex],34),IF(('T_SelfStock'!AI20&lt;&gt;""),'T_SelfStock'!AI20,AH16-'Grid_Requirement'!AI16+'Grid_TTAFOutgoing'!AI16))</f>
        <v/>
      </c>
      <c r="AJ16">
        <f>IF(COUNTIFS(T_StockCount[Part Name],$A16,T_StockCount[WeekIndex],35)&gt;0,SUMIFS(T_StockCount[CountedQty],T_StockCount[Part Name],$A16,T_StockCount[WeekIndex],35),IF(('T_SelfStock'!AJ20&lt;&gt;""),'T_SelfStock'!AJ20,AI16-'Grid_Requirement'!AJ16+'Grid_TTAFOutgoing'!AJ16))</f>
        <v/>
      </c>
      <c r="AK16">
        <f>IF(COUNTIFS(T_StockCount[Part Name],$A16,T_StockCount[WeekIndex],36)&gt;0,SUMIFS(T_StockCount[CountedQty],T_StockCount[Part Name],$A16,T_StockCount[WeekIndex],36),IF(('T_SelfStock'!AK20&lt;&gt;""),'T_SelfStock'!AK20,AJ16-'Grid_Requirement'!AK16+'Grid_TTAFOutgoing'!AK16))</f>
        <v/>
      </c>
      <c r="AL16">
        <f>IF(COUNTIFS(T_StockCount[Part Name],$A16,T_StockCount[WeekIndex],37)&gt;0,SUMIFS(T_StockCount[CountedQty],T_StockCount[Part Name],$A16,T_StockCount[WeekIndex],37),IF(('T_SelfStock'!AL20&lt;&gt;""),'T_SelfStock'!AL20,AK16-'Grid_Requirement'!AL16+'Grid_TTAFOutgoing'!AL16))</f>
        <v/>
      </c>
      <c r="AM16">
        <f>IF(COUNTIFS(T_StockCount[Part Name],$A16,T_StockCount[WeekIndex],38)&gt;0,SUMIFS(T_StockCount[CountedQty],T_StockCount[Part Name],$A16,T_StockCount[WeekIndex],38),IF(('T_SelfStock'!AM20&lt;&gt;""),'T_SelfStock'!AM20,AL16-'Grid_Requirement'!AM16+'Grid_TTAFOutgoing'!AM16))</f>
        <v/>
      </c>
      <c r="AN16">
        <f>IF(COUNTIFS(T_StockCount[Part Name],$A16,T_StockCount[WeekIndex],39)&gt;0,SUMIFS(T_StockCount[CountedQty],T_StockCount[Part Name],$A16,T_StockCount[WeekIndex],39),IF(('T_SelfStock'!AN20&lt;&gt;""),'T_SelfStock'!AN20,AM16-'Grid_Requirement'!AN16+'Grid_TTAFOutgoing'!AN16))</f>
        <v/>
      </c>
      <c r="AO16">
        <f>IF(COUNTIFS(T_StockCount[Part Name],$A16,T_StockCount[WeekIndex],40)&gt;0,SUMIFS(T_StockCount[CountedQty],T_StockCount[Part Name],$A16,T_StockCount[WeekIndex],40),IF(('T_SelfStock'!AO20&lt;&gt;""),'T_SelfStock'!AO20,AN16-'Grid_Requirement'!AO16+'Grid_TTAFOutgoing'!AO16))</f>
        <v/>
      </c>
      <c r="AP16">
        <f>IF(COUNTIFS(T_StockCount[Part Name],$A16,T_StockCount[WeekIndex],41)&gt;0,SUMIFS(T_StockCount[CountedQty],T_StockCount[Part Name],$A16,T_StockCount[WeekIndex],41),IF(('T_SelfStock'!AP20&lt;&gt;""),'T_SelfStock'!AP20,AO16-'Grid_Requirement'!AP16+'Grid_TTAFOutgoing'!AP16))</f>
        <v/>
      </c>
      <c r="AQ16">
        <f>IF(COUNTIFS(T_StockCount[Part Name],$A16,T_StockCount[WeekIndex],42)&gt;0,SUMIFS(T_StockCount[CountedQty],T_StockCount[Part Name],$A16,T_StockCount[WeekIndex],42),IF(('T_SelfStock'!AQ20&lt;&gt;""),'T_SelfStock'!AQ20,AP16-'Grid_Requirement'!AQ16+'Grid_TTAFOutgoing'!AQ16))</f>
        <v/>
      </c>
      <c r="AR16">
        <f>IF(COUNTIFS(T_StockCount[Part Name],$A16,T_StockCount[WeekIndex],43)&gt;0,SUMIFS(T_StockCount[CountedQty],T_StockCount[Part Name],$A16,T_StockCount[WeekIndex],43),IF(('T_SelfStock'!AR20&lt;&gt;""),'T_SelfStock'!AR20,AQ16-'Grid_Requirement'!AR16+'Grid_TTAFOutgoing'!AR16))</f>
        <v/>
      </c>
      <c r="AS16">
        <f>IF(COUNTIFS(T_StockCount[Part Name],$A16,T_StockCount[WeekIndex],44)&gt;0,SUMIFS(T_StockCount[CountedQty],T_StockCount[Part Name],$A16,T_StockCount[WeekIndex],44),IF(('T_SelfStock'!AS20&lt;&gt;""),'T_SelfStock'!AS20,AR16-'Grid_Requirement'!AS16+'Grid_TTAFOutgoing'!AS16))</f>
        <v/>
      </c>
      <c r="AT16">
        <f>IF(COUNTIFS(T_StockCount[Part Name],$A16,T_StockCount[WeekIndex],45)&gt;0,SUMIFS(T_StockCount[CountedQty],T_StockCount[Part Name],$A16,T_StockCount[WeekIndex],45),IF(('T_SelfStock'!AT20&lt;&gt;""),'T_SelfStock'!AT20,AS16-'Grid_Requirement'!AT16+'Grid_TTAFOutgoing'!AT16))</f>
        <v/>
      </c>
      <c r="AU16">
        <f>IF(COUNTIFS(T_StockCount[Part Name],$A16,T_StockCount[WeekIndex],46)&gt;0,SUMIFS(T_StockCount[CountedQty],T_StockCount[Part Name],$A16,T_StockCount[WeekIndex],46),IF(('T_SelfStock'!AU20&lt;&gt;""),'T_SelfStock'!AU20,AT16-'Grid_Requirement'!AU16+'Grid_TTAFOutgoing'!AU16))</f>
        <v/>
      </c>
      <c r="AV16">
        <f>IF(COUNTIFS(T_StockCount[Part Name],$A16,T_StockCount[WeekIndex],47)&gt;0,SUMIFS(T_StockCount[CountedQty],T_StockCount[Part Name],$A16,T_StockCount[WeekIndex],47),IF(('T_SelfStock'!AV20&lt;&gt;""),'T_SelfStock'!AV20,AU16-'Grid_Requirement'!AV16+'Grid_TTAFOutgoing'!AV16))</f>
        <v/>
      </c>
      <c r="AW16">
        <f>IF(COUNTIFS(T_StockCount[Part Name],$A16,T_StockCount[WeekIndex],48)&gt;0,SUMIFS(T_StockCount[CountedQty],T_StockCount[Part Name],$A16,T_StockCount[WeekIndex],48),IF(('T_SelfStock'!AW20&lt;&gt;""),'T_SelfStock'!AW20,AV16-'Grid_Requirement'!AW16+'Grid_TTAFOutgoing'!AW16))</f>
        <v/>
      </c>
      <c r="AX16">
        <f>IF(COUNTIFS(T_StockCount[Part Name],$A16,T_StockCount[WeekIndex],49)&gt;0,SUMIFS(T_StockCount[CountedQty],T_StockCount[Part Name],$A16,T_StockCount[WeekIndex],49),IF(('T_SelfStock'!AX20&lt;&gt;""),'T_SelfStock'!AX20,AW16-'Grid_Requirement'!AX16+'Grid_TTAFOutgoing'!AX16))</f>
        <v/>
      </c>
      <c r="AY16">
        <f>IF(COUNTIFS(T_StockCount[Part Name],$A16,T_StockCount[WeekIndex],50)&gt;0,SUMIFS(T_StockCount[CountedQty],T_StockCount[Part Name],$A16,T_StockCount[WeekIndex],50),IF(('T_SelfStock'!AY20&lt;&gt;""),'T_SelfStock'!AY20,AX16-'Grid_Requirement'!AY16+'Grid_TTAFOutgoing'!AY16))</f>
        <v/>
      </c>
      <c r="AZ16">
        <f>IF(COUNTIFS(T_StockCount[Part Name],$A16,T_StockCount[WeekIndex],51)&gt;0,SUMIFS(T_StockCount[CountedQty],T_StockCount[Part Name],$A16,T_StockCount[WeekIndex],51),IF(('T_SelfStock'!AZ20&lt;&gt;""),'T_SelfStock'!AZ20,AY16-'Grid_Requirement'!AZ16+'Grid_TTAFOutgoing'!AZ16))</f>
        <v/>
      </c>
      <c r="BA16">
        <f>IF(COUNTIFS(T_StockCount[Part Name],$A16,T_StockCount[WeekIndex],52)&gt;0,SUMIFS(T_StockCount[CountedQty],T_StockCount[Part Name],$A16,T_StockCount[WeekIndex],52),IF(('T_SelfStock'!BA20&lt;&gt;""),'T_SelfStock'!BA20,AZ16-'Grid_Requirement'!BA16+'Grid_TTAFOutgoing'!BA16))</f>
        <v/>
      </c>
      <c r="BB16">
        <f>IF(COUNTIFS(T_StockCount[Part Name],$A16,T_StockCount[WeekIndex],53)&gt;0,SUMIFS(T_StockCount[CountedQty],T_StockCount[Part Name],$A16,T_StockCount[WeekIndex],53),IF(('T_SelfStock'!BB20&lt;&gt;""),'T_SelfStock'!BB20,BA16-'Grid_Requirement'!BB16+'Grid_TTAFOutgoing'!BB16))</f>
        <v/>
      </c>
      <c r="BC16">
        <f>IF(COUNTIFS(T_StockCount[Part Name],$A16,T_StockCount[WeekIndex],54)&gt;0,SUMIFS(T_StockCount[CountedQty],T_StockCount[Part Name],$A16,T_StockCount[WeekIndex],54),IF(('T_SelfStock'!BC20&lt;&gt;""),'T_SelfStock'!BC20,BB16-'Grid_Requirement'!BC16+'Grid_TTAFOutgoing'!BC16))</f>
        <v/>
      </c>
      <c r="BD16">
        <f>IF(COUNTIFS(T_StockCount[Part Name],$A16,T_StockCount[WeekIndex],55)&gt;0,SUMIFS(T_StockCount[CountedQty],T_StockCount[Part Name],$A16,T_StockCount[WeekIndex],55),IF(('T_SelfStock'!BD20&lt;&gt;""),'T_SelfStock'!BD20,BC16-'Grid_Requirement'!BD16+'Grid_TTAFOutgoing'!BD16))</f>
        <v/>
      </c>
      <c r="BE16">
        <f>IF(COUNTIFS(T_StockCount[Part Name],$A16,T_StockCount[WeekIndex],56)&gt;0,SUMIFS(T_StockCount[CountedQty],T_StockCount[Part Name],$A16,T_StockCount[WeekIndex],56),IF(('T_SelfStock'!BE20&lt;&gt;""),'T_SelfStock'!BE20,BD16-'Grid_Requirement'!BE16+'Grid_TTAFOutgoing'!BE16))</f>
        <v/>
      </c>
      <c r="BF16">
        <f>IF(COUNTIFS(T_StockCount[Part Name],$A16,T_StockCount[WeekIndex],57)&gt;0,SUMIFS(T_StockCount[CountedQty],T_StockCount[Part Name],$A16,T_StockCount[WeekIndex],57),IF(('T_SelfStock'!BF20&lt;&gt;""),'T_SelfStock'!BF20,BE16-'Grid_Requirement'!BF16+'Grid_TTAFOutgoing'!BF16))</f>
        <v/>
      </c>
      <c r="BG16">
        <f>IF(COUNTIFS(T_StockCount[Part Name],$A16,T_StockCount[WeekIndex],58)&gt;0,SUMIFS(T_StockCount[CountedQty],T_StockCount[Part Name],$A16,T_StockCount[WeekIndex],58),IF(('T_SelfStock'!BG20&lt;&gt;""),'T_SelfStock'!BG20,BF16-'Grid_Requirement'!BG16+'Grid_TTAFOutgoing'!BG16))</f>
        <v/>
      </c>
      <c r="BH16">
        <f>IF(COUNTIFS(T_StockCount[Part Name],$A16,T_StockCount[WeekIndex],59)&gt;0,SUMIFS(T_StockCount[CountedQty],T_StockCount[Part Name],$A16,T_StockCount[WeekIndex],59),IF(('T_SelfStock'!BH20&lt;&gt;""),'T_SelfStock'!BH20,BG16-'Grid_Requirement'!BH16+'Grid_TTAFOutgoing'!BH16))</f>
        <v/>
      </c>
      <c r="BI16">
        <f>IF(COUNTIFS(T_StockCount[Part Name],$A16,T_StockCount[WeekIndex],60)&gt;0,SUMIFS(T_StockCount[CountedQty],T_StockCount[Part Name],$A16,T_StockCount[WeekIndex],60),IF(('T_SelfStock'!BI20&lt;&gt;""),'T_SelfStock'!BI20,BH16-'Grid_Requirement'!BI16+'Grid_TTAFOutgoing'!BI16))</f>
        <v/>
      </c>
      <c r="BJ16">
        <f>IF(COUNTIFS(T_StockCount[Part Name],$A16,T_StockCount[WeekIndex],61)&gt;0,SUMIFS(T_StockCount[CountedQty],T_StockCount[Part Name],$A16,T_StockCount[WeekIndex],61),IF(('T_SelfStock'!BJ20&lt;&gt;""),'T_SelfStock'!BJ20,BI16-'Grid_Requirement'!BJ16+'Grid_TTAFOutgoing'!BJ16))</f>
        <v/>
      </c>
      <c r="BK16">
        <f>IF(COUNTIFS(T_StockCount[Part Name],$A16,T_StockCount[WeekIndex],62)&gt;0,SUMIFS(T_StockCount[CountedQty],T_StockCount[Part Name],$A16,T_StockCount[WeekIndex],62),IF(('T_SelfStock'!BK20&lt;&gt;""),'T_SelfStock'!BK20,BJ16-'Grid_Requirement'!BK16+'Grid_TTAFOutgoing'!BK16))</f>
        <v/>
      </c>
      <c r="BL16">
        <f>IF(COUNTIFS(T_StockCount[Part Name],$A16,T_StockCount[WeekIndex],63)&gt;0,SUMIFS(T_StockCount[CountedQty],T_StockCount[Part Name],$A16,T_StockCount[WeekIndex],63),IF(('T_SelfStock'!BL20&lt;&gt;""),'T_SelfStock'!BL20,BK16-'Grid_Requirement'!BL16+'Grid_TTAFOutgoing'!BL16))</f>
        <v/>
      </c>
      <c r="BM16">
        <f>IF(COUNTIFS(T_StockCount[Part Name],$A16,T_StockCount[WeekIndex],64)&gt;0,SUMIFS(T_StockCount[CountedQty],T_StockCount[Part Name],$A16,T_StockCount[WeekIndex],64),IF(('T_SelfStock'!BM20&lt;&gt;""),'T_SelfStock'!BM20,BL16-'Grid_Requirement'!BM16+'Grid_TTAFOutgoing'!BM16))</f>
        <v/>
      </c>
      <c r="BN16">
        <f>IF(COUNTIFS(T_StockCount[Part Name],$A16,T_StockCount[WeekIndex],65)&gt;0,SUMIFS(T_StockCount[CountedQty],T_StockCount[Part Name],$A16,T_StockCount[WeekIndex],65),IF(('T_SelfStock'!BN20&lt;&gt;""),'T_SelfStock'!BN20,BM16-'Grid_Requirement'!BN16+'Grid_TTAFOutgoing'!BN16))</f>
        <v/>
      </c>
      <c r="BO16">
        <f>IF(COUNTIFS(T_StockCount[Part Name],$A16,T_StockCount[WeekIndex],66)&gt;0,SUMIFS(T_StockCount[CountedQty],T_StockCount[Part Name],$A16,T_StockCount[WeekIndex],66),IF(('T_SelfStock'!BO20&lt;&gt;""),'T_SelfStock'!BO20,BN16-'Grid_Requirement'!BO16+'Grid_TTAFOutgoing'!BO16))</f>
        <v/>
      </c>
      <c r="BP16">
        <f>IF(COUNTIFS(T_StockCount[Part Name],$A16,T_StockCount[WeekIndex],67)&gt;0,SUMIFS(T_StockCount[CountedQty],T_StockCount[Part Name],$A16,T_StockCount[WeekIndex],67),IF(('T_SelfStock'!BP20&lt;&gt;""),'T_SelfStock'!BP20,BO16-'Grid_Requirement'!BP16+'Grid_TTAFOutgoing'!BP16))</f>
        <v/>
      </c>
      <c r="BQ16">
        <f>IF(COUNTIFS(T_StockCount[Part Name],$A16,T_StockCount[WeekIndex],68)&gt;0,SUMIFS(T_StockCount[CountedQty],T_StockCount[Part Name],$A16,T_StockCount[WeekIndex],68),IF(('T_SelfStock'!BQ20&lt;&gt;""),'T_SelfStock'!BQ20,BP16-'Grid_Requirement'!BQ16+'Grid_TTAFOutgoing'!BQ16))</f>
        <v/>
      </c>
      <c r="BR16">
        <f>IF(COUNTIFS(T_StockCount[Part Name],$A16,T_StockCount[WeekIndex],69)&gt;0,SUMIFS(T_StockCount[CountedQty],T_StockCount[Part Name],$A16,T_StockCount[WeekIndex],69),IF(('T_SelfStock'!BR20&lt;&gt;""),'T_SelfStock'!BR20,BQ16-'Grid_Requirement'!BR16+'Grid_TTAFOutgoing'!BR16))</f>
        <v/>
      </c>
      <c r="BS16">
        <f>IF(COUNTIFS(T_StockCount[Part Name],$A16,T_StockCount[WeekIndex],70)&gt;0,SUMIFS(T_StockCount[CountedQty],T_StockCount[Part Name],$A16,T_StockCount[WeekIndex],70),IF(('T_SelfStock'!BS20&lt;&gt;""),'T_SelfStock'!BS20,BR16-'Grid_Requirement'!BS16+'Grid_TTAFOutgoing'!BS16))</f>
        <v/>
      </c>
      <c r="BT16">
        <f>IF(COUNTIFS(T_StockCount[Part Name],$A16,T_StockCount[WeekIndex],71)&gt;0,SUMIFS(T_StockCount[CountedQty],T_StockCount[Part Name],$A16,T_StockCount[WeekIndex],71),IF(('T_SelfStock'!BT20&lt;&gt;""),'T_SelfStock'!BT20,BS16-'Grid_Requirement'!BT16+'Grid_TTAFOutgoing'!BT16))</f>
        <v/>
      </c>
      <c r="BU16">
        <f>IF(COUNTIFS(T_StockCount[Part Name],$A16,T_StockCount[WeekIndex],72)&gt;0,SUMIFS(T_StockCount[CountedQty],T_StockCount[Part Name],$A16,T_StockCount[WeekIndex],72),IF(('T_SelfStock'!BU20&lt;&gt;""),'T_SelfStock'!BU20,BT16-'Grid_Requirement'!BU16+'Grid_TTAFOutgoing'!BU16))</f>
        <v/>
      </c>
      <c r="BV16">
        <f>IF(COUNTIFS(T_StockCount[Part Name],$A16,T_StockCount[WeekIndex],73)&gt;0,SUMIFS(T_StockCount[CountedQty],T_StockCount[Part Name],$A16,T_StockCount[WeekIndex],73),IF(('T_SelfStock'!BV20&lt;&gt;""),'T_SelfStock'!BV20,BU16-'Grid_Requirement'!BV16+'Grid_TTAFOutgoing'!BV16))</f>
        <v/>
      </c>
      <c r="BW16">
        <f>IF(COUNTIFS(T_StockCount[Part Name],$A16,T_StockCount[WeekIndex],74)&gt;0,SUMIFS(T_StockCount[CountedQty],T_StockCount[Part Name],$A16,T_StockCount[WeekIndex],74),IF(('T_SelfStock'!BW20&lt;&gt;""),'T_SelfStock'!BW20,BV16-'Grid_Requirement'!BW16+'Grid_TTAFOutgoing'!BW16))</f>
        <v/>
      </c>
      <c r="BX16">
        <f>IF(COUNTIFS(T_StockCount[Part Name],$A16,T_StockCount[WeekIndex],75)&gt;0,SUMIFS(T_StockCount[CountedQty],T_StockCount[Part Name],$A16,T_StockCount[WeekIndex],75),IF(('T_SelfStock'!BX20&lt;&gt;""),'T_SelfStock'!BX20,BW16-'Grid_Requirement'!BX16+'Grid_TTAFOutgoing'!BX16))</f>
        <v/>
      </c>
      <c r="BY16">
        <f>IF(COUNTIFS(T_StockCount[Part Name],$A16,T_StockCount[WeekIndex],76)&gt;0,SUMIFS(T_StockCount[CountedQty],T_StockCount[Part Name],$A16,T_StockCount[WeekIndex],76),IF(('T_SelfStock'!BY20&lt;&gt;""),'T_SelfStock'!BY20,BX16-'Grid_Requirement'!BY16+'Grid_TTAFOutgoing'!BY16))</f>
        <v/>
      </c>
      <c r="BZ16">
        <f>IF(COUNTIFS(T_StockCount[Part Name],$A16,T_StockCount[WeekIndex],77)&gt;0,SUMIFS(T_StockCount[CountedQty],T_StockCount[Part Name],$A16,T_StockCount[WeekIndex],77),IF(('T_SelfStock'!BZ20&lt;&gt;""),'T_SelfStock'!BZ20,BY16-'Grid_Requirement'!BZ16+'Grid_TTAFOutgoing'!BZ16))</f>
        <v/>
      </c>
      <c r="CA16">
        <f>IF(COUNTIFS(T_StockCount[Part Name],$A16,T_StockCount[WeekIndex],78)&gt;0,SUMIFS(T_StockCount[CountedQty],T_StockCount[Part Name],$A16,T_StockCount[WeekIndex],78),IF(('T_SelfStock'!CA20&lt;&gt;""),'T_SelfStock'!CA20,BZ16-'Grid_Requirement'!CA16+'Grid_TTAFOutgoing'!CA16))</f>
        <v/>
      </c>
      <c r="CB16">
        <f>IF(COUNTIFS(T_StockCount[Part Name],$A16,T_StockCount[WeekIndex],79)&gt;0,SUMIFS(T_StockCount[CountedQty],T_StockCount[Part Name],$A16,T_StockCount[WeekIndex],79),IF(('T_SelfStock'!CB20&lt;&gt;""),'T_SelfStock'!CB20,CA16-'Grid_Requirement'!CB16+'Grid_TTAFOutgoing'!CB16))</f>
        <v/>
      </c>
      <c r="CC16">
        <f>IF(COUNTIFS(T_StockCount[Part Name],$A16,T_StockCount[WeekIndex],80)&gt;0,SUMIFS(T_StockCount[CountedQty],T_StockCount[Part Name],$A16,T_StockCount[WeekIndex],80),IF(('T_SelfStock'!CC20&lt;&gt;""),'T_SelfStock'!CC20,CB16-'Grid_Requirement'!CC16+'Grid_TTAFOutgoing'!CC16))</f>
        <v/>
      </c>
      <c r="CD16">
        <f>IF(COUNTIFS(T_StockCount[Part Name],$A16,T_StockCount[WeekIndex],81)&gt;0,SUMIFS(T_StockCount[CountedQty],T_StockCount[Part Name],$A16,T_StockCount[WeekIndex],81),IF(('T_SelfStock'!CD20&lt;&gt;""),'T_SelfStock'!CD20,CC16-'Grid_Requirement'!CD16+'Grid_TTAFOutgoing'!CD16))</f>
        <v/>
      </c>
      <c r="CE16">
        <f>IF(COUNTIFS(T_StockCount[Part Name],$A16,T_StockCount[WeekIndex],82)&gt;0,SUMIFS(T_StockCount[CountedQty],T_StockCount[Part Name],$A16,T_StockCount[WeekIndex],82),IF(('T_SelfStock'!CE20&lt;&gt;""),'T_SelfStock'!CE20,CD16-'Grid_Requirement'!CE16+'Grid_TTAFOutgoing'!CE16))</f>
        <v/>
      </c>
      <c r="CF16">
        <f>IF(COUNTIFS(T_StockCount[Part Name],$A16,T_StockCount[WeekIndex],83)&gt;0,SUMIFS(T_StockCount[CountedQty],T_StockCount[Part Name],$A16,T_StockCount[WeekIndex],83),IF(('T_SelfStock'!CF20&lt;&gt;""),'T_SelfStock'!CF20,CE16-'Grid_Requirement'!CF16+'Grid_TTAFOutgoing'!CF16))</f>
        <v/>
      </c>
      <c r="CG16">
        <f>IF(COUNTIFS(T_StockCount[Part Name],$A16,T_StockCount[WeekIndex],84)&gt;0,SUMIFS(T_StockCount[CountedQty],T_StockCount[Part Name],$A16,T_StockCount[WeekIndex],84),IF(('T_SelfStock'!CG20&lt;&gt;""),'T_SelfStock'!CG20,CF16-'Grid_Requirement'!CG16+'Grid_TTAFOutgoing'!CG16))</f>
        <v/>
      </c>
      <c r="CH16">
        <f>IF(COUNTIFS(T_StockCount[Part Name],$A16,T_StockCount[WeekIndex],85)&gt;0,SUMIFS(T_StockCount[CountedQty],T_StockCount[Part Name],$A16,T_StockCount[WeekIndex],85),IF(('T_SelfStock'!CH20&lt;&gt;""),'T_SelfStock'!CH20,CG16-'Grid_Requirement'!CH16+'Grid_TTAFOutgoing'!CH16))</f>
        <v/>
      </c>
      <c r="CI16">
        <f>IF(COUNTIFS(T_StockCount[Part Name],$A16,T_StockCount[WeekIndex],86)&gt;0,SUMIFS(T_StockCount[CountedQty],T_StockCount[Part Name],$A16,T_StockCount[WeekIndex],86),IF(('T_SelfStock'!CI20&lt;&gt;""),'T_SelfStock'!CI20,CH16-'Grid_Requirement'!CI16+'Grid_TTAFOutgoing'!CI16))</f>
        <v/>
      </c>
      <c r="CJ16">
        <f>IF(COUNTIFS(T_StockCount[Part Name],$A16,T_StockCount[WeekIndex],87)&gt;0,SUMIFS(T_StockCount[CountedQty],T_StockCount[Part Name],$A16,T_StockCount[WeekIndex],87),IF(('T_SelfStock'!CJ20&lt;&gt;""),'T_SelfStock'!CJ20,CI16-'Grid_Requirement'!CJ16+'Grid_TTAFOutgoing'!CJ16))</f>
        <v/>
      </c>
      <c r="CK16">
        <f>IF(COUNTIFS(T_StockCount[Part Name],$A16,T_StockCount[WeekIndex],88)&gt;0,SUMIFS(T_StockCount[CountedQty],T_StockCount[Part Name],$A16,T_StockCount[WeekIndex],88),IF(('T_SelfStock'!CK20&lt;&gt;""),'T_SelfStock'!CK20,CJ16-'Grid_Requirement'!CK16+'Grid_TTAFOutgoing'!CK16))</f>
        <v/>
      </c>
      <c r="CL16">
        <f>IF(COUNTIFS(T_StockCount[Part Name],$A16,T_StockCount[WeekIndex],89)&gt;0,SUMIFS(T_StockCount[CountedQty],T_StockCount[Part Name],$A16,T_StockCount[WeekIndex],89),IF(('T_SelfStock'!CL20&lt;&gt;""),'T_SelfStock'!CL20,CK16-'Grid_Requirement'!CL16+'Grid_TTAFOutgoing'!CL16))</f>
        <v/>
      </c>
      <c r="CM16">
        <f>IF(COUNTIFS(T_StockCount[Part Name],$A16,T_StockCount[WeekIndex],90)&gt;0,SUMIFS(T_StockCount[CountedQty],T_StockCount[Part Name],$A16,T_StockCount[WeekIndex],90),IF(('T_SelfStock'!CM20&lt;&gt;""),'T_SelfStock'!CM20,CL16-'Grid_Requirement'!CM16+'Grid_TTAFOutgoing'!CM16))</f>
        <v/>
      </c>
      <c r="CN16">
        <f>IF(COUNTIFS(T_StockCount[Part Name],$A16,T_StockCount[WeekIndex],91)&gt;0,SUMIFS(T_StockCount[CountedQty],T_StockCount[Part Name],$A16,T_StockCount[WeekIndex],91),IF(('T_SelfStock'!CN20&lt;&gt;""),'T_SelfStock'!CN20,CM16-'Grid_Requirement'!CN16+'Grid_TTAFOutgoing'!CN16))</f>
        <v/>
      </c>
      <c r="CO16">
        <f>IF(COUNTIFS(T_StockCount[Part Name],$A16,T_StockCount[WeekIndex],92)&gt;0,SUMIFS(T_StockCount[CountedQty],T_StockCount[Part Name],$A16,T_StockCount[WeekIndex],92),IF(('T_SelfStock'!CO20&lt;&gt;""),'T_SelfStock'!CO20,CN16-'Grid_Requirement'!CO16+'Grid_TTAFOutgoing'!CO16))</f>
        <v/>
      </c>
      <c r="CP16">
        <f>IF(COUNTIFS(T_StockCount[Part Name],$A16,T_StockCount[WeekIndex],93)&gt;0,SUMIFS(T_StockCount[CountedQty],T_StockCount[Part Name],$A16,T_StockCount[WeekIndex],93),IF(('T_SelfStock'!CP20&lt;&gt;""),'T_SelfStock'!CP20,CO16-'Grid_Requirement'!CP16+'Grid_TTAFOutgoing'!CP16))</f>
        <v/>
      </c>
      <c r="CQ16">
        <f>IF(COUNTIFS(T_StockCount[Part Name],$A16,T_StockCount[WeekIndex],94)&gt;0,SUMIFS(T_StockCount[CountedQty],T_StockCount[Part Name],$A16,T_StockCount[WeekIndex],94),IF(('T_SelfStock'!CQ20&lt;&gt;""),'T_SelfStock'!CQ20,CP16-'Grid_Requirement'!CQ16+'Grid_TTAFOutgoing'!CQ16))</f>
        <v/>
      </c>
      <c r="CR16">
        <f>IF(COUNTIFS(T_StockCount[Part Name],$A16,T_StockCount[WeekIndex],95)&gt;0,SUMIFS(T_StockCount[CountedQty],T_StockCount[Part Name],$A16,T_StockCount[WeekIndex],95),IF(('T_SelfStock'!CR20&lt;&gt;""),'T_SelfStock'!CR20,CQ16-'Grid_Requirement'!CR16+'Grid_TTAFOutgoing'!CR16))</f>
        <v/>
      </c>
      <c r="CS16">
        <f>IF(COUNTIFS(T_StockCount[Part Name],$A16,T_StockCount[WeekIndex],96)&gt;0,SUMIFS(T_StockCount[CountedQty],T_StockCount[Part Name],$A16,T_StockCount[WeekIndex],96),IF(('T_SelfStock'!CS20&lt;&gt;""),'T_SelfStock'!CS20,CR16-'Grid_Requirement'!CS16+'Grid_TTAFOutgoing'!CS16))</f>
        <v/>
      </c>
      <c r="CT16">
        <f>IF(COUNTIFS(T_StockCount[Part Name],$A16,T_StockCount[WeekIndex],97)&gt;0,SUMIFS(T_StockCount[CountedQty],T_StockCount[Part Name],$A16,T_StockCount[WeekIndex],97),IF(('T_SelfStock'!CT20&lt;&gt;""),'T_SelfStock'!CT20,CS16-'Grid_Requirement'!CT16+'Grid_TTAFOutgoing'!CT16))</f>
        <v/>
      </c>
      <c r="CU16">
        <f>IF(COUNTIFS(T_StockCount[Part Name],$A16,T_StockCount[WeekIndex],98)&gt;0,SUMIFS(T_StockCount[CountedQty],T_StockCount[Part Name],$A16,T_StockCount[WeekIndex],98),IF(('T_SelfStock'!CU20&lt;&gt;""),'T_SelfStock'!CU20,CT16-'Grid_Requirement'!CU16+'Grid_TTAFOutgoing'!CU16))</f>
        <v/>
      </c>
      <c r="CV16">
        <f>IF(COUNTIFS(T_StockCount[Part Name],$A16,T_StockCount[WeekIndex],99)&gt;0,SUMIFS(T_StockCount[CountedQty],T_StockCount[Part Name],$A16,T_StockCount[WeekIndex],99),IF(('T_SelfStock'!CV20&lt;&gt;""),'T_SelfStock'!CV20,CU16-'Grid_Requirement'!CV16+'Grid_TTAFOutgoing'!CV16))</f>
        <v/>
      </c>
      <c r="CW16">
        <f>IF(COUNTIFS(T_StockCount[Part Name],$A16,T_StockCount[WeekIndex],100)&gt;0,SUMIFS(T_StockCount[CountedQty],T_StockCount[Part Name],$A16,T_StockCount[WeekIndex],100),IF(('T_SelfStock'!CW20&lt;&gt;""),'T_SelfStock'!CW20,CV16-'Grid_Requirement'!CW16+'Grid_TTAFOutgoing'!CW16))</f>
        <v/>
      </c>
      <c r="CX16">
        <f>IF(COUNTIFS(T_StockCount[Part Name],$A16,T_StockCount[WeekIndex],101)&gt;0,SUMIFS(T_StockCount[CountedQty],T_StockCount[Part Name],$A16,T_StockCount[WeekIndex],101),IF(('T_SelfStock'!CX20&lt;&gt;""),'T_SelfStock'!CX20,CW16-'Grid_Requirement'!CX16+'Grid_TTAFOutgoing'!CX16))</f>
        <v/>
      </c>
      <c r="CY16">
        <f>IF(COUNTIFS(T_StockCount[Part Name],$A16,T_StockCount[WeekIndex],102)&gt;0,SUMIFS(T_StockCount[CountedQty],T_StockCount[Part Name],$A16,T_StockCount[WeekIndex],102),IF(('T_SelfStock'!CY20&lt;&gt;""),'T_SelfStock'!CY20,CX16-'Grid_Requirement'!CY16+'Grid_TTAFOutgoing'!CY16))</f>
        <v/>
      </c>
      <c r="CZ16">
        <f>IF(COUNTIFS(T_StockCount[Part Name],$A16,T_StockCount[WeekIndex],103)&gt;0,SUMIFS(T_StockCount[CountedQty],T_StockCount[Part Name],$A16,T_StockCount[WeekIndex],103),IF(('T_SelfStock'!CZ20&lt;&gt;""),'T_SelfStock'!CZ20,CY16-'Grid_Requirement'!CZ16+'Grid_TTAFOutgoing'!CZ16))</f>
        <v/>
      </c>
      <c r="DA16">
        <f>IF(COUNTIFS(T_StockCount[Part Name],$A16,T_StockCount[WeekIndex],104)&gt;0,SUMIFS(T_StockCount[CountedQty],T_StockCount[Part Name],$A16,T_StockCount[WeekIndex],104),IF(('T_SelfStock'!DA20&lt;&gt;""),'T_SelfStock'!DA20,CZ16-'Grid_Requirement'!DA16+'Grid_TTAFOutgoing'!DA16))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Name],$A17,T_StockCount[WeekIndex],1),IF(('T_SelfStock'!B21&lt;&gt;""),'T_SelfStock'!B21,IFERROR(INDEX(T_OpeningStock[Opening_Qty],MATCH($A17,T_OpeningStock[Part Name],0)),0)-'Grid_Requirement'!B17+'Grid_TTAFOutgoing'!B17))</f>
        <v/>
      </c>
      <c r="C17">
        <f>IF(COUNTIFS(T_StockCount[Part Name],$A17,T_StockCount[WeekIndex],2)&gt;0,SUMIFS(T_StockCount[CountedQty],T_StockCount[Part Name],$A17,T_StockCount[WeekIndex],2),IF(('T_SelfStock'!C21&lt;&gt;""),'T_SelfStock'!C21,B17-'Grid_Requirement'!C17+'Grid_TTAFOutgoing'!C17))</f>
        <v/>
      </c>
      <c r="D17">
        <f>IF(COUNTIFS(T_StockCount[Part Name],$A17,T_StockCount[WeekIndex],3)&gt;0,SUMIFS(T_StockCount[CountedQty],T_StockCount[Part Name],$A17,T_StockCount[WeekIndex],3),IF(('T_SelfStock'!D21&lt;&gt;""),'T_SelfStock'!D21,C17-'Grid_Requirement'!D17+'Grid_TTAFOutgoing'!D17))</f>
        <v/>
      </c>
      <c r="E17">
        <f>IF(COUNTIFS(T_StockCount[Part Name],$A17,T_StockCount[WeekIndex],4)&gt;0,SUMIFS(T_StockCount[CountedQty],T_StockCount[Part Name],$A17,T_StockCount[WeekIndex],4),IF(('T_SelfStock'!E21&lt;&gt;""),'T_SelfStock'!E21,D17-'Grid_Requirement'!E17+'Grid_TTAFOutgoing'!E17))</f>
        <v/>
      </c>
      <c r="F17">
        <f>IF(COUNTIFS(T_StockCount[Part Name],$A17,T_StockCount[WeekIndex],5)&gt;0,SUMIFS(T_StockCount[CountedQty],T_StockCount[Part Name],$A17,T_StockCount[WeekIndex],5),IF(('T_SelfStock'!F21&lt;&gt;""),'T_SelfStock'!F21,E17-'Grid_Requirement'!F17+'Grid_TTAFOutgoing'!F17))</f>
        <v/>
      </c>
      <c r="G17">
        <f>IF(COUNTIFS(T_StockCount[Part Name],$A17,T_StockCount[WeekIndex],6)&gt;0,SUMIFS(T_StockCount[CountedQty],T_StockCount[Part Name],$A17,T_StockCount[WeekIndex],6),IF(('T_SelfStock'!G21&lt;&gt;""),'T_SelfStock'!G21,F17-'Grid_Requirement'!G17+'Grid_TTAFOutgoing'!G17))</f>
        <v/>
      </c>
      <c r="H17">
        <f>IF(COUNTIFS(T_StockCount[Part Name],$A17,T_StockCount[WeekIndex],7)&gt;0,SUMIFS(T_StockCount[CountedQty],T_StockCount[Part Name],$A17,T_StockCount[WeekIndex],7),IF(('T_SelfStock'!H21&lt;&gt;""),'T_SelfStock'!H21,G17-'Grid_Requirement'!H17+'Grid_TTAFOutgoing'!H17))</f>
        <v/>
      </c>
      <c r="I17">
        <f>IF(COUNTIFS(T_StockCount[Part Name],$A17,T_StockCount[WeekIndex],8)&gt;0,SUMIFS(T_StockCount[CountedQty],T_StockCount[Part Name],$A17,T_StockCount[WeekIndex],8),IF(('T_SelfStock'!I21&lt;&gt;""),'T_SelfStock'!I21,H17-'Grid_Requirement'!I17+'Grid_TTAFOutgoing'!I17))</f>
        <v/>
      </c>
      <c r="J17">
        <f>IF(COUNTIFS(T_StockCount[Part Name],$A17,T_StockCount[WeekIndex],9)&gt;0,SUMIFS(T_StockCount[CountedQty],T_StockCount[Part Name],$A17,T_StockCount[WeekIndex],9),IF(('T_SelfStock'!J21&lt;&gt;""),'T_SelfStock'!J21,I17-'Grid_Requirement'!J17+'Grid_TTAFOutgoing'!J17))</f>
        <v/>
      </c>
      <c r="K17">
        <f>IF(COUNTIFS(T_StockCount[Part Name],$A17,T_StockCount[WeekIndex],10)&gt;0,SUMIFS(T_StockCount[CountedQty],T_StockCount[Part Name],$A17,T_StockCount[WeekIndex],10),IF(('T_SelfStock'!K21&lt;&gt;""),'T_SelfStock'!K21,J17-'Grid_Requirement'!K17+'Grid_TTAFOutgoing'!K17))</f>
        <v/>
      </c>
      <c r="L17">
        <f>IF(COUNTIFS(T_StockCount[Part Name],$A17,T_StockCount[WeekIndex],11)&gt;0,SUMIFS(T_StockCount[CountedQty],T_StockCount[Part Name],$A17,T_StockCount[WeekIndex],11),IF(('T_SelfStock'!L21&lt;&gt;""),'T_SelfStock'!L21,K17-'Grid_Requirement'!L17+'Grid_TTAFOutgoing'!L17))</f>
        <v/>
      </c>
      <c r="M17">
        <f>IF(COUNTIFS(T_StockCount[Part Name],$A17,T_StockCount[WeekIndex],12)&gt;0,SUMIFS(T_StockCount[CountedQty],T_StockCount[Part Name],$A17,T_StockCount[WeekIndex],12),IF(('T_SelfStock'!M21&lt;&gt;""),'T_SelfStock'!M21,L17-'Grid_Requirement'!M17+'Grid_TTAFOutgoing'!M17))</f>
        <v/>
      </c>
      <c r="N17">
        <f>IF(COUNTIFS(T_StockCount[Part Name],$A17,T_StockCount[WeekIndex],13)&gt;0,SUMIFS(T_StockCount[CountedQty],T_StockCount[Part Name],$A17,T_StockCount[WeekIndex],13),IF(('T_SelfStock'!N21&lt;&gt;""),'T_SelfStock'!N21,M17-'Grid_Requirement'!N17+'Grid_TTAFOutgoing'!N17))</f>
        <v/>
      </c>
      <c r="O17">
        <f>IF(COUNTIFS(T_StockCount[Part Name],$A17,T_StockCount[WeekIndex],14)&gt;0,SUMIFS(T_StockCount[CountedQty],T_StockCount[Part Name],$A17,T_StockCount[WeekIndex],14),IF(('T_SelfStock'!O21&lt;&gt;""),'T_SelfStock'!O21,N17-'Grid_Requirement'!O17+'Grid_TTAFOutgoing'!O17))</f>
        <v/>
      </c>
      <c r="P17">
        <f>IF(COUNTIFS(T_StockCount[Part Name],$A17,T_StockCount[WeekIndex],15)&gt;0,SUMIFS(T_StockCount[CountedQty],T_StockCount[Part Name],$A17,T_StockCount[WeekIndex],15),IF(('T_SelfStock'!P21&lt;&gt;""),'T_SelfStock'!P21,O17-'Grid_Requirement'!P17+'Grid_TTAFOutgoing'!P17))</f>
        <v/>
      </c>
      <c r="Q17">
        <f>IF(COUNTIFS(T_StockCount[Part Name],$A17,T_StockCount[WeekIndex],16)&gt;0,SUMIFS(T_StockCount[CountedQty],T_StockCount[Part Name],$A17,T_StockCount[WeekIndex],16),IF(('T_SelfStock'!Q21&lt;&gt;""),'T_SelfStock'!Q21,P17-'Grid_Requirement'!Q17+'Grid_TTAFOutgoing'!Q17))</f>
        <v/>
      </c>
      <c r="R17">
        <f>IF(COUNTIFS(T_StockCount[Part Name],$A17,T_StockCount[WeekIndex],17)&gt;0,SUMIFS(T_StockCount[CountedQty],T_StockCount[Part Name],$A17,T_StockCount[WeekIndex],17),IF(('T_SelfStock'!R21&lt;&gt;""),'T_SelfStock'!R21,Q17-'Grid_Requirement'!R17+'Grid_TTAFOutgoing'!R17))</f>
        <v/>
      </c>
      <c r="S17">
        <f>IF(COUNTIFS(T_StockCount[Part Name],$A17,T_StockCount[WeekIndex],18)&gt;0,SUMIFS(T_StockCount[CountedQty],T_StockCount[Part Name],$A17,T_StockCount[WeekIndex],18),IF(('T_SelfStock'!S21&lt;&gt;""),'T_SelfStock'!S21,R17-'Grid_Requirement'!S17+'Grid_TTAFOutgoing'!S17))</f>
        <v/>
      </c>
      <c r="T17">
        <f>IF(COUNTIFS(T_StockCount[Part Name],$A17,T_StockCount[WeekIndex],19)&gt;0,SUMIFS(T_StockCount[CountedQty],T_StockCount[Part Name],$A17,T_StockCount[WeekIndex],19),IF(('T_SelfStock'!T21&lt;&gt;""),'T_SelfStock'!T21,S17-'Grid_Requirement'!T17+'Grid_TTAFOutgoing'!T17))</f>
        <v/>
      </c>
      <c r="U17">
        <f>IF(COUNTIFS(T_StockCount[Part Name],$A17,T_StockCount[WeekIndex],20)&gt;0,SUMIFS(T_StockCount[CountedQty],T_StockCount[Part Name],$A17,T_StockCount[WeekIndex],20),IF(('T_SelfStock'!U21&lt;&gt;""),'T_SelfStock'!U21,T17-'Grid_Requirement'!U17+'Grid_TTAFOutgoing'!U17))</f>
        <v/>
      </c>
      <c r="V17">
        <f>IF(COUNTIFS(T_StockCount[Part Name],$A17,T_StockCount[WeekIndex],21)&gt;0,SUMIFS(T_StockCount[CountedQty],T_StockCount[Part Name],$A17,T_StockCount[WeekIndex],21),IF(('T_SelfStock'!V21&lt;&gt;""),'T_SelfStock'!V21,U17-'Grid_Requirement'!V17+'Grid_TTAFOutgoing'!V17))</f>
        <v/>
      </c>
      <c r="W17">
        <f>IF(COUNTIFS(T_StockCount[Part Name],$A17,T_StockCount[WeekIndex],22)&gt;0,SUMIFS(T_StockCount[CountedQty],T_StockCount[Part Name],$A17,T_StockCount[WeekIndex],22),IF(('T_SelfStock'!W21&lt;&gt;""),'T_SelfStock'!W21,V17-'Grid_Requirement'!W17+'Grid_TTAFOutgoing'!W17))</f>
        <v/>
      </c>
      <c r="X17">
        <f>IF(COUNTIFS(T_StockCount[Part Name],$A17,T_StockCount[WeekIndex],23)&gt;0,SUMIFS(T_StockCount[CountedQty],T_StockCount[Part Name],$A17,T_StockCount[WeekIndex],23),IF(('T_SelfStock'!X21&lt;&gt;""),'T_SelfStock'!X21,W17-'Grid_Requirement'!X17+'Grid_TTAFOutgoing'!X17))</f>
        <v/>
      </c>
      <c r="Y17">
        <f>IF(COUNTIFS(T_StockCount[Part Name],$A17,T_StockCount[WeekIndex],24)&gt;0,SUMIFS(T_StockCount[CountedQty],T_StockCount[Part Name],$A17,T_StockCount[WeekIndex],24),IF(('T_SelfStock'!Y21&lt;&gt;""),'T_SelfStock'!Y21,X17-'Grid_Requirement'!Y17+'Grid_TTAFOutgoing'!Y17))</f>
        <v/>
      </c>
      <c r="Z17">
        <f>IF(COUNTIFS(T_StockCount[Part Name],$A17,T_StockCount[WeekIndex],25)&gt;0,SUMIFS(T_StockCount[CountedQty],T_StockCount[Part Name],$A17,T_StockCount[WeekIndex],25),IF(('T_SelfStock'!Z21&lt;&gt;""),'T_SelfStock'!Z21,Y17-'Grid_Requirement'!Z17+'Grid_TTAFOutgoing'!Z17))</f>
        <v/>
      </c>
      <c r="AA17">
        <f>IF(COUNTIFS(T_StockCount[Part Name],$A17,T_StockCount[WeekIndex],26)&gt;0,SUMIFS(T_StockCount[CountedQty],T_StockCount[Part Name],$A17,T_StockCount[WeekIndex],26),IF(('T_SelfStock'!AA21&lt;&gt;""),'T_SelfStock'!AA21,Z17-'Grid_Requirement'!AA17+'Grid_TTAFOutgoing'!AA17))</f>
        <v/>
      </c>
      <c r="AB17">
        <f>IF(COUNTIFS(T_StockCount[Part Name],$A17,T_StockCount[WeekIndex],27)&gt;0,SUMIFS(T_StockCount[CountedQty],T_StockCount[Part Name],$A17,T_StockCount[WeekIndex],27),IF(('T_SelfStock'!AB21&lt;&gt;""),'T_SelfStock'!AB21,AA17-'Grid_Requirement'!AB17+'Grid_TTAFOutgoing'!AB17))</f>
        <v/>
      </c>
      <c r="AC17">
        <f>IF(COUNTIFS(T_StockCount[Part Name],$A17,T_StockCount[WeekIndex],28)&gt;0,SUMIFS(T_StockCount[CountedQty],T_StockCount[Part Name],$A17,T_StockCount[WeekIndex],28),IF(('T_SelfStock'!AC21&lt;&gt;""),'T_SelfStock'!AC21,AB17-'Grid_Requirement'!AC17+'Grid_TTAFOutgoing'!AC17))</f>
        <v/>
      </c>
      <c r="AD17">
        <f>IF(COUNTIFS(T_StockCount[Part Name],$A17,T_StockCount[WeekIndex],29)&gt;0,SUMIFS(T_StockCount[CountedQty],T_StockCount[Part Name],$A17,T_StockCount[WeekIndex],29),IF(('T_SelfStock'!AD21&lt;&gt;""),'T_SelfStock'!AD21,AC17-'Grid_Requirement'!AD17+'Grid_TTAFOutgoing'!AD17))</f>
        <v/>
      </c>
      <c r="AE17">
        <f>IF(COUNTIFS(T_StockCount[Part Name],$A17,T_StockCount[WeekIndex],30)&gt;0,SUMIFS(T_StockCount[CountedQty],T_StockCount[Part Name],$A17,T_StockCount[WeekIndex],30),IF(('T_SelfStock'!AE21&lt;&gt;""),'T_SelfStock'!AE21,AD17-'Grid_Requirement'!AE17+'Grid_TTAFOutgoing'!AE17))</f>
        <v/>
      </c>
      <c r="AF17">
        <f>IF(COUNTIFS(T_StockCount[Part Name],$A17,T_StockCount[WeekIndex],31)&gt;0,SUMIFS(T_StockCount[CountedQty],T_StockCount[Part Name],$A17,T_StockCount[WeekIndex],31),IF(('T_SelfStock'!AF21&lt;&gt;""),'T_SelfStock'!AF21,AE17-'Grid_Requirement'!AF17+'Grid_TTAFOutgoing'!AF17))</f>
        <v/>
      </c>
      <c r="AG17">
        <f>IF(COUNTIFS(T_StockCount[Part Name],$A17,T_StockCount[WeekIndex],32)&gt;0,SUMIFS(T_StockCount[CountedQty],T_StockCount[Part Name],$A17,T_StockCount[WeekIndex],32),IF(('T_SelfStock'!AG21&lt;&gt;""),'T_SelfStock'!AG21,AF17-'Grid_Requirement'!AG17+'Grid_TTAFOutgoing'!AG17))</f>
        <v/>
      </c>
      <c r="AH17">
        <f>IF(COUNTIFS(T_StockCount[Part Name],$A17,T_StockCount[WeekIndex],33)&gt;0,SUMIFS(T_StockCount[CountedQty],T_StockCount[Part Name],$A17,T_StockCount[WeekIndex],33),IF(('T_SelfStock'!AH21&lt;&gt;""),'T_SelfStock'!AH21,AG17-'Grid_Requirement'!AH17+'Grid_TTAFOutgoing'!AH17))</f>
        <v/>
      </c>
      <c r="AI17">
        <f>IF(COUNTIFS(T_StockCount[Part Name],$A17,T_StockCount[WeekIndex],34)&gt;0,SUMIFS(T_StockCount[CountedQty],T_StockCount[Part Name],$A17,T_StockCount[WeekIndex],34),IF(('T_SelfStock'!AI21&lt;&gt;""),'T_SelfStock'!AI21,AH17-'Grid_Requirement'!AI17+'Grid_TTAFOutgoing'!AI17))</f>
        <v/>
      </c>
      <c r="AJ17">
        <f>IF(COUNTIFS(T_StockCount[Part Name],$A17,T_StockCount[WeekIndex],35)&gt;0,SUMIFS(T_StockCount[CountedQty],T_StockCount[Part Name],$A17,T_StockCount[WeekIndex],35),IF(('T_SelfStock'!AJ21&lt;&gt;""),'T_SelfStock'!AJ21,AI17-'Grid_Requirement'!AJ17+'Grid_TTAFOutgoing'!AJ17))</f>
        <v/>
      </c>
      <c r="AK17">
        <f>IF(COUNTIFS(T_StockCount[Part Name],$A17,T_StockCount[WeekIndex],36)&gt;0,SUMIFS(T_StockCount[CountedQty],T_StockCount[Part Name],$A17,T_StockCount[WeekIndex],36),IF(('T_SelfStock'!AK21&lt;&gt;""),'T_SelfStock'!AK21,AJ17-'Grid_Requirement'!AK17+'Grid_TTAFOutgoing'!AK17))</f>
        <v/>
      </c>
      <c r="AL17">
        <f>IF(COUNTIFS(T_StockCount[Part Name],$A17,T_StockCount[WeekIndex],37)&gt;0,SUMIFS(T_StockCount[CountedQty],T_StockCount[Part Name],$A17,T_StockCount[WeekIndex],37),IF(('T_SelfStock'!AL21&lt;&gt;""),'T_SelfStock'!AL21,AK17-'Grid_Requirement'!AL17+'Grid_TTAFOutgoing'!AL17))</f>
        <v/>
      </c>
      <c r="AM17">
        <f>IF(COUNTIFS(T_StockCount[Part Name],$A17,T_StockCount[WeekIndex],38)&gt;0,SUMIFS(T_StockCount[CountedQty],T_StockCount[Part Name],$A17,T_StockCount[WeekIndex],38),IF(('T_SelfStock'!AM21&lt;&gt;""),'T_SelfStock'!AM21,AL17-'Grid_Requirement'!AM17+'Grid_TTAFOutgoing'!AM17))</f>
        <v/>
      </c>
      <c r="AN17">
        <f>IF(COUNTIFS(T_StockCount[Part Name],$A17,T_StockCount[WeekIndex],39)&gt;0,SUMIFS(T_StockCount[CountedQty],T_StockCount[Part Name],$A17,T_StockCount[WeekIndex],39),IF(('T_SelfStock'!AN21&lt;&gt;""),'T_SelfStock'!AN21,AM17-'Grid_Requirement'!AN17+'Grid_TTAFOutgoing'!AN17))</f>
        <v/>
      </c>
      <c r="AO17">
        <f>IF(COUNTIFS(T_StockCount[Part Name],$A17,T_StockCount[WeekIndex],40)&gt;0,SUMIFS(T_StockCount[CountedQty],T_StockCount[Part Name],$A17,T_StockCount[WeekIndex],40),IF(('T_SelfStock'!AO21&lt;&gt;""),'T_SelfStock'!AO21,AN17-'Grid_Requirement'!AO17+'Grid_TTAFOutgoing'!AO17))</f>
        <v/>
      </c>
      <c r="AP17">
        <f>IF(COUNTIFS(T_StockCount[Part Name],$A17,T_StockCount[WeekIndex],41)&gt;0,SUMIFS(T_StockCount[CountedQty],T_StockCount[Part Name],$A17,T_StockCount[WeekIndex],41),IF(('T_SelfStock'!AP21&lt;&gt;""),'T_SelfStock'!AP21,AO17-'Grid_Requirement'!AP17+'Grid_TTAFOutgoing'!AP17))</f>
        <v/>
      </c>
      <c r="AQ17">
        <f>IF(COUNTIFS(T_StockCount[Part Name],$A17,T_StockCount[WeekIndex],42)&gt;0,SUMIFS(T_StockCount[CountedQty],T_StockCount[Part Name],$A17,T_StockCount[WeekIndex],42),IF(('T_SelfStock'!AQ21&lt;&gt;""),'T_SelfStock'!AQ21,AP17-'Grid_Requirement'!AQ17+'Grid_TTAFOutgoing'!AQ17))</f>
        <v/>
      </c>
      <c r="AR17">
        <f>IF(COUNTIFS(T_StockCount[Part Name],$A17,T_StockCount[WeekIndex],43)&gt;0,SUMIFS(T_StockCount[CountedQty],T_StockCount[Part Name],$A17,T_StockCount[WeekIndex],43),IF(('T_SelfStock'!AR21&lt;&gt;""),'T_SelfStock'!AR21,AQ17-'Grid_Requirement'!AR17+'Grid_TTAFOutgoing'!AR17))</f>
        <v/>
      </c>
      <c r="AS17">
        <f>IF(COUNTIFS(T_StockCount[Part Name],$A17,T_StockCount[WeekIndex],44)&gt;0,SUMIFS(T_StockCount[CountedQty],T_StockCount[Part Name],$A17,T_StockCount[WeekIndex],44),IF(('T_SelfStock'!AS21&lt;&gt;""),'T_SelfStock'!AS21,AR17-'Grid_Requirement'!AS17+'Grid_TTAFOutgoing'!AS17))</f>
        <v/>
      </c>
      <c r="AT17">
        <f>IF(COUNTIFS(T_StockCount[Part Name],$A17,T_StockCount[WeekIndex],45)&gt;0,SUMIFS(T_StockCount[CountedQty],T_StockCount[Part Name],$A17,T_StockCount[WeekIndex],45),IF(('T_SelfStock'!AT21&lt;&gt;""),'T_SelfStock'!AT21,AS17-'Grid_Requirement'!AT17+'Grid_TTAFOutgoing'!AT17))</f>
        <v/>
      </c>
      <c r="AU17">
        <f>IF(COUNTIFS(T_StockCount[Part Name],$A17,T_StockCount[WeekIndex],46)&gt;0,SUMIFS(T_StockCount[CountedQty],T_StockCount[Part Name],$A17,T_StockCount[WeekIndex],46),IF(('T_SelfStock'!AU21&lt;&gt;""),'T_SelfStock'!AU21,AT17-'Grid_Requirement'!AU17+'Grid_TTAFOutgoing'!AU17))</f>
        <v/>
      </c>
      <c r="AV17">
        <f>IF(COUNTIFS(T_StockCount[Part Name],$A17,T_StockCount[WeekIndex],47)&gt;0,SUMIFS(T_StockCount[CountedQty],T_StockCount[Part Name],$A17,T_StockCount[WeekIndex],47),IF(('T_SelfStock'!AV21&lt;&gt;""),'T_SelfStock'!AV21,AU17-'Grid_Requirement'!AV17+'Grid_TTAFOutgoing'!AV17))</f>
        <v/>
      </c>
      <c r="AW17">
        <f>IF(COUNTIFS(T_StockCount[Part Name],$A17,T_StockCount[WeekIndex],48)&gt;0,SUMIFS(T_StockCount[CountedQty],T_StockCount[Part Name],$A17,T_StockCount[WeekIndex],48),IF(('T_SelfStock'!AW21&lt;&gt;""),'T_SelfStock'!AW21,AV17-'Grid_Requirement'!AW17+'Grid_TTAFOutgoing'!AW17))</f>
        <v/>
      </c>
      <c r="AX17">
        <f>IF(COUNTIFS(T_StockCount[Part Name],$A17,T_StockCount[WeekIndex],49)&gt;0,SUMIFS(T_StockCount[CountedQty],T_StockCount[Part Name],$A17,T_StockCount[WeekIndex],49),IF(('T_SelfStock'!AX21&lt;&gt;""),'T_SelfStock'!AX21,AW17-'Grid_Requirement'!AX17+'Grid_TTAFOutgoing'!AX17))</f>
        <v/>
      </c>
      <c r="AY17">
        <f>IF(COUNTIFS(T_StockCount[Part Name],$A17,T_StockCount[WeekIndex],50)&gt;0,SUMIFS(T_StockCount[CountedQty],T_StockCount[Part Name],$A17,T_StockCount[WeekIndex],50),IF(('T_SelfStock'!AY21&lt;&gt;""),'T_SelfStock'!AY21,AX17-'Grid_Requirement'!AY17+'Grid_TTAFOutgoing'!AY17))</f>
        <v/>
      </c>
      <c r="AZ17">
        <f>IF(COUNTIFS(T_StockCount[Part Name],$A17,T_StockCount[WeekIndex],51)&gt;0,SUMIFS(T_StockCount[CountedQty],T_StockCount[Part Name],$A17,T_StockCount[WeekIndex],51),IF(('T_SelfStock'!AZ21&lt;&gt;""),'T_SelfStock'!AZ21,AY17-'Grid_Requirement'!AZ17+'Grid_TTAFOutgoing'!AZ17))</f>
        <v/>
      </c>
      <c r="BA17">
        <f>IF(COUNTIFS(T_StockCount[Part Name],$A17,T_StockCount[WeekIndex],52)&gt;0,SUMIFS(T_StockCount[CountedQty],T_StockCount[Part Name],$A17,T_StockCount[WeekIndex],52),IF(('T_SelfStock'!BA21&lt;&gt;""),'T_SelfStock'!BA21,AZ17-'Grid_Requirement'!BA17+'Grid_TTAFOutgoing'!BA17))</f>
        <v/>
      </c>
      <c r="BB17">
        <f>IF(COUNTIFS(T_StockCount[Part Name],$A17,T_StockCount[WeekIndex],53)&gt;0,SUMIFS(T_StockCount[CountedQty],T_StockCount[Part Name],$A17,T_StockCount[WeekIndex],53),IF(('T_SelfStock'!BB21&lt;&gt;""),'T_SelfStock'!BB21,BA17-'Grid_Requirement'!BB17+'Grid_TTAFOutgoing'!BB17))</f>
        <v/>
      </c>
      <c r="BC17">
        <f>IF(COUNTIFS(T_StockCount[Part Name],$A17,T_StockCount[WeekIndex],54)&gt;0,SUMIFS(T_StockCount[CountedQty],T_StockCount[Part Name],$A17,T_StockCount[WeekIndex],54),IF(('T_SelfStock'!BC21&lt;&gt;""),'T_SelfStock'!BC21,BB17-'Grid_Requirement'!BC17+'Grid_TTAFOutgoing'!BC17))</f>
        <v/>
      </c>
      <c r="BD17">
        <f>IF(COUNTIFS(T_StockCount[Part Name],$A17,T_StockCount[WeekIndex],55)&gt;0,SUMIFS(T_StockCount[CountedQty],T_StockCount[Part Name],$A17,T_StockCount[WeekIndex],55),IF(('T_SelfStock'!BD21&lt;&gt;""),'T_SelfStock'!BD21,BC17-'Grid_Requirement'!BD17+'Grid_TTAFOutgoing'!BD17))</f>
        <v/>
      </c>
      <c r="BE17">
        <f>IF(COUNTIFS(T_StockCount[Part Name],$A17,T_StockCount[WeekIndex],56)&gt;0,SUMIFS(T_StockCount[CountedQty],T_StockCount[Part Name],$A17,T_StockCount[WeekIndex],56),IF(('T_SelfStock'!BE21&lt;&gt;""),'T_SelfStock'!BE21,BD17-'Grid_Requirement'!BE17+'Grid_TTAFOutgoing'!BE17))</f>
        <v/>
      </c>
      <c r="BF17">
        <f>IF(COUNTIFS(T_StockCount[Part Name],$A17,T_StockCount[WeekIndex],57)&gt;0,SUMIFS(T_StockCount[CountedQty],T_StockCount[Part Name],$A17,T_StockCount[WeekIndex],57),IF(('T_SelfStock'!BF21&lt;&gt;""),'T_SelfStock'!BF21,BE17-'Grid_Requirement'!BF17+'Grid_TTAFOutgoing'!BF17))</f>
        <v/>
      </c>
      <c r="BG17">
        <f>IF(COUNTIFS(T_StockCount[Part Name],$A17,T_StockCount[WeekIndex],58)&gt;0,SUMIFS(T_StockCount[CountedQty],T_StockCount[Part Name],$A17,T_StockCount[WeekIndex],58),IF(('T_SelfStock'!BG21&lt;&gt;""),'T_SelfStock'!BG21,BF17-'Grid_Requirement'!BG17+'Grid_TTAFOutgoing'!BG17))</f>
        <v/>
      </c>
      <c r="BH17">
        <f>IF(COUNTIFS(T_StockCount[Part Name],$A17,T_StockCount[WeekIndex],59)&gt;0,SUMIFS(T_StockCount[CountedQty],T_StockCount[Part Name],$A17,T_StockCount[WeekIndex],59),IF(('T_SelfStock'!BH21&lt;&gt;""),'T_SelfStock'!BH21,BG17-'Grid_Requirement'!BH17+'Grid_TTAFOutgoing'!BH17))</f>
        <v/>
      </c>
      <c r="BI17">
        <f>IF(COUNTIFS(T_StockCount[Part Name],$A17,T_StockCount[WeekIndex],60)&gt;0,SUMIFS(T_StockCount[CountedQty],T_StockCount[Part Name],$A17,T_StockCount[WeekIndex],60),IF(('T_SelfStock'!BI21&lt;&gt;""),'T_SelfStock'!BI21,BH17-'Grid_Requirement'!BI17+'Grid_TTAFOutgoing'!BI17))</f>
        <v/>
      </c>
      <c r="BJ17">
        <f>IF(COUNTIFS(T_StockCount[Part Name],$A17,T_StockCount[WeekIndex],61)&gt;0,SUMIFS(T_StockCount[CountedQty],T_StockCount[Part Name],$A17,T_StockCount[WeekIndex],61),IF(('T_SelfStock'!BJ21&lt;&gt;""),'T_SelfStock'!BJ21,BI17-'Grid_Requirement'!BJ17+'Grid_TTAFOutgoing'!BJ17))</f>
        <v/>
      </c>
      <c r="BK17">
        <f>IF(COUNTIFS(T_StockCount[Part Name],$A17,T_StockCount[WeekIndex],62)&gt;0,SUMIFS(T_StockCount[CountedQty],T_StockCount[Part Name],$A17,T_StockCount[WeekIndex],62),IF(('T_SelfStock'!BK21&lt;&gt;""),'T_SelfStock'!BK21,BJ17-'Grid_Requirement'!BK17+'Grid_TTAFOutgoing'!BK17))</f>
        <v/>
      </c>
      <c r="BL17">
        <f>IF(COUNTIFS(T_StockCount[Part Name],$A17,T_StockCount[WeekIndex],63)&gt;0,SUMIFS(T_StockCount[CountedQty],T_StockCount[Part Name],$A17,T_StockCount[WeekIndex],63),IF(('T_SelfStock'!BL21&lt;&gt;""),'T_SelfStock'!BL21,BK17-'Grid_Requirement'!BL17+'Grid_TTAFOutgoing'!BL17))</f>
        <v/>
      </c>
      <c r="BM17">
        <f>IF(COUNTIFS(T_StockCount[Part Name],$A17,T_StockCount[WeekIndex],64)&gt;0,SUMIFS(T_StockCount[CountedQty],T_StockCount[Part Name],$A17,T_StockCount[WeekIndex],64),IF(('T_SelfStock'!BM21&lt;&gt;""),'T_SelfStock'!BM21,BL17-'Grid_Requirement'!BM17+'Grid_TTAFOutgoing'!BM17))</f>
        <v/>
      </c>
      <c r="BN17">
        <f>IF(COUNTIFS(T_StockCount[Part Name],$A17,T_StockCount[WeekIndex],65)&gt;0,SUMIFS(T_StockCount[CountedQty],T_StockCount[Part Name],$A17,T_StockCount[WeekIndex],65),IF(('T_SelfStock'!BN21&lt;&gt;""),'T_SelfStock'!BN21,BM17-'Grid_Requirement'!BN17+'Grid_TTAFOutgoing'!BN17))</f>
        <v/>
      </c>
      <c r="BO17">
        <f>IF(COUNTIFS(T_StockCount[Part Name],$A17,T_StockCount[WeekIndex],66)&gt;0,SUMIFS(T_StockCount[CountedQty],T_StockCount[Part Name],$A17,T_StockCount[WeekIndex],66),IF(('T_SelfStock'!BO21&lt;&gt;""),'T_SelfStock'!BO21,BN17-'Grid_Requirement'!BO17+'Grid_TTAFOutgoing'!BO17))</f>
        <v/>
      </c>
      <c r="BP17">
        <f>IF(COUNTIFS(T_StockCount[Part Name],$A17,T_StockCount[WeekIndex],67)&gt;0,SUMIFS(T_StockCount[CountedQty],T_StockCount[Part Name],$A17,T_StockCount[WeekIndex],67),IF(('T_SelfStock'!BP21&lt;&gt;""),'T_SelfStock'!BP21,BO17-'Grid_Requirement'!BP17+'Grid_TTAFOutgoing'!BP17))</f>
        <v/>
      </c>
      <c r="BQ17">
        <f>IF(COUNTIFS(T_StockCount[Part Name],$A17,T_StockCount[WeekIndex],68)&gt;0,SUMIFS(T_StockCount[CountedQty],T_StockCount[Part Name],$A17,T_StockCount[WeekIndex],68),IF(('T_SelfStock'!BQ21&lt;&gt;""),'T_SelfStock'!BQ21,BP17-'Grid_Requirement'!BQ17+'Grid_TTAFOutgoing'!BQ17))</f>
        <v/>
      </c>
      <c r="BR17">
        <f>IF(COUNTIFS(T_StockCount[Part Name],$A17,T_StockCount[WeekIndex],69)&gt;0,SUMIFS(T_StockCount[CountedQty],T_StockCount[Part Name],$A17,T_StockCount[WeekIndex],69),IF(('T_SelfStock'!BR21&lt;&gt;""),'T_SelfStock'!BR21,BQ17-'Grid_Requirement'!BR17+'Grid_TTAFOutgoing'!BR17))</f>
        <v/>
      </c>
      <c r="BS17">
        <f>IF(COUNTIFS(T_StockCount[Part Name],$A17,T_StockCount[WeekIndex],70)&gt;0,SUMIFS(T_StockCount[CountedQty],T_StockCount[Part Name],$A17,T_StockCount[WeekIndex],70),IF(('T_SelfStock'!BS21&lt;&gt;""),'T_SelfStock'!BS21,BR17-'Grid_Requirement'!BS17+'Grid_TTAFOutgoing'!BS17))</f>
        <v/>
      </c>
      <c r="BT17">
        <f>IF(COUNTIFS(T_StockCount[Part Name],$A17,T_StockCount[WeekIndex],71)&gt;0,SUMIFS(T_StockCount[CountedQty],T_StockCount[Part Name],$A17,T_StockCount[WeekIndex],71),IF(('T_SelfStock'!BT21&lt;&gt;""),'T_SelfStock'!BT21,BS17-'Grid_Requirement'!BT17+'Grid_TTAFOutgoing'!BT17))</f>
        <v/>
      </c>
      <c r="BU17">
        <f>IF(COUNTIFS(T_StockCount[Part Name],$A17,T_StockCount[WeekIndex],72)&gt;0,SUMIFS(T_StockCount[CountedQty],T_StockCount[Part Name],$A17,T_StockCount[WeekIndex],72),IF(('T_SelfStock'!BU21&lt;&gt;""),'T_SelfStock'!BU21,BT17-'Grid_Requirement'!BU17+'Grid_TTAFOutgoing'!BU17))</f>
        <v/>
      </c>
      <c r="BV17">
        <f>IF(COUNTIFS(T_StockCount[Part Name],$A17,T_StockCount[WeekIndex],73)&gt;0,SUMIFS(T_StockCount[CountedQty],T_StockCount[Part Name],$A17,T_StockCount[WeekIndex],73),IF(('T_SelfStock'!BV21&lt;&gt;""),'T_SelfStock'!BV21,BU17-'Grid_Requirement'!BV17+'Grid_TTAFOutgoing'!BV17))</f>
        <v/>
      </c>
      <c r="BW17">
        <f>IF(COUNTIFS(T_StockCount[Part Name],$A17,T_StockCount[WeekIndex],74)&gt;0,SUMIFS(T_StockCount[CountedQty],T_StockCount[Part Name],$A17,T_StockCount[WeekIndex],74),IF(('T_SelfStock'!BW21&lt;&gt;""),'T_SelfStock'!BW21,BV17-'Grid_Requirement'!BW17+'Grid_TTAFOutgoing'!BW17))</f>
        <v/>
      </c>
      <c r="BX17">
        <f>IF(COUNTIFS(T_StockCount[Part Name],$A17,T_StockCount[WeekIndex],75)&gt;0,SUMIFS(T_StockCount[CountedQty],T_StockCount[Part Name],$A17,T_StockCount[WeekIndex],75),IF(('T_SelfStock'!BX21&lt;&gt;""),'T_SelfStock'!BX21,BW17-'Grid_Requirement'!BX17+'Grid_TTAFOutgoing'!BX17))</f>
        <v/>
      </c>
      <c r="BY17">
        <f>IF(COUNTIFS(T_StockCount[Part Name],$A17,T_StockCount[WeekIndex],76)&gt;0,SUMIFS(T_StockCount[CountedQty],T_StockCount[Part Name],$A17,T_StockCount[WeekIndex],76),IF(('T_SelfStock'!BY21&lt;&gt;""),'T_SelfStock'!BY21,BX17-'Grid_Requirement'!BY17+'Grid_TTAFOutgoing'!BY17))</f>
        <v/>
      </c>
      <c r="BZ17">
        <f>IF(COUNTIFS(T_StockCount[Part Name],$A17,T_StockCount[WeekIndex],77)&gt;0,SUMIFS(T_StockCount[CountedQty],T_StockCount[Part Name],$A17,T_StockCount[WeekIndex],77),IF(('T_SelfStock'!BZ21&lt;&gt;""),'T_SelfStock'!BZ21,BY17-'Grid_Requirement'!BZ17+'Grid_TTAFOutgoing'!BZ17))</f>
        <v/>
      </c>
      <c r="CA17">
        <f>IF(COUNTIFS(T_StockCount[Part Name],$A17,T_StockCount[WeekIndex],78)&gt;0,SUMIFS(T_StockCount[CountedQty],T_StockCount[Part Name],$A17,T_StockCount[WeekIndex],78),IF(('T_SelfStock'!CA21&lt;&gt;""),'T_SelfStock'!CA21,BZ17-'Grid_Requirement'!CA17+'Grid_TTAFOutgoing'!CA17))</f>
        <v/>
      </c>
      <c r="CB17">
        <f>IF(COUNTIFS(T_StockCount[Part Name],$A17,T_StockCount[WeekIndex],79)&gt;0,SUMIFS(T_StockCount[CountedQty],T_StockCount[Part Name],$A17,T_StockCount[WeekIndex],79),IF(('T_SelfStock'!CB21&lt;&gt;""),'T_SelfStock'!CB21,CA17-'Grid_Requirement'!CB17+'Grid_TTAFOutgoing'!CB17))</f>
        <v/>
      </c>
      <c r="CC17">
        <f>IF(COUNTIFS(T_StockCount[Part Name],$A17,T_StockCount[WeekIndex],80)&gt;0,SUMIFS(T_StockCount[CountedQty],T_StockCount[Part Name],$A17,T_StockCount[WeekIndex],80),IF(('T_SelfStock'!CC21&lt;&gt;""),'T_SelfStock'!CC21,CB17-'Grid_Requirement'!CC17+'Grid_TTAFOutgoing'!CC17))</f>
        <v/>
      </c>
      <c r="CD17">
        <f>IF(COUNTIFS(T_StockCount[Part Name],$A17,T_StockCount[WeekIndex],81)&gt;0,SUMIFS(T_StockCount[CountedQty],T_StockCount[Part Name],$A17,T_StockCount[WeekIndex],81),IF(('T_SelfStock'!CD21&lt;&gt;""),'T_SelfStock'!CD21,CC17-'Grid_Requirement'!CD17+'Grid_TTAFOutgoing'!CD17))</f>
        <v/>
      </c>
      <c r="CE17">
        <f>IF(COUNTIFS(T_StockCount[Part Name],$A17,T_StockCount[WeekIndex],82)&gt;0,SUMIFS(T_StockCount[CountedQty],T_StockCount[Part Name],$A17,T_StockCount[WeekIndex],82),IF(('T_SelfStock'!CE21&lt;&gt;""),'T_SelfStock'!CE21,CD17-'Grid_Requirement'!CE17+'Grid_TTAFOutgoing'!CE17))</f>
        <v/>
      </c>
      <c r="CF17">
        <f>IF(COUNTIFS(T_StockCount[Part Name],$A17,T_StockCount[WeekIndex],83)&gt;0,SUMIFS(T_StockCount[CountedQty],T_StockCount[Part Name],$A17,T_StockCount[WeekIndex],83),IF(('T_SelfStock'!CF21&lt;&gt;""),'T_SelfStock'!CF21,CE17-'Grid_Requirement'!CF17+'Grid_TTAFOutgoing'!CF17))</f>
        <v/>
      </c>
      <c r="CG17">
        <f>IF(COUNTIFS(T_StockCount[Part Name],$A17,T_StockCount[WeekIndex],84)&gt;0,SUMIFS(T_StockCount[CountedQty],T_StockCount[Part Name],$A17,T_StockCount[WeekIndex],84),IF(('T_SelfStock'!CG21&lt;&gt;""),'T_SelfStock'!CG21,CF17-'Grid_Requirement'!CG17+'Grid_TTAFOutgoing'!CG17))</f>
        <v/>
      </c>
      <c r="CH17">
        <f>IF(COUNTIFS(T_StockCount[Part Name],$A17,T_StockCount[WeekIndex],85)&gt;0,SUMIFS(T_StockCount[CountedQty],T_StockCount[Part Name],$A17,T_StockCount[WeekIndex],85),IF(('T_SelfStock'!CH21&lt;&gt;""),'T_SelfStock'!CH21,CG17-'Grid_Requirement'!CH17+'Grid_TTAFOutgoing'!CH17))</f>
        <v/>
      </c>
      <c r="CI17">
        <f>IF(COUNTIFS(T_StockCount[Part Name],$A17,T_StockCount[WeekIndex],86)&gt;0,SUMIFS(T_StockCount[CountedQty],T_StockCount[Part Name],$A17,T_StockCount[WeekIndex],86),IF(('T_SelfStock'!CI21&lt;&gt;""),'T_SelfStock'!CI21,CH17-'Grid_Requirement'!CI17+'Grid_TTAFOutgoing'!CI17))</f>
        <v/>
      </c>
      <c r="CJ17">
        <f>IF(COUNTIFS(T_StockCount[Part Name],$A17,T_StockCount[WeekIndex],87)&gt;0,SUMIFS(T_StockCount[CountedQty],T_StockCount[Part Name],$A17,T_StockCount[WeekIndex],87),IF(('T_SelfStock'!CJ21&lt;&gt;""),'T_SelfStock'!CJ21,CI17-'Grid_Requirement'!CJ17+'Grid_TTAFOutgoing'!CJ17))</f>
        <v/>
      </c>
      <c r="CK17">
        <f>IF(COUNTIFS(T_StockCount[Part Name],$A17,T_StockCount[WeekIndex],88)&gt;0,SUMIFS(T_StockCount[CountedQty],T_StockCount[Part Name],$A17,T_StockCount[WeekIndex],88),IF(('T_SelfStock'!CK21&lt;&gt;""),'T_SelfStock'!CK21,CJ17-'Grid_Requirement'!CK17+'Grid_TTAFOutgoing'!CK17))</f>
        <v/>
      </c>
      <c r="CL17">
        <f>IF(COUNTIFS(T_StockCount[Part Name],$A17,T_StockCount[WeekIndex],89)&gt;0,SUMIFS(T_StockCount[CountedQty],T_StockCount[Part Name],$A17,T_StockCount[WeekIndex],89),IF(('T_SelfStock'!CL21&lt;&gt;""),'T_SelfStock'!CL21,CK17-'Grid_Requirement'!CL17+'Grid_TTAFOutgoing'!CL17))</f>
        <v/>
      </c>
      <c r="CM17">
        <f>IF(COUNTIFS(T_StockCount[Part Name],$A17,T_StockCount[WeekIndex],90)&gt;0,SUMIFS(T_StockCount[CountedQty],T_StockCount[Part Name],$A17,T_StockCount[WeekIndex],90),IF(('T_SelfStock'!CM21&lt;&gt;""),'T_SelfStock'!CM21,CL17-'Grid_Requirement'!CM17+'Grid_TTAFOutgoing'!CM17))</f>
        <v/>
      </c>
      <c r="CN17">
        <f>IF(COUNTIFS(T_StockCount[Part Name],$A17,T_StockCount[WeekIndex],91)&gt;0,SUMIFS(T_StockCount[CountedQty],T_StockCount[Part Name],$A17,T_StockCount[WeekIndex],91),IF(('T_SelfStock'!CN21&lt;&gt;""),'T_SelfStock'!CN21,CM17-'Grid_Requirement'!CN17+'Grid_TTAFOutgoing'!CN17))</f>
        <v/>
      </c>
      <c r="CO17">
        <f>IF(COUNTIFS(T_StockCount[Part Name],$A17,T_StockCount[WeekIndex],92)&gt;0,SUMIFS(T_StockCount[CountedQty],T_StockCount[Part Name],$A17,T_StockCount[WeekIndex],92),IF(('T_SelfStock'!CO21&lt;&gt;""),'T_SelfStock'!CO21,CN17-'Grid_Requirement'!CO17+'Grid_TTAFOutgoing'!CO17))</f>
        <v/>
      </c>
      <c r="CP17">
        <f>IF(COUNTIFS(T_StockCount[Part Name],$A17,T_StockCount[WeekIndex],93)&gt;0,SUMIFS(T_StockCount[CountedQty],T_StockCount[Part Name],$A17,T_StockCount[WeekIndex],93),IF(('T_SelfStock'!CP21&lt;&gt;""),'T_SelfStock'!CP21,CO17-'Grid_Requirement'!CP17+'Grid_TTAFOutgoing'!CP17))</f>
        <v/>
      </c>
      <c r="CQ17">
        <f>IF(COUNTIFS(T_StockCount[Part Name],$A17,T_StockCount[WeekIndex],94)&gt;0,SUMIFS(T_StockCount[CountedQty],T_StockCount[Part Name],$A17,T_StockCount[WeekIndex],94),IF(('T_SelfStock'!CQ21&lt;&gt;""),'T_SelfStock'!CQ21,CP17-'Grid_Requirement'!CQ17+'Grid_TTAFOutgoing'!CQ17))</f>
        <v/>
      </c>
      <c r="CR17">
        <f>IF(COUNTIFS(T_StockCount[Part Name],$A17,T_StockCount[WeekIndex],95)&gt;0,SUMIFS(T_StockCount[CountedQty],T_StockCount[Part Name],$A17,T_StockCount[WeekIndex],95),IF(('T_SelfStock'!CR21&lt;&gt;""),'T_SelfStock'!CR21,CQ17-'Grid_Requirement'!CR17+'Grid_TTAFOutgoing'!CR17))</f>
        <v/>
      </c>
      <c r="CS17">
        <f>IF(COUNTIFS(T_StockCount[Part Name],$A17,T_StockCount[WeekIndex],96)&gt;0,SUMIFS(T_StockCount[CountedQty],T_StockCount[Part Name],$A17,T_StockCount[WeekIndex],96),IF(('T_SelfStock'!CS21&lt;&gt;""),'T_SelfStock'!CS21,CR17-'Grid_Requirement'!CS17+'Grid_TTAFOutgoing'!CS17))</f>
        <v/>
      </c>
      <c r="CT17">
        <f>IF(COUNTIFS(T_StockCount[Part Name],$A17,T_StockCount[WeekIndex],97)&gt;0,SUMIFS(T_StockCount[CountedQty],T_StockCount[Part Name],$A17,T_StockCount[WeekIndex],97),IF(('T_SelfStock'!CT21&lt;&gt;""),'T_SelfStock'!CT21,CS17-'Grid_Requirement'!CT17+'Grid_TTAFOutgoing'!CT17))</f>
        <v/>
      </c>
      <c r="CU17">
        <f>IF(COUNTIFS(T_StockCount[Part Name],$A17,T_StockCount[WeekIndex],98)&gt;0,SUMIFS(T_StockCount[CountedQty],T_StockCount[Part Name],$A17,T_StockCount[WeekIndex],98),IF(('T_SelfStock'!CU21&lt;&gt;""),'T_SelfStock'!CU21,CT17-'Grid_Requirement'!CU17+'Grid_TTAFOutgoing'!CU17))</f>
        <v/>
      </c>
      <c r="CV17">
        <f>IF(COUNTIFS(T_StockCount[Part Name],$A17,T_StockCount[WeekIndex],99)&gt;0,SUMIFS(T_StockCount[CountedQty],T_StockCount[Part Name],$A17,T_StockCount[WeekIndex],99),IF(('T_SelfStock'!CV21&lt;&gt;""),'T_SelfStock'!CV21,CU17-'Grid_Requirement'!CV17+'Grid_TTAFOutgoing'!CV17))</f>
        <v/>
      </c>
      <c r="CW17">
        <f>IF(COUNTIFS(T_StockCount[Part Name],$A17,T_StockCount[WeekIndex],100)&gt;0,SUMIFS(T_StockCount[CountedQty],T_StockCount[Part Name],$A17,T_StockCount[WeekIndex],100),IF(('T_SelfStock'!CW21&lt;&gt;""),'T_SelfStock'!CW21,CV17-'Grid_Requirement'!CW17+'Grid_TTAFOutgoing'!CW17))</f>
        <v/>
      </c>
      <c r="CX17">
        <f>IF(COUNTIFS(T_StockCount[Part Name],$A17,T_StockCount[WeekIndex],101)&gt;0,SUMIFS(T_StockCount[CountedQty],T_StockCount[Part Name],$A17,T_StockCount[WeekIndex],101),IF(('T_SelfStock'!CX21&lt;&gt;""),'T_SelfStock'!CX21,CW17-'Grid_Requirement'!CX17+'Grid_TTAFOutgoing'!CX17))</f>
        <v/>
      </c>
      <c r="CY17">
        <f>IF(COUNTIFS(T_StockCount[Part Name],$A17,T_StockCount[WeekIndex],102)&gt;0,SUMIFS(T_StockCount[CountedQty],T_StockCount[Part Name],$A17,T_StockCount[WeekIndex],102),IF(('T_SelfStock'!CY21&lt;&gt;""),'T_SelfStock'!CY21,CX17-'Grid_Requirement'!CY17+'Grid_TTAFOutgoing'!CY17))</f>
        <v/>
      </c>
      <c r="CZ17">
        <f>IF(COUNTIFS(T_StockCount[Part Name],$A17,T_StockCount[WeekIndex],103)&gt;0,SUMIFS(T_StockCount[CountedQty],T_StockCount[Part Name],$A17,T_StockCount[WeekIndex],103),IF(('T_SelfStock'!CZ21&lt;&gt;""),'T_SelfStock'!CZ21,CY17-'Grid_Requirement'!CZ17+'Grid_TTAFOutgoing'!CZ17))</f>
        <v/>
      </c>
      <c r="DA17">
        <f>IF(COUNTIFS(T_StockCount[Part Name],$A17,T_StockCount[WeekIndex],104)&gt;0,SUMIFS(T_StockCount[CountedQty],T_StockCount[Part Name],$A17,T_StockCount[WeekIndex],104),IF(('T_SelfStock'!DA21&lt;&gt;""),'T_SelfStock'!DA21,CZ17-'Grid_Requirement'!DA17+'Grid_TTAFOutgoing'!DA17))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Name],$A18,T_StockCount[WeekIndex],1),IF(('T_SelfStock'!B22&lt;&gt;""),'T_SelfStock'!B22,IFERROR(INDEX(T_OpeningStock[Opening_Qty],MATCH($A18,T_OpeningStock[Part Name],0)),0)-'Grid_Requirement'!B18+'Grid_TTAFOutgoing'!B18))</f>
        <v/>
      </c>
      <c r="C18">
        <f>IF(COUNTIFS(T_StockCount[Part Name],$A18,T_StockCount[WeekIndex],2)&gt;0,SUMIFS(T_StockCount[CountedQty],T_StockCount[Part Name],$A18,T_StockCount[WeekIndex],2),IF(('T_SelfStock'!C22&lt;&gt;""),'T_SelfStock'!C22,B18-'Grid_Requirement'!C18+'Grid_TTAFOutgoing'!C18))</f>
        <v/>
      </c>
      <c r="D18">
        <f>IF(COUNTIFS(T_StockCount[Part Name],$A18,T_StockCount[WeekIndex],3)&gt;0,SUMIFS(T_StockCount[CountedQty],T_StockCount[Part Name],$A18,T_StockCount[WeekIndex],3),IF(('T_SelfStock'!D22&lt;&gt;""),'T_SelfStock'!D22,C18-'Grid_Requirement'!D18+'Grid_TTAFOutgoing'!D18))</f>
        <v/>
      </c>
      <c r="E18">
        <f>IF(COUNTIFS(T_StockCount[Part Name],$A18,T_StockCount[WeekIndex],4)&gt;0,SUMIFS(T_StockCount[CountedQty],T_StockCount[Part Name],$A18,T_StockCount[WeekIndex],4),IF(('T_SelfStock'!E22&lt;&gt;""),'T_SelfStock'!E22,D18-'Grid_Requirement'!E18+'Grid_TTAFOutgoing'!E18))</f>
        <v/>
      </c>
      <c r="F18">
        <f>IF(COUNTIFS(T_StockCount[Part Name],$A18,T_StockCount[WeekIndex],5)&gt;0,SUMIFS(T_StockCount[CountedQty],T_StockCount[Part Name],$A18,T_StockCount[WeekIndex],5),IF(('T_SelfStock'!F22&lt;&gt;""),'T_SelfStock'!F22,E18-'Grid_Requirement'!F18+'Grid_TTAFOutgoing'!F18))</f>
        <v/>
      </c>
      <c r="G18">
        <f>IF(COUNTIFS(T_StockCount[Part Name],$A18,T_StockCount[WeekIndex],6)&gt;0,SUMIFS(T_StockCount[CountedQty],T_StockCount[Part Name],$A18,T_StockCount[WeekIndex],6),IF(('T_SelfStock'!G22&lt;&gt;""),'T_SelfStock'!G22,F18-'Grid_Requirement'!G18+'Grid_TTAFOutgoing'!G18))</f>
        <v/>
      </c>
      <c r="H18">
        <f>IF(COUNTIFS(T_StockCount[Part Name],$A18,T_StockCount[WeekIndex],7)&gt;0,SUMIFS(T_StockCount[CountedQty],T_StockCount[Part Name],$A18,T_StockCount[WeekIndex],7),IF(('T_SelfStock'!H22&lt;&gt;""),'T_SelfStock'!H22,G18-'Grid_Requirement'!H18+'Grid_TTAFOutgoing'!H18))</f>
        <v/>
      </c>
      <c r="I18">
        <f>IF(COUNTIFS(T_StockCount[Part Name],$A18,T_StockCount[WeekIndex],8)&gt;0,SUMIFS(T_StockCount[CountedQty],T_StockCount[Part Name],$A18,T_StockCount[WeekIndex],8),IF(('T_SelfStock'!I22&lt;&gt;""),'T_SelfStock'!I22,H18-'Grid_Requirement'!I18+'Grid_TTAFOutgoing'!I18))</f>
        <v/>
      </c>
      <c r="J18">
        <f>IF(COUNTIFS(T_StockCount[Part Name],$A18,T_StockCount[WeekIndex],9)&gt;0,SUMIFS(T_StockCount[CountedQty],T_StockCount[Part Name],$A18,T_StockCount[WeekIndex],9),IF(('T_SelfStock'!J22&lt;&gt;""),'T_SelfStock'!J22,I18-'Grid_Requirement'!J18+'Grid_TTAFOutgoing'!J18))</f>
        <v/>
      </c>
      <c r="K18">
        <f>IF(COUNTIFS(T_StockCount[Part Name],$A18,T_StockCount[WeekIndex],10)&gt;0,SUMIFS(T_StockCount[CountedQty],T_StockCount[Part Name],$A18,T_StockCount[WeekIndex],10),IF(('T_SelfStock'!K22&lt;&gt;""),'T_SelfStock'!K22,J18-'Grid_Requirement'!K18+'Grid_TTAFOutgoing'!K18))</f>
        <v/>
      </c>
      <c r="L18">
        <f>IF(COUNTIFS(T_StockCount[Part Name],$A18,T_StockCount[WeekIndex],11)&gt;0,SUMIFS(T_StockCount[CountedQty],T_StockCount[Part Name],$A18,T_StockCount[WeekIndex],11),IF(('T_SelfStock'!L22&lt;&gt;""),'T_SelfStock'!L22,K18-'Grid_Requirement'!L18+'Grid_TTAFOutgoing'!L18))</f>
        <v/>
      </c>
      <c r="M18">
        <f>IF(COUNTIFS(T_StockCount[Part Name],$A18,T_StockCount[WeekIndex],12)&gt;0,SUMIFS(T_StockCount[CountedQty],T_StockCount[Part Name],$A18,T_StockCount[WeekIndex],12),IF(('T_SelfStock'!M22&lt;&gt;""),'T_SelfStock'!M22,L18-'Grid_Requirement'!M18+'Grid_TTAFOutgoing'!M18))</f>
        <v/>
      </c>
      <c r="N18">
        <f>IF(COUNTIFS(T_StockCount[Part Name],$A18,T_StockCount[WeekIndex],13)&gt;0,SUMIFS(T_StockCount[CountedQty],T_StockCount[Part Name],$A18,T_StockCount[WeekIndex],13),IF(('T_SelfStock'!N22&lt;&gt;""),'T_SelfStock'!N22,M18-'Grid_Requirement'!N18+'Grid_TTAFOutgoing'!N18))</f>
        <v/>
      </c>
      <c r="O18">
        <f>IF(COUNTIFS(T_StockCount[Part Name],$A18,T_StockCount[WeekIndex],14)&gt;0,SUMIFS(T_StockCount[CountedQty],T_StockCount[Part Name],$A18,T_StockCount[WeekIndex],14),IF(('T_SelfStock'!O22&lt;&gt;""),'T_SelfStock'!O22,N18-'Grid_Requirement'!O18+'Grid_TTAFOutgoing'!O18))</f>
        <v/>
      </c>
      <c r="P18">
        <f>IF(COUNTIFS(T_StockCount[Part Name],$A18,T_StockCount[WeekIndex],15)&gt;0,SUMIFS(T_StockCount[CountedQty],T_StockCount[Part Name],$A18,T_StockCount[WeekIndex],15),IF(('T_SelfStock'!P22&lt;&gt;""),'T_SelfStock'!P22,O18-'Grid_Requirement'!P18+'Grid_TTAFOutgoing'!P18))</f>
        <v/>
      </c>
      <c r="Q18">
        <f>IF(COUNTIFS(T_StockCount[Part Name],$A18,T_StockCount[WeekIndex],16)&gt;0,SUMIFS(T_StockCount[CountedQty],T_StockCount[Part Name],$A18,T_StockCount[WeekIndex],16),IF(('T_SelfStock'!Q22&lt;&gt;""),'T_SelfStock'!Q22,P18-'Grid_Requirement'!Q18+'Grid_TTAFOutgoing'!Q18))</f>
        <v/>
      </c>
      <c r="R18">
        <f>IF(COUNTIFS(T_StockCount[Part Name],$A18,T_StockCount[WeekIndex],17)&gt;0,SUMIFS(T_StockCount[CountedQty],T_StockCount[Part Name],$A18,T_StockCount[WeekIndex],17),IF(('T_SelfStock'!R22&lt;&gt;""),'T_SelfStock'!R22,Q18-'Grid_Requirement'!R18+'Grid_TTAFOutgoing'!R18))</f>
        <v/>
      </c>
      <c r="S18">
        <f>IF(COUNTIFS(T_StockCount[Part Name],$A18,T_StockCount[WeekIndex],18)&gt;0,SUMIFS(T_StockCount[CountedQty],T_StockCount[Part Name],$A18,T_StockCount[WeekIndex],18),IF(('T_SelfStock'!S22&lt;&gt;""),'T_SelfStock'!S22,R18-'Grid_Requirement'!S18+'Grid_TTAFOutgoing'!S18))</f>
        <v/>
      </c>
      <c r="T18">
        <f>IF(COUNTIFS(T_StockCount[Part Name],$A18,T_StockCount[WeekIndex],19)&gt;0,SUMIFS(T_StockCount[CountedQty],T_StockCount[Part Name],$A18,T_StockCount[WeekIndex],19),IF(('T_SelfStock'!T22&lt;&gt;""),'T_SelfStock'!T22,S18-'Grid_Requirement'!T18+'Grid_TTAFOutgoing'!T18))</f>
        <v/>
      </c>
      <c r="U18">
        <f>IF(COUNTIFS(T_StockCount[Part Name],$A18,T_StockCount[WeekIndex],20)&gt;0,SUMIFS(T_StockCount[CountedQty],T_StockCount[Part Name],$A18,T_StockCount[WeekIndex],20),IF(('T_SelfStock'!U22&lt;&gt;""),'T_SelfStock'!U22,T18-'Grid_Requirement'!U18+'Grid_TTAFOutgoing'!U18))</f>
        <v/>
      </c>
      <c r="V18">
        <f>IF(COUNTIFS(T_StockCount[Part Name],$A18,T_StockCount[WeekIndex],21)&gt;0,SUMIFS(T_StockCount[CountedQty],T_StockCount[Part Name],$A18,T_StockCount[WeekIndex],21),IF(('T_SelfStock'!V22&lt;&gt;""),'T_SelfStock'!V22,U18-'Grid_Requirement'!V18+'Grid_TTAFOutgoing'!V18))</f>
        <v/>
      </c>
      <c r="W18">
        <f>IF(COUNTIFS(T_StockCount[Part Name],$A18,T_StockCount[WeekIndex],22)&gt;0,SUMIFS(T_StockCount[CountedQty],T_StockCount[Part Name],$A18,T_StockCount[WeekIndex],22),IF(('T_SelfStock'!W22&lt;&gt;""),'T_SelfStock'!W22,V18-'Grid_Requirement'!W18+'Grid_TTAFOutgoing'!W18))</f>
        <v/>
      </c>
      <c r="X18">
        <f>IF(COUNTIFS(T_StockCount[Part Name],$A18,T_StockCount[WeekIndex],23)&gt;0,SUMIFS(T_StockCount[CountedQty],T_StockCount[Part Name],$A18,T_StockCount[WeekIndex],23),IF(('T_SelfStock'!X22&lt;&gt;""),'T_SelfStock'!X22,W18-'Grid_Requirement'!X18+'Grid_TTAFOutgoing'!X18))</f>
        <v/>
      </c>
      <c r="Y18">
        <f>IF(COUNTIFS(T_StockCount[Part Name],$A18,T_StockCount[WeekIndex],24)&gt;0,SUMIFS(T_StockCount[CountedQty],T_StockCount[Part Name],$A18,T_StockCount[WeekIndex],24),IF(('T_SelfStock'!Y22&lt;&gt;""),'T_SelfStock'!Y22,X18-'Grid_Requirement'!Y18+'Grid_TTAFOutgoing'!Y18))</f>
        <v/>
      </c>
      <c r="Z18">
        <f>IF(COUNTIFS(T_StockCount[Part Name],$A18,T_StockCount[WeekIndex],25)&gt;0,SUMIFS(T_StockCount[CountedQty],T_StockCount[Part Name],$A18,T_StockCount[WeekIndex],25),IF(('T_SelfStock'!Z22&lt;&gt;""),'T_SelfStock'!Z22,Y18-'Grid_Requirement'!Z18+'Grid_TTAFOutgoing'!Z18))</f>
        <v/>
      </c>
      <c r="AA18">
        <f>IF(COUNTIFS(T_StockCount[Part Name],$A18,T_StockCount[WeekIndex],26)&gt;0,SUMIFS(T_StockCount[CountedQty],T_StockCount[Part Name],$A18,T_StockCount[WeekIndex],26),IF(('T_SelfStock'!AA22&lt;&gt;""),'T_SelfStock'!AA22,Z18-'Grid_Requirement'!AA18+'Grid_TTAFOutgoing'!AA18))</f>
        <v/>
      </c>
      <c r="AB18">
        <f>IF(COUNTIFS(T_StockCount[Part Name],$A18,T_StockCount[WeekIndex],27)&gt;0,SUMIFS(T_StockCount[CountedQty],T_StockCount[Part Name],$A18,T_StockCount[WeekIndex],27),IF(('T_SelfStock'!AB22&lt;&gt;""),'T_SelfStock'!AB22,AA18-'Grid_Requirement'!AB18+'Grid_TTAFOutgoing'!AB18))</f>
        <v/>
      </c>
      <c r="AC18">
        <f>IF(COUNTIFS(T_StockCount[Part Name],$A18,T_StockCount[WeekIndex],28)&gt;0,SUMIFS(T_StockCount[CountedQty],T_StockCount[Part Name],$A18,T_StockCount[WeekIndex],28),IF(('T_SelfStock'!AC22&lt;&gt;""),'T_SelfStock'!AC22,AB18-'Grid_Requirement'!AC18+'Grid_TTAFOutgoing'!AC18))</f>
        <v/>
      </c>
      <c r="AD18">
        <f>IF(COUNTIFS(T_StockCount[Part Name],$A18,T_StockCount[WeekIndex],29)&gt;0,SUMIFS(T_StockCount[CountedQty],T_StockCount[Part Name],$A18,T_StockCount[WeekIndex],29),IF(('T_SelfStock'!AD22&lt;&gt;""),'T_SelfStock'!AD22,AC18-'Grid_Requirement'!AD18+'Grid_TTAFOutgoing'!AD18))</f>
        <v/>
      </c>
      <c r="AE18">
        <f>IF(COUNTIFS(T_StockCount[Part Name],$A18,T_StockCount[WeekIndex],30)&gt;0,SUMIFS(T_StockCount[CountedQty],T_StockCount[Part Name],$A18,T_StockCount[WeekIndex],30),IF(('T_SelfStock'!AE22&lt;&gt;""),'T_SelfStock'!AE22,AD18-'Grid_Requirement'!AE18+'Grid_TTAFOutgoing'!AE18))</f>
        <v/>
      </c>
      <c r="AF18">
        <f>IF(COUNTIFS(T_StockCount[Part Name],$A18,T_StockCount[WeekIndex],31)&gt;0,SUMIFS(T_StockCount[CountedQty],T_StockCount[Part Name],$A18,T_StockCount[WeekIndex],31),IF(('T_SelfStock'!AF22&lt;&gt;""),'T_SelfStock'!AF22,AE18-'Grid_Requirement'!AF18+'Grid_TTAFOutgoing'!AF18))</f>
        <v/>
      </c>
      <c r="AG18">
        <f>IF(COUNTIFS(T_StockCount[Part Name],$A18,T_StockCount[WeekIndex],32)&gt;0,SUMIFS(T_StockCount[CountedQty],T_StockCount[Part Name],$A18,T_StockCount[WeekIndex],32),IF(('T_SelfStock'!AG22&lt;&gt;""),'T_SelfStock'!AG22,AF18-'Grid_Requirement'!AG18+'Grid_TTAFOutgoing'!AG18))</f>
        <v/>
      </c>
      <c r="AH18">
        <f>IF(COUNTIFS(T_StockCount[Part Name],$A18,T_StockCount[WeekIndex],33)&gt;0,SUMIFS(T_StockCount[CountedQty],T_StockCount[Part Name],$A18,T_StockCount[WeekIndex],33),IF(('T_SelfStock'!AH22&lt;&gt;""),'T_SelfStock'!AH22,AG18-'Grid_Requirement'!AH18+'Grid_TTAFOutgoing'!AH18))</f>
        <v/>
      </c>
      <c r="AI18">
        <f>IF(COUNTIFS(T_StockCount[Part Name],$A18,T_StockCount[WeekIndex],34)&gt;0,SUMIFS(T_StockCount[CountedQty],T_StockCount[Part Name],$A18,T_StockCount[WeekIndex],34),IF(('T_SelfStock'!AI22&lt;&gt;""),'T_SelfStock'!AI22,AH18-'Grid_Requirement'!AI18+'Grid_TTAFOutgoing'!AI18))</f>
        <v/>
      </c>
      <c r="AJ18">
        <f>IF(COUNTIFS(T_StockCount[Part Name],$A18,T_StockCount[WeekIndex],35)&gt;0,SUMIFS(T_StockCount[CountedQty],T_StockCount[Part Name],$A18,T_StockCount[WeekIndex],35),IF(('T_SelfStock'!AJ22&lt;&gt;""),'T_SelfStock'!AJ22,AI18-'Grid_Requirement'!AJ18+'Grid_TTAFOutgoing'!AJ18))</f>
        <v/>
      </c>
      <c r="AK18">
        <f>IF(COUNTIFS(T_StockCount[Part Name],$A18,T_StockCount[WeekIndex],36)&gt;0,SUMIFS(T_StockCount[CountedQty],T_StockCount[Part Name],$A18,T_StockCount[WeekIndex],36),IF(('T_SelfStock'!AK22&lt;&gt;""),'T_SelfStock'!AK22,AJ18-'Grid_Requirement'!AK18+'Grid_TTAFOutgoing'!AK18))</f>
        <v/>
      </c>
      <c r="AL18">
        <f>IF(COUNTIFS(T_StockCount[Part Name],$A18,T_StockCount[WeekIndex],37)&gt;0,SUMIFS(T_StockCount[CountedQty],T_StockCount[Part Name],$A18,T_StockCount[WeekIndex],37),IF(('T_SelfStock'!AL22&lt;&gt;""),'T_SelfStock'!AL22,AK18-'Grid_Requirement'!AL18+'Grid_TTAFOutgoing'!AL18))</f>
        <v/>
      </c>
      <c r="AM18">
        <f>IF(COUNTIFS(T_StockCount[Part Name],$A18,T_StockCount[WeekIndex],38)&gt;0,SUMIFS(T_StockCount[CountedQty],T_StockCount[Part Name],$A18,T_StockCount[WeekIndex],38),IF(('T_SelfStock'!AM22&lt;&gt;""),'T_SelfStock'!AM22,AL18-'Grid_Requirement'!AM18+'Grid_TTAFOutgoing'!AM18))</f>
        <v/>
      </c>
      <c r="AN18">
        <f>IF(COUNTIFS(T_StockCount[Part Name],$A18,T_StockCount[WeekIndex],39)&gt;0,SUMIFS(T_StockCount[CountedQty],T_StockCount[Part Name],$A18,T_StockCount[WeekIndex],39),IF(('T_SelfStock'!AN22&lt;&gt;""),'T_SelfStock'!AN22,AM18-'Grid_Requirement'!AN18+'Grid_TTAFOutgoing'!AN18))</f>
        <v/>
      </c>
      <c r="AO18">
        <f>IF(COUNTIFS(T_StockCount[Part Name],$A18,T_StockCount[WeekIndex],40)&gt;0,SUMIFS(T_StockCount[CountedQty],T_StockCount[Part Name],$A18,T_StockCount[WeekIndex],40),IF(('T_SelfStock'!AO22&lt;&gt;""),'T_SelfStock'!AO22,AN18-'Grid_Requirement'!AO18+'Grid_TTAFOutgoing'!AO18))</f>
        <v/>
      </c>
      <c r="AP18">
        <f>IF(COUNTIFS(T_StockCount[Part Name],$A18,T_StockCount[WeekIndex],41)&gt;0,SUMIFS(T_StockCount[CountedQty],T_StockCount[Part Name],$A18,T_StockCount[WeekIndex],41),IF(('T_SelfStock'!AP22&lt;&gt;""),'T_SelfStock'!AP22,AO18-'Grid_Requirement'!AP18+'Grid_TTAFOutgoing'!AP18))</f>
        <v/>
      </c>
      <c r="AQ18">
        <f>IF(COUNTIFS(T_StockCount[Part Name],$A18,T_StockCount[WeekIndex],42)&gt;0,SUMIFS(T_StockCount[CountedQty],T_StockCount[Part Name],$A18,T_StockCount[WeekIndex],42),IF(('T_SelfStock'!AQ22&lt;&gt;""),'T_SelfStock'!AQ22,AP18-'Grid_Requirement'!AQ18+'Grid_TTAFOutgoing'!AQ18))</f>
        <v/>
      </c>
      <c r="AR18">
        <f>IF(COUNTIFS(T_StockCount[Part Name],$A18,T_StockCount[WeekIndex],43)&gt;0,SUMIFS(T_StockCount[CountedQty],T_StockCount[Part Name],$A18,T_StockCount[WeekIndex],43),IF(('T_SelfStock'!AR22&lt;&gt;""),'T_SelfStock'!AR22,AQ18-'Grid_Requirement'!AR18+'Grid_TTAFOutgoing'!AR18))</f>
        <v/>
      </c>
      <c r="AS18">
        <f>IF(COUNTIFS(T_StockCount[Part Name],$A18,T_StockCount[WeekIndex],44)&gt;0,SUMIFS(T_StockCount[CountedQty],T_StockCount[Part Name],$A18,T_StockCount[WeekIndex],44),IF(('T_SelfStock'!AS22&lt;&gt;""),'T_SelfStock'!AS22,AR18-'Grid_Requirement'!AS18+'Grid_TTAFOutgoing'!AS18))</f>
        <v/>
      </c>
      <c r="AT18">
        <f>IF(COUNTIFS(T_StockCount[Part Name],$A18,T_StockCount[WeekIndex],45)&gt;0,SUMIFS(T_StockCount[CountedQty],T_StockCount[Part Name],$A18,T_StockCount[WeekIndex],45),IF(('T_SelfStock'!AT22&lt;&gt;""),'T_SelfStock'!AT22,AS18-'Grid_Requirement'!AT18+'Grid_TTAFOutgoing'!AT18))</f>
        <v/>
      </c>
      <c r="AU18">
        <f>IF(COUNTIFS(T_StockCount[Part Name],$A18,T_StockCount[WeekIndex],46)&gt;0,SUMIFS(T_StockCount[CountedQty],T_StockCount[Part Name],$A18,T_StockCount[WeekIndex],46),IF(('T_SelfStock'!AU22&lt;&gt;""),'T_SelfStock'!AU22,AT18-'Grid_Requirement'!AU18+'Grid_TTAFOutgoing'!AU18))</f>
        <v/>
      </c>
      <c r="AV18">
        <f>IF(COUNTIFS(T_StockCount[Part Name],$A18,T_StockCount[WeekIndex],47)&gt;0,SUMIFS(T_StockCount[CountedQty],T_StockCount[Part Name],$A18,T_StockCount[WeekIndex],47),IF(('T_SelfStock'!AV22&lt;&gt;""),'T_SelfStock'!AV22,AU18-'Grid_Requirement'!AV18+'Grid_TTAFOutgoing'!AV18))</f>
        <v/>
      </c>
      <c r="AW18">
        <f>IF(COUNTIFS(T_StockCount[Part Name],$A18,T_StockCount[WeekIndex],48)&gt;0,SUMIFS(T_StockCount[CountedQty],T_StockCount[Part Name],$A18,T_StockCount[WeekIndex],48),IF(('T_SelfStock'!AW22&lt;&gt;""),'T_SelfStock'!AW22,AV18-'Grid_Requirement'!AW18+'Grid_TTAFOutgoing'!AW18))</f>
        <v/>
      </c>
      <c r="AX18">
        <f>IF(COUNTIFS(T_StockCount[Part Name],$A18,T_StockCount[WeekIndex],49)&gt;0,SUMIFS(T_StockCount[CountedQty],T_StockCount[Part Name],$A18,T_StockCount[WeekIndex],49),IF(('T_SelfStock'!AX22&lt;&gt;""),'T_SelfStock'!AX22,AW18-'Grid_Requirement'!AX18+'Grid_TTAFOutgoing'!AX18))</f>
        <v/>
      </c>
      <c r="AY18">
        <f>IF(COUNTIFS(T_StockCount[Part Name],$A18,T_StockCount[WeekIndex],50)&gt;0,SUMIFS(T_StockCount[CountedQty],T_StockCount[Part Name],$A18,T_StockCount[WeekIndex],50),IF(('T_SelfStock'!AY22&lt;&gt;""),'T_SelfStock'!AY22,AX18-'Grid_Requirement'!AY18+'Grid_TTAFOutgoing'!AY18))</f>
        <v/>
      </c>
      <c r="AZ18">
        <f>IF(COUNTIFS(T_StockCount[Part Name],$A18,T_StockCount[WeekIndex],51)&gt;0,SUMIFS(T_StockCount[CountedQty],T_StockCount[Part Name],$A18,T_StockCount[WeekIndex],51),IF(('T_SelfStock'!AZ22&lt;&gt;""),'T_SelfStock'!AZ22,AY18-'Grid_Requirement'!AZ18+'Grid_TTAFOutgoing'!AZ18))</f>
        <v/>
      </c>
      <c r="BA18">
        <f>IF(COUNTIFS(T_StockCount[Part Name],$A18,T_StockCount[WeekIndex],52)&gt;0,SUMIFS(T_StockCount[CountedQty],T_StockCount[Part Name],$A18,T_StockCount[WeekIndex],52),IF(('T_SelfStock'!BA22&lt;&gt;""),'T_SelfStock'!BA22,AZ18-'Grid_Requirement'!BA18+'Grid_TTAFOutgoing'!BA18))</f>
        <v/>
      </c>
      <c r="BB18">
        <f>IF(COUNTIFS(T_StockCount[Part Name],$A18,T_StockCount[WeekIndex],53)&gt;0,SUMIFS(T_StockCount[CountedQty],T_StockCount[Part Name],$A18,T_StockCount[WeekIndex],53),IF(('T_SelfStock'!BB22&lt;&gt;""),'T_SelfStock'!BB22,BA18-'Grid_Requirement'!BB18+'Grid_TTAFOutgoing'!BB18))</f>
        <v/>
      </c>
      <c r="BC18">
        <f>IF(COUNTIFS(T_StockCount[Part Name],$A18,T_StockCount[WeekIndex],54)&gt;0,SUMIFS(T_StockCount[CountedQty],T_StockCount[Part Name],$A18,T_StockCount[WeekIndex],54),IF(('T_SelfStock'!BC22&lt;&gt;""),'T_SelfStock'!BC22,BB18-'Grid_Requirement'!BC18+'Grid_TTAFOutgoing'!BC18))</f>
        <v/>
      </c>
      <c r="BD18">
        <f>IF(COUNTIFS(T_StockCount[Part Name],$A18,T_StockCount[WeekIndex],55)&gt;0,SUMIFS(T_StockCount[CountedQty],T_StockCount[Part Name],$A18,T_StockCount[WeekIndex],55),IF(('T_SelfStock'!BD22&lt;&gt;""),'T_SelfStock'!BD22,BC18-'Grid_Requirement'!BD18+'Grid_TTAFOutgoing'!BD18))</f>
        <v/>
      </c>
      <c r="BE18">
        <f>IF(COUNTIFS(T_StockCount[Part Name],$A18,T_StockCount[WeekIndex],56)&gt;0,SUMIFS(T_StockCount[CountedQty],T_StockCount[Part Name],$A18,T_StockCount[WeekIndex],56),IF(('T_SelfStock'!BE22&lt;&gt;""),'T_SelfStock'!BE22,BD18-'Grid_Requirement'!BE18+'Grid_TTAFOutgoing'!BE18))</f>
        <v/>
      </c>
      <c r="BF18">
        <f>IF(COUNTIFS(T_StockCount[Part Name],$A18,T_StockCount[WeekIndex],57)&gt;0,SUMIFS(T_StockCount[CountedQty],T_StockCount[Part Name],$A18,T_StockCount[WeekIndex],57),IF(('T_SelfStock'!BF22&lt;&gt;""),'T_SelfStock'!BF22,BE18-'Grid_Requirement'!BF18+'Grid_TTAFOutgoing'!BF18))</f>
        <v/>
      </c>
      <c r="BG18">
        <f>IF(COUNTIFS(T_StockCount[Part Name],$A18,T_StockCount[WeekIndex],58)&gt;0,SUMIFS(T_StockCount[CountedQty],T_StockCount[Part Name],$A18,T_StockCount[WeekIndex],58),IF(('T_SelfStock'!BG22&lt;&gt;""),'T_SelfStock'!BG22,BF18-'Grid_Requirement'!BG18+'Grid_TTAFOutgoing'!BG18))</f>
        <v/>
      </c>
      <c r="BH18">
        <f>IF(COUNTIFS(T_StockCount[Part Name],$A18,T_StockCount[WeekIndex],59)&gt;0,SUMIFS(T_StockCount[CountedQty],T_StockCount[Part Name],$A18,T_StockCount[WeekIndex],59),IF(('T_SelfStock'!BH22&lt;&gt;""),'T_SelfStock'!BH22,BG18-'Grid_Requirement'!BH18+'Grid_TTAFOutgoing'!BH18))</f>
        <v/>
      </c>
      <c r="BI18">
        <f>IF(COUNTIFS(T_StockCount[Part Name],$A18,T_StockCount[WeekIndex],60)&gt;0,SUMIFS(T_StockCount[CountedQty],T_StockCount[Part Name],$A18,T_StockCount[WeekIndex],60),IF(('T_SelfStock'!BI22&lt;&gt;""),'T_SelfStock'!BI22,BH18-'Grid_Requirement'!BI18+'Grid_TTAFOutgoing'!BI18))</f>
        <v/>
      </c>
      <c r="BJ18">
        <f>IF(COUNTIFS(T_StockCount[Part Name],$A18,T_StockCount[WeekIndex],61)&gt;0,SUMIFS(T_StockCount[CountedQty],T_StockCount[Part Name],$A18,T_StockCount[WeekIndex],61),IF(('T_SelfStock'!BJ22&lt;&gt;""),'T_SelfStock'!BJ22,BI18-'Grid_Requirement'!BJ18+'Grid_TTAFOutgoing'!BJ18))</f>
        <v/>
      </c>
      <c r="BK18">
        <f>IF(COUNTIFS(T_StockCount[Part Name],$A18,T_StockCount[WeekIndex],62)&gt;0,SUMIFS(T_StockCount[CountedQty],T_StockCount[Part Name],$A18,T_StockCount[WeekIndex],62),IF(('T_SelfStock'!BK22&lt;&gt;""),'T_SelfStock'!BK22,BJ18-'Grid_Requirement'!BK18+'Grid_TTAFOutgoing'!BK18))</f>
        <v/>
      </c>
      <c r="BL18">
        <f>IF(COUNTIFS(T_StockCount[Part Name],$A18,T_StockCount[WeekIndex],63)&gt;0,SUMIFS(T_StockCount[CountedQty],T_StockCount[Part Name],$A18,T_StockCount[WeekIndex],63),IF(('T_SelfStock'!BL22&lt;&gt;""),'T_SelfStock'!BL22,BK18-'Grid_Requirement'!BL18+'Grid_TTAFOutgoing'!BL18))</f>
        <v/>
      </c>
      <c r="BM18">
        <f>IF(COUNTIFS(T_StockCount[Part Name],$A18,T_StockCount[WeekIndex],64)&gt;0,SUMIFS(T_StockCount[CountedQty],T_StockCount[Part Name],$A18,T_StockCount[WeekIndex],64),IF(('T_SelfStock'!BM22&lt;&gt;""),'T_SelfStock'!BM22,BL18-'Grid_Requirement'!BM18+'Grid_TTAFOutgoing'!BM18))</f>
        <v/>
      </c>
      <c r="BN18">
        <f>IF(COUNTIFS(T_StockCount[Part Name],$A18,T_StockCount[WeekIndex],65)&gt;0,SUMIFS(T_StockCount[CountedQty],T_StockCount[Part Name],$A18,T_StockCount[WeekIndex],65),IF(('T_SelfStock'!BN22&lt;&gt;""),'T_SelfStock'!BN22,BM18-'Grid_Requirement'!BN18+'Grid_TTAFOutgoing'!BN18))</f>
        <v/>
      </c>
      <c r="BO18">
        <f>IF(COUNTIFS(T_StockCount[Part Name],$A18,T_StockCount[WeekIndex],66)&gt;0,SUMIFS(T_StockCount[CountedQty],T_StockCount[Part Name],$A18,T_StockCount[WeekIndex],66),IF(('T_SelfStock'!BO22&lt;&gt;""),'T_SelfStock'!BO22,BN18-'Grid_Requirement'!BO18+'Grid_TTAFOutgoing'!BO18))</f>
        <v/>
      </c>
      <c r="BP18">
        <f>IF(COUNTIFS(T_StockCount[Part Name],$A18,T_StockCount[WeekIndex],67)&gt;0,SUMIFS(T_StockCount[CountedQty],T_StockCount[Part Name],$A18,T_StockCount[WeekIndex],67),IF(('T_SelfStock'!BP22&lt;&gt;""),'T_SelfStock'!BP22,BO18-'Grid_Requirement'!BP18+'Grid_TTAFOutgoing'!BP18))</f>
        <v/>
      </c>
      <c r="BQ18">
        <f>IF(COUNTIFS(T_StockCount[Part Name],$A18,T_StockCount[WeekIndex],68)&gt;0,SUMIFS(T_StockCount[CountedQty],T_StockCount[Part Name],$A18,T_StockCount[WeekIndex],68),IF(('T_SelfStock'!BQ22&lt;&gt;""),'T_SelfStock'!BQ22,BP18-'Grid_Requirement'!BQ18+'Grid_TTAFOutgoing'!BQ18))</f>
        <v/>
      </c>
      <c r="BR18">
        <f>IF(COUNTIFS(T_StockCount[Part Name],$A18,T_StockCount[WeekIndex],69)&gt;0,SUMIFS(T_StockCount[CountedQty],T_StockCount[Part Name],$A18,T_StockCount[WeekIndex],69),IF(('T_SelfStock'!BR22&lt;&gt;""),'T_SelfStock'!BR22,BQ18-'Grid_Requirement'!BR18+'Grid_TTAFOutgoing'!BR18))</f>
        <v/>
      </c>
      <c r="BS18">
        <f>IF(COUNTIFS(T_StockCount[Part Name],$A18,T_StockCount[WeekIndex],70)&gt;0,SUMIFS(T_StockCount[CountedQty],T_StockCount[Part Name],$A18,T_StockCount[WeekIndex],70),IF(('T_SelfStock'!BS22&lt;&gt;""),'T_SelfStock'!BS22,BR18-'Grid_Requirement'!BS18+'Grid_TTAFOutgoing'!BS18))</f>
        <v/>
      </c>
      <c r="BT18">
        <f>IF(COUNTIFS(T_StockCount[Part Name],$A18,T_StockCount[WeekIndex],71)&gt;0,SUMIFS(T_StockCount[CountedQty],T_StockCount[Part Name],$A18,T_StockCount[WeekIndex],71),IF(('T_SelfStock'!BT22&lt;&gt;""),'T_SelfStock'!BT22,BS18-'Grid_Requirement'!BT18+'Grid_TTAFOutgoing'!BT18))</f>
        <v/>
      </c>
      <c r="BU18">
        <f>IF(COUNTIFS(T_StockCount[Part Name],$A18,T_StockCount[WeekIndex],72)&gt;0,SUMIFS(T_StockCount[CountedQty],T_StockCount[Part Name],$A18,T_StockCount[WeekIndex],72),IF(('T_SelfStock'!BU22&lt;&gt;""),'T_SelfStock'!BU22,BT18-'Grid_Requirement'!BU18+'Grid_TTAFOutgoing'!BU18))</f>
        <v/>
      </c>
      <c r="BV18">
        <f>IF(COUNTIFS(T_StockCount[Part Name],$A18,T_StockCount[WeekIndex],73)&gt;0,SUMIFS(T_StockCount[CountedQty],T_StockCount[Part Name],$A18,T_StockCount[WeekIndex],73),IF(('T_SelfStock'!BV22&lt;&gt;""),'T_SelfStock'!BV22,BU18-'Grid_Requirement'!BV18+'Grid_TTAFOutgoing'!BV18))</f>
        <v/>
      </c>
      <c r="BW18">
        <f>IF(COUNTIFS(T_StockCount[Part Name],$A18,T_StockCount[WeekIndex],74)&gt;0,SUMIFS(T_StockCount[CountedQty],T_StockCount[Part Name],$A18,T_StockCount[WeekIndex],74),IF(('T_SelfStock'!BW22&lt;&gt;""),'T_SelfStock'!BW22,BV18-'Grid_Requirement'!BW18+'Grid_TTAFOutgoing'!BW18))</f>
        <v/>
      </c>
      <c r="BX18">
        <f>IF(COUNTIFS(T_StockCount[Part Name],$A18,T_StockCount[WeekIndex],75)&gt;0,SUMIFS(T_StockCount[CountedQty],T_StockCount[Part Name],$A18,T_StockCount[WeekIndex],75),IF(('T_SelfStock'!BX22&lt;&gt;""),'T_SelfStock'!BX22,BW18-'Grid_Requirement'!BX18+'Grid_TTAFOutgoing'!BX18))</f>
        <v/>
      </c>
      <c r="BY18">
        <f>IF(COUNTIFS(T_StockCount[Part Name],$A18,T_StockCount[WeekIndex],76)&gt;0,SUMIFS(T_StockCount[CountedQty],T_StockCount[Part Name],$A18,T_StockCount[WeekIndex],76),IF(('T_SelfStock'!BY22&lt;&gt;""),'T_SelfStock'!BY22,BX18-'Grid_Requirement'!BY18+'Grid_TTAFOutgoing'!BY18))</f>
        <v/>
      </c>
      <c r="BZ18">
        <f>IF(COUNTIFS(T_StockCount[Part Name],$A18,T_StockCount[WeekIndex],77)&gt;0,SUMIFS(T_StockCount[CountedQty],T_StockCount[Part Name],$A18,T_StockCount[WeekIndex],77),IF(('T_SelfStock'!BZ22&lt;&gt;""),'T_SelfStock'!BZ22,BY18-'Grid_Requirement'!BZ18+'Grid_TTAFOutgoing'!BZ18))</f>
        <v/>
      </c>
      <c r="CA18">
        <f>IF(COUNTIFS(T_StockCount[Part Name],$A18,T_StockCount[WeekIndex],78)&gt;0,SUMIFS(T_StockCount[CountedQty],T_StockCount[Part Name],$A18,T_StockCount[WeekIndex],78),IF(('T_SelfStock'!CA22&lt;&gt;""),'T_SelfStock'!CA22,BZ18-'Grid_Requirement'!CA18+'Grid_TTAFOutgoing'!CA18))</f>
        <v/>
      </c>
      <c r="CB18">
        <f>IF(COUNTIFS(T_StockCount[Part Name],$A18,T_StockCount[WeekIndex],79)&gt;0,SUMIFS(T_StockCount[CountedQty],T_StockCount[Part Name],$A18,T_StockCount[WeekIndex],79),IF(('T_SelfStock'!CB22&lt;&gt;""),'T_SelfStock'!CB22,CA18-'Grid_Requirement'!CB18+'Grid_TTAFOutgoing'!CB18))</f>
        <v/>
      </c>
      <c r="CC18">
        <f>IF(COUNTIFS(T_StockCount[Part Name],$A18,T_StockCount[WeekIndex],80)&gt;0,SUMIFS(T_StockCount[CountedQty],T_StockCount[Part Name],$A18,T_StockCount[WeekIndex],80),IF(('T_SelfStock'!CC22&lt;&gt;""),'T_SelfStock'!CC22,CB18-'Grid_Requirement'!CC18+'Grid_TTAFOutgoing'!CC18))</f>
        <v/>
      </c>
      <c r="CD18">
        <f>IF(COUNTIFS(T_StockCount[Part Name],$A18,T_StockCount[WeekIndex],81)&gt;0,SUMIFS(T_StockCount[CountedQty],T_StockCount[Part Name],$A18,T_StockCount[WeekIndex],81),IF(('T_SelfStock'!CD22&lt;&gt;""),'T_SelfStock'!CD22,CC18-'Grid_Requirement'!CD18+'Grid_TTAFOutgoing'!CD18))</f>
        <v/>
      </c>
      <c r="CE18">
        <f>IF(COUNTIFS(T_StockCount[Part Name],$A18,T_StockCount[WeekIndex],82)&gt;0,SUMIFS(T_StockCount[CountedQty],T_StockCount[Part Name],$A18,T_StockCount[WeekIndex],82),IF(('T_SelfStock'!CE22&lt;&gt;""),'T_SelfStock'!CE22,CD18-'Grid_Requirement'!CE18+'Grid_TTAFOutgoing'!CE18))</f>
        <v/>
      </c>
      <c r="CF18">
        <f>IF(COUNTIFS(T_StockCount[Part Name],$A18,T_StockCount[WeekIndex],83)&gt;0,SUMIFS(T_StockCount[CountedQty],T_StockCount[Part Name],$A18,T_StockCount[WeekIndex],83),IF(('T_SelfStock'!CF22&lt;&gt;""),'T_SelfStock'!CF22,CE18-'Grid_Requirement'!CF18+'Grid_TTAFOutgoing'!CF18))</f>
        <v/>
      </c>
      <c r="CG18">
        <f>IF(COUNTIFS(T_StockCount[Part Name],$A18,T_StockCount[WeekIndex],84)&gt;0,SUMIFS(T_StockCount[CountedQty],T_StockCount[Part Name],$A18,T_StockCount[WeekIndex],84),IF(('T_SelfStock'!CG22&lt;&gt;""),'T_SelfStock'!CG22,CF18-'Grid_Requirement'!CG18+'Grid_TTAFOutgoing'!CG18))</f>
        <v/>
      </c>
      <c r="CH18">
        <f>IF(COUNTIFS(T_StockCount[Part Name],$A18,T_StockCount[WeekIndex],85)&gt;0,SUMIFS(T_StockCount[CountedQty],T_StockCount[Part Name],$A18,T_StockCount[WeekIndex],85),IF(('T_SelfStock'!CH22&lt;&gt;""),'T_SelfStock'!CH22,CG18-'Grid_Requirement'!CH18+'Grid_TTAFOutgoing'!CH18))</f>
        <v/>
      </c>
      <c r="CI18">
        <f>IF(COUNTIFS(T_StockCount[Part Name],$A18,T_StockCount[WeekIndex],86)&gt;0,SUMIFS(T_StockCount[CountedQty],T_StockCount[Part Name],$A18,T_StockCount[WeekIndex],86),IF(('T_SelfStock'!CI22&lt;&gt;""),'T_SelfStock'!CI22,CH18-'Grid_Requirement'!CI18+'Grid_TTAFOutgoing'!CI18))</f>
        <v/>
      </c>
      <c r="CJ18">
        <f>IF(COUNTIFS(T_StockCount[Part Name],$A18,T_StockCount[WeekIndex],87)&gt;0,SUMIFS(T_StockCount[CountedQty],T_StockCount[Part Name],$A18,T_StockCount[WeekIndex],87),IF(('T_SelfStock'!CJ22&lt;&gt;""),'T_SelfStock'!CJ22,CI18-'Grid_Requirement'!CJ18+'Grid_TTAFOutgoing'!CJ18))</f>
        <v/>
      </c>
      <c r="CK18">
        <f>IF(COUNTIFS(T_StockCount[Part Name],$A18,T_StockCount[WeekIndex],88)&gt;0,SUMIFS(T_StockCount[CountedQty],T_StockCount[Part Name],$A18,T_StockCount[WeekIndex],88),IF(('T_SelfStock'!CK22&lt;&gt;""),'T_SelfStock'!CK22,CJ18-'Grid_Requirement'!CK18+'Grid_TTAFOutgoing'!CK18))</f>
        <v/>
      </c>
      <c r="CL18">
        <f>IF(COUNTIFS(T_StockCount[Part Name],$A18,T_StockCount[WeekIndex],89)&gt;0,SUMIFS(T_StockCount[CountedQty],T_StockCount[Part Name],$A18,T_StockCount[WeekIndex],89),IF(('T_SelfStock'!CL22&lt;&gt;""),'T_SelfStock'!CL22,CK18-'Grid_Requirement'!CL18+'Grid_TTAFOutgoing'!CL18))</f>
        <v/>
      </c>
      <c r="CM18">
        <f>IF(COUNTIFS(T_StockCount[Part Name],$A18,T_StockCount[WeekIndex],90)&gt;0,SUMIFS(T_StockCount[CountedQty],T_StockCount[Part Name],$A18,T_StockCount[WeekIndex],90),IF(('T_SelfStock'!CM22&lt;&gt;""),'T_SelfStock'!CM22,CL18-'Grid_Requirement'!CM18+'Grid_TTAFOutgoing'!CM18))</f>
        <v/>
      </c>
      <c r="CN18">
        <f>IF(COUNTIFS(T_StockCount[Part Name],$A18,T_StockCount[WeekIndex],91)&gt;0,SUMIFS(T_StockCount[CountedQty],T_StockCount[Part Name],$A18,T_StockCount[WeekIndex],91),IF(('T_SelfStock'!CN22&lt;&gt;""),'T_SelfStock'!CN22,CM18-'Grid_Requirement'!CN18+'Grid_TTAFOutgoing'!CN18))</f>
        <v/>
      </c>
      <c r="CO18">
        <f>IF(COUNTIFS(T_StockCount[Part Name],$A18,T_StockCount[WeekIndex],92)&gt;0,SUMIFS(T_StockCount[CountedQty],T_StockCount[Part Name],$A18,T_StockCount[WeekIndex],92),IF(('T_SelfStock'!CO22&lt;&gt;""),'T_SelfStock'!CO22,CN18-'Grid_Requirement'!CO18+'Grid_TTAFOutgoing'!CO18))</f>
        <v/>
      </c>
      <c r="CP18">
        <f>IF(COUNTIFS(T_StockCount[Part Name],$A18,T_StockCount[WeekIndex],93)&gt;0,SUMIFS(T_StockCount[CountedQty],T_StockCount[Part Name],$A18,T_StockCount[WeekIndex],93),IF(('T_SelfStock'!CP22&lt;&gt;""),'T_SelfStock'!CP22,CO18-'Grid_Requirement'!CP18+'Grid_TTAFOutgoing'!CP18))</f>
        <v/>
      </c>
      <c r="CQ18">
        <f>IF(COUNTIFS(T_StockCount[Part Name],$A18,T_StockCount[WeekIndex],94)&gt;0,SUMIFS(T_StockCount[CountedQty],T_StockCount[Part Name],$A18,T_StockCount[WeekIndex],94),IF(('T_SelfStock'!CQ22&lt;&gt;""),'T_SelfStock'!CQ22,CP18-'Grid_Requirement'!CQ18+'Grid_TTAFOutgoing'!CQ18))</f>
        <v/>
      </c>
      <c r="CR18">
        <f>IF(COUNTIFS(T_StockCount[Part Name],$A18,T_StockCount[WeekIndex],95)&gt;0,SUMIFS(T_StockCount[CountedQty],T_StockCount[Part Name],$A18,T_StockCount[WeekIndex],95),IF(('T_SelfStock'!CR22&lt;&gt;""),'T_SelfStock'!CR22,CQ18-'Grid_Requirement'!CR18+'Grid_TTAFOutgoing'!CR18))</f>
        <v/>
      </c>
      <c r="CS18">
        <f>IF(COUNTIFS(T_StockCount[Part Name],$A18,T_StockCount[WeekIndex],96)&gt;0,SUMIFS(T_StockCount[CountedQty],T_StockCount[Part Name],$A18,T_StockCount[WeekIndex],96),IF(('T_SelfStock'!CS22&lt;&gt;""),'T_SelfStock'!CS22,CR18-'Grid_Requirement'!CS18+'Grid_TTAFOutgoing'!CS18))</f>
        <v/>
      </c>
      <c r="CT18">
        <f>IF(COUNTIFS(T_StockCount[Part Name],$A18,T_StockCount[WeekIndex],97)&gt;0,SUMIFS(T_StockCount[CountedQty],T_StockCount[Part Name],$A18,T_StockCount[WeekIndex],97),IF(('T_SelfStock'!CT22&lt;&gt;""),'T_SelfStock'!CT22,CS18-'Grid_Requirement'!CT18+'Grid_TTAFOutgoing'!CT18))</f>
        <v/>
      </c>
      <c r="CU18">
        <f>IF(COUNTIFS(T_StockCount[Part Name],$A18,T_StockCount[WeekIndex],98)&gt;0,SUMIFS(T_StockCount[CountedQty],T_StockCount[Part Name],$A18,T_StockCount[WeekIndex],98),IF(('T_SelfStock'!CU22&lt;&gt;""),'T_SelfStock'!CU22,CT18-'Grid_Requirement'!CU18+'Grid_TTAFOutgoing'!CU18))</f>
        <v/>
      </c>
      <c r="CV18">
        <f>IF(COUNTIFS(T_StockCount[Part Name],$A18,T_StockCount[WeekIndex],99)&gt;0,SUMIFS(T_StockCount[CountedQty],T_StockCount[Part Name],$A18,T_StockCount[WeekIndex],99),IF(('T_SelfStock'!CV22&lt;&gt;""),'T_SelfStock'!CV22,CU18-'Grid_Requirement'!CV18+'Grid_TTAFOutgoing'!CV18))</f>
        <v/>
      </c>
      <c r="CW18">
        <f>IF(COUNTIFS(T_StockCount[Part Name],$A18,T_StockCount[WeekIndex],100)&gt;0,SUMIFS(T_StockCount[CountedQty],T_StockCount[Part Name],$A18,T_StockCount[WeekIndex],100),IF(('T_SelfStock'!CW22&lt;&gt;""),'T_SelfStock'!CW22,CV18-'Grid_Requirement'!CW18+'Grid_TTAFOutgoing'!CW18))</f>
        <v/>
      </c>
      <c r="CX18">
        <f>IF(COUNTIFS(T_StockCount[Part Name],$A18,T_StockCount[WeekIndex],101)&gt;0,SUMIFS(T_StockCount[CountedQty],T_StockCount[Part Name],$A18,T_StockCount[WeekIndex],101),IF(('T_SelfStock'!CX22&lt;&gt;""),'T_SelfStock'!CX22,CW18-'Grid_Requirement'!CX18+'Grid_TTAFOutgoing'!CX18))</f>
        <v/>
      </c>
      <c r="CY18">
        <f>IF(COUNTIFS(T_StockCount[Part Name],$A18,T_StockCount[WeekIndex],102)&gt;0,SUMIFS(T_StockCount[CountedQty],T_StockCount[Part Name],$A18,T_StockCount[WeekIndex],102),IF(('T_SelfStock'!CY22&lt;&gt;""),'T_SelfStock'!CY22,CX18-'Grid_Requirement'!CY18+'Grid_TTAFOutgoing'!CY18))</f>
        <v/>
      </c>
      <c r="CZ18">
        <f>IF(COUNTIFS(T_StockCount[Part Name],$A18,T_StockCount[WeekIndex],103)&gt;0,SUMIFS(T_StockCount[CountedQty],T_StockCount[Part Name],$A18,T_StockCount[WeekIndex],103),IF(('T_SelfStock'!CZ22&lt;&gt;""),'T_SelfStock'!CZ22,CY18-'Grid_Requirement'!CZ18+'Grid_TTAFOutgoing'!CZ18))</f>
        <v/>
      </c>
      <c r="DA18">
        <f>IF(COUNTIFS(T_StockCount[Part Name],$A18,T_StockCount[WeekIndex],104)&gt;0,SUMIFS(T_StockCount[CountedQty],T_StockCount[Part Name],$A18,T_StockCount[WeekIndex],104),IF(('T_SelfStock'!DA22&lt;&gt;""),'T_SelfStock'!DA22,CZ18-'Grid_Requirement'!DA18+'Grid_TTAFOutgoing'!DA18))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Name],$A19,T_StockCount[WeekIndex],1),IF(('T_SelfStock'!B23&lt;&gt;""),'T_SelfStock'!B23,IFERROR(INDEX(T_OpeningStock[Opening_Qty],MATCH($A19,T_OpeningStock[Part Name],0)),0)-'Grid_Requirement'!B19+'Grid_TTAFOutgoing'!B19))</f>
        <v/>
      </c>
      <c r="C19">
        <f>IF(COUNTIFS(T_StockCount[Part Name],$A19,T_StockCount[WeekIndex],2)&gt;0,SUMIFS(T_StockCount[CountedQty],T_StockCount[Part Name],$A19,T_StockCount[WeekIndex],2),IF(('T_SelfStock'!C23&lt;&gt;""),'T_SelfStock'!C23,B19-'Grid_Requirement'!C19+'Grid_TTAFOutgoing'!C19))</f>
        <v/>
      </c>
      <c r="D19">
        <f>IF(COUNTIFS(T_StockCount[Part Name],$A19,T_StockCount[WeekIndex],3)&gt;0,SUMIFS(T_StockCount[CountedQty],T_StockCount[Part Name],$A19,T_StockCount[WeekIndex],3),IF(('T_SelfStock'!D23&lt;&gt;""),'T_SelfStock'!D23,C19-'Grid_Requirement'!D19+'Grid_TTAFOutgoing'!D19))</f>
        <v/>
      </c>
      <c r="E19">
        <f>IF(COUNTIFS(T_StockCount[Part Name],$A19,T_StockCount[WeekIndex],4)&gt;0,SUMIFS(T_StockCount[CountedQty],T_StockCount[Part Name],$A19,T_StockCount[WeekIndex],4),IF(('T_SelfStock'!E23&lt;&gt;""),'T_SelfStock'!E23,D19-'Grid_Requirement'!E19+'Grid_TTAFOutgoing'!E19))</f>
        <v/>
      </c>
      <c r="F19">
        <f>IF(COUNTIFS(T_StockCount[Part Name],$A19,T_StockCount[WeekIndex],5)&gt;0,SUMIFS(T_StockCount[CountedQty],T_StockCount[Part Name],$A19,T_StockCount[WeekIndex],5),IF(('T_SelfStock'!F23&lt;&gt;""),'T_SelfStock'!F23,E19-'Grid_Requirement'!F19+'Grid_TTAFOutgoing'!F19))</f>
        <v/>
      </c>
      <c r="G19">
        <f>IF(COUNTIFS(T_StockCount[Part Name],$A19,T_StockCount[WeekIndex],6)&gt;0,SUMIFS(T_StockCount[CountedQty],T_StockCount[Part Name],$A19,T_StockCount[WeekIndex],6),IF(('T_SelfStock'!G23&lt;&gt;""),'T_SelfStock'!G23,F19-'Grid_Requirement'!G19+'Grid_TTAFOutgoing'!G19))</f>
        <v/>
      </c>
      <c r="H19">
        <f>IF(COUNTIFS(T_StockCount[Part Name],$A19,T_StockCount[WeekIndex],7)&gt;0,SUMIFS(T_StockCount[CountedQty],T_StockCount[Part Name],$A19,T_StockCount[WeekIndex],7),IF(('T_SelfStock'!H23&lt;&gt;""),'T_SelfStock'!H23,G19-'Grid_Requirement'!H19+'Grid_TTAFOutgoing'!H19))</f>
        <v/>
      </c>
      <c r="I19">
        <f>IF(COUNTIFS(T_StockCount[Part Name],$A19,T_StockCount[WeekIndex],8)&gt;0,SUMIFS(T_StockCount[CountedQty],T_StockCount[Part Name],$A19,T_StockCount[WeekIndex],8),IF(('T_SelfStock'!I23&lt;&gt;""),'T_SelfStock'!I23,H19-'Grid_Requirement'!I19+'Grid_TTAFOutgoing'!I19))</f>
        <v/>
      </c>
      <c r="J19">
        <f>IF(COUNTIFS(T_StockCount[Part Name],$A19,T_StockCount[WeekIndex],9)&gt;0,SUMIFS(T_StockCount[CountedQty],T_StockCount[Part Name],$A19,T_StockCount[WeekIndex],9),IF(('T_SelfStock'!J23&lt;&gt;""),'T_SelfStock'!J23,I19-'Grid_Requirement'!J19+'Grid_TTAFOutgoing'!J19))</f>
        <v/>
      </c>
      <c r="K19">
        <f>IF(COUNTIFS(T_StockCount[Part Name],$A19,T_StockCount[WeekIndex],10)&gt;0,SUMIFS(T_StockCount[CountedQty],T_StockCount[Part Name],$A19,T_StockCount[WeekIndex],10),IF(('T_SelfStock'!K23&lt;&gt;""),'T_SelfStock'!K23,J19-'Grid_Requirement'!K19+'Grid_TTAFOutgoing'!K19))</f>
        <v/>
      </c>
      <c r="L19">
        <f>IF(COUNTIFS(T_StockCount[Part Name],$A19,T_StockCount[WeekIndex],11)&gt;0,SUMIFS(T_StockCount[CountedQty],T_StockCount[Part Name],$A19,T_StockCount[WeekIndex],11),IF(('T_SelfStock'!L23&lt;&gt;""),'T_SelfStock'!L23,K19-'Grid_Requirement'!L19+'Grid_TTAFOutgoing'!L19))</f>
        <v/>
      </c>
      <c r="M19">
        <f>IF(COUNTIFS(T_StockCount[Part Name],$A19,T_StockCount[WeekIndex],12)&gt;0,SUMIFS(T_StockCount[CountedQty],T_StockCount[Part Name],$A19,T_StockCount[WeekIndex],12),IF(('T_SelfStock'!M23&lt;&gt;""),'T_SelfStock'!M23,L19-'Grid_Requirement'!M19+'Grid_TTAFOutgoing'!M19))</f>
        <v/>
      </c>
      <c r="N19">
        <f>IF(COUNTIFS(T_StockCount[Part Name],$A19,T_StockCount[WeekIndex],13)&gt;0,SUMIFS(T_StockCount[CountedQty],T_StockCount[Part Name],$A19,T_StockCount[WeekIndex],13),IF(('T_SelfStock'!N23&lt;&gt;""),'T_SelfStock'!N23,M19-'Grid_Requirement'!N19+'Grid_TTAFOutgoing'!N19))</f>
        <v/>
      </c>
      <c r="O19">
        <f>IF(COUNTIFS(T_StockCount[Part Name],$A19,T_StockCount[WeekIndex],14)&gt;0,SUMIFS(T_StockCount[CountedQty],T_StockCount[Part Name],$A19,T_StockCount[WeekIndex],14),IF(('T_SelfStock'!O23&lt;&gt;""),'T_SelfStock'!O23,N19-'Grid_Requirement'!O19+'Grid_TTAFOutgoing'!O19))</f>
        <v/>
      </c>
      <c r="P19">
        <f>IF(COUNTIFS(T_StockCount[Part Name],$A19,T_StockCount[WeekIndex],15)&gt;0,SUMIFS(T_StockCount[CountedQty],T_StockCount[Part Name],$A19,T_StockCount[WeekIndex],15),IF(('T_SelfStock'!P23&lt;&gt;""),'T_SelfStock'!P23,O19-'Grid_Requirement'!P19+'Grid_TTAFOutgoing'!P19))</f>
        <v/>
      </c>
      <c r="Q19">
        <f>IF(COUNTIFS(T_StockCount[Part Name],$A19,T_StockCount[WeekIndex],16)&gt;0,SUMIFS(T_StockCount[CountedQty],T_StockCount[Part Name],$A19,T_StockCount[WeekIndex],16),IF(('T_SelfStock'!Q23&lt;&gt;""),'T_SelfStock'!Q23,P19-'Grid_Requirement'!Q19+'Grid_TTAFOutgoing'!Q19))</f>
        <v/>
      </c>
      <c r="R19">
        <f>IF(COUNTIFS(T_StockCount[Part Name],$A19,T_StockCount[WeekIndex],17)&gt;0,SUMIFS(T_StockCount[CountedQty],T_StockCount[Part Name],$A19,T_StockCount[WeekIndex],17),IF(('T_SelfStock'!R23&lt;&gt;""),'T_SelfStock'!R23,Q19-'Grid_Requirement'!R19+'Grid_TTAFOutgoing'!R19))</f>
        <v/>
      </c>
      <c r="S19">
        <f>IF(COUNTIFS(T_StockCount[Part Name],$A19,T_StockCount[WeekIndex],18)&gt;0,SUMIFS(T_StockCount[CountedQty],T_StockCount[Part Name],$A19,T_StockCount[WeekIndex],18),IF(('T_SelfStock'!S23&lt;&gt;""),'T_SelfStock'!S23,R19-'Grid_Requirement'!S19+'Grid_TTAFOutgoing'!S19))</f>
        <v/>
      </c>
      <c r="T19">
        <f>IF(COUNTIFS(T_StockCount[Part Name],$A19,T_StockCount[WeekIndex],19)&gt;0,SUMIFS(T_StockCount[CountedQty],T_StockCount[Part Name],$A19,T_StockCount[WeekIndex],19),IF(('T_SelfStock'!T23&lt;&gt;""),'T_SelfStock'!T23,S19-'Grid_Requirement'!T19+'Grid_TTAFOutgoing'!T19))</f>
        <v/>
      </c>
      <c r="U19">
        <f>IF(COUNTIFS(T_StockCount[Part Name],$A19,T_StockCount[WeekIndex],20)&gt;0,SUMIFS(T_StockCount[CountedQty],T_StockCount[Part Name],$A19,T_StockCount[WeekIndex],20),IF(('T_SelfStock'!U23&lt;&gt;""),'T_SelfStock'!U23,T19-'Grid_Requirement'!U19+'Grid_TTAFOutgoing'!U19))</f>
        <v/>
      </c>
      <c r="V19">
        <f>IF(COUNTIFS(T_StockCount[Part Name],$A19,T_StockCount[WeekIndex],21)&gt;0,SUMIFS(T_StockCount[CountedQty],T_StockCount[Part Name],$A19,T_StockCount[WeekIndex],21),IF(('T_SelfStock'!V23&lt;&gt;""),'T_SelfStock'!V23,U19-'Grid_Requirement'!V19+'Grid_TTAFOutgoing'!V19))</f>
        <v/>
      </c>
      <c r="W19">
        <f>IF(COUNTIFS(T_StockCount[Part Name],$A19,T_StockCount[WeekIndex],22)&gt;0,SUMIFS(T_StockCount[CountedQty],T_StockCount[Part Name],$A19,T_StockCount[WeekIndex],22),IF(('T_SelfStock'!W23&lt;&gt;""),'T_SelfStock'!W23,V19-'Grid_Requirement'!W19+'Grid_TTAFOutgoing'!W19))</f>
        <v/>
      </c>
      <c r="X19">
        <f>IF(COUNTIFS(T_StockCount[Part Name],$A19,T_StockCount[WeekIndex],23)&gt;0,SUMIFS(T_StockCount[CountedQty],T_StockCount[Part Name],$A19,T_StockCount[WeekIndex],23),IF(('T_SelfStock'!X23&lt;&gt;""),'T_SelfStock'!X23,W19-'Grid_Requirement'!X19+'Grid_TTAFOutgoing'!X19))</f>
        <v/>
      </c>
      <c r="Y19">
        <f>IF(COUNTIFS(T_StockCount[Part Name],$A19,T_StockCount[WeekIndex],24)&gt;0,SUMIFS(T_StockCount[CountedQty],T_StockCount[Part Name],$A19,T_StockCount[WeekIndex],24),IF(('T_SelfStock'!Y23&lt;&gt;""),'T_SelfStock'!Y23,X19-'Grid_Requirement'!Y19+'Grid_TTAFOutgoing'!Y19))</f>
        <v/>
      </c>
      <c r="Z19">
        <f>IF(COUNTIFS(T_StockCount[Part Name],$A19,T_StockCount[WeekIndex],25)&gt;0,SUMIFS(T_StockCount[CountedQty],T_StockCount[Part Name],$A19,T_StockCount[WeekIndex],25),IF(('T_SelfStock'!Z23&lt;&gt;""),'T_SelfStock'!Z23,Y19-'Grid_Requirement'!Z19+'Grid_TTAFOutgoing'!Z19))</f>
        <v/>
      </c>
      <c r="AA19">
        <f>IF(COUNTIFS(T_StockCount[Part Name],$A19,T_StockCount[WeekIndex],26)&gt;0,SUMIFS(T_StockCount[CountedQty],T_StockCount[Part Name],$A19,T_StockCount[WeekIndex],26),IF(('T_SelfStock'!AA23&lt;&gt;""),'T_SelfStock'!AA23,Z19-'Grid_Requirement'!AA19+'Grid_TTAFOutgoing'!AA19))</f>
        <v/>
      </c>
      <c r="AB19">
        <f>IF(COUNTIFS(T_StockCount[Part Name],$A19,T_StockCount[WeekIndex],27)&gt;0,SUMIFS(T_StockCount[CountedQty],T_StockCount[Part Name],$A19,T_StockCount[WeekIndex],27),IF(('T_SelfStock'!AB23&lt;&gt;""),'T_SelfStock'!AB23,AA19-'Grid_Requirement'!AB19+'Grid_TTAFOutgoing'!AB19))</f>
        <v/>
      </c>
      <c r="AC19">
        <f>IF(COUNTIFS(T_StockCount[Part Name],$A19,T_StockCount[WeekIndex],28)&gt;0,SUMIFS(T_StockCount[CountedQty],T_StockCount[Part Name],$A19,T_StockCount[WeekIndex],28),IF(('T_SelfStock'!AC23&lt;&gt;""),'T_SelfStock'!AC23,AB19-'Grid_Requirement'!AC19+'Grid_TTAFOutgoing'!AC19))</f>
        <v/>
      </c>
      <c r="AD19">
        <f>IF(COUNTIFS(T_StockCount[Part Name],$A19,T_StockCount[WeekIndex],29)&gt;0,SUMIFS(T_StockCount[CountedQty],T_StockCount[Part Name],$A19,T_StockCount[WeekIndex],29),IF(('T_SelfStock'!AD23&lt;&gt;""),'T_SelfStock'!AD23,AC19-'Grid_Requirement'!AD19+'Grid_TTAFOutgoing'!AD19))</f>
        <v/>
      </c>
      <c r="AE19">
        <f>IF(COUNTIFS(T_StockCount[Part Name],$A19,T_StockCount[WeekIndex],30)&gt;0,SUMIFS(T_StockCount[CountedQty],T_StockCount[Part Name],$A19,T_StockCount[WeekIndex],30),IF(('T_SelfStock'!AE23&lt;&gt;""),'T_SelfStock'!AE23,AD19-'Grid_Requirement'!AE19+'Grid_TTAFOutgoing'!AE19))</f>
        <v/>
      </c>
      <c r="AF19">
        <f>IF(COUNTIFS(T_StockCount[Part Name],$A19,T_StockCount[WeekIndex],31)&gt;0,SUMIFS(T_StockCount[CountedQty],T_StockCount[Part Name],$A19,T_StockCount[WeekIndex],31),IF(('T_SelfStock'!AF23&lt;&gt;""),'T_SelfStock'!AF23,AE19-'Grid_Requirement'!AF19+'Grid_TTAFOutgoing'!AF19))</f>
        <v/>
      </c>
      <c r="AG19">
        <f>IF(COUNTIFS(T_StockCount[Part Name],$A19,T_StockCount[WeekIndex],32)&gt;0,SUMIFS(T_StockCount[CountedQty],T_StockCount[Part Name],$A19,T_StockCount[WeekIndex],32),IF(('T_SelfStock'!AG23&lt;&gt;""),'T_SelfStock'!AG23,AF19-'Grid_Requirement'!AG19+'Grid_TTAFOutgoing'!AG19))</f>
        <v/>
      </c>
      <c r="AH19">
        <f>IF(COUNTIFS(T_StockCount[Part Name],$A19,T_StockCount[WeekIndex],33)&gt;0,SUMIFS(T_StockCount[CountedQty],T_StockCount[Part Name],$A19,T_StockCount[WeekIndex],33),IF(('T_SelfStock'!AH23&lt;&gt;""),'T_SelfStock'!AH23,AG19-'Grid_Requirement'!AH19+'Grid_TTAFOutgoing'!AH19))</f>
        <v/>
      </c>
      <c r="AI19">
        <f>IF(COUNTIFS(T_StockCount[Part Name],$A19,T_StockCount[WeekIndex],34)&gt;0,SUMIFS(T_StockCount[CountedQty],T_StockCount[Part Name],$A19,T_StockCount[WeekIndex],34),IF(('T_SelfStock'!AI23&lt;&gt;""),'T_SelfStock'!AI23,AH19-'Grid_Requirement'!AI19+'Grid_TTAFOutgoing'!AI19))</f>
        <v/>
      </c>
      <c r="AJ19">
        <f>IF(COUNTIFS(T_StockCount[Part Name],$A19,T_StockCount[WeekIndex],35)&gt;0,SUMIFS(T_StockCount[CountedQty],T_StockCount[Part Name],$A19,T_StockCount[WeekIndex],35),IF(('T_SelfStock'!AJ23&lt;&gt;""),'T_SelfStock'!AJ23,AI19-'Grid_Requirement'!AJ19+'Grid_TTAFOutgoing'!AJ19))</f>
        <v/>
      </c>
      <c r="AK19">
        <f>IF(COUNTIFS(T_StockCount[Part Name],$A19,T_StockCount[WeekIndex],36)&gt;0,SUMIFS(T_StockCount[CountedQty],T_StockCount[Part Name],$A19,T_StockCount[WeekIndex],36),IF(('T_SelfStock'!AK23&lt;&gt;""),'T_SelfStock'!AK23,AJ19-'Grid_Requirement'!AK19+'Grid_TTAFOutgoing'!AK19))</f>
        <v/>
      </c>
      <c r="AL19">
        <f>IF(COUNTIFS(T_StockCount[Part Name],$A19,T_StockCount[WeekIndex],37)&gt;0,SUMIFS(T_StockCount[CountedQty],T_StockCount[Part Name],$A19,T_StockCount[WeekIndex],37),IF(('T_SelfStock'!AL23&lt;&gt;""),'T_SelfStock'!AL23,AK19-'Grid_Requirement'!AL19+'Grid_TTAFOutgoing'!AL19))</f>
        <v/>
      </c>
      <c r="AM19">
        <f>IF(COUNTIFS(T_StockCount[Part Name],$A19,T_StockCount[WeekIndex],38)&gt;0,SUMIFS(T_StockCount[CountedQty],T_StockCount[Part Name],$A19,T_StockCount[WeekIndex],38),IF(('T_SelfStock'!AM23&lt;&gt;""),'T_SelfStock'!AM23,AL19-'Grid_Requirement'!AM19+'Grid_TTAFOutgoing'!AM19))</f>
        <v/>
      </c>
      <c r="AN19">
        <f>IF(COUNTIFS(T_StockCount[Part Name],$A19,T_StockCount[WeekIndex],39)&gt;0,SUMIFS(T_StockCount[CountedQty],T_StockCount[Part Name],$A19,T_StockCount[WeekIndex],39),IF(('T_SelfStock'!AN23&lt;&gt;""),'T_SelfStock'!AN23,AM19-'Grid_Requirement'!AN19+'Grid_TTAFOutgoing'!AN19))</f>
        <v/>
      </c>
      <c r="AO19">
        <f>IF(COUNTIFS(T_StockCount[Part Name],$A19,T_StockCount[WeekIndex],40)&gt;0,SUMIFS(T_StockCount[CountedQty],T_StockCount[Part Name],$A19,T_StockCount[WeekIndex],40),IF(('T_SelfStock'!AO23&lt;&gt;""),'T_SelfStock'!AO23,AN19-'Grid_Requirement'!AO19+'Grid_TTAFOutgoing'!AO19))</f>
        <v/>
      </c>
      <c r="AP19">
        <f>IF(COUNTIFS(T_StockCount[Part Name],$A19,T_StockCount[WeekIndex],41)&gt;0,SUMIFS(T_StockCount[CountedQty],T_StockCount[Part Name],$A19,T_StockCount[WeekIndex],41),IF(('T_SelfStock'!AP23&lt;&gt;""),'T_SelfStock'!AP23,AO19-'Grid_Requirement'!AP19+'Grid_TTAFOutgoing'!AP19))</f>
        <v/>
      </c>
      <c r="AQ19">
        <f>IF(COUNTIFS(T_StockCount[Part Name],$A19,T_StockCount[WeekIndex],42)&gt;0,SUMIFS(T_StockCount[CountedQty],T_StockCount[Part Name],$A19,T_StockCount[WeekIndex],42),IF(('T_SelfStock'!AQ23&lt;&gt;""),'T_SelfStock'!AQ23,AP19-'Grid_Requirement'!AQ19+'Grid_TTAFOutgoing'!AQ19))</f>
        <v/>
      </c>
      <c r="AR19">
        <f>IF(COUNTIFS(T_StockCount[Part Name],$A19,T_StockCount[WeekIndex],43)&gt;0,SUMIFS(T_StockCount[CountedQty],T_StockCount[Part Name],$A19,T_StockCount[WeekIndex],43),IF(('T_SelfStock'!AR23&lt;&gt;""),'T_SelfStock'!AR23,AQ19-'Grid_Requirement'!AR19+'Grid_TTAFOutgoing'!AR19))</f>
        <v/>
      </c>
      <c r="AS19">
        <f>IF(COUNTIFS(T_StockCount[Part Name],$A19,T_StockCount[WeekIndex],44)&gt;0,SUMIFS(T_StockCount[CountedQty],T_StockCount[Part Name],$A19,T_StockCount[WeekIndex],44),IF(('T_SelfStock'!AS23&lt;&gt;""),'T_SelfStock'!AS23,AR19-'Grid_Requirement'!AS19+'Grid_TTAFOutgoing'!AS19))</f>
        <v/>
      </c>
      <c r="AT19">
        <f>IF(COUNTIFS(T_StockCount[Part Name],$A19,T_StockCount[WeekIndex],45)&gt;0,SUMIFS(T_StockCount[CountedQty],T_StockCount[Part Name],$A19,T_StockCount[WeekIndex],45),IF(('T_SelfStock'!AT23&lt;&gt;""),'T_SelfStock'!AT23,AS19-'Grid_Requirement'!AT19+'Grid_TTAFOutgoing'!AT19))</f>
        <v/>
      </c>
      <c r="AU19">
        <f>IF(COUNTIFS(T_StockCount[Part Name],$A19,T_StockCount[WeekIndex],46)&gt;0,SUMIFS(T_StockCount[CountedQty],T_StockCount[Part Name],$A19,T_StockCount[WeekIndex],46),IF(('T_SelfStock'!AU23&lt;&gt;""),'T_SelfStock'!AU23,AT19-'Grid_Requirement'!AU19+'Grid_TTAFOutgoing'!AU19))</f>
        <v/>
      </c>
      <c r="AV19">
        <f>IF(COUNTIFS(T_StockCount[Part Name],$A19,T_StockCount[WeekIndex],47)&gt;0,SUMIFS(T_StockCount[CountedQty],T_StockCount[Part Name],$A19,T_StockCount[WeekIndex],47),IF(('T_SelfStock'!AV23&lt;&gt;""),'T_SelfStock'!AV23,AU19-'Grid_Requirement'!AV19+'Grid_TTAFOutgoing'!AV19))</f>
        <v/>
      </c>
      <c r="AW19">
        <f>IF(COUNTIFS(T_StockCount[Part Name],$A19,T_StockCount[WeekIndex],48)&gt;0,SUMIFS(T_StockCount[CountedQty],T_StockCount[Part Name],$A19,T_StockCount[WeekIndex],48),IF(('T_SelfStock'!AW23&lt;&gt;""),'T_SelfStock'!AW23,AV19-'Grid_Requirement'!AW19+'Grid_TTAFOutgoing'!AW19))</f>
        <v/>
      </c>
      <c r="AX19">
        <f>IF(COUNTIFS(T_StockCount[Part Name],$A19,T_StockCount[WeekIndex],49)&gt;0,SUMIFS(T_StockCount[CountedQty],T_StockCount[Part Name],$A19,T_StockCount[WeekIndex],49),IF(('T_SelfStock'!AX23&lt;&gt;""),'T_SelfStock'!AX23,AW19-'Grid_Requirement'!AX19+'Grid_TTAFOutgoing'!AX19))</f>
        <v/>
      </c>
      <c r="AY19">
        <f>IF(COUNTIFS(T_StockCount[Part Name],$A19,T_StockCount[WeekIndex],50)&gt;0,SUMIFS(T_StockCount[CountedQty],T_StockCount[Part Name],$A19,T_StockCount[WeekIndex],50),IF(('T_SelfStock'!AY23&lt;&gt;""),'T_SelfStock'!AY23,AX19-'Grid_Requirement'!AY19+'Grid_TTAFOutgoing'!AY19))</f>
        <v/>
      </c>
      <c r="AZ19">
        <f>IF(COUNTIFS(T_StockCount[Part Name],$A19,T_StockCount[WeekIndex],51)&gt;0,SUMIFS(T_StockCount[CountedQty],T_StockCount[Part Name],$A19,T_StockCount[WeekIndex],51),IF(('T_SelfStock'!AZ23&lt;&gt;""),'T_SelfStock'!AZ23,AY19-'Grid_Requirement'!AZ19+'Grid_TTAFOutgoing'!AZ19))</f>
        <v/>
      </c>
      <c r="BA19">
        <f>IF(COUNTIFS(T_StockCount[Part Name],$A19,T_StockCount[WeekIndex],52)&gt;0,SUMIFS(T_StockCount[CountedQty],T_StockCount[Part Name],$A19,T_StockCount[WeekIndex],52),IF(('T_SelfStock'!BA23&lt;&gt;""),'T_SelfStock'!BA23,AZ19-'Grid_Requirement'!BA19+'Grid_TTAFOutgoing'!BA19))</f>
        <v/>
      </c>
      <c r="BB19">
        <f>IF(COUNTIFS(T_StockCount[Part Name],$A19,T_StockCount[WeekIndex],53)&gt;0,SUMIFS(T_StockCount[CountedQty],T_StockCount[Part Name],$A19,T_StockCount[WeekIndex],53),IF(('T_SelfStock'!BB23&lt;&gt;""),'T_SelfStock'!BB23,BA19-'Grid_Requirement'!BB19+'Grid_TTAFOutgoing'!BB19))</f>
        <v/>
      </c>
      <c r="BC19">
        <f>IF(COUNTIFS(T_StockCount[Part Name],$A19,T_StockCount[WeekIndex],54)&gt;0,SUMIFS(T_StockCount[CountedQty],T_StockCount[Part Name],$A19,T_StockCount[WeekIndex],54),IF(('T_SelfStock'!BC23&lt;&gt;""),'T_SelfStock'!BC23,BB19-'Grid_Requirement'!BC19+'Grid_TTAFOutgoing'!BC19))</f>
        <v/>
      </c>
      <c r="BD19">
        <f>IF(COUNTIFS(T_StockCount[Part Name],$A19,T_StockCount[WeekIndex],55)&gt;0,SUMIFS(T_StockCount[CountedQty],T_StockCount[Part Name],$A19,T_StockCount[WeekIndex],55),IF(('T_SelfStock'!BD23&lt;&gt;""),'T_SelfStock'!BD23,BC19-'Grid_Requirement'!BD19+'Grid_TTAFOutgoing'!BD19))</f>
        <v/>
      </c>
      <c r="BE19">
        <f>IF(COUNTIFS(T_StockCount[Part Name],$A19,T_StockCount[WeekIndex],56)&gt;0,SUMIFS(T_StockCount[CountedQty],T_StockCount[Part Name],$A19,T_StockCount[WeekIndex],56),IF(('T_SelfStock'!BE23&lt;&gt;""),'T_SelfStock'!BE23,BD19-'Grid_Requirement'!BE19+'Grid_TTAFOutgoing'!BE19))</f>
        <v/>
      </c>
      <c r="BF19">
        <f>IF(COUNTIFS(T_StockCount[Part Name],$A19,T_StockCount[WeekIndex],57)&gt;0,SUMIFS(T_StockCount[CountedQty],T_StockCount[Part Name],$A19,T_StockCount[WeekIndex],57),IF(('T_SelfStock'!BF23&lt;&gt;""),'T_SelfStock'!BF23,BE19-'Grid_Requirement'!BF19+'Grid_TTAFOutgoing'!BF19))</f>
        <v/>
      </c>
      <c r="BG19">
        <f>IF(COUNTIFS(T_StockCount[Part Name],$A19,T_StockCount[WeekIndex],58)&gt;0,SUMIFS(T_StockCount[CountedQty],T_StockCount[Part Name],$A19,T_StockCount[WeekIndex],58),IF(('T_SelfStock'!BG23&lt;&gt;""),'T_SelfStock'!BG23,BF19-'Grid_Requirement'!BG19+'Grid_TTAFOutgoing'!BG19))</f>
        <v/>
      </c>
      <c r="BH19">
        <f>IF(COUNTIFS(T_StockCount[Part Name],$A19,T_StockCount[WeekIndex],59)&gt;0,SUMIFS(T_StockCount[CountedQty],T_StockCount[Part Name],$A19,T_StockCount[WeekIndex],59),IF(('T_SelfStock'!BH23&lt;&gt;""),'T_SelfStock'!BH23,BG19-'Grid_Requirement'!BH19+'Grid_TTAFOutgoing'!BH19))</f>
        <v/>
      </c>
      <c r="BI19">
        <f>IF(COUNTIFS(T_StockCount[Part Name],$A19,T_StockCount[WeekIndex],60)&gt;0,SUMIFS(T_StockCount[CountedQty],T_StockCount[Part Name],$A19,T_StockCount[WeekIndex],60),IF(('T_SelfStock'!BI23&lt;&gt;""),'T_SelfStock'!BI23,BH19-'Grid_Requirement'!BI19+'Grid_TTAFOutgoing'!BI19))</f>
        <v/>
      </c>
      <c r="BJ19">
        <f>IF(COUNTIFS(T_StockCount[Part Name],$A19,T_StockCount[WeekIndex],61)&gt;0,SUMIFS(T_StockCount[CountedQty],T_StockCount[Part Name],$A19,T_StockCount[WeekIndex],61),IF(('T_SelfStock'!BJ23&lt;&gt;""),'T_SelfStock'!BJ23,BI19-'Grid_Requirement'!BJ19+'Grid_TTAFOutgoing'!BJ19))</f>
        <v/>
      </c>
      <c r="BK19">
        <f>IF(COUNTIFS(T_StockCount[Part Name],$A19,T_StockCount[WeekIndex],62)&gt;0,SUMIFS(T_StockCount[CountedQty],T_StockCount[Part Name],$A19,T_StockCount[WeekIndex],62),IF(('T_SelfStock'!BK23&lt;&gt;""),'T_SelfStock'!BK23,BJ19-'Grid_Requirement'!BK19+'Grid_TTAFOutgoing'!BK19))</f>
        <v/>
      </c>
      <c r="BL19">
        <f>IF(COUNTIFS(T_StockCount[Part Name],$A19,T_StockCount[WeekIndex],63)&gt;0,SUMIFS(T_StockCount[CountedQty],T_StockCount[Part Name],$A19,T_StockCount[WeekIndex],63),IF(('T_SelfStock'!BL23&lt;&gt;""),'T_SelfStock'!BL23,BK19-'Grid_Requirement'!BL19+'Grid_TTAFOutgoing'!BL19))</f>
        <v/>
      </c>
      <c r="BM19">
        <f>IF(COUNTIFS(T_StockCount[Part Name],$A19,T_StockCount[WeekIndex],64)&gt;0,SUMIFS(T_StockCount[CountedQty],T_StockCount[Part Name],$A19,T_StockCount[WeekIndex],64),IF(('T_SelfStock'!BM23&lt;&gt;""),'T_SelfStock'!BM23,BL19-'Grid_Requirement'!BM19+'Grid_TTAFOutgoing'!BM19))</f>
        <v/>
      </c>
      <c r="BN19">
        <f>IF(COUNTIFS(T_StockCount[Part Name],$A19,T_StockCount[WeekIndex],65)&gt;0,SUMIFS(T_StockCount[CountedQty],T_StockCount[Part Name],$A19,T_StockCount[WeekIndex],65),IF(('T_SelfStock'!BN23&lt;&gt;""),'T_SelfStock'!BN23,BM19-'Grid_Requirement'!BN19+'Grid_TTAFOutgoing'!BN19))</f>
        <v/>
      </c>
      <c r="BO19">
        <f>IF(COUNTIFS(T_StockCount[Part Name],$A19,T_StockCount[WeekIndex],66)&gt;0,SUMIFS(T_StockCount[CountedQty],T_StockCount[Part Name],$A19,T_StockCount[WeekIndex],66),IF(('T_SelfStock'!BO23&lt;&gt;""),'T_SelfStock'!BO23,BN19-'Grid_Requirement'!BO19+'Grid_TTAFOutgoing'!BO19))</f>
        <v/>
      </c>
      <c r="BP19">
        <f>IF(COUNTIFS(T_StockCount[Part Name],$A19,T_StockCount[WeekIndex],67)&gt;0,SUMIFS(T_StockCount[CountedQty],T_StockCount[Part Name],$A19,T_StockCount[WeekIndex],67),IF(('T_SelfStock'!BP23&lt;&gt;""),'T_SelfStock'!BP23,BO19-'Grid_Requirement'!BP19+'Grid_TTAFOutgoing'!BP19))</f>
        <v/>
      </c>
      <c r="BQ19">
        <f>IF(COUNTIFS(T_StockCount[Part Name],$A19,T_StockCount[WeekIndex],68)&gt;0,SUMIFS(T_StockCount[CountedQty],T_StockCount[Part Name],$A19,T_StockCount[WeekIndex],68),IF(('T_SelfStock'!BQ23&lt;&gt;""),'T_SelfStock'!BQ23,BP19-'Grid_Requirement'!BQ19+'Grid_TTAFOutgoing'!BQ19))</f>
        <v/>
      </c>
      <c r="BR19">
        <f>IF(COUNTIFS(T_StockCount[Part Name],$A19,T_StockCount[WeekIndex],69)&gt;0,SUMIFS(T_StockCount[CountedQty],T_StockCount[Part Name],$A19,T_StockCount[WeekIndex],69),IF(('T_SelfStock'!BR23&lt;&gt;""),'T_SelfStock'!BR23,BQ19-'Grid_Requirement'!BR19+'Grid_TTAFOutgoing'!BR19))</f>
        <v/>
      </c>
      <c r="BS19">
        <f>IF(COUNTIFS(T_StockCount[Part Name],$A19,T_StockCount[WeekIndex],70)&gt;0,SUMIFS(T_StockCount[CountedQty],T_StockCount[Part Name],$A19,T_StockCount[WeekIndex],70),IF(('T_SelfStock'!BS23&lt;&gt;""),'T_SelfStock'!BS23,BR19-'Grid_Requirement'!BS19+'Grid_TTAFOutgoing'!BS19))</f>
        <v/>
      </c>
      <c r="BT19">
        <f>IF(COUNTIFS(T_StockCount[Part Name],$A19,T_StockCount[WeekIndex],71)&gt;0,SUMIFS(T_StockCount[CountedQty],T_StockCount[Part Name],$A19,T_StockCount[WeekIndex],71),IF(('T_SelfStock'!BT23&lt;&gt;""),'T_SelfStock'!BT23,BS19-'Grid_Requirement'!BT19+'Grid_TTAFOutgoing'!BT19))</f>
        <v/>
      </c>
      <c r="BU19">
        <f>IF(COUNTIFS(T_StockCount[Part Name],$A19,T_StockCount[WeekIndex],72)&gt;0,SUMIFS(T_StockCount[CountedQty],T_StockCount[Part Name],$A19,T_StockCount[WeekIndex],72),IF(('T_SelfStock'!BU23&lt;&gt;""),'T_SelfStock'!BU23,BT19-'Grid_Requirement'!BU19+'Grid_TTAFOutgoing'!BU19))</f>
        <v/>
      </c>
      <c r="BV19">
        <f>IF(COUNTIFS(T_StockCount[Part Name],$A19,T_StockCount[WeekIndex],73)&gt;0,SUMIFS(T_StockCount[CountedQty],T_StockCount[Part Name],$A19,T_StockCount[WeekIndex],73),IF(('T_SelfStock'!BV23&lt;&gt;""),'T_SelfStock'!BV23,BU19-'Grid_Requirement'!BV19+'Grid_TTAFOutgoing'!BV19))</f>
        <v/>
      </c>
      <c r="BW19">
        <f>IF(COUNTIFS(T_StockCount[Part Name],$A19,T_StockCount[WeekIndex],74)&gt;0,SUMIFS(T_StockCount[CountedQty],T_StockCount[Part Name],$A19,T_StockCount[WeekIndex],74),IF(('T_SelfStock'!BW23&lt;&gt;""),'T_SelfStock'!BW23,BV19-'Grid_Requirement'!BW19+'Grid_TTAFOutgoing'!BW19))</f>
        <v/>
      </c>
      <c r="BX19">
        <f>IF(COUNTIFS(T_StockCount[Part Name],$A19,T_StockCount[WeekIndex],75)&gt;0,SUMIFS(T_StockCount[CountedQty],T_StockCount[Part Name],$A19,T_StockCount[WeekIndex],75),IF(('T_SelfStock'!BX23&lt;&gt;""),'T_SelfStock'!BX23,BW19-'Grid_Requirement'!BX19+'Grid_TTAFOutgoing'!BX19))</f>
        <v/>
      </c>
      <c r="BY19">
        <f>IF(COUNTIFS(T_StockCount[Part Name],$A19,T_StockCount[WeekIndex],76)&gt;0,SUMIFS(T_StockCount[CountedQty],T_StockCount[Part Name],$A19,T_StockCount[WeekIndex],76),IF(('T_SelfStock'!BY23&lt;&gt;""),'T_SelfStock'!BY23,BX19-'Grid_Requirement'!BY19+'Grid_TTAFOutgoing'!BY19))</f>
        <v/>
      </c>
      <c r="BZ19">
        <f>IF(COUNTIFS(T_StockCount[Part Name],$A19,T_StockCount[WeekIndex],77)&gt;0,SUMIFS(T_StockCount[CountedQty],T_StockCount[Part Name],$A19,T_StockCount[WeekIndex],77),IF(('T_SelfStock'!BZ23&lt;&gt;""),'T_SelfStock'!BZ23,BY19-'Grid_Requirement'!BZ19+'Grid_TTAFOutgoing'!BZ19))</f>
        <v/>
      </c>
      <c r="CA19">
        <f>IF(COUNTIFS(T_StockCount[Part Name],$A19,T_StockCount[WeekIndex],78)&gt;0,SUMIFS(T_StockCount[CountedQty],T_StockCount[Part Name],$A19,T_StockCount[WeekIndex],78),IF(('T_SelfStock'!CA23&lt;&gt;""),'T_SelfStock'!CA23,BZ19-'Grid_Requirement'!CA19+'Grid_TTAFOutgoing'!CA19))</f>
        <v/>
      </c>
      <c r="CB19">
        <f>IF(COUNTIFS(T_StockCount[Part Name],$A19,T_StockCount[WeekIndex],79)&gt;0,SUMIFS(T_StockCount[CountedQty],T_StockCount[Part Name],$A19,T_StockCount[WeekIndex],79),IF(('T_SelfStock'!CB23&lt;&gt;""),'T_SelfStock'!CB23,CA19-'Grid_Requirement'!CB19+'Grid_TTAFOutgoing'!CB19))</f>
        <v/>
      </c>
      <c r="CC19">
        <f>IF(COUNTIFS(T_StockCount[Part Name],$A19,T_StockCount[WeekIndex],80)&gt;0,SUMIFS(T_StockCount[CountedQty],T_StockCount[Part Name],$A19,T_StockCount[WeekIndex],80),IF(('T_SelfStock'!CC23&lt;&gt;""),'T_SelfStock'!CC23,CB19-'Grid_Requirement'!CC19+'Grid_TTAFOutgoing'!CC19))</f>
        <v/>
      </c>
      <c r="CD19">
        <f>IF(COUNTIFS(T_StockCount[Part Name],$A19,T_StockCount[WeekIndex],81)&gt;0,SUMIFS(T_StockCount[CountedQty],T_StockCount[Part Name],$A19,T_StockCount[WeekIndex],81),IF(('T_SelfStock'!CD23&lt;&gt;""),'T_SelfStock'!CD23,CC19-'Grid_Requirement'!CD19+'Grid_TTAFOutgoing'!CD19))</f>
        <v/>
      </c>
      <c r="CE19">
        <f>IF(COUNTIFS(T_StockCount[Part Name],$A19,T_StockCount[WeekIndex],82)&gt;0,SUMIFS(T_StockCount[CountedQty],T_StockCount[Part Name],$A19,T_StockCount[WeekIndex],82),IF(('T_SelfStock'!CE23&lt;&gt;""),'T_SelfStock'!CE23,CD19-'Grid_Requirement'!CE19+'Grid_TTAFOutgoing'!CE19))</f>
        <v/>
      </c>
      <c r="CF19">
        <f>IF(COUNTIFS(T_StockCount[Part Name],$A19,T_StockCount[WeekIndex],83)&gt;0,SUMIFS(T_StockCount[CountedQty],T_StockCount[Part Name],$A19,T_StockCount[WeekIndex],83),IF(('T_SelfStock'!CF23&lt;&gt;""),'T_SelfStock'!CF23,CE19-'Grid_Requirement'!CF19+'Grid_TTAFOutgoing'!CF19))</f>
        <v/>
      </c>
      <c r="CG19">
        <f>IF(COUNTIFS(T_StockCount[Part Name],$A19,T_StockCount[WeekIndex],84)&gt;0,SUMIFS(T_StockCount[CountedQty],T_StockCount[Part Name],$A19,T_StockCount[WeekIndex],84),IF(('T_SelfStock'!CG23&lt;&gt;""),'T_SelfStock'!CG23,CF19-'Grid_Requirement'!CG19+'Grid_TTAFOutgoing'!CG19))</f>
        <v/>
      </c>
      <c r="CH19">
        <f>IF(COUNTIFS(T_StockCount[Part Name],$A19,T_StockCount[WeekIndex],85)&gt;0,SUMIFS(T_StockCount[CountedQty],T_StockCount[Part Name],$A19,T_StockCount[WeekIndex],85),IF(('T_SelfStock'!CH23&lt;&gt;""),'T_SelfStock'!CH23,CG19-'Grid_Requirement'!CH19+'Grid_TTAFOutgoing'!CH19))</f>
        <v/>
      </c>
      <c r="CI19">
        <f>IF(COUNTIFS(T_StockCount[Part Name],$A19,T_StockCount[WeekIndex],86)&gt;0,SUMIFS(T_StockCount[CountedQty],T_StockCount[Part Name],$A19,T_StockCount[WeekIndex],86),IF(('T_SelfStock'!CI23&lt;&gt;""),'T_SelfStock'!CI23,CH19-'Grid_Requirement'!CI19+'Grid_TTAFOutgoing'!CI19))</f>
        <v/>
      </c>
      <c r="CJ19">
        <f>IF(COUNTIFS(T_StockCount[Part Name],$A19,T_StockCount[WeekIndex],87)&gt;0,SUMIFS(T_StockCount[CountedQty],T_StockCount[Part Name],$A19,T_StockCount[WeekIndex],87),IF(('T_SelfStock'!CJ23&lt;&gt;""),'T_SelfStock'!CJ23,CI19-'Grid_Requirement'!CJ19+'Grid_TTAFOutgoing'!CJ19))</f>
        <v/>
      </c>
      <c r="CK19">
        <f>IF(COUNTIFS(T_StockCount[Part Name],$A19,T_StockCount[WeekIndex],88)&gt;0,SUMIFS(T_StockCount[CountedQty],T_StockCount[Part Name],$A19,T_StockCount[WeekIndex],88),IF(('T_SelfStock'!CK23&lt;&gt;""),'T_SelfStock'!CK23,CJ19-'Grid_Requirement'!CK19+'Grid_TTAFOutgoing'!CK19))</f>
        <v/>
      </c>
      <c r="CL19">
        <f>IF(COUNTIFS(T_StockCount[Part Name],$A19,T_StockCount[WeekIndex],89)&gt;0,SUMIFS(T_StockCount[CountedQty],T_StockCount[Part Name],$A19,T_StockCount[WeekIndex],89),IF(('T_SelfStock'!CL23&lt;&gt;""),'T_SelfStock'!CL23,CK19-'Grid_Requirement'!CL19+'Grid_TTAFOutgoing'!CL19))</f>
        <v/>
      </c>
      <c r="CM19">
        <f>IF(COUNTIFS(T_StockCount[Part Name],$A19,T_StockCount[WeekIndex],90)&gt;0,SUMIFS(T_StockCount[CountedQty],T_StockCount[Part Name],$A19,T_StockCount[WeekIndex],90),IF(('T_SelfStock'!CM23&lt;&gt;""),'T_SelfStock'!CM23,CL19-'Grid_Requirement'!CM19+'Grid_TTAFOutgoing'!CM19))</f>
        <v/>
      </c>
      <c r="CN19">
        <f>IF(COUNTIFS(T_StockCount[Part Name],$A19,T_StockCount[WeekIndex],91)&gt;0,SUMIFS(T_StockCount[CountedQty],T_StockCount[Part Name],$A19,T_StockCount[WeekIndex],91),IF(('T_SelfStock'!CN23&lt;&gt;""),'T_SelfStock'!CN23,CM19-'Grid_Requirement'!CN19+'Grid_TTAFOutgoing'!CN19))</f>
        <v/>
      </c>
      <c r="CO19">
        <f>IF(COUNTIFS(T_StockCount[Part Name],$A19,T_StockCount[WeekIndex],92)&gt;0,SUMIFS(T_StockCount[CountedQty],T_StockCount[Part Name],$A19,T_StockCount[WeekIndex],92),IF(('T_SelfStock'!CO23&lt;&gt;""),'T_SelfStock'!CO23,CN19-'Grid_Requirement'!CO19+'Grid_TTAFOutgoing'!CO19))</f>
        <v/>
      </c>
      <c r="CP19">
        <f>IF(COUNTIFS(T_StockCount[Part Name],$A19,T_StockCount[WeekIndex],93)&gt;0,SUMIFS(T_StockCount[CountedQty],T_StockCount[Part Name],$A19,T_StockCount[WeekIndex],93),IF(('T_SelfStock'!CP23&lt;&gt;""),'T_SelfStock'!CP23,CO19-'Grid_Requirement'!CP19+'Grid_TTAFOutgoing'!CP19))</f>
        <v/>
      </c>
      <c r="CQ19">
        <f>IF(COUNTIFS(T_StockCount[Part Name],$A19,T_StockCount[WeekIndex],94)&gt;0,SUMIFS(T_StockCount[CountedQty],T_StockCount[Part Name],$A19,T_StockCount[WeekIndex],94),IF(('T_SelfStock'!CQ23&lt;&gt;""),'T_SelfStock'!CQ23,CP19-'Grid_Requirement'!CQ19+'Grid_TTAFOutgoing'!CQ19))</f>
        <v/>
      </c>
      <c r="CR19">
        <f>IF(COUNTIFS(T_StockCount[Part Name],$A19,T_StockCount[WeekIndex],95)&gt;0,SUMIFS(T_StockCount[CountedQty],T_StockCount[Part Name],$A19,T_StockCount[WeekIndex],95),IF(('T_SelfStock'!CR23&lt;&gt;""),'T_SelfStock'!CR23,CQ19-'Grid_Requirement'!CR19+'Grid_TTAFOutgoing'!CR19))</f>
        <v/>
      </c>
      <c r="CS19">
        <f>IF(COUNTIFS(T_StockCount[Part Name],$A19,T_StockCount[WeekIndex],96)&gt;0,SUMIFS(T_StockCount[CountedQty],T_StockCount[Part Name],$A19,T_StockCount[WeekIndex],96),IF(('T_SelfStock'!CS23&lt;&gt;""),'T_SelfStock'!CS23,CR19-'Grid_Requirement'!CS19+'Grid_TTAFOutgoing'!CS19))</f>
        <v/>
      </c>
      <c r="CT19">
        <f>IF(COUNTIFS(T_StockCount[Part Name],$A19,T_StockCount[WeekIndex],97)&gt;0,SUMIFS(T_StockCount[CountedQty],T_StockCount[Part Name],$A19,T_StockCount[WeekIndex],97),IF(('T_SelfStock'!CT23&lt;&gt;""),'T_SelfStock'!CT23,CS19-'Grid_Requirement'!CT19+'Grid_TTAFOutgoing'!CT19))</f>
        <v/>
      </c>
      <c r="CU19">
        <f>IF(COUNTIFS(T_StockCount[Part Name],$A19,T_StockCount[WeekIndex],98)&gt;0,SUMIFS(T_StockCount[CountedQty],T_StockCount[Part Name],$A19,T_StockCount[WeekIndex],98),IF(('T_SelfStock'!CU23&lt;&gt;""),'T_SelfStock'!CU23,CT19-'Grid_Requirement'!CU19+'Grid_TTAFOutgoing'!CU19))</f>
        <v/>
      </c>
      <c r="CV19">
        <f>IF(COUNTIFS(T_StockCount[Part Name],$A19,T_StockCount[WeekIndex],99)&gt;0,SUMIFS(T_StockCount[CountedQty],T_StockCount[Part Name],$A19,T_StockCount[WeekIndex],99),IF(('T_SelfStock'!CV23&lt;&gt;""),'T_SelfStock'!CV23,CU19-'Grid_Requirement'!CV19+'Grid_TTAFOutgoing'!CV19))</f>
        <v/>
      </c>
      <c r="CW19">
        <f>IF(COUNTIFS(T_StockCount[Part Name],$A19,T_StockCount[WeekIndex],100)&gt;0,SUMIFS(T_StockCount[CountedQty],T_StockCount[Part Name],$A19,T_StockCount[WeekIndex],100),IF(('T_SelfStock'!CW23&lt;&gt;""),'T_SelfStock'!CW23,CV19-'Grid_Requirement'!CW19+'Grid_TTAFOutgoing'!CW19))</f>
        <v/>
      </c>
      <c r="CX19">
        <f>IF(COUNTIFS(T_StockCount[Part Name],$A19,T_StockCount[WeekIndex],101)&gt;0,SUMIFS(T_StockCount[CountedQty],T_StockCount[Part Name],$A19,T_StockCount[WeekIndex],101),IF(('T_SelfStock'!CX23&lt;&gt;""),'T_SelfStock'!CX23,CW19-'Grid_Requirement'!CX19+'Grid_TTAFOutgoing'!CX19))</f>
        <v/>
      </c>
      <c r="CY19">
        <f>IF(COUNTIFS(T_StockCount[Part Name],$A19,T_StockCount[WeekIndex],102)&gt;0,SUMIFS(T_StockCount[CountedQty],T_StockCount[Part Name],$A19,T_StockCount[WeekIndex],102),IF(('T_SelfStock'!CY23&lt;&gt;""),'T_SelfStock'!CY23,CX19-'Grid_Requirement'!CY19+'Grid_TTAFOutgoing'!CY19))</f>
        <v/>
      </c>
      <c r="CZ19">
        <f>IF(COUNTIFS(T_StockCount[Part Name],$A19,T_StockCount[WeekIndex],103)&gt;0,SUMIFS(T_StockCount[CountedQty],T_StockCount[Part Name],$A19,T_StockCount[WeekIndex],103),IF(('T_SelfStock'!CZ23&lt;&gt;""),'T_SelfStock'!CZ23,CY19-'Grid_Requirement'!CZ19+'Grid_TTAFOutgoing'!CZ19))</f>
        <v/>
      </c>
      <c r="DA19">
        <f>IF(COUNTIFS(T_StockCount[Part Name],$A19,T_StockCount[WeekIndex],104)&gt;0,SUMIFS(T_StockCount[CountedQty],T_StockCount[Part Name],$A19,T_StockCount[WeekIndex],104),IF(('T_SelfStock'!DA23&lt;&gt;""),'T_SelfStock'!DA23,CZ19-'Grid_Requirement'!DA19+'Grid_TTAFOutgoing'!DA19))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Name],$A20,T_StockCount[WeekIndex],1),IF(('T_SelfStock'!B24&lt;&gt;""),'T_SelfStock'!B24,IFERROR(INDEX(T_OpeningStock[Opening_Qty],MATCH($A20,T_OpeningStock[Part Name],0)),0)-'Grid_Requirement'!B20+'Grid_TTAFOutgoing'!B20))</f>
        <v/>
      </c>
      <c r="C20">
        <f>IF(COUNTIFS(T_StockCount[Part Name],$A20,T_StockCount[WeekIndex],2)&gt;0,SUMIFS(T_StockCount[CountedQty],T_StockCount[Part Name],$A20,T_StockCount[WeekIndex],2),IF(('T_SelfStock'!C24&lt;&gt;""),'T_SelfStock'!C24,B20-'Grid_Requirement'!C20+'Grid_TTAFOutgoing'!C20))</f>
        <v/>
      </c>
      <c r="D20">
        <f>IF(COUNTIFS(T_StockCount[Part Name],$A20,T_StockCount[WeekIndex],3)&gt;0,SUMIFS(T_StockCount[CountedQty],T_StockCount[Part Name],$A20,T_StockCount[WeekIndex],3),IF(('T_SelfStock'!D24&lt;&gt;""),'T_SelfStock'!D24,C20-'Grid_Requirement'!D20+'Grid_TTAFOutgoing'!D20))</f>
        <v/>
      </c>
      <c r="E20">
        <f>IF(COUNTIFS(T_StockCount[Part Name],$A20,T_StockCount[WeekIndex],4)&gt;0,SUMIFS(T_StockCount[CountedQty],T_StockCount[Part Name],$A20,T_StockCount[WeekIndex],4),IF(('T_SelfStock'!E24&lt;&gt;""),'T_SelfStock'!E24,D20-'Grid_Requirement'!E20+'Grid_TTAFOutgoing'!E20))</f>
        <v/>
      </c>
      <c r="F20">
        <f>IF(COUNTIFS(T_StockCount[Part Name],$A20,T_StockCount[WeekIndex],5)&gt;0,SUMIFS(T_StockCount[CountedQty],T_StockCount[Part Name],$A20,T_StockCount[WeekIndex],5),IF(('T_SelfStock'!F24&lt;&gt;""),'T_SelfStock'!F24,E20-'Grid_Requirement'!F20+'Grid_TTAFOutgoing'!F20))</f>
        <v/>
      </c>
      <c r="G20">
        <f>IF(COUNTIFS(T_StockCount[Part Name],$A20,T_StockCount[WeekIndex],6)&gt;0,SUMIFS(T_StockCount[CountedQty],T_StockCount[Part Name],$A20,T_StockCount[WeekIndex],6),IF(('T_SelfStock'!G24&lt;&gt;""),'T_SelfStock'!G24,F20-'Grid_Requirement'!G20+'Grid_TTAFOutgoing'!G20))</f>
        <v/>
      </c>
      <c r="H20">
        <f>IF(COUNTIFS(T_StockCount[Part Name],$A20,T_StockCount[WeekIndex],7)&gt;0,SUMIFS(T_StockCount[CountedQty],T_StockCount[Part Name],$A20,T_StockCount[WeekIndex],7),IF(('T_SelfStock'!H24&lt;&gt;""),'T_SelfStock'!H24,G20-'Grid_Requirement'!H20+'Grid_TTAFOutgoing'!H20))</f>
        <v/>
      </c>
      <c r="I20">
        <f>IF(COUNTIFS(T_StockCount[Part Name],$A20,T_StockCount[WeekIndex],8)&gt;0,SUMIFS(T_StockCount[CountedQty],T_StockCount[Part Name],$A20,T_StockCount[WeekIndex],8),IF(('T_SelfStock'!I24&lt;&gt;""),'T_SelfStock'!I24,H20-'Grid_Requirement'!I20+'Grid_TTAFOutgoing'!I20))</f>
        <v/>
      </c>
      <c r="J20">
        <f>IF(COUNTIFS(T_StockCount[Part Name],$A20,T_StockCount[WeekIndex],9)&gt;0,SUMIFS(T_StockCount[CountedQty],T_StockCount[Part Name],$A20,T_StockCount[WeekIndex],9),IF(('T_SelfStock'!J24&lt;&gt;""),'T_SelfStock'!J24,I20-'Grid_Requirement'!J20+'Grid_TTAFOutgoing'!J20))</f>
        <v/>
      </c>
      <c r="K20">
        <f>IF(COUNTIFS(T_StockCount[Part Name],$A20,T_StockCount[WeekIndex],10)&gt;0,SUMIFS(T_StockCount[CountedQty],T_StockCount[Part Name],$A20,T_StockCount[WeekIndex],10),IF(('T_SelfStock'!K24&lt;&gt;""),'T_SelfStock'!K24,J20-'Grid_Requirement'!K20+'Grid_TTAFOutgoing'!K20))</f>
        <v/>
      </c>
      <c r="L20">
        <f>IF(COUNTIFS(T_StockCount[Part Name],$A20,T_StockCount[WeekIndex],11)&gt;0,SUMIFS(T_StockCount[CountedQty],T_StockCount[Part Name],$A20,T_StockCount[WeekIndex],11),IF(('T_SelfStock'!L24&lt;&gt;""),'T_SelfStock'!L24,K20-'Grid_Requirement'!L20+'Grid_TTAFOutgoing'!L20))</f>
        <v/>
      </c>
      <c r="M20">
        <f>IF(COUNTIFS(T_StockCount[Part Name],$A20,T_StockCount[WeekIndex],12)&gt;0,SUMIFS(T_StockCount[CountedQty],T_StockCount[Part Name],$A20,T_StockCount[WeekIndex],12),IF(('T_SelfStock'!M24&lt;&gt;""),'T_SelfStock'!M24,L20-'Grid_Requirement'!M20+'Grid_TTAFOutgoing'!M20))</f>
        <v/>
      </c>
      <c r="N20">
        <f>IF(COUNTIFS(T_StockCount[Part Name],$A20,T_StockCount[WeekIndex],13)&gt;0,SUMIFS(T_StockCount[CountedQty],T_StockCount[Part Name],$A20,T_StockCount[WeekIndex],13),IF(('T_SelfStock'!N24&lt;&gt;""),'T_SelfStock'!N24,M20-'Grid_Requirement'!N20+'Grid_TTAFOutgoing'!N20))</f>
        <v/>
      </c>
      <c r="O20">
        <f>IF(COUNTIFS(T_StockCount[Part Name],$A20,T_StockCount[WeekIndex],14)&gt;0,SUMIFS(T_StockCount[CountedQty],T_StockCount[Part Name],$A20,T_StockCount[WeekIndex],14),IF(('T_SelfStock'!O24&lt;&gt;""),'T_SelfStock'!O24,N20-'Grid_Requirement'!O20+'Grid_TTAFOutgoing'!O20))</f>
        <v/>
      </c>
      <c r="P20">
        <f>IF(COUNTIFS(T_StockCount[Part Name],$A20,T_StockCount[WeekIndex],15)&gt;0,SUMIFS(T_StockCount[CountedQty],T_StockCount[Part Name],$A20,T_StockCount[WeekIndex],15),IF(('T_SelfStock'!P24&lt;&gt;""),'T_SelfStock'!P24,O20-'Grid_Requirement'!P20+'Grid_TTAFOutgoing'!P20))</f>
        <v/>
      </c>
      <c r="Q20">
        <f>IF(COUNTIFS(T_StockCount[Part Name],$A20,T_StockCount[WeekIndex],16)&gt;0,SUMIFS(T_StockCount[CountedQty],T_StockCount[Part Name],$A20,T_StockCount[WeekIndex],16),IF(('T_SelfStock'!Q24&lt;&gt;""),'T_SelfStock'!Q24,P20-'Grid_Requirement'!Q20+'Grid_TTAFOutgoing'!Q20))</f>
        <v/>
      </c>
      <c r="R20">
        <f>IF(COUNTIFS(T_StockCount[Part Name],$A20,T_StockCount[WeekIndex],17)&gt;0,SUMIFS(T_StockCount[CountedQty],T_StockCount[Part Name],$A20,T_StockCount[WeekIndex],17),IF(('T_SelfStock'!R24&lt;&gt;""),'T_SelfStock'!R24,Q20-'Grid_Requirement'!R20+'Grid_TTAFOutgoing'!R20))</f>
        <v/>
      </c>
      <c r="S20">
        <f>IF(COUNTIFS(T_StockCount[Part Name],$A20,T_StockCount[WeekIndex],18)&gt;0,SUMIFS(T_StockCount[CountedQty],T_StockCount[Part Name],$A20,T_StockCount[WeekIndex],18),IF(('T_SelfStock'!S24&lt;&gt;""),'T_SelfStock'!S24,R20-'Grid_Requirement'!S20+'Grid_TTAFOutgoing'!S20))</f>
        <v/>
      </c>
      <c r="T20">
        <f>IF(COUNTIFS(T_StockCount[Part Name],$A20,T_StockCount[WeekIndex],19)&gt;0,SUMIFS(T_StockCount[CountedQty],T_StockCount[Part Name],$A20,T_StockCount[WeekIndex],19),IF(('T_SelfStock'!T24&lt;&gt;""),'T_SelfStock'!T24,S20-'Grid_Requirement'!T20+'Grid_TTAFOutgoing'!T20))</f>
        <v/>
      </c>
      <c r="U20">
        <f>IF(COUNTIFS(T_StockCount[Part Name],$A20,T_StockCount[WeekIndex],20)&gt;0,SUMIFS(T_StockCount[CountedQty],T_StockCount[Part Name],$A20,T_StockCount[WeekIndex],20),IF(('T_SelfStock'!U24&lt;&gt;""),'T_SelfStock'!U24,T20-'Grid_Requirement'!U20+'Grid_TTAFOutgoing'!U20))</f>
        <v/>
      </c>
      <c r="V20">
        <f>IF(COUNTIFS(T_StockCount[Part Name],$A20,T_StockCount[WeekIndex],21)&gt;0,SUMIFS(T_StockCount[CountedQty],T_StockCount[Part Name],$A20,T_StockCount[WeekIndex],21),IF(('T_SelfStock'!V24&lt;&gt;""),'T_SelfStock'!V24,U20-'Grid_Requirement'!V20+'Grid_TTAFOutgoing'!V20))</f>
        <v/>
      </c>
      <c r="W20">
        <f>IF(COUNTIFS(T_StockCount[Part Name],$A20,T_StockCount[WeekIndex],22)&gt;0,SUMIFS(T_StockCount[CountedQty],T_StockCount[Part Name],$A20,T_StockCount[WeekIndex],22),IF(('T_SelfStock'!W24&lt;&gt;""),'T_SelfStock'!W24,V20-'Grid_Requirement'!W20+'Grid_TTAFOutgoing'!W20))</f>
        <v/>
      </c>
      <c r="X20">
        <f>IF(COUNTIFS(T_StockCount[Part Name],$A20,T_StockCount[WeekIndex],23)&gt;0,SUMIFS(T_StockCount[CountedQty],T_StockCount[Part Name],$A20,T_StockCount[WeekIndex],23),IF(('T_SelfStock'!X24&lt;&gt;""),'T_SelfStock'!X24,W20-'Grid_Requirement'!X20+'Grid_TTAFOutgoing'!X20))</f>
        <v/>
      </c>
      <c r="Y20">
        <f>IF(COUNTIFS(T_StockCount[Part Name],$A20,T_StockCount[WeekIndex],24)&gt;0,SUMIFS(T_StockCount[CountedQty],T_StockCount[Part Name],$A20,T_StockCount[WeekIndex],24),IF(('T_SelfStock'!Y24&lt;&gt;""),'T_SelfStock'!Y24,X20-'Grid_Requirement'!Y20+'Grid_TTAFOutgoing'!Y20))</f>
        <v/>
      </c>
      <c r="Z20">
        <f>IF(COUNTIFS(T_StockCount[Part Name],$A20,T_StockCount[WeekIndex],25)&gt;0,SUMIFS(T_StockCount[CountedQty],T_StockCount[Part Name],$A20,T_StockCount[WeekIndex],25),IF(('T_SelfStock'!Z24&lt;&gt;""),'T_SelfStock'!Z24,Y20-'Grid_Requirement'!Z20+'Grid_TTAFOutgoing'!Z20))</f>
        <v/>
      </c>
      <c r="AA20">
        <f>IF(COUNTIFS(T_StockCount[Part Name],$A20,T_StockCount[WeekIndex],26)&gt;0,SUMIFS(T_StockCount[CountedQty],T_StockCount[Part Name],$A20,T_StockCount[WeekIndex],26),IF(('T_SelfStock'!AA24&lt;&gt;""),'T_SelfStock'!AA24,Z20-'Grid_Requirement'!AA20+'Grid_TTAFOutgoing'!AA20))</f>
        <v/>
      </c>
      <c r="AB20">
        <f>IF(COUNTIFS(T_StockCount[Part Name],$A20,T_StockCount[WeekIndex],27)&gt;0,SUMIFS(T_StockCount[CountedQty],T_StockCount[Part Name],$A20,T_StockCount[WeekIndex],27),IF(('T_SelfStock'!AB24&lt;&gt;""),'T_SelfStock'!AB24,AA20-'Grid_Requirement'!AB20+'Grid_TTAFOutgoing'!AB20))</f>
        <v/>
      </c>
      <c r="AC20">
        <f>IF(COUNTIFS(T_StockCount[Part Name],$A20,T_StockCount[WeekIndex],28)&gt;0,SUMIFS(T_StockCount[CountedQty],T_StockCount[Part Name],$A20,T_StockCount[WeekIndex],28),IF(('T_SelfStock'!AC24&lt;&gt;""),'T_SelfStock'!AC24,AB20-'Grid_Requirement'!AC20+'Grid_TTAFOutgoing'!AC20))</f>
        <v/>
      </c>
      <c r="AD20">
        <f>IF(COUNTIFS(T_StockCount[Part Name],$A20,T_StockCount[WeekIndex],29)&gt;0,SUMIFS(T_StockCount[CountedQty],T_StockCount[Part Name],$A20,T_StockCount[WeekIndex],29),IF(('T_SelfStock'!AD24&lt;&gt;""),'T_SelfStock'!AD24,AC20-'Grid_Requirement'!AD20+'Grid_TTAFOutgoing'!AD20))</f>
        <v/>
      </c>
      <c r="AE20">
        <f>IF(COUNTIFS(T_StockCount[Part Name],$A20,T_StockCount[WeekIndex],30)&gt;0,SUMIFS(T_StockCount[CountedQty],T_StockCount[Part Name],$A20,T_StockCount[WeekIndex],30),IF(('T_SelfStock'!AE24&lt;&gt;""),'T_SelfStock'!AE24,AD20-'Grid_Requirement'!AE20+'Grid_TTAFOutgoing'!AE20))</f>
        <v/>
      </c>
      <c r="AF20">
        <f>IF(COUNTIFS(T_StockCount[Part Name],$A20,T_StockCount[WeekIndex],31)&gt;0,SUMIFS(T_StockCount[CountedQty],T_StockCount[Part Name],$A20,T_StockCount[WeekIndex],31),IF(('T_SelfStock'!AF24&lt;&gt;""),'T_SelfStock'!AF24,AE20-'Grid_Requirement'!AF20+'Grid_TTAFOutgoing'!AF20))</f>
        <v/>
      </c>
      <c r="AG20">
        <f>IF(COUNTIFS(T_StockCount[Part Name],$A20,T_StockCount[WeekIndex],32)&gt;0,SUMIFS(T_StockCount[CountedQty],T_StockCount[Part Name],$A20,T_StockCount[WeekIndex],32),IF(('T_SelfStock'!AG24&lt;&gt;""),'T_SelfStock'!AG24,AF20-'Grid_Requirement'!AG20+'Grid_TTAFOutgoing'!AG20))</f>
        <v/>
      </c>
      <c r="AH20">
        <f>IF(COUNTIFS(T_StockCount[Part Name],$A20,T_StockCount[WeekIndex],33)&gt;0,SUMIFS(T_StockCount[CountedQty],T_StockCount[Part Name],$A20,T_StockCount[WeekIndex],33),IF(('T_SelfStock'!AH24&lt;&gt;""),'T_SelfStock'!AH24,AG20-'Grid_Requirement'!AH20+'Grid_TTAFOutgoing'!AH20))</f>
        <v/>
      </c>
      <c r="AI20">
        <f>IF(COUNTIFS(T_StockCount[Part Name],$A20,T_StockCount[WeekIndex],34)&gt;0,SUMIFS(T_StockCount[CountedQty],T_StockCount[Part Name],$A20,T_StockCount[WeekIndex],34),IF(('T_SelfStock'!AI24&lt;&gt;""),'T_SelfStock'!AI24,AH20-'Grid_Requirement'!AI20+'Grid_TTAFOutgoing'!AI20))</f>
        <v/>
      </c>
      <c r="AJ20">
        <f>IF(COUNTIFS(T_StockCount[Part Name],$A20,T_StockCount[WeekIndex],35)&gt;0,SUMIFS(T_StockCount[CountedQty],T_StockCount[Part Name],$A20,T_StockCount[WeekIndex],35),IF(('T_SelfStock'!AJ24&lt;&gt;""),'T_SelfStock'!AJ24,AI20-'Grid_Requirement'!AJ20+'Grid_TTAFOutgoing'!AJ20))</f>
        <v/>
      </c>
      <c r="AK20">
        <f>IF(COUNTIFS(T_StockCount[Part Name],$A20,T_StockCount[WeekIndex],36)&gt;0,SUMIFS(T_StockCount[CountedQty],T_StockCount[Part Name],$A20,T_StockCount[WeekIndex],36),IF(('T_SelfStock'!AK24&lt;&gt;""),'T_SelfStock'!AK24,AJ20-'Grid_Requirement'!AK20+'Grid_TTAFOutgoing'!AK20))</f>
        <v/>
      </c>
      <c r="AL20">
        <f>IF(COUNTIFS(T_StockCount[Part Name],$A20,T_StockCount[WeekIndex],37)&gt;0,SUMIFS(T_StockCount[CountedQty],T_StockCount[Part Name],$A20,T_StockCount[WeekIndex],37),IF(('T_SelfStock'!AL24&lt;&gt;""),'T_SelfStock'!AL24,AK20-'Grid_Requirement'!AL20+'Grid_TTAFOutgoing'!AL20))</f>
        <v/>
      </c>
      <c r="AM20">
        <f>IF(COUNTIFS(T_StockCount[Part Name],$A20,T_StockCount[WeekIndex],38)&gt;0,SUMIFS(T_StockCount[CountedQty],T_StockCount[Part Name],$A20,T_StockCount[WeekIndex],38),IF(('T_SelfStock'!AM24&lt;&gt;""),'T_SelfStock'!AM24,AL20-'Grid_Requirement'!AM20+'Grid_TTAFOutgoing'!AM20))</f>
        <v/>
      </c>
      <c r="AN20">
        <f>IF(COUNTIFS(T_StockCount[Part Name],$A20,T_StockCount[WeekIndex],39)&gt;0,SUMIFS(T_StockCount[CountedQty],T_StockCount[Part Name],$A20,T_StockCount[WeekIndex],39),IF(('T_SelfStock'!AN24&lt;&gt;""),'T_SelfStock'!AN24,AM20-'Grid_Requirement'!AN20+'Grid_TTAFOutgoing'!AN20))</f>
        <v/>
      </c>
      <c r="AO20">
        <f>IF(COUNTIFS(T_StockCount[Part Name],$A20,T_StockCount[WeekIndex],40)&gt;0,SUMIFS(T_StockCount[CountedQty],T_StockCount[Part Name],$A20,T_StockCount[WeekIndex],40),IF(('T_SelfStock'!AO24&lt;&gt;""),'T_SelfStock'!AO24,AN20-'Grid_Requirement'!AO20+'Grid_TTAFOutgoing'!AO20))</f>
        <v/>
      </c>
      <c r="AP20">
        <f>IF(COUNTIFS(T_StockCount[Part Name],$A20,T_StockCount[WeekIndex],41)&gt;0,SUMIFS(T_StockCount[CountedQty],T_StockCount[Part Name],$A20,T_StockCount[WeekIndex],41),IF(('T_SelfStock'!AP24&lt;&gt;""),'T_SelfStock'!AP24,AO20-'Grid_Requirement'!AP20+'Grid_TTAFOutgoing'!AP20))</f>
        <v/>
      </c>
      <c r="AQ20">
        <f>IF(COUNTIFS(T_StockCount[Part Name],$A20,T_StockCount[WeekIndex],42)&gt;0,SUMIFS(T_StockCount[CountedQty],T_StockCount[Part Name],$A20,T_StockCount[WeekIndex],42),IF(('T_SelfStock'!AQ24&lt;&gt;""),'T_SelfStock'!AQ24,AP20-'Grid_Requirement'!AQ20+'Grid_TTAFOutgoing'!AQ20))</f>
        <v/>
      </c>
      <c r="AR20">
        <f>IF(COUNTIFS(T_StockCount[Part Name],$A20,T_StockCount[WeekIndex],43)&gt;0,SUMIFS(T_StockCount[CountedQty],T_StockCount[Part Name],$A20,T_StockCount[WeekIndex],43),IF(('T_SelfStock'!AR24&lt;&gt;""),'T_SelfStock'!AR24,AQ20-'Grid_Requirement'!AR20+'Grid_TTAFOutgoing'!AR20))</f>
        <v/>
      </c>
      <c r="AS20">
        <f>IF(COUNTIFS(T_StockCount[Part Name],$A20,T_StockCount[WeekIndex],44)&gt;0,SUMIFS(T_StockCount[CountedQty],T_StockCount[Part Name],$A20,T_StockCount[WeekIndex],44),IF(('T_SelfStock'!AS24&lt;&gt;""),'T_SelfStock'!AS24,AR20-'Grid_Requirement'!AS20+'Grid_TTAFOutgoing'!AS20))</f>
        <v/>
      </c>
      <c r="AT20">
        <f>IF(COUNTIFS(T_StockCount[Part Name],$A20,T_StockCount[WeekIndex],45)&gt;0,SUMIFS(T_StockCount[CountedQty],T_StockCount[Part Name],$A20,T_StockCount[WeekIndex],45),IF(('T_SelfStock'!AT24&lt;&gt;""),'T_SelfStock'!AT24,AS20-'Grid_Requirement'!AT20+'Grid_TTAFOutgoing'!AT20))</f>
        <v/>
      </c>
      <c r="AU20">
        <f>IF(COUNTIFS(T_StockCount[Part Name],$A20,T_StockCount[WeekIndex],46)&gt;0,SUMIFS(T_StockCount[CountedQty],T_StockCount[Part Name],$A20,T_StockCount[WeekIndex],46),IF(('T_SelfStock'!AU24&lt;&gt;""),'T_SelfStock'!AU24,AT20-'Grid_Requirement'!AU20+'Grid_TTAFOutgoing'!AU20))</f>
        <v/>
      </c>
      <c r="AV20">
        <f>IF(COUNTIFS(T_StockCount[Part Name],$A20,T_StockCount[WeekIndex],47)&gt;0,SUMIFS(T_StockCount[CountedQty],T_StockCount[Part Name],$A20,T_StockCount[WeekIndex],47),IF(('T_SelfStock'!AV24&lt;&gt;""),'T_SelfStock'!AV24,AU20-'Grid_Requirement'!AV20+'Grid_TTAFOutgoing'!AV20))</f>
        <v/>
      </c>
      <c r="AW20">
        <f>IF(COUNTIFS(T_StockCount[Part Name],$A20,T_StockCount[WeekIndex],48)&gt;0,SUMIFS(T_StockCount[CountedQty],T_StockCount[Part Name],$A20,T_StockCount[WeekIndex],48),IF(('T_SelfStock'!AW24&lt;&gt;""),'T_SelfStock'!AW24,AV20-'Grid_Requirement'!AW20+'Grid_TTAFOutgoing'!AW20))</f>
        <v/>
      </c>
      <c r="AX20">
        <f>IF(COUNTIFS(T_StockCount[Part Name],$A20,T_StockCount[WeekIndex],49)&gt;0,SUMIFS(T_StockCount[CountedQty],T_StockCount[Part Name],$A20,T_StockCount[WeekIndex],49),IF(('T_SelfStock'!AX24&lt;&gt;""),'T_SelfStock'!AX24,AW20-'Grid_Requirement'!AX20+'Grid_TTAFOutgoing'!AX20))</f>
        <v/>
      </c>
      <c r="AY20">
        <f>IF(COUNTIFS(T_StockCount[Part Name],$A20,T_StockCount[WeekIndex],50)&gt;0,SUMIFS(T_StockCount[CountedQty],T_StockCount[Part Name],$A20,T_StockCount[WeekIndex],50),IF(('T_SelfStock'!AY24&lt;&gt;""),'T_SelfStock'!AY24,AX20-'Grid_Requirement'!AY20+'Grid_TTAFOutgoing'!AY20))</f>
        <v/>
      </c>
      <c r="AZ20">
        <f>IF(COUNTIFS(T_StockCount[Part Name],$A20,T_StockCount[WeekIndex],51)&gt;0,SUMIFS(T_StockCount[CountedQty],T_StockCount[Part Name],$A20,T_StockCount[WeekIndex],51),IF(('T_SelfStock'!AZ24&lt;&gt;""),'T_SelfStock'!AZ24,AY20-'Grid_Requirement'!AZ20+'Grid_TTAFOutgoing'!AZ20))</f>
        <v/>
      </c>
      <c r="BA20">
        <f>IF(COUNTIFS(T_StockCount[Part Name],$A20,T_StockCount[WeekIndex],52)&gt;0,SUMIFS(T_StockCount[CountedQty],T_StockCount[Part Name],$A20,T_StockCount[WeekIndex],52),IF(('T_SelfStock'!BA24&lt;&gt;""),'T_SelfStock'!BA24,AZ20-'Grid_Requirement'!BA20+'Grid_TTAFOutgoing'!BA20))</f>
        <v/>
      </c>
      <c r="BB20">
        <f>IF(COUNTIFS(T_StockCount[Part Name],$A20,T_StockCount[WeekIndex],53)&gt;0,SUMIFS(T_StockCount[CountedQty],T_StockCount[Part Name],$A20,T_StockCount[WeekIndex],53),IF(('T_SelfStock'!BB24&lt;&gt;""),'T_SelfStock'!BB24,BA20-'Grid_Requirement'!BB20+'Grid_TTAFOutgoing'!BB20))</f>
        <v/>
      </c>
      <c r="BC20">
        <f>IF(COUNTIFS(T_StockCount[Part Name],$A20,T_StockCount[WeekIndex],54)&gt;0,SUMIFS(T_StockCount[CountedQty],T_StockCount[Part Name],$A20,T_StockCount[WeekIndex],54),IF(('T_SelfStock'!BC24&lt;&gt;""),'T_SelfStock'!BC24,BB20-'Grid_Requirement'!BC20+'Grid_TTAFOutgoing'!BC20))</f>
        <v/>
      </c>
      <c r="BD20">
        <f>IF(COUNTIFS(T_StockCount[Part Name],$A20,T_StockCount[WeekIndex],55)&gt;0,SUMIFS(T_StockCount[CountedQty],T_StockCount[Part Name],$A20,T_StockCount[WeekIndex],55),IF(('T_SelfStock'!BD24&lt;&gt;""),'T_SelfStock'!BD24,BC20-'Grid_Requirement'!BD20+'Grid_TTAFOutgoing'!BD20))</f>
        <v/>
      </c>
      <c r="BE20">
        <f>IF(COUNTIFS(T_StockCount[Part Name],$A20,T_StockCount[WeekIndex],56)&gt;0,SUMIFS(T_StockCount[CountedQty],T_StockCount[Part Name],$A20,T_StockCount[WeekIndex],56),IF(('T_SelfStock'!BE24&lt;&gt;""),'T_SelfStock'!BE24,BD20-'Grid_Requirement'!BE20+'Grid_TTAFOutgoing'!BE20))</f>
        <v/>
      </c>
      <c r="BF20">
        <f>IF(COUNTIFS(T_StockCount[Part Name],$A20,T_StockCount[WeekIndex],57)&gt;0,SUMIFS(T_StockCount[CountedQty],T_StockCount[Part Name],$A20,T_StockCount[WeekIndex],57),IF(('T_SelfStock'!BF24&lt;&gt;""),'T_SelfStock'!BF24,BE20-'Grid_Requirement'!BF20+'Grid_TTAFOutgoing'!BF20))</f>
        <v/>
      </c>
      <c r="BG20">
        <f>IF(COUNTIFS(T_StockCount[Part Name],$A20,T_StockCount[WeekIndex],58)&gt;0,SUMIFS(T_StockCount[CountedQty],T_StockCount[Part Name],$A20,T_StockCount[WeekIndex],58),IF(('T_SelfStock'!BG24&lt;&gt;""),'T_SelfStock'!BG24,BF20-'Grid_Requirement'!BG20+'Grid_TTAFOutgoing'!BG20))</f>
        <v/>
      </c>
      <c r="BH20">
        <f>IF(COUNTIFS(T_StockCount[Part Name],$A20,T_StockCount[WeekIndex],59)&gt;0,SUMIFS(T_StockCount[CountedQty],T_StockCount[Part Name],$A20,T_StockCount[WeekIndex],59),IF(('T_SelfStock'!BH24&lt;&gt;""),'T_SelfStock'!BH24,BG20-'Grid_Requirement'!BH20+'Grid_TTAFOutgoing'!BH20))</f>
        <v/>
      </c>
      <c r="BI20">
        <f>IF(COUNTIFS(T_StockCount[Part Name],$A20,T_StockCount[WeekIndex],60)&gt;0,SUMIFS(T_StockCount[CountedQty],T_StockCount[Part Name],$A20,T_StockCount[WeekIndex],60),IF(('T_SelfStock'!BI24&lt;&gt;""),'T_SelfStock'!BI24,BH20-'Grid_Requirement'!BI20+'Grid_TTAFOutgoing'!BI20))</f>
        <v/>
      </c>
      <c r="BJ20">
        <f>IF(COUNTIFS(T_StockCount[Part Name],$A20,T_StockCount[WeekIndex],61)&gt;0,SUMIFS(T_StockCount[CountedQty],T_StockCount[Part Name],$A20,T_StockCount[WeekIndex],61),IF(('T_SelfStock'!BJ24&lt;&gt;""),'T_SelfStock'!BJ24,BI20-'Grid_Requirement'!BJ20+'Grid_TTAFOutgoing'!BJ20))</f>
        <v/>
      </c>
      <c r="BK20">
        <f>IF(COUNTIFS(T_StockCount[Part Name],$A20,T_StockCount[WeekIndex],62)&gt;0,SUMIFS(T_StockCount[CountedQty],T_StockCount[Part Name],$A20,T_StockCount[WeekIndex],62),IF(('T_SelfStock'!BK24&lt;&gt;""),'T_SelfStock'!BK24,BJ20-'Grid_Requirement'!BK20+'Grid_TTAFOutgoing'!BK20))</f>
        <v/>
      </c>
      <c r="BL20">
        <f>IF(COUNTIFS(T_StockCount[Part Name],$A20,T_StockCount[WeekIndex],63)&gt;0,SUMIFS(T_StockCount[CountedQty],T_StockCount[Part Name],$A20,T_StockCount[WeekIndex],63),IF(('T_SelfStock'!BL24&lt;&gt;""),'T_SelfStock'!BL24,BK20-'Grid_Requirement'!BL20+'Grid_TTAFOutgoing'!BL20))</f>
        <v/>
      </c>
      <c r="BM20">
        <f>IF(COUNTIFS(T_StockCount[Part Name],$A20,T_StockCount[WeekIndex],64)&gt;0,SUMIFS(T_StockCount[CountedQty],T_StockCount[Part Name],$A20,T_StockCount[WeekIndex],64),IF(('T_SelfStock'!BM24&lt;&gt;""),'T_SelfStock'!BM24,BL20-'Grid_Requirement'!BM20+'Grid_TTAFOutgoing'!BM20))</f>
        <v/>
      </c>
      <c r="BN20">
        <f>IF(COUNTIFS(T_StockCount[Part Name],$A20,T_StockCount[WeekIndex],65)&gt;0,SUMIFS(T_StockCount[CountedQty],T_StockCount[Part Name],$A20,T_StockCount[WeekIndex],65),IF(('T_SelfStock'!BN24&lt;&gt;""),'T_SelfStock'!BN24,BM20-'Grid_Requirement'!BN20+'Grid_TTAFOutgoing'!BN20))</f>
        <v/>
      </c>
      <c r="BO20">
        <f>IF(COUNTIFS(T_StockCount[Part Name],$A20,T_StockCount[WeekIndex],66)&gt;0,SUMIFS(T_StockCount[CountedQty],T_StockCount[Part Name],$A20,T_StockCount[WeekIndex],66),IF(('T_SelfStock'!BO24&lt;&gt;""),'T_SelfStock'!BO24,BN20-'Grid_Requirement'!BO20+'Grid_TTAFOutgoing'!BO20))</f>
        <v/>
      </c>
      <c r="BP20">
        <f>IF(COUNTIFS(T_StockCount[Part Name],$A20,T_StockCount[WeekIndex],67)&gt;0,SUMIFS(T_StockCount[CountedQty],T_StockCount[Part Name],$A20,T_StockCount[WeekIndex],67),IF(('T_SelfStock'!BP24&lt;&gt;""),'T_SelfStock'!BP24,BO20-'Grid_Requirement'!BP20+'Grid_TTAFOutgoing'!BP20))</f>
        <v/>
      </c>
      <c r="BQ20">
        <f>IF(COUNTIFS(T_StockCount[Part Name],$A20,T_StockCount[WeekIndex],68)&gt;0,SUMIFS(T_StockCount[CountedQty],T_StockCount[Part Name],$A20,T_StockCount[WeekIndex],68),IF(('T_SelfStock'!BQ24&lt;&gt;""),'T_SelfStock'!BQ24,BP20-'Grid_Requirement'!BQ20+'Grid_TTAFOutgoing'!BQ20))</f>
        <v/>
      </c>
      <c r="BR20">
        <f>IF(COUNTIFS(T_StockCount[Part Name],$A20,T_StockCount[WeekIndex],69)&gt;0,SUMIFS(T_StockCount[CountedQty],T_StockCount[Part Name],$A20,T_StockCount[WeekIndex],69),IF(('T_SelfStock'!BR24&lt;&gt;""),'T_SelfStock'!BR24,BQ20-'Grid_Requirement'!BR20+'Grid_TTAFOutgoing'!BR20))</f>
        <v/>
      </c>
      <c r="BS20">
        <f>IF(COUNTIFS(T_StockCount[Part Name],$A20,T_StockCount[WeekIndex],70)&gt;0,SUMIFS(T_StockCount[CountedQty],T_StockCount[Part Name],$A20,T_StockCount[WeekIndex],70),IF(('T_SelfStock'!BS24&lt;&gt;""),'T_SelfStock'!BS24,BR20-'Grid_Requirement'!BS20+'Grid_TTAFOutgoing'!BS20))</f>
        <v/>
      </c>
      <c r="BT20">
        <f>IF(COUNTIFS(T_StockCount[Part Name],$A20,T_StockCount[WeekIndex],71)&gt;0,SUMIFS(T_StockCount[CountedQty],T_StockCount[Part Name],$A20,T_StockCount[WeekIndex],71),IF(('T_SelfStock'!BT24&lt;&gt;""),'T_SelfStock'!BT24,BS20-'Grid_Requirement'!BT20+'Grid_TTAFOutgoing'!BT20))</f>
        <v/>
      </c>
      <c r="BU20">
        <f>IF(COUNTIFS(T_StockCount[Part Name],$A20,T_StockCount[WeekIndex],72)&gt;0,SUMIFS(T_StockCount[CountedQty],T_StockCount[Part Name],$A20,T_StockCount[WeekIndex],72),IF(('T_SelfStock'!BU24&lt;&gt;""),'T_SelfStock'!BU24,BT20-'Grid_Requirement'!BU20+'Grid_TTAFOutgoing'!BU20))</f>
        <v/>
      </c>
      <c r="BV20">
        <f>IF(COUNTIFS(T_StockCount[Part Name],$A20,T_StockCount[WeekIndex],73)&gt;0,SUMIFS(T_StockCount[CountedQty],T_StockCount[Part Name],$A20,T_StockCount[WeekIndex],73),IF(('T_SelfStock'!BV24&lt;&gt;""),'T_SelfStock'!BV24,BU20-'Grid_Requirement'!BV20+'Grid_TTAFOutgoing'!BV20))</f>
        <v/>
      </c>
      <c r="BW20">
        <f>IF(COUNTIFS(T_StockCount[Part Name],$A20,T_StockCount[WeekIndex],74)&gt;0,SUMIFS(T_StockCount[CountedQty],T_StockCount[Part Name],$A20,T_StockCount[WeekIndex],74),IF(('T_SelfStock'!BW24&lt;&gt;""),'T_SelfStock'!BW24,BV20-'Grid_Requirement'!BW20+'Grid_TTAFOutgoing'!BW20))</f>
        <v/>
      </c>
      <c r="BX20">
        <f>IF(COUNTIFS(T_StockCount[Part Name],$A20,T_StockCount[WeekIndex],75)&gt;0,SUMIFS(T_StockCount[CountedQty],T_StockCount[Part Name],$A20,T_StockCount[WeekIndex],75),IF(('T_SelfStock'!BX24&lt;&gt;""),'T_SelfStock'!BX24,BW20-'Grid_Requirement'!BX20+'Grid_TTAFOutgoing'!BX20))</f>
        <v/>
      </c>
      <c r="BY20">
        <f>IF(COUNTIFS(T_StockCount[Part Name],$A20,T_StockCount[WeekIndex],76)&gt;0,SUMIFS(T_StockCount[CountedQty],T_StockCount[Part Name],$A20,T_StockCount[WeekIndex],76),IF(('T_SelfStock'!BY24&lt;&gt;""),'T_SelfStock'!BY24,BX20-'Grid_Requirement'!BY20+'Grid_TTAFOutgoing'!BY20))</f>
        <v/>
      </c>
      <c r="BZ20">
        <f>IF(COUNTIFS(T_StockCount[Part Name],$A20,T_StockCount[WeekIndex],77)&gt;0,SUMIFS(T_StockCount[CountedQty],T_StockCount[Part Name],$A20,T_StockCount[WeekIndex],77),IF(('T_SelfStock'!BZ24&lt;&gt;""),'T_SelfStock'!BZ24,BY20-'Grid_Requirement'!BZ20+'Grid_TTAFOutgoing'!BZ20))</f>
        <v/>
      </c>
      <c r="CA20">
        <f>IF(COUNTIFS(T_StockCount[Part Name],$A20,T_StockCount[WeekIndex],78)&gt;0,SUMIFS(T_StockCount[CountedQty],T_StockCount[Part Name],$A20,T_StockCount[WeekIndex],78),IF(('T_SelfStock'!CA24&lt;&gt;""),'T_SelfStock'!CA24,BZ20-'Grid_Requirement'!CA20+'Grid_TTAFOutgoing'!CA20))</f>
        <v/>
      </c>
      <c r="CB20">
        <f>IF(COUNTIFS(T_StockCount[Part Name],$A20,T_StockCount[WeekIndex],79)&gt;0,SUMIFS(T_StockCount[CountedQty],T_StockCount[Part Name],$A20,T_StockCount[WeekIndex],79),IF(('T_SelfStock'!CB24&lt;&gt;""),'T_SelfStock'!CB24,CA20-'Grid_Requirement'!CB20+'Grid_TTAFOutgoing'!CB20))</f>
        <v/>
      </c>
      <c r="CC20">
        <f>IF(COUNTIFS(T_StockCount[Part Name],$A20,T_StockCount[WeekIndex],80)&gt;0,SUMIFS(T_StockCount[CountedQty],T_StockCount[Part Name],$A20,T_StockCount[WeekIndex],80),IF(('T_SelfStock'!CC24&lt;&gt;""),'T_SelfStock'!CC24,CB20-'Grid_Requirement'!CC20+'Grid_TTAFOutgoing'!CC20))</f>
        <v/>
      </c>
      <c r="CD20">
        <f>IF(COUNTIFS(T_StockCount[Part Name],$A20,T_StockCount[WeekIndex],81)&gt;0,SUMIFS(T_StockCount[CountedQty],T_StockCount[Part Name],$A20,T_StockCount[WeekIndex],81),IF(('T_SelfStock'!CD24&lt;&gt;""),'T_SelfStock'!CD24,CC20-'Grid_Requirement'!CD20+'Grid_TTAFOutgoing'!CD20))</f>
        <v/>
      </c>
      <c r="CE20">
        <f>IF(COUNTIFS(T_StockCount[Part Name],$A20,T_StockCount[WeekIndex],82)&gt;0,SUMIFS(T_StockCount[CountedQty],T_StockCount[Part Name],$A20,T_StockCount[WeekIndex],82),IF(('T_SelfStock'!CE24&lt;&gt;""),'T_SelfStock'!CE24,CD20-'Grid_Requirement'!CE20+'Grid_TTAFOutgoing'!CE20))</f>
        <v/>
      </c>
      <c r="CF20">
        <f>IF(COUNTIFS(T_StockCount[Part Name],$A20,T_StockCount[WeekIndex],83)&gt;0,SUMIFS(T_StockCount[CountedQty],T_StockCount[Part Name],$A20,T_StockCount[WeekIndex],83),IF(('T_SelfStock'!CF24&lt;&gt;""),'T_SelfStock'!CF24,CE20-'Grid_Requirement'!CF20+'Grid_TTAFOutgoing'!CF20))</f>
        <v/>
      </c>
      <c r="CG20">
        <f>IF(COUNTIFS(T_StockCount[Part Name],$A20,T_StockCount[WeekIndex],84)&gt;0,SUMIFS(T_StockCount[CountedQty],T_StockCount[Part Name],$A20,T_StockCount[WeekIndex],84),IF(('T_SelfStock'!CG24&lt;&gt;""),'T_SelfStock'!CG24,CF20-'Grid_Requirement'!CG20+'Grid_TTAFOutgoing'!CG20))</f>
        <v/>
      </c>
      <c r="CH20">
        <f>IF(COUNTIFS(T_StockCount[Part Name],$A20,T_StockCount[WeekIndex],85)&gt;0,SUMIFS(T_StockCount[CountedQty],T_StockCount[Part Name],$A20,T_StockCount[WeekIndex],85),IF(('T_SelfStock'!CH24&lt;&gt;""),'T_SelfStock'!CH24,CG20-'Grid_Requirement'!CH20+'Grid_TTAFOutgoing'!CH20))</f>
        <v/>
      </c>
      <c r="CI20">
        <f>IF(COUNTIFS(T_StockCount[Part Name],$A20,T_StockCount[WeekIndex],86)&gt;0,SUMIFS(T_StockCount[CountedQty],T_StockCount[Part Name],$A20,T_StockCount[WeekIndex],86),IF(('T_SelfStock'!CI24&lt;&gt;""),'T_SelfStock'!CI24,CH20-'Grid_Requirement'!CI20+'Grid_TTAFOutgoing'!CI20))</f>
        <v/>
      </c>
      <c r="CJ20">
        <f>IF(COUNTIFS(T_StockCount[Part Name],$A20,T_StockCount[WeekIndex],87)&gt;0,SUMIFS(T_StockCount[CountedQty],T_StockCount[Part Name],$A20,T_StockCount[WeekIndex],87),IF(('T_SelfStock'!CJ24&lt;&gt;""),'T_SelfStock'!CJ24,CI20-'Grid_Requirement'!CJ20+'Grid_TTAFOutgoing'!CJ20))</f>
        <v/>
      </c>
      <c r="CK20">
        <f>IF(COUNTIFS(T_StockCount[Part Name],$A20,T_StockCount[WeekIndex],88)&gt;0,SUMIFS(T_StockCount[CountedQty],T_StockCount[Part Name],$A20,T_StockCount[WeekIndex],88),IF(('T_SelfStock'!CK24&lt;&gt;""),'T_SelfStock'!CK24,CJ20-'Grid_Requirement'!CK20+'Grid_TTAFOutgoing'!CK20))</f>
        <v/>
      </c>
      <c r="CL20">
        <f>IF(COUNTIFS(T_StockCount[Part Name],$A20,T_StockCount[WeekIndex],89)&gt;0,SUMIFS(T_StockCount[CountedQty],T_StockCount[Part Name],$A20,T_StockCount[WeekIndex],89),IF(('T_SelfStock'!CL24&lt;&gt;""),'T_SelfStock'!CL24,CK20-'Grid_Requirement'!CL20+'Grid_TTAFOutgoing'!CL20))</f>
        <v/>
      </c>
      <c r="CM20">
        <f>IF(COUNTIFS(T_StockCount[Part Name],$A20,T_StockCount[WeekIndex],90)&gt;0,SUMIFS(T_StockCount[CountedQty],T_StockCount[Part Name],$A20,T_StockCount[WeekIndex],90),IF(('T_SelfStock'!CM24&lt;&gt;""),'T_SelfStock'!CM24,CL20-'Grid_Requirement'!CM20+'Grid_TTAFOutgoing'!CM20))</f>
        <v/>
      </c>
      <c r="CN20">
        <f>IF(COUNTIFS(T_StockCount[Part Name],$A20,T_StockCount[WeekIndex],91)&gt;0,SUMIFS(T_StockCount[CountedQty],T_StockCount[Part Name],$A20,T_StockCount[WeekIndex],91),IF(('T_SelfStock'!CN24&lt;&gt;""),'T_SelfStock'!CN24,CM20-'Grid_Requirement'!CN20+'Grid_TTAFOutgoing'!CN20))</f>
        <v/>
      </c>
      <c r="CO20">
        <f>IF(COUNTIFS(T_StockCount[Part Name],$A20,T_StockCount[WeekIndex],92)&gt;0,SUMIFS(T_StockCount[CountedQty],T_StockCount[Part Name],$A20,T_StockCount[WeekIndex],92),IF(('T_SelfStock'!CO24&lt;&gt;""),'T_SelfStock'!CO24,CN20-'Grid_Requirement'!CO20+'Grid_TTAFOutgoing'!CO20))</f>
        <v/>
      </c>
      <c r="CP20">
        <f>IF(COUNTIFS(T_StockCount[Part Name],$A20,T_StockCount[WeekIndex],93)&gt;0,SUMIFS(T_StockCount[CountedQty],T_StockCount[Part Name],$A20,T_StockCount[WeekIndex],93),IF(('T_SelfStock'!CP24&lt;&gt;""),'T_SelfStock'!CP24,CO20-'Grid_Requirement'!CP20+'Grid_TTAFOutgoing'!CP20))</f>
        <v/>
      </c>
      <c r="CQ20">
        <f>IF(COUNTIFS(T_StockCount[Part Name],$A20,T_StockCount[WeekIndex],94)&gt;0,SUMIFS(T_StockCount[CountedQty],T_StockCount[Part Name],$A20,T_StockCount[WeekIndex],94),IF(('T_SelfStock'!CQ24&lt;&gt;""),'T_SelfStock'!CQ24,CP20-'Grid_Requirement'!CQ20+'Grid_TTAFOutgoing'!CQ20))</f>
        <v/>
      </c>
      <c r="CR20">
        <f>IF(COUNTIFS(T_StockCount[Part Name],$A20,T_StockCount[WeekIndex],95)&gt;0,SUMIFS(T_StockCount[CountedQty],T_StockCount[Part Name],$A20,T_StockCount[WeekIndex],95),IF(('T_SelfStock'!CR24&lt;&gt;""),'T_SelfStock'!CR24,CQ20-'Grid_Requirement'!CR20+'Grid_TTAFOutgoing'!CR20))</f>
        <v/>
      </c>
      <c r="CS20">
        <f>IF(COUNTIFS(T_StockCount[Part Name],$A20,T_StockCount[WeekIndex],96)&gt;0,SUMIFS(T_StockCount[CountedQty],T_StockCount[Part Name],$A20,T_StockCount[WeekIndex],96),IF(('T_SelfStock'!CS24&lt;&gt;""),'T_SelfStock'!CS24,CR20-'Grid_Requirement'!CS20+'Grid_TTAFOutgoing'!CS20))</f>
        <v/>
      </c>
      <c r="CT20">
        <f>IF(COUNTIFS(T_StockCount[Part Name],$A20,T_StockCount[WeekIndex],97)&gt;0,SUMIFS(T_StockCount[CountedQty],T_StockCount[Part Name],$A20,T_StockCount[WeekIndex],97),IF(('T_SelfStock'!CT24&lt;&gt;""),'T_SelfStock'!CT24,CS20-'Grid_Requirement'!CT20+'Grid_TTAFOutgoing'!CT20))</f>
        <v/>
      </c>
      <c r="CU20">
        <f>IF(COUNTIFS(T_StockCount[Part Name],$A20,T_StockCount[WeekIndex],98)&gt;0,SUMIFS(T_StockCount[CountedQty],T_StockCount[Part Name],$A20,T_StockCount[WeekIndex],98),IF(('T_SelfStock'!CU24&lt;&gt;""),'T_SelfStock'!CU24,CT20-'Grid_Requirement'!CU20+'Grid_TTAFOutgoing'!CU20))</f>
        <v/>
      </c>
      <c r="CV20">
        <f>IF(COUNTIFS(T_StockCount[Part Name],$A20,T_StockCount[WeekIndex],99)&gt;0,SUMIFS(T_StockCount[CountedQty],T_StockCount[Part Name],$A20,T_StockCount[WeekIndex],99),IF(('T_SelfStock'!CV24&lt;&gt;""),'T_SelfStock'!CV24,CU20-'Grid_Requirement'!CV20+'Grid_TTAFOutgoing'!CV20))</f>
        <v/>
      </c>
      <c r="CW20">
        <f>IF(COUNTIFS(T_StockCount[Part Name],$A20,T_StockCount[WeekIndex],100)&gt;0,SUMIFS(T_StockCount[CountedQty],T_StockCount[Part Name],$A20,T_StockCount[WeekIndex],100),IF(('T_SelfStock'!CW24&lt;&gt;""),'T_SelfStock'!CW24,CV20-'Grid_Requirement'!CW20+'Grid_TTAFOutgoing'!CW20))</f>
        <v/>
      </c>
      <c r="CX20">
        <f>IF(COUNTIFS(T_StockCount[Part Name],$A20,T_StockCount[WeekIndex],101)&gt;0,SUMIFS(T_StockCount[CountedQty],T_StockCount[Part Name],$A20,T_StockCount[WeekIndex],101),IF(('T_SelfStock'!CX24&lt;&gt;""),'T_SelfStock'!CX24,CW20-'Grid_Requirement'!CX20+'Grid_TTAFOutgoing'!CX20))</f>
        <v/>
      </c>
      <c r="CY20">
        <f>IF(COUNTIFS(T_StockCount[Part Name],$A20,T_StockCount[WeekIndex],102)&gt;0,SUMIFS(T_StockCount[CountedQty],T_StockCount[Part Name],$A20,T_StockCount[WeekIndex],102),IF(('T_SelfStock'!CY24&lt;&gt;""),'T_SelfStock'!CY24,CX20-'Grid_Requirement'!CY20+'Grid_TTAFOutgoing'!CY20))</f>
        <v/>
      </c>
      <c r="CZ20">
        <f>IF(COUNTIFS(T_StockCount[Part Name],$A20,T_StockCount[WeekIndex],103)&gt;0,SUMIFS(T_StockCount[CountedQty],T_StockCount[Part Name],$A20,T_StockCount[WeekIndex],103),IF(('T_SelfStock'!CZ24&lt;&gt;""),'T_SelfStock'!CZ24,CY20-'Grid_Requirement'!CZ20+'Grid_TTAFOutgoing'!CZ20))</f>
        <v/>
      </c>
      <c r="DA20">
        <f>IF(COUNTIFS(T_StockCount[Part Name],$A20,T_StockCount[WeekIndex],104)&gt;0,SUMIFS(T_StockCount[CountedQty],T_StockCount[Part Name],$A20,T_StockCount[WeekIndex],104),IF(('T_SelfStock'!DA24&lt;&gt;""),'T_SelfStock'!DA24,CZ20-'Grid_Requirement'!DA20+'Grid_TTAFOutgoing'!DA20))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Name],$A21,T_StockCount[WeekIndex],1),IF(('T_SelfStock'!B25&lt;&gt;""),'T_SelfStock'!B25,IFERROR(INDEX(T_OpeningStock[Opening_Qty],MATCH($A21,T_OpeningStock[Part Name],0)),0)-'Grid_Requirement'!B21+'Grid_TTAFOutgoing'!B21))</f>
        <v/>
      </c>
      <c r="C21">
        <f>IF(COUNTIFS(T_StockCount[Part Name],$A21,T_StockCount[WeekIndex],2)&gt;0,SUMIFS(T_StockCount[CountedQty],T_StockCount[Part Name],$A21,T_StockCount[WeekIndex],2),IF(('T_SelfStock'!C25&lt;&gt;""),'T_SelfStock'!C25,B21-'Grid_Requirement'!C21+'Grid_TTAFOutgoing'!C21))</f>
        <v/>
      </c>
      <c r="D21">
        <f>IF(COUNTIFS(T_StockCount[Part Name],$A21,T_StockCount[WeekIndex],3)&gt;0,SUMIFS(T_StockCount[CountedQty],T_StockCount[Part Name],$A21,T_StockCount[WeekIndex],3),IF(('T_SelfStock'!D25&lt;&gt;""),'T_SelfStock'!D25,C21-'Grid_Requirement'!D21+'Grid_TTAFOutgoing'!D21))</f>
        <v/>
      </c>
      <c r="E21">
        <f>IF(COUNTIFS(T_StockCount[Part Name],$A21,T_StockCount[WeekIndex],4)&gt;0,SUMIFS(T_StockCount[CountedQty],T_StockCount[Part Name],$A21,T_StockCount[WeekIndex],4),IF(('T_SelfStock'!E25&lt;&gt;""),'T_SelfStock'!E25,D21-'Grid_Requirement'!E21+'Grid_TTAFOutgoing'!E21))</f>
        <v/>
      </c>
      <c r="F21">
        <f>IF(COUNTIFS(T_StockCount[Part Name],$A21,T_StockCount[WeekIndex],5)&gt;0,SUMIFS(T_StockCount[CountedQty],T_StockCount[Part Name],$A21,T_StockCount[WeekIndex],5),IF(('T_SelfStock'!F25&lt;&gt;""),'T_SelfStock'!F25,E21-'Grid_Requirement'!F21+'Grid_TTAFOutgoing'!F21))</f>
        <v/>
      </c>
      <c r="G21">
        <f>IF(COUNTIFS(T_StockCount[Part Name],$A21,T_StockCount[WeekIndex],6)&gt;0,SUMIFS(T_StockCount[CountedQty],T_StockCount[Part Name],$A21,T_StockCount[WeekIndex],6),IF(('T_SelfStock'!G25&lt;&gt;""),'T_SelfStock'!G25,F21-'Grid_Requirement'!G21+'Grid_TTAFOutgoing'!G21))</f>
        <v/>
      </c>
      <c r="H21">
        <f>IF(COUNTIFS(T_StockCount[Part Name],$A21,T_StockCount[WeekIndex],7)&gt;0,SUMIFS(T_StockCount[CountedQty],T_StockCount[Part Name],$A21,T_StockCount[WeekIndex],7),IF(('T_SelfStock'!H25&lt;&gt;""),'T_SelfStock'!H25,G21-'Grid_Requirement'!H21+'Grid_TTAFOutgoing'!H21))</f>
        <v/>
      </c>
      <c r="I21">
        <f>IF(COUNTIFS(T_StockCount[Part Name],$A21,T_StockCount[WeekIndex],8)&gt;0,SUMIFS(T_StockCount[CountedQty],T_StockCount[Part Name],$A21,T_StockCount[WeekIndex],8),IF(('T_SelfStock'!I25&lt;&gt;""),'T_SelfStock'!I25,H21-'Grid_Requirement'!I21+'Grid_TTAFOutgoing'!I21))</f>
        <v/>
      </c>
      <c r="J21">
        <f>IF(COUNTIFS(T_StockCount[Part Name],$A21,T_StockCount[WeekIndex],9)&gt;0,SUMIFS(T_StockCount[CountedQty],T_StockCount[Part Name],$A21,T_StockCount[WeekIndex],9),IF(('T_SelfStock'!J25&lt;&gt;""),'T_SelfStock'!J25,I21-'Grid_Requirement'!J21+'Grid_TTAFOutgoing'!J21))</f>
        <v/>
      </c>
      <c r="K21">
        <f>IF(COUNTIFS(T_StockCount[Part Name],$A21,T_StockCount[WeekIndex],10)&gt;0,SUMIFS(T_StockCount[CountedQty],T_StockCount[Part Name],$A21,T_StockCount[WeekIndex],10),IF(('T_SelfStock'!K25&lt;&gt;""),'T_SelfStock'!K25,J21-'Grid_Requirement'!K21+'Grid_TTAFOutgoing'!K21))</f>
        <v/>
      </c>
      <c r="L21">
        <f>IF(COUNTIFS(T_StockCount[Part Name],$A21,T_StockCount[WeekIndex],11)&gt;0,SUMIFS(T_StockCount[CountedQty],T_StockCount[Part Name],$A21,T_StockCount[WeekIndex],11),IF(('T_SelfStock'!L25&lt;&gt;""),'T_SelfStock'!L25,K21-'Grid_Requirement'!L21+'Grid_TTAFOutgoing'!L21))</f>
        <v/>
      </c>
      <c r="M21">
        <f>IF(COUNTIFS(T_StockCount[Part Name],$A21,T_StockCount[WeekIndex],12)&gt;0,SUMIFS(T_StockCount[CountedQty],T_StockCount[Part Name],$A21,T_StockCount[WeekIndex],12),IF(('T_SelfStock'!M25&lt;&gt;""),'T_SelfStock'!M25,L21-'Grid_Requirement'!M21+'Grid_TTAFOutgoing'!M21))</f>
        <v/>
      </c>
      <c r="N21">
        <f>IF(COUNTIFS(T_StockCount[Part Name],$A21,T_StockCount[WeekIndex],13)&gt;0,SUMIFS(T_StockCount[CountedQty],T_StockCount[Part Name],$A21,T_StockCount[WeekIndex],13),IF(('T_SelfStock'!N25&lt;&gt;""),'T_SelfStock'!N25,M21-'Grid_Requirement'!N21+'Grid_TTAFOutgoing'!N21))</f>
        <v/>
      </c>
      <c r="O21">
        <f>IF(COUNTIFS(T_StockCount[Part Name],$A21,T_StockCount[WeekIndex],14)&gt;0,SUMIFS(T_StockCount[CountedQty],T_StockCount[Part Name],$A21,T_StockCount[WeekIndex],14),IF(('T_SelfStock'!O25&lt;&gt;""),'T_SelfStock'!O25,N21-'Grid_Requirement'!O21+'Grid_TTAFOutgoing'!O21))</f>
        <v/>
      </c>
      <c r="P21">
        <f>IF(COUNTIFS(T_StockCount[Part Name],$A21,T_StockCount[WeekIndex],15)&gt;0,SUMIFS(T_StockCount[CountedQty],T_StockCount[Part Name],$A21,T_StockCount[WeekIndex],15),IF(('T_SelfStock'!P25&lt;&gt;""),'T_SelfStock'!P25,O21-'Grid_Requirement'!P21+'Grid_TTAFOutgoing'!P21))</f>
        <v/>
      </c>
      <c r="Q21">
        <f>IF(COUNTIFS(T_StockCount[Part Name],$A21,T_StockCount[WeekIndex],16)&gt;0,SUMIFS(T_StockCount[CountedQty],T_StockCount[Part Name],$A21,T_StockCount[WeekIndex],16),IF(('T_SelfStock'!Q25&lt;&gt;""),'T_SelfStock'!Q25,P21-'Grid_Requirement'!Q21+'Grid_TTAFOutgoing'!Q21))</f>
        <v/>
      </c>
      <c r="R21">
        <f>IF(COUNTIFS(T_StockCount[Part Name],$A21,T_StockCount[WeekIndex],17)&gt;0,SUMIFS(T_StockCount[CountedQty],T_StockCount[Part Name],$A21,T_StockCount[WeekIndex],17),IF(('T_SelfStock'!R25&lt;&gt;""),'T_SelfStock'!R25,Q21-'Grid_Requirement'!R21+'Grid_TTAFOutgoing'!R21))</f>
        <v/>
      </c>
      <c r="S21">
        <f>IF(COUNTIFS(T_StockCount[Part Name],$A21,T_StockCount[WeekIndex],18)&gt;0,SUMIFS(T_StockCount[CountedQty],T_StockCount[Part Name],$A21,T_StockCount[WeekIndex],18),IF(('T_SelfStock'!S25&lt;&gt;""),'T_SelfStock'!S25,R21-'Grid_Requirement'!S21+'Grid_TTAFOutgoing'!S21))</f>
        <v/>
      </c>
      <c r="T21">
        <f>IF(COUNTIFS(T_StockCount[Part Name],$A21,T_StockCount[WeekIndex],19)&gt;0,SUMIFS(T_StockCount[CountedQty],T_StockCount[Part Name],$A21,T_StockCount[WeekIndex],19),IF(('T_SelfStock'!T25&lt;&gt;""),'T_SelfStock'!T25,S21-'Grid_Requirement'!T21+'Grid_TTAFOutgoing'!T21))</f>
        <v/>
      </c>
      <c r="U21">
        <f>IF(COUNTIFS(T_StockCount[Part Name],$A21,T_StockCount[WeekIndex],20)&gt;0,SUMIFS(T_StockCount[CountedQty],T_StockCount[Part Name],$A21,T_StockCount[WeekIndex],20),IF(('T_SelfStock'!U25&lt;&gt;""),'T_SelfStock'!U25,T21-'Grid_Requirement'!U21+'Grid_TTAFOutgoing'!U21))</f>
        <v/>
      </c>
      <c r="V21">
        <f>IF(COUNTIFS(T_StockCount[Part Name],$A21,T_StockCount[WeekIndex],21)&gt;0,SUMIFS(T_StockCount[CountedQty],T_StockCount[Part Name],$A21,T_StockCount[WeekIndex],21),IF(('T_SelfStock'!V25&lt;&gt;""),'T_SelfStock'!V25,U21-'Grid_Requirement'!V21+'Grid_TTAFOutgoing'!V21))</f>
        <v/>
      </c>
      <c r="W21">
        <f>IF(COUNTIFS(T_StockCount[Part Name],$A21,T_StockCount[WeekIndex],22)&gt;0,SUMIFS(T_StockCount[CountedQty],T_StockCount[Part Name],$A21,T_StockCount[WeekIndex],22),IF(('T_SelfStock'!W25&lt;&gt;""),'T_SelfStock'!W25,V21-'Grid_Requirement'!W21+'Grid_TTAFOutgoing'!W21))</f>
        <v/>
      </c>
      <c r="X21">
        <f>IF(COUNTIFS(T_StockCount[Part Name],$A21,T_StockCount[WeekIndex],23)&gt;0,SUMIFS(T_StockCount[CountedQty],T_StockCount[Part Name],$A21,T_StockCount[WeekIndex],23),IF(('T_SelfStock'!X25&lt;&gt;""),'T_SelfStock'!X25,W21-'Grid_Requirement'!X21+'Grid_TTAFOutgoing'!X21))</f>
        <v/>
      </c>
      <c r="Y21">
        <f>IF(COUNTIFS(T_StockCount[Part Name],$A21,T_StockCount[WeekIndex],24)&gt;0,SUMIFS(T_StockCount[CountedQty],T_StockCount[Part Name],$A21,T_StockCount[WeekIndex],24),IF(('T_SelfStock'!Y25&lt;&gt;""),'T_SelfStock'!Y25,X21-'Grid_Requirement'!Y21+'Grid_TTAFOutgoing'!Y21))</f>
        <v/>
      </c>
      <c r="Z21">
        <f>IF(COUNTIFS(T_StockCount[Part Name],$A21,T_StockCount[WeekIndex],25)&gt;0,SUMIFS(T_StockCount[CountedQty],T_StockCount[Part Name],$A21,T_StockCount[WeekIndex],25),IF(('T_SelfStock'!Z25&lt;&gt;""),'T_SelfStock'!Z25,Y21-'Grid_Requirement'!Z21+'Grid_TTAFOutgoing'!Z21))</f>
        <v/>
      </c>
      <c r="AA21">
        <f>IF(COUNTIFS(T_StockCount[Part Name],$A21,T_StockCount[WeekIndex],26)&gt;0,SUMIFS(T_StockCount[CountedQty],T_StockCount[Part Name],$A21,T_StockCount[WeekIndex],26),IF(('T_SelfStock'!AA25&lt;&gt;""),'T_SelfStock'!AA25,Z21-'Grid_Requirement'!AA21+'Grid_TTAFOutgoing'!AA21))</f>
        <v/>
      </c>
      <c r="AB21">
        <f>IF(COUNTIFS(T_StockCount[Part Name],$A21,T_StockCount[WeekIndex],27)&gt;0,SUMIFS(T_StockCount[CountedQty],T_StockCount[Part Name],$A21,T_StockCount[WeekIndex],27),IF(('T_SelfStock'!AB25&lt;&gt;""),'T_SelfStock'!AB25,AA21-'Grid_Requirement'!AB21+'Grid_TTAFOutgoing'!AB21))</f>
        <v/>
      </c>
      <c r="AC21">
        <f>IF(COUNTIFS(T_StockCount[Part Name],$A21,T_StockCount[WeekIndex],28)&gt;0,SUMIFS(T_StockCount[CountedQty],T_StockCount[Part Name],$A21,T_StockCount[WeekIndex],28),IF(('T_SelfStock'!AC25&lt;&gt;""),'T_SelfStock'!AC25,AB21-'Grid_Requirement'!AC21+'Grid_TTAFOutgoing'!AC21))</f>
        <v/>
      </c>
      <c r="AD21">
        <f>IF(COUNTIFS(T_StockCount[Part Name],$A21,T_StockCount[WeekIndex],29)&gt;0,SUMIFS(T_StockCount[CountedQty],T_StockCount[Part Name],$A21,T_StockCount[WeekIndex],29),IF(('T_SelfStock'!AD25&lt;&gt;""),'T_SelfStock'!AD25,AC21-'Grid_Requirement'!AD21+'Grid_TTAFOutgoing'!AD21))</f>
        <v/>
      </c>
      <c r="AE21">
        <f>IF(COUNTIFS(T_StockCount[Part Name],$A21,T_StockCount[WeekIndex],30)&gt;0,SUMIFS(T_StockCount[CountedQty],T_StockCount[Part Name],$A21,T_StockCount[WeekIndex],30),IF(('T_SelfStock'!AE25&lt;&gt;""),'T_SelfStock'!AE25,AD21-'Grid_Requirement'!AE21+'Grid_TTAFOutgoing'!AE21))</f>
        <v/>
      </c>
      <c r="AF21">
        <f>IF(COUNTIFS(T_StockCount[Part Name],$A21,T_StockCount[WeekIndex],31)&gt;0,SUMIFS(T_StockCount[CountedQty],T_StockCount[Part Name],$A21,T_StockCount[WeekIndex],31),IF(('T_SelfStock'!AF25&lt;&gt;""),'T_SelfStock'!AF25,AE21-'Grid_Requirement'!AF21+'Grid_TTAFOutgoing'!AF21))</f>
        <v/>
      </c>
      <c r="AG21">
        <f>IF(COUNTIFS(T_StockCount[Part Name],$A21,T_StockCount[WeekIndex],32)&gt;0,SUMIFS(T_StockCount[CountedQty],T_StockCount[Part Name],$A21,T_StockCount[WeekIndex],32),IF(('T_SelfStock'!AG25&lt;&gt;""),'T_SelfStock'!AG25,AF21-'Grid_Requirement'!AG21+'Grid_TTAFOutgoing'!AG21))</f>
        <v/>
      </c>
      <c r="AH21">
        <f>IF(COUNTIFS(T_StockCount[Part Name],$A21,T_StockCount[WeekIndex],33)&gt;0,SUMIFS(T_StockCount[CountedQty],T_StockCount[Part Name],$A21,T_StockCount[WeekIndex],33),IF(('T_SelfStock'!AH25&lt;&gt;""),'T_SelfStock'!AH25,AG21-'Grid_Requirement'!AH21+'Grid_TTAFOutgoing'!AH21))</f>
        <v/>
      </c>
      <c r="AI21">
        <f>IF(COUNTIFS(T_StockCount[Part Name],$A21,T_StockCount[WeekIndex],34)&gt;0,SUMIFS(T_StockCount[CountedQty],T_StockCount[Part Name],$A21,T_StockCount[WeekIndex],34),IF(('T_SelfStock'!AI25&lt;&gt;""),'T_SelfStock'!AI25,AH21-'Grid_Requirement'!AI21+'Grid_TTAFOutgoing'!AI21))</f>
        <v/>
      </c>
      <c r="AJ21">
        <f>IF(COUNTIFS(T_StockCount[Part Name],$A21,T_StockCount[WeekIndex],35)&gt;0,SUMIFS(T_StockCount[CountedQty],T_StockCount[Part Name],$A21,T_StockCount[WeekIndex],35),IF(('T_SelfStock'!AJ25&lt;&gt;""),'T_SelfStock'!AJ25,AI21-'Grid_Requirement'!AJ21+'Grid_TTAFOutgoing'!AJ21))</f>
        <v/>
      </c>
      <c r="AK21">
        <f>IF(COUNTIFS(T_StockCount[Part Name],$A21,T_StockCount[WeekIndex],36)&gt;0,SUMIFS(T_StockCount[CountedQty],T_StockCount[Part Name],$A21,T_StockCount[WeekIndex],36),IF(('T_SelfStock'!AK25&lt;&gt;""),'T_SelfStock'!AK25,AJ21-'Grid_Requirement'!AK21+'Grid_TTAFOutgoing'!AK21))</f>
        <v/>
      </c>
      <c r="AL21">
        <f>IF(COUNTIFS(T_StockCount[Part Name],$A21,T_StockCount[WeekIndex],37)&gt;0,SUMIFS(T_StockCount[CountedQty],T_StockCount[Part Name],$A21,T_StockCount[WeekIndex],37),IF(('T_SelfStock'!AL25&lt;&gt;""),'T_SelfStock'!AL25,AK21-'Grid_Requirement'!AL21+'Grid_TTAFOutgoing'!AL21))</f>
        <v/>
      </c>
      <c r="AM21">
        <f>IF(COUNTIFS(T_StockCount[Part Name],$A21,T_StockCount[WeekIndex],38)&gt;0,SUMIFS(T_StockCount[CountedQty],T_StockCount[Part Name],$A21,T_StockCount[WeekIndex],38),IF(('T_SelfStock'!AM25&lt;&gt;""),'T_SelfStock'!AM25,AL21-'Grid_Requirement'!AM21+'Grid_TTAFOutgoing'!AM21))</f>
        <v/>
      </c>
      <c r="AN21">
        <f>IF(COUNTIFS(T_StockCount[Part Name],$A21,T_StockCount[WeekIndex],39)&gt;0,SUMIFS(T_StockCount[CountedQty],T_StockCount[Part Name],$A21,T_StockCount[WeekIndex],39),IF(('T_SelfStock'!AN25&lt;&gt;""),'T_SelfStock'!AN25,AM21-'Grid_Requirement'!AN21+'Grid_TTAFOutgoing'!AN21))</f>
        <v/>
      </c>
      <c r="AO21">
        <f>IF(COUNTIFS(T_StockCount[Part Name],$A21,T_StockCount[WeekIndex],40)&gt;0,SUMIFS(T_StockCount[CountedQty],T_StockCount[Part Name],$A21,T_StockCount[WeekIndex],40),IF(('T_SelfStock'!AO25&lt;&gt;""),'T_SelfStock'!AO25,AN21-'Grid_Requirement'!AO21+'Grid_TTAFOutgoing'!AO21))</f>
        <v/>
      </c>
      <c r="AP21">
        <f>IF(COUNTIFS(T_StockCount[Part Name],$A21,T_StockCount[WeekIndex],41)&gt;0,SUMIFS(T_StockCount[CountedQty],T_StockCount[Part Name],$A21,T_StockCount[WeekIndex],41),IF(('T_SelfStock'!AP25&lt;&gt;""),'T_SelfStock'!AP25,AO21-'Grid_Requirement'!AP21+'Grid_TTAFOutgoing'!AP21))</f>
        <v/>
      </c>
      <c r="AQ21">
        <f>IF(COUNTIFS(T_StockCount[Part Name],$A21,T_StockCount[WeekIndex],42)&gt;0,SUMIFS(T_StockCount[CountedQty],T_StockCount[Part Name],$A21,T_StockCount[WeekIndex],42),IF(('T_SelfStock'!AQ25&lt;&gt;""),'T_SelfStock'!AQ25,AP21-'Grid_Requirement'!AQ21+'Grid_TTAFOutgoing'!AQ21))</f>
        <v/>
      </c>
      <c r="AR21">
        <f>IF(COUNTIFS(T_StockCount[Part Name],$A21,T_StockCount[WeekIndex],43)&gt;0,SUMIFS(T_StockCount[CountedQty],T_StockCount[Part Name],$A21,T_StockCount[WeekIndex],43),IF(('T_SelfStock'!AR25&lt;&gt;""),'T_SelfStock'!AR25,AQ21-'Grid_Requirement'!AR21+'Grid_TTAFOutgoing'!AR21))</f>
        <v/>
      </c>
      <c r="AS21">
        <f>IF(COUNTIFS(T_StockCount[Part Name],$A21,T_StockCount[WeekIndex],44)&gt;0,SUMIFS(T_StockCount[CountedQty],T_StockCount[Part Name],$A21,T_StockCount[WeekIndex],44),IF(('T_SelfStock'!AS25&lt;&gt;""),'T_SelfStock'!AS25,AR21-'Grid_Requirement'!AS21+'Grid_TTAFOutgoing'!AS21))</f>
        <v/>
      </c>
      <c r="AT21">
        <f>IF(COUNTIFS(T_StockCount[Part Name],$A21,T_StockCount[WeekIndex],45)&gt;0,SUMIFS(T_StockCount[CountedQty],T_StockCount[Part Name],$A21,T_StockCount[WeekIndex],45),IF(('T_SelfStock'!AT25&lt;&gt;""),'T_SelfStock'!AT25,AS21-'Grid_Requirement'!AT21+'Grid_TTAFOutgoing'!AT21))</f>
        <v/>
      </c>
      <c r="AU21">
        <f>IF(COUNTIFS(T_StockCount[Part Name],$A21,T_StockCount[WeekIndex],46)&gt;0,SUMIFS(T_StockCount[CountedQty],T_StockCount[Part Name],$A21,T_StockCount[WeekIndex],46),IF(('T_SelfStock'!AU25&lt;&gt;""),'T_SelfStock'!AU25,AT21-'Grid_Requirement'!AU21+'Grid_TTAFOutgoing'!AU21))</f>
        <v/>
      </c>
      <c r="AV21">
        <f>IF(COUNTIFS(T_StockCount[Part Name],$A21,T_StockCount[WeekIndex],47)&gt;0,SUMIFS(T_StockCount[CountedQty],T_StockCount[Part Name],$A21,T_StockCount[WeekIndex],47),IF(('T_SelfStock'!AV25&lt;&gt;""),'T_SelfStock'!AV25,AU21-'Grid_Requirement'!AV21+'Grid_TTAFOutgoing'!AV21))</f>
        <v/>
      </c>
      <c r="AW21">
        <f>IF(COUNTIFS(T_StockCount[Part Name],$A21,T_StockCount[WeekIndex],48)&gt;0,SUMIFS(T_StockCount[CountedQty],T_StockCount[Part Name],$A21,T_StockCount[WeekIndex],48),IF(('T_SelfStock'!AW25&lt;&gt;""),'T_SelfStock'!AW25,AV21-'Grid_Requirement'!AW21+'Grid_TTAFOutgoing'!AW21))</f>
        <v/>
      </c>
      <c r="AX21">
        <f>IF(COUNTIFS(T_StockCount[Part Name],$A21,T_StockCount[WeekIndex],49)&gt;0,SUMIFS(T_StockCount[CountedQty],T_StockCount[Part Name],$A21,T_StockCount[WeekIndex],49),IF(('T_SelfStock'!AX25&lt;&gt;""),'T_SelfStock'!AX25,AW21-'Grid_Requirement'!AX21+'Grid_TTAFOutgoing'!AX21))</f>
        <v/>
      </c>
      <c r="AY21">
        <f>IF(COUNTIFS(T_StockCount[Part Name],$A21,T_StockCount[WeekIndex],50)&gt;0,SUMIFS(T_StockCount[CountedQty],T_StockCount[Part Name],$A21,T_StockCount[WeekIndex],50),IF(('T_SelfStock'!AY25&lt;&gt;""),'T_SelfStock'!AY25,AX21-'Grid_Requirement'!AY21+'Grid_TTAFOutgoing'!AY21))</f>
        <v/>
      </c>
      <c r="AZ21">
        <f>IF(COUNTIFS(T_StockCount[Part Name],$A21,T_StockCount[WeekIndex],51)&gt;0,SUMIFS(T_StockCount[CountedQty],T_StockCount[Part Name],$A21,T_StockCount[WeekIndex],51),IF(('T_SelfStock'!AZ25&lt;&gt;""),'T_SelfStock'!AZ25,AY21-'Grid_Requirement'!AZ21+'Grid_TTAFOutgoing'!AZ21))</f>
        <v/>
      </c>
      <c r="BA21">
        <f>IF(COUNTIFS(T_StockCount[Part Name],$A21,T_StockCount[WeekIndex],52)&gt;0,SUMIFS(T_StockCount[CountedQty],T_StockCount[Part Name],$A21,T_StockCount[WeekIndex],52),IF(('T_SelfStock'!BA25&lt;&gt;""),'T_SelfStock'!BA25,AZ21-'Grid_Requirement'!BA21+'Grid_TTAFOutgoing'!BA21))</f>
        <v/>
      </c>
      <c r="BB21">
        <f>IF(COUNTIFS(T_StockCount[Part Name],$A21,T_StockCount[WeekIndex],53)&gt;0,SUMIFS(T_StockCount[CountedQty],T_StockCount[Part Name],$A21,T_StockCount[WeekIndex],53),IF(('T_SelfStock'!BB25&lt;&gt;""),'T_SelfStock'!BB25,BA21-'Grid_Requirement'!BB21+'Grid_TTAFOutgoing'!BB21))</f>
        <v/>
      </c>
      <c r="BC21">
        <f>IF(COUNTIFS(T_StockCount[Part Name],$A21,T_StockCount[WeekIndex],54)&gt;0,SUMIFS(T_StockCount[CountedQty],T_StockCount[Part Name],$A21,T_StockCount[WeekIndex],54),IF(('T_SelfStock'!BC25&lt;&gt;""),'T_SelfStock'!BC25,BB21-'Grid_Requirement'!BC21+'Grid_TTAFOutgoing'!BC21))</f>
        <v/>
      </c>
      <c r="BD21">
        <f>IF(COUNTIFS(T_StockCount[Part Name],$A21,T_StockCount[WeekIndex],55)&gt;0,SUMIFS(T_StockCount[CountedQty],T_StockCount[Part Name],$A21,T_StockCount[WeekIndex],55),IF(('T_SelfStock'!BD25&lt;&gt;""),'T_SelfStock'!BD25,BC21-'Grid_Requirement'!BD21+'Grid_TTAFOutgoing'!BD21))</f>
        <v/>
      </c>
      <c r="BE21">
        <f>IF(COUNTIFS(T_StockCount[Part Name],$A21,T_StockCount[WeekIndex],56)&gt;0,SUMIFS(T_StockCount[CountedQty],T_StockCount[Part Name],$A21,T_StockCount[WeekIndex],56),IF(('T_SelfStock'!BE25&lt;&gt;""),'T_SelfStock'!BE25,BD21-'Grid_Requirement'!BE21+'Grid_TTAFOutgoing'!BE21))</f>
        <v/>
      </c>
      <c r="BF21">
        <f>IF(COUNTIFS(T_StockCount[Part Name],$A21,T_StockCount[WeekIndex],57)&gt;0,SUMIFS(T_StockCount[CountedQty],T_StockCount[Part Name],$A21,T_StockCount[WeekIndex],57),IF(('T_SelfStock'!BF25&lt;&gt;""),'T_SelfStock'!BF25,BE21-'Grid_Requirement'!BF21+'Grid_TTAFOutgoing'!BF21))</f>
        <v/>
      </c>
      <c r="BG21">
        <f>IF(COUNTIFS(T_StockCount[Part Name],$A21,T_StockCount[WeekIndex],58)&gt;0,SUMIFS(T_StockCount[CountedQty],T_StockCount[Part Name],$A21,T_StockCount[WeekIndex],58),IF(('T_SelfStock'!BG25&lt;&gt;""),'T_SelfStock'!BG25,BF21-'Grid_Requirement'!BG21+'Grid_TTAFOutgoing'!BG21))</f>
        <v/>
      </c>
      <c r="BH21">
        <f>IF(COUNTIFS(T_StockCount[Part Name],$A21,T_StockCount[WeekIndex],59)&gt;0,SUMIFS(T_StockCount[CountedQty],T_StockCount[Part Name],$A21,T_StockCount[WeekIndex],59),IF(('T_SelfStock'!BH25&lt;&gt;""),'T_SelfStock'!BH25,BG21-'Grid_Requirement'!BH21+'Grid_TTAFOutgoing'!BH21))</f>
        <v/>
      </c>
      <c r="BI21">
        <f>IF(COUNTIFS(T_StockCount[Part Name],$A21,T_StockCount[WeekIndex],60)&gt;0,SUMIFS(T_StockCount[CountedQty],T_StockCount[Part Name],$A21,T_StockCount[WeekIndex],60),IF(('T_SelfStock'!BI25&lt;&gt;""),'T_SelfStock'!BI25,BH21-'Grid_Requirement'!BI21+'Grid_TTAFOutgoing'!BI21))</f>
        <v/>
      </c>
      <c r="BJ21">
        <f>IF(COUNTIFS(T_StockCount[Part Name],$A21,T_StockCount[WeekIndex],61)&gt;0,SUMIFS(T_StockCount[CountedQty],T_StockCount[Part Name],$A21,T_StockCount[WeekIndex],61),IF(('T_SelfStock'!BJ25&lt;&gt;""),'T_SelfStock'!BJ25,BI21-'Grid_Requirement'!BJ21+'Grid_TTAFOutgoing'!BJ21))</f>
        <v/>
      </c>
      <c r="BK21">
        <f>IF(COUNTIFS(T_StockCount[Part Name],$A21,T_StockCount[WeekIndex],62)&gt;0,SUMIFS(T_StockCount[CountedQty],T_StockCount[Part Name],$A21,T_StockCount[WeekIndex],62),IF(('T_SelfStock'!BK25&lt;&gt;""),'T_SelfStock'!BK25,BJ21-'Grid_Requirement'!BK21+'Grid_TTAFOutgoing'!BK21))</f>
        <v/>
      </c>
      <c r="BL21">
        <f>IF(COUNTIFS(T_StockCount[Part Name],$A21,T_StockCount[WeekIndex],63)&gt;0,SUMIFS(T_StockCount[CountedQty],T_StockCount[Part Name],$A21,T_StockCount[WeekIndex],63),IF(('T_SelfStock'!BL25&lt;&gt;""),'T_SelfStock'!BL25,BK21-'Grid_Requirement'!BL21+'Grid_TTAFOutgoing'!BL21))</f>
        <v/>
      </c>
      <c r="BM21">
        <f>IF(COUNTIFS(T_StockCount[Part Name],$A21,T_StockCount[WeekIndex],64)&gt;0,SUMIFS(T_StockCount[CountedQty],T_StockCount[Part Name],$A21,T_StockCount[WeekIndex],64),IF(('T_SelfStock'!BM25&lt;&gt;""),'T_SelfStock'!BM25,BL21-'Grid_Requirement'!BM21+'Grid_TTAFOutgoing'!BM21))</f>
        <v/>
      </c>
      <c r="BN21">
        <f>IF(COUNTIFS(T_StockCount[Part Name],$A21,T_StockCount[WeekIndex],65)&gt;0,SUMIFS(T_StockCount[CountedQty],T_StockCount[Part Name],$A21,T_StockCount[WeekIndex],65),IF(('T_SelfStock'!BN25&lt;&gt;""),'T_SelfStock'!BN25,BM21-'Grid_Requirement'!BN21+'Grid_TTAFOutgoing'!BN21))</f>
        <v/>
      </c>
      <c r="BO21">
        <f>IF(COUNTIFS(T_StockCount[Part Name],$A21,T_StockCount[WeekIndex],66)&gt;0,SUMIFS(T_StockCount[CountedQty],T_StockCount[Part Name],$A21,T_StockCount[WeekIndex],66),IF(('T_SelfStock'!BO25&lt;&gt;""),'T_SelfStock'!BO25,BN21-'Grid_Requirement'!BO21+'Grid_TTAFOutgoing'!BO21))</f>
        <v/>
      </c>
      <c r="BP21">
        <f>IF(COUNTIFS(T_StockCount[Part Name],$A21,T_StockCount[WeekIndex],67)&gt;0,SUMIFS(T_StockCount[CountedQty],T_StockCount[Part Name],$A21,T_StockCount[WeekIndex],67),IF(('T_SelfStock'!BP25&lt;&gt;""),'T_SelfStock'!BP25,BO21-'Grid_Requirement'!BP21+'Grid_TTAFOutgoing'!BP21))</f>
        <v/>
      </c>
      <c r="BQ21">
        <f>IF(COUNTIFS(T_StockCount[Part Name],$A21,T_StockCount[WeekIndex],68)&gt;0,SUMIFS(T_StockCount[CountedQty],T_StockCount[Part Name],$A21,T_StockCount[WeekIndex],68),IF(('T_SelfStock'!BQ25&lt;&gt;""),'T_SelfStock'!BQ25,BP21-'Grid_Requirement'!BQ21+'Grid_TTAFOutgoing'!BQ21))</f>
        <v/>
      </c>
      <c r="BR21">
        <f>IF(COUNTIFS(T_StockCount[Part Name],$A21,T_StockCount[WeekIndex],69)&gt;0,SUMIFS(T_StockCount[CountedQty],T_StockCount[Part Name],$A21,T_StockCount[WeekIndex],69),IF(('T_SelfStock'!BR25&lt;&gt;""),'T_SelfStock'!BR25,BQ21-'Grid_Requirement'!BR21+'Grid_TTAFOutgoing'!BR21))</f>
        <v/>
      </c>
      <c r="BS21">
        <f>IF(COUNTIFS(T_StockCount[Part Name],$A21,T_StockCount[WeekIndex],70)&gt;0,SUMIFS(T_StockCount[CountedQty],T_StockCount[Part Name],$A21,T_StockCount[WeekIndex],70),IF(('T_SelfStock'!BS25&lt;&gt;""),'T_SelfStock'!BS25,BR21-'Grid_Requirement'!BS21+'Grid_TTAFOutgoing'!BS21))</f>
        <v/>
      </c>
      <c r="BT21">
        <f>IF(COUNTIFS(T_StockCount[Part Name],$A21,T_StockCount[WeekIndex],71)&gt;0,SUMIFS(T_StockCount[CountedQty],T_StockCount[Part Name],$A21,T_StockCount[WeekIndex],71),IF(('T_SelfStock'!BT25&lt;&gt;""),'T_SelfStock'!BT25,BS21-'Grid_Requirement'!BT21+'Grid_TTAFOutgoing'!BT21))</f>
        <v/>
      </c>
      <c r="BU21">
        <f>IF(COUNTIFS(T_StockCount[Part Name],$A21,T_StockCount[WeekIndex],72)&gt;0,SUMIFS(T_StockCount[CountedQty],T_StockCount[Part Name],$A21,T_StockCount[WeekIndex],72),IF(('T_SelfStock'!BU25&lt;&gt;""),'T_SelfStock'!BU25,BT21-'Grid_Requirement'!BU21+'Grid_TTAFOutgoing'!BU21))</f>
        <v/>
      </c>
      <c r="BV21">
        <f>IF(COUNTIFS(T_StockCount[Part Name],$A21,T_StockCount[WeekIndex],73)&gt;0,SUMIFS(T_StockCount[CountedQty],T_StockCount[Part Name],$A21,T_StockCount[WeekIndex],73),IF(('T_SelfStock'!BV25&lt;&gt;""),'T_SelfStock'!BV25,BU21-'Grid_Requirement'!BV21+'Grid_TTAFOutgoing'!BV21))</f>
        <v/>
      </c>
      <c r="BW21">
        <f>IF(COUNTIFS(T_StockCount[Part Name],$A21,T_StockCount[WeekIndex],74)&gt;0,SUMIFS(T_StockCount[CountedQty],T_StockCount[Part Name],$A21,T_StockCount[WeekIndex],74),IF(('T_SelfStock'!BW25&lt;&gt;""),'T_SelfStock'!BW25,BV21-'Grid_Requirement'!BW21+'Grid_TTAFOutgoing'!BW21))</f>
        <v/>
      </c>
      <c r="BX21">
        <f>IF(COUNTIFS(T_StockCount[Part Name],$A21,T_StockCount[WeekIndex],75)&gt;0,SUMIFS(T_StockCount[CountedQty],T_StockCount[Part Name],$A21,T_StockCount[WeekIndex],75),IF(('T_SelfStock'!BX25&lt;&gt;""),'T_SelfStock'!BX25,BW21-'Grid_Requirement'!BX21+'Grid_TTAFOutgoing'!BX21))</f>
        <v/>
      </c>
      <c r="BY21">
        <f>IF(COUNTIFS(T_StockCount[Part Name],$A21,T_StockCount[WeekIndex],76)&gt;0,SUMIFS(T_StockCount[CountedQty],T_StockCount[Part Name],$A21,T_StockCount[WeekIndex],76),IF(('T_SelfStock'!BY25&lt;&gt;""),'T_SelfStock'!BY25,BX21-'Grid_Requirement'!BY21+'Grid_TTAFOutgoing'!BY21))</f>
        <v/>
      </c>
      <c r="BZ21">
        <f>IF(COUNTIFS(T_StockCount[Part Name],$A21,T_StockCount[WeekIndex],77)&gt;0,SUMIFS(T_StockCount[CountedQty],T_StockCount[Part Name],$A21,T_StockCount[WeekIndex],77),IF(('T_SelfStock'!BZ25&lt;&gt;""),'T_SelfStock'!BZ25,BY21-'Grid_Requirement'!BZ21+'Grid_TTAFOutgoing'!BZ21))</f>
        <v/>
      </c>
      <c r="CA21">
        <f>IF(COUNTIFS(T_StockCount[Part Name],$A21,T_StockCount[WeekIndex],78)&gt;0,SUMIFS(T_StockCount[CountedQty],T_StockCount[Part Name],$A21,T_StockCount[WeekIndex],78),IF(('T_SelfStock'!CA25&lt;&gt;""),'T_SelfStock'!CA25,BZ21-'Grid_Requirement'!CA21+'Grid_TTAFOutgoing'!CA21))</f>
        <v/>
      </c>
      <c r="CB21">
        <f>IF(COUNTIFS(T_StockCount[Part Name],$A21,T_StockCount[WeekIndex],79)&gt;0,SUMIFS(T_StockCount[CountedQty],T_StockCount[Part Name],$A21,T_StockCount[WeekIndex],79),IF(('T_SelfStock'!CB25&lt;&gt;""),'T_SelfStock'!CB25,CA21-'Grid_Requirement'!CB21+'Grid_TTAFOutgoing'!CB21))</f>
        <v/>
      </c>
      <c r="CC21">
        <f>IF(COUNTIFS(T_StockCount[Part Name],$A21,T_StockCount[WeekIndex],80)&gt;0,SUMIFS(T_StockCount[CountedQty],T_StockCount[Part Name],$A21,T_StockCount[WeekIndex],80),IF(('T_SelfStock'!CC25&lt;&gt;""),'T_SelfStock'!CC25,CB21-'Grid_Requirement'!CC21+'Grid_TTAFOutgoing'!CC21))</f>
        <v/>
      </c>
      <c r="CD21">
        <f>IF(COUNTIFS(T_StockCount[Part Name],$A21,T_StockCount[WeekIndex],81)&gt;0,SUMIFS(T_StockCount[CountedQty],T_StockCount[Part Name],$A21,T_StockCount[WeekIndex],81),IF(('T_SelfStock'!CD25&lt;&gt;""),'T_SelfStock'!CD25,CC21-'Grid_Requirement'!CD21+'Grid_TTAFOutgoing'!CD21))</f>
        <v/>
      </c>
      <c r="CE21">
        <f>IF(COUNTIFS(T_StockCount[Part Name],$A21,T_StockCount[WeekIndex],82)&gt;0,SUMIFS(T_StockCount[CountedQty],T_StockCount[Part Name],$A21,T_StockCount[WeekIndex],82),IF(('T_SelfStock'!CE25&lt;&gt;""),'T_SelfStock'!CE25,CD21-'Grid_Requirement'!CE21+'Grid_TTAFOutgoing'!CE21))</f>
        <v/>
      </c>
      <c r="CF21">
        <f>IF(COUNTIFS(T_StockCount[Part Name],$A21,T_StockCount[WeekIndex],83)&gt;0,SUMIFS(T_StockCount[CountedQty],T_StockCount[Part Name],$A21,T_StockCount[WeekIndex],83),IF(('T_SelfStock'!CF25&lt;&gt;""),'T_SelfStock'!CF25,CE21-'Grid_Requirement'!CF21+'Grid_TTAFOutgoing'!CF21))</f>
        <v/>
      </c>
      <c r="CG21">
        <f>IF(COUNTIFS(T_StockCount[Part Name],$A21,T_StockCount[WeekIndex],84)&gt;0,SUMIFS(T_StockCount[CountedQty],T_StockCount[Part Name],$A21,T_StockCount[WeekIndex],84),IF(('T_SelfStock'!CG25&lt;&gt;""),'T_SelfStock'!CG25,CF21-'Grid_Requirement'!CG21+'Grid_TTAFOutgoing'!CG21))</f>
        <v/>
      </c>
      <c r="CH21">
        <f>IF(COUNTIFS(T_StockCount[Part Name],$A21,T_StockCount[WeekIndex],85)&gt;0,SUMIFS(T_StockCount[CountedQty],T_StockCount[Part Name],$A21,T_StockCount[WeekIndex],85),IF(('T_SelfStock'!CH25&lt;&gt;""),'T_SelfStock'!CH25,CG21-'Grid_Requirement'!CH21+'Grid_TTAFOutgoing'!CH21))</f>
        <v/>
      </c>
      <c r="CI21">
        <f>IF(COUNTIFS(T_StockCount[Part Name],$A21,T_StockCount[WeekIndex],86)&gt;0,SUMIFS(T_StockCount[CountedQty],T_StockCount[Part Name],$A21,T_StockCount[WeekIndex],86),IF(('T_SelfStock'!CI25&lt;&gt;""),'T_SelfStock'!CI25,CH21-'Grid_Requirement'!CI21+'Grid_TTAFOutgoing'!CI21))</f>
        <v/>
      </c>
      <c r="CJ21">
        <f>IF(COUNTIFS(T_StockCount[Part Name],$A21,T_StockCount[WeekIndex],87)&gt;0,SUMIFS(T_StockCount[CountedQty],T_StockCount[Part Name],$A21,T_StockCount[WeekIndex],87),IF(('T_SelfStock'!CJ25&lt;&gt;""),'T_SelfStock'!CJ25,CI21-'Grid_Requirement'!CJ21+'Grid_TTAFOutgoing'!CJ21))</f>
        <v/>
      </c>
      <c r="CK21">
        <f>IF(COUNTIFS(T_StockCount[Part Name],$A21,T_StockCount[WeekIndex],88)&gt;0,SUMIFS(T_StockCount[CountedQty],T_StockCount[Part Name],$A21,T_StockCount[WeekIndex],88),IF(('T_SelfStock'!CK25&lt;&gt;""),'T_SelfStock'!CK25,CJ21-'Grid_Requirement'!CK21+'Grid_TTAFOutgoing'!CK21))</f>
        <v/>
      </c>
      <c r="CL21">
        <f>IF(COUNTIFS(T_StockCount[Part Name],$A21,T_StockCount[WeekIndex],89)&gt;0,SUMIFS(T_StockCount[CountedQty],T_StockCount[Part Name],$A21,T_StockCount[WeekIndex],89),IF(('T_SelfStock'!CL25&lt;&gt;""),'T_SelfStock'!CL25,CK21-'Grid_Requirement'!CL21+'Grid_TTAFOutgoing'!CL21))</f>
        <v/>
      </c>
      <c r="CM21">
        <f>IF(COUNTIFS(T_StockCount[Part Name],$A21,T_StockCount[WeekIndex],90)&gt;0,SUMIFS(T_StockCount[CountedQty],T_StockCount[Part Name],$A21,T_StockCount[WeekIndex],90),IF(('T_SelfStock'!CM25&lt;&gt;""),'T_SelfStock'!CM25,CL21-'Grid_Requirement'!CM21+'Grid_TTAFOutgoing'!CM21))</f>
        <v/>
      </c>
      <c r="CN21">
        <f>IF(COUNTIFS(T_StockCount[Part Name],$A21,T_StockCount[WeekIndex],91)&gt;0,SUMIFS(T_StockCount[CountedQty],T_StockCount[Part Name],$A21,T_StockCount[WeekIndex],91),IF(('T_SelfStock'!CN25&lt;&gt;""),'T_SelfStock'!CN25,CM21-'Grid_Requirement'!CN21+'Grid_TTAFOutgoing'!CN21))</f>
        <v/>
      </c>
      <c r="CO21">
        <f>IF(COUNTIFS(T_StockCount[Part Name],$A21,T_StockCount[WeekIndex],92)&gt;0,SUMIFS(T_StockCount[CountedQty],T_StockCount[Part Name],$A21,T_StockCount[WeekIndex],92),IF(('T_SelfStock'!CO25&lt;&gt;""),'T_SelfStock'!CO25,CN21-'Grid_Requirement'!CO21+'Grid_TTAFOutgoing'!CO21))</f>
        <v/>
      </c>
      <c r="CP21">
        <f>IF(COUNTIFS(T_StockCount[Part Name],$A21,T_StockCount[WeekIndex],93)&gt;0,SUMIFS(T_StockCount[CountedQty],T_StockCount[Part Name],$A21,T_StockCount[WeekIndex],93),IF(('T_SelfStock'!CP25&lt;&gt;""),'T_SelfStock'!CP25,CO21-'Grid_Requirement'!CP21+'Grid_TTAFOutgoing'!CP21))</f>
        <v/>
      </c>
      <c r="CQ21">
        <f>IF(COUNTIFS(T_StockCount[Part Name],$A21,T_StockCount[WeekIndex],94)&gt;0,SUMIFS(T_StockCount[CountedQty],T_StockCount[Part Name],$A21,T_StockCount[WeekIndex],94),IF(('T_SelfStock'!CQ25&lt;&gt;""),'T_SelfStock'!CQ25,CP21-'Grid_Requirement'!CQ21+'Grid_TTAFOutgoing'!CQ21))</f>
        <v/>
      </c>
      <c r="CR21">
        <f>IF(COUNTIFS(T_StockCount[Part Name],$A21,T_StockCount[WeekIndex],95)&gt;0,SUMIFS(T_StockCount[CountedQty],T_StockCount[Part Name],$A21,T_StockCount[WeekIndex],95),IF(('T_SelfStock'!CR25&lt;&gt;""),'T_SelfStock'!CR25,CQ21-'Grid_Requirement'!CR21+'Grid_TTAFOutgoing'!CR21))</f>
        <v/>
      </c>
      <c r="CS21">
        <f>IF(COUNTIFS(T_StockCount[Part Name],$A21,T_StockCount[WeekIndex],96)&gt;0,SUMIFS(T_StockCount[CountedQty],T_StockCount[Part Name],$A21,T_StockCount[WeekIndex],96),IF(('T_SelfStock'!CS25&lt;&gt;""),'T_SelfStock'!CS25,CR21-'Grid_Requirement'!CS21+'Grid_TTAFOutgoing'!CS21))</f>
        <v/>
      </c>
      <c r="CT21">
        <f>IF(COUNTIFS(T_StockCount[Part Name],$A21,T_StockCount[WeekIndex],97)&gt;0,SUMIFS(T_StockCount[CountedQty],T_StockCount[Part Name],$A21,T_StockCount[WeekIndex],97),IF(('T_SelfStock'!CT25&lt;&gt;""),'T_SelfStock'!CT25,CS21-'Grid_Requirement'!CT21+'Grid_TTAFOutgoing'!CT21))</f>
        <v/>
      </c>
      <c r="CU21">
        <f>IF(COUNTIFS(T_StockCount[Part Name],$A21,T_StockCount[WeekIndex],98)&gt;0,SUMIFS(T_StockCount[CountedQty],T_StockCount[Part Name],$A21,T_StockCount[WeekIndex],98),IF(('T_SelfStock'!CU25&lt;&gt;""),'T_SelfStock'!CU25,CT21-'Grid_Requirement'!CU21+'Grid_TTAFOutgoing'!CU21))</f>
        <v/>
      </c>
      <c r="CV21">
        <f>IF(COUNTIFS(T_StockCount[Part Name],$A21,T_StockCount[WeekIndex],99)&gt;0,SUMIFS(T_StockCount[CountedQty],T_StockCount[Part Name],$A21,T_StockCount[WeekIndex],99),IF(('T_SelfStock'!CV25&lt;&gt;""),'T_SelfStock'!CV25,CU21-'Grid_Requirement'!CV21+'Grid_TTAFOutgoing'!CV21))</f>
        <v/>
      </c>
      <c r="CW21">
        <f>IF(COUNTIFS(T_StockCount[Part Name],$A21,T_StockCount[WeekIndex],100)&gt;0,SUMIFS(T_StockCount[CountedQty],T_StockCount[Part Name],$A21,T_StockCount[WeekIndex],100),IF(('T_SelfStock'!CW25&lt;&gt;""),'T_SelfStock'!CW25,CV21-'Grid_Requirement'!CW21+'Grid_TTAFOutgoing'!CW21))</f>
        <v/>
      </c>
      <c r="CX21">
        <f>IF(COUNTIFS(T_StockCount[Part Name],$A21,T_StockCount[WeekIndex],101)&gt;0,SUMIFS(T_StockCount[CountedQty],T_StockCount[Part Name],$A21,T_StockCount[WeekIndex],101),IF(('T_SelfStock'!CX25&lt;&gt;""),'T_SelfStock'!CX25,CW21-'Grid_Requirement'!CX21+'Grid_TTAFOutgoing'!CX21))</f>
        <v/>
      </c>
      <c r="CY21">
        <f>IF(COUNTIFS(T_StockCount[Part Name],$A21,T_StockCount[WeekIndex],102)&gt;0,SUMIFS(T_StockCount[CountedQty],T_StockCount[Part Name],$A21,T_StockCount[WeekIndex],102),IF(('T_SelfStock'!CY25&lt;&gt;""),'T_SelfStock'!CY25,CX21-'Grid_Requirement'!CY21+'Grid_TTAFOutgoing'!CY21))</f>
        <v/>
      </c>
      <c r="CZ21">
        <f>IF(COUNTIFS(T_StockCount[Part Name],$A21,T_StockCount[WeekIndex],103)&gt;0,SUMIFS(T_StockCount[CountedQty],T_StockCount[Part Name],$A21,T_StockCount[WeekIndex],103),IF(('T_SelfStock'!CZ25&lt;&gt;""),'T_SelfStock'!CZ25,CY21-'Grid_Requirement'!CZ21+'Grid_TTAFOutgoing'!CZ21))</f>
        <v/>
      </c>
      <c r="DA21">
        <f>IF(COUNTIFS(T_StockCount[Part Name],$A21,T_StockCount[WeekIndex],104)&gt;0,SUMIFS(T_StockCount[CountedQty],T_StockCount[Part Name],$A21,T_StockCount[WeekIndex],104),IF(('T_SelfStock'!DA25&lt;&gt;""),'T_SelfStock'!DA25,CZ21-'Grid_Requirement'!DA21+'Grid_TTAFOutgoing'!DA21))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Name],$A22,T_StockCount[WeekIndex],1),IF(('T_SelfStock'!B26&lt;&gt;""),'T_SelfStock'!B26,IFERROR(INDEX(T_OpeningStock[Opening_Qty],MATCH($A22,T_OpeningStock[Part Name],0)),0)-'Grid_Requirement'!B22+'Grid_TTAFOutgoing'!B22))</f>
        <v/>
      </c>
      <c r="C22">
        <f>IF(COUNTIFS(T_StockCount[Part Name],$A22,T_StockCount[WeekIndex],2)&gt;0,SUMIFS(T_StockCount[CountedQty],T_StockCount[Part Name],$A22,T_StockCount[WeekIndex],2),IF(('T_SelfStock'!C26&lt;&gt;""),'T_SelfStock'!C26,B22-'Grid_Requirement'!C22+'Grid_TTAFOutgoing'!C22))</f>
        <v/>
      </c>
      <c r="D22">
        <f>IF(COUNTIFS(T_StockCount[Part Name],$A22,T_StockCount[WeekIndex],3)&gt;0,SUMIFS(T_StockCount[CountedQty],T_StockCount[Part Name],$A22,T_StockCount[WeekIndex],3),IF(('T_SelfStock'!D26&lt;&gt;""),'T_SelfStock'!D26,C22-'Grid_Requirement'!D22+'Grid_TTAFOutgoing'!D22))</f>
        <v/>
      </c>
      <c r="E22">
        <f>IF(COUNTIFS(T_StockCount[Part Name],$A22,T_StockCount[WeekIndex],4)&gt;0,SUMIFS(T_StockCount[CountedQty],T_StockCount[Part Name],$A22,T_StockCount[WeekIndex],4),IF(('T_SelfStock'!E26&lt;&gt;""),'T_SelfStock'!E26,D22-'Grid_Requirement'!E22+'Grid_TTAFOutgoing'!E22))</f>
        <v/>
      </c>
      <c r="F22">
        <f>IF(COUNTIFS(T_StockCount[Part Name],$A22,T_StockCount[WeekIndex],5)&gt;0,SUMIFS(T_StockCount[CountedQty],T_StockCount[Part Name],$A22,T_StockCount[WeekIndex],5),IF(('T_SelfStock'!F26&lt;&gt;""),'T_SelfStock'!F26,E22-'Grid_Requirement'!F22+'Grid_TTAFOutgoing'!F22))</f>
        <v/>
      </c>
      <c r="G22">
        <f>IF(COUNTIFS(T_StockCount[Part Name],$A22,T_StockCount[WeekIndex],6)&gt;0,SUMIFS(T_StockCount[CountedQty],T_StockCount[Part Name],$A22,T_StockCount[WeekIndex],6),IF(('T_SelfStock'!G26&lt;&gt;""),'T_SelfStock'!G26,F22-'Grid_Requirement'!G22+'Grid_TTAFOutgoing'!G22))</f>
        <v/>
      </c>
      <c r="H22">
        <f>IF(COUNTIFS(T_StockCount[Part Name],$A22,T_StockCount[WeekIndex],7)&gt;0,SUMIFS(T_StockCount[CountedQty],T_StockCount[Part Name],$A22,T_StockCount[WeekIndex],7),IF(('T_SelfStock'!H26&lt;&gt;""),'T_SelfStock'!H26,G22-'Grid_Requirement'!H22+'Grid_TTAFOutgoing'!H22))</f>
        <v/>
      </c>
      <c r="I22">
        <f>IF(COUNTIFS(T_StockCount[Part Name],$A22,T_StockCount[WeekIndex],8)&gt;0,SUMIFS(T_StockCount[CountedQty],T_StockCount[Part Name],$A22,T_StockCount[WeekIndex],8),IF(('T_SelfStock'!I26&lt;&gt;""),'T_SelfStock'!I26,H22-'Grid_Requirement'!I22+'Grid_TTAFOutgoing'!I22))</f>
        <v/>
      </c>
      <c r="J22">
        <f>IF(COUNTIFS(T_StockCount[Part Name],$A22,T_StockCount[WeekIndex],9)&gt;0,SUMIFS(T_StockCount[CountedQty],T_StockCount[Part Name],$A22,T_StockCount[WeekIndex],9),IF(('T_SelfStock'!J26&lt;&gt;""),'T_SelfStock'!J26,I22-'Grid_Requirement'!J22+'Grid_TTAFOutgoing'!J22))</f>
        <v/>
      </c>
      <c r="K22">
        <f>IF(COUNTIFS(T_StockCount[Part Name],$A22,T_StockCount[WeekIndex],10)&gt;0,SUMIFS(T_StockCount[CountedQty],T_StockCount[Part Name],$A22,T_StockCount[WeekIndex],10),IF(('T_SelfStock'!K26&lt;&gt;""),'T_SelfStock'!K26,J22-'Grid_Requirement'!K22+'Grid_TTAFOutgoing'!K22))</f>
        <v/>
      </c>
      <c r="L22">
        <f>IF(COUNTIFS(T_StockCount[Part Name],$A22,T_StockCount[WeekIndex],11)&gt;0,SUMIFS(T_StockCount[CountedQty],T_StockCount[Part Name],$A22,T_StockCount[WeekIndex],11),IF(('T_SelfStock'!L26&lt;&gt;""),'T_SelfStock'!L26,K22-'Grid_Requirement'!L22+'Grid_TTAFOutgoing'!L22))</f>
        <v/>
      </c>
      <c r="M22">
        <f>IF(COUNTIFS(T_StockCount[Part Name],$A22,T_StockCount[WeekIndex],12)&gt;0,SUMIFS(T_StockCount[CountedQty],T_StockCount[Part Name],$A22,T_StockCount[WeekIndex],12),IF(('T_SelfStock'!M26&lt;&gt;""),'T_SelfStock'!M26,L22-'Grid_Requirement'!M22+'Grid_TTAFOutgoing'!M22))</f>
        <v/>
      </c>
      <c r="N22">
        <f>IF(COUNTIFS(T_StockCount[Part Name],$A22,T_StockCount[WeekIndex],13)&gt;0,SUMIFS(T_StockCount[CountedQty],T_StockCount[Part Name],$A22,T_StockCount[WeekIndex],13),IF(('T_SelfStock'!N26&lt;&gt;""),'T_SelfStock'!N26,M22-'Grid_Requirement'!N22+'Grid_TTAFOutgoing'!N22))</f>
        <v/>
      </c>
      <c r="O22">
        <f>IF(COUNTIFS(T_StockCount[Part Name],$A22,T_StockCount[WeekIndex],14)&gt;0,SUMIFS(T_StockCount[CountedQty],T_StockCount[Part Name],$A22,T_StockCount[WeekIndex],14),IF(('T_SelfStock'!O26&lt;&gt;""),'T_SelfStock'!O26,N22-'Grid_Requirement'!O22+'Grid_TTAFOutgoing'!O22))</f>
        <v/>
      </c>
      <c r="P22">
        <f>IF(COUNTIFS(T_StockCount[Part Name],$A22,T_StockCount[WeekIndex],15)&gt;0,SUMIFS(T_StockCount[CountedQty],T_StockCount[Part Name],$A22,T_StockCount[WeekIndex],15),IF(('T_SelfStock'!P26&lt;&gt;""),'T_SelfStock'!P26,O22-'Grid_Requirement'!P22+'Grid_TTAFOutgoing'!P22))</f>
        <v/>
      </c>
      <c r="Q22">
        <f>IF(COUNTIFS(T_StockCount[Part Name],$A22,T_StockCount[WeekIndex],16)&gt;0,SUMIFS(T_StockCount[CountedQty],T_StockCount[Part Name],$A22,T_StockCount[WeekIndex],16),IF(('T_SelfStock'!Q26&lt;&gt;""),'T_SelfStock'!Q26,P22-'Grid_Requirement'!Q22+'Grid_TTAFOutgoing'!Q22))</f>
        <v/>
      </c>
      <c r="R22">
        <f>IF(COUNTIFS(T_StockCount[Part Name],$A22,T_StockCount[WeekIndex],17)&gt;0,SUMIFS(T_StockCount[CountedQty],T_StockCount[Part Name],$A22,T_StockCount[WeekIndex],17),IF(('T_SelfStock'!R26&lt;&gt;""),'T_SelfStock'!R26,Q22-'Grid_Requirement'!R22+'Grid_TTAFOutgoing'!R22))</f>
        <v/>
      </c>
      <c r="S22">
        <f>IF(COUNTIFS(T_StockCount[Part Name],$A22,T_StockCount[WeekIndex],18)&gt;0,SUMIFS(T_StockCount[CountedQty],T_StockCount[Part Name],$A22,T_StockCount[WeekIndex],18),IF(('T_SelfStock'!S26&lt;&gt;""),'T_SelfStock'!S26,R22-'Grid_Requirement'!S22+'Grid_TTAFOutgoing'!S22))</f>
        <v/>
      </c>
      <c r="T22">
        <f>IF(COUNTIFS(T_StockCount[Part Name],$A22,T_StockCount[WeekIndex],19)&gt;0,SUMIFS(T_StockCount[CountedQty],T_StockCount[Part Name],$A22,T_StockCount[WeekIndex],19),IF(('T_SelfStock'!T26&lt;&gt;""),'T_SelfStock'!T26,S22-'Grid_Requirement'!T22+'Grid_TTAFOutgoing'!T22))</f>
        <v/>
      </c>
      <c r="U22">
        <f>IF(COUNTIFS(T_StockCount[Part Name],$A22,T_StockCount[WeekIndex],20)&gt;0,SUMIFS(T_StockCount[CountedQty],T_StockCount[Part Name],$A22,T_StockCount[WeekIndex],20),IF(('T_SelfStock'!U26&lt;&gt;""),'T_SelfStock'!U26,T22-'Grid_Requirement'!U22+'Grid_TTAFOutgoing'!U22))</f>
        <v/>
      </c>
      <c r="V22">
        <f>IF(COUNTIFS(T_StockCount[Part Name],$A22,T_StockCount[WeekIndex],21)&gt;0,SUMIFS(T_StockCount[CountedQty],T_StockCount[Part Name],$A22,T_StockCount[WeekIndex],21),IF(('T_SelfStock'!V26&lt;&gt;""),'T_SelfStock'!V26,U22-'Grid_Requirement'!V22+'Grid_TTAFOutgoing'!V22))</f>
        <v/>
      </c>
      <c r="W22">
        <f>IF(COUNTIFS(T_StockCount[Part Name],$A22,T_StockCount[WeekIndex],22)&gt;0,SUMIFS(T_StockCount[CountedQty],T_StockCount[Part Name],$A22,T_StockCount[WeekIndex],22),IF(('T_SelfStock'!W26&lt;&gt;""),'T_SelfStock'!W26,V22-'Grid_Requirement'!W22+'Grid_TTAFOutgoing'!W22))</f>
        <v/>
      </c>
      <c r="X22">
        <f>IF(COUNTIFS(T_StockCount[Part Name],$A22,T_StockCount[WeekIndex],23)&gt;0,SUMIFS(T_StockCount[CountedQty],T_StockCount[Part Name],$A22,T_StockCount[WeekIndex],23),IF(('T_SelfStock'!X26&lt;&gt;""),'T_SelfStock'!X26,W22-'Grid_Requirement'!X22+'Grid_TTAFOutgoing'!X22))</f>
        <v/>
      </c>
      <c r="Y22">
        <f>IF(COUNTIFS(T_StockCount[Part Name],$A22,T_StockCount[WeekIndex],24)&gt;0,SUMIFS(T_StockCount[CountedQty],T_StockCount[Part Name],$A22,T_StockCount[WeekIndex],24),IF(('T_SelfStock'!Y26&lt;&gt;""),'T_SelfStock'!Y26,X22-'Grid_Requirement'!Y22+'Grid_TTAFOutgoing'!Y22))</f>
        <v/>
      </c>
      <c r="Z22">
        <f>IF(COUNTIFS(T_StockCount[Part Name],$A22,T_StockCount[WeekIndex],25)&gt;0,SUMIFS(T_StockCount[CountedQty],T_StockCount[Part Name],$A22,T_StockCount[WeekIndex],25),IF(('T_SelfStock'!Z26&lt;&gt;""),'T_SelfStock'!Z26,Y22-'Grid_Requirement'!Z22+'Grid_TTAFOutgoing'!Z22))</f>
        <v/>
      </c>
      <c r="AA22">
        <f>IF(COUNTIFS(T_StockCount[Part Name],$A22,T_StockCount[WeekIndex],26)&gt;0,SUMIFS(T_StockCount[CountedQty],T_StockCount[Part Name],$A22,T_StockCount[WeekIndex],26),IF(('T_SelfStock'!AA26&lt;&gt;""),'T_SelfStock'!AA26,Z22-'Grid_Requirement'!AA22+'Grid_TTAFOutgoing'!AA22))</f>
        <v/>
      </c>
      <c r="AB22">
        <f>IF(COUNTIFS(T_StockCount[Part Name],$A22,T_StockCount[WeekIndex],27)&gt;0,SUMIFS(T_StockCount[CountedQty],T_StockCount[Part Name],$A22,T_StockCount[WeekIndex],27),IF(('T_SelfStock'!AB26&lt;&gt;""),'T_SelfStock'!AB26,AA22-'Grid_Requirement'!AB22+'Grid_TTAFOutgoing'!AB22))</f>
        <v/>
      </c>
      <c r="AC22">
        <f>IF(COUNTIFS(T_StockCount[Part Name],$A22,T_StockCount[WeekIndex],28)&gt;0,SUMIFS(T_StockCount[CountedQty],T_StockCount[Part Name],$A22,T_StockCount[WeekIndex],28),IF(('T_SelfStock'!AC26&lt;&gt;""),'T_SelfStock'!AC26,AB22-'Grid_Requirement'!AC22+'Grid_TTAFOutgoing'!AC22))</f>
        <v/>
      </c>
      <c r="AD22">
        <f>IF(COUNTIFS(T_StockCount[Part Name],$A22,T_StockCount[WeekIndex],29)&gt;0,SUMIFS(T_StockCount[CountedQty],T_StockCount[Part Name],$A22,T_StockCount[WeekIndex],29),IF(('T_SelfStock'!AD26&lt;&gt;""),'T_SelfStock'!AD26,AC22-'Grid_Requirement'!AD22+'Grid_TTAFOutgoing'!AD22))</f>
        <v/>
      </c>
      <c r="AE22">
        <f>IF(COUNTIFS(T_StockCount[Part Name],$A22,T_StockCount[WeekIndex],30)&gt;0,SUMIFS(T_StockCount[CountedQty],T_StockCount[Part Name],$A22,T_StockCount[WeekIndex],30),IF(('T_SelfStock'!AE26&lt;&gt;""),'T_SelfStock'!AE26,AD22-'Grid_Requirement'!AE22+'Grid_TTAFOutgoing'!AE22))</f>
        <v/>
      </c>
      <c r="AF22">
        <f>IF(COUNTIFS(T_StockCount[Part Name],$A22,T_StockCount[WeekIndex],31)&gt;0,SUMIFS(T_StockCount[CountedQty],T_StockCount[Part Name],$A22,T_StockCount[WeekIndex],31),IF(('T_SelfStock'!AF26&lt;&gt;""),'T_SelfStock'!AF26,AE22-'Grid_Requirement'!AF22+'Grid_TTAFOutgoing'!AF22))</f>
        <v/>
      </c>
      <c r="AG22">
        <f>IF(COUNTIFS(T_StockCount[Part Name],$A22,T_StockCount[WeekIndex],32)&gt;0,SUMIFS(T_StockCount[CountedQty],T_StockCount[Part Name],$A22,T_StockCount[WeekIndex],32),IF(('T_SelfStock'!AG26&lt;&gt;""),'T_SelfStock'!AG26,AF22-'Grid_Requirement'!AG22+'Grid_TTAFOutgoing'!AG22))</f>
        <v/>
      </c>
      <c r="AH22">
        <f>IF(COUNTIFS(T_StockCount[Part Name],$A22,T_StockCount[WeekIndex],33)&gt;0,SUMIFS(T_StockCount[CountedQty],T_StockCount[Part Name],$A22,T_StockCount[WeekIndex],33),IF(('T_SelfStock'!AH26&lt;&gt;""),'T_SelfStock'!AH26,AG22-'Grid_Requirement'!AH22+'Grid_TTAFOutgoing'!AH22))</f>
        <v/>
      </c>
      <c r="AI22">
        <f>IF(COUNTIFS(T_StockCount[Part Name],$A22,T_StockCount[WeekIndex],34)&gt;0,SUMIFS(T_StockCount[CountedQty],T_StockCount[Part Name],$A22,T_StockCount[WeekIndex],34),IF(('T_SelfStock'!AI26&lt;&gt;""),'T_SelfStock'!AI26,AH22-'Grid_Requirement'!AI22+'Grid_TTAFOutgoing'!AI22))</f>
        <v/>
      </c>
      <c r="AJ22">
        <f>IF(COUNTIFS(T_StockCount[Part Name],$A22,T_StockCount[WeekIndex],35)&gt;0,SUMIFS(T_StockCount[CountedQty],T_StockCount[Part Name],$A22,T_StockCount[WeekIndex],35),IF(('T_SelfStock'!AJ26&lt;&gt;""),'T_SelfStock'!AJ26,AI22-'Grid_Requirement'!AJ22+'Grid_TTAFOutgoing'!AJ22))</f>
        <v/>
      </c>
      <c r="AK22">
        <f>IF(COUNTIFS(T_StockCount[Part Name],$A22,T_StockCount[WeekIndex],36)&gt;0,SUMIFS(T_StockCount[CountedQty],T_StockCount[Part Name],$A22,T_StockCount[WeekIndex],36),IF(('T_SelfStock'!AK26&lt;&gt;""),'T_SelfStock'!AK26,AJ22-'Grid_Requirement'!AK22+'Grid_TTAFOutgoing'!AK22))</f>
        <v/>
      </c>
      <c r="AL22">
        <f>IF(COUNTIFS(T_StockCount[Part Name],$A22,T_StockCount[WeekIndex],37)&gt;0,SUMIFS(T_StockCount[CountedQty],T_StockCount[Part Name],$A22,T_StockCount[WeekIndex],37),IF(('T_SelfStock'!AL26&lt;&gt;""),'T_SelfStock'!AL26,AK22-'Grid_Requirement'!AL22+'Grid_TTAFOutgoing'!AL22))</f>
        <v/>
      </c>
      <c r="AM22">
        <f>IF(COUNTIFS(T_StockCount[Part Name],$A22,T_StockCount[WeekIndex],38)&gt;0,SUMIFS(T_StockCount[CountedQty],T_StockCount[Part Name],$A22,T_StockCount[WeekIndex],38),IF(('T_SelfStock'!AM26&lt;&gt;""),'T_SelfStock'!AM26,AL22-'Grid_Requirement'!AM22+'Grid_TTAFOutgoing'!AM22))</f>
        <v/>
      </c>
      <c r="AN22">
        <f>IF(COUNTIFS(T_StockCount[Part Name],$A22,T_StockCount[WeekIndex],39)&gt;0,SUMIFS(T_StockCount[CountedQty],T_StockCount[Part Name],$A22,T_StockCount[WeekIndex],39),IF(('T_SelfStock'!AN26&lt;&gt;""),'T_SelfStock'!AN26,AM22-'Grid_Requirement'!AN22+'Grid_TTAFOutgoing'!AN22))</f>
        <v/>
      </c>
      <c r="AO22">
        <f>IF(COUNTIFS(T_StockCount[Part Name],$A22,T_StockCount[WeekIndex],40)&gt;0,SUMIFS(T_StockCount[CountedQty],T_StockCount[Part Name],$A22,T_StockCount[WeekIndex],40),IF(('T_SelfStock'!AO26&lt;&gt;""),'T_SelfStock'!AO26,AN22-'Grid_Requirement'!AO22+'Grid_TTAFOutgoing'!AO22))</f>
        <v/>
      </c>
      <c r="AP22">
        <f>IF(COUNTIFS(T_StockCount[Part Name],$A22,T_StockCount[WeekIndex],41)&gt;0,SUMIFS(T_StockCount[CountedQty],T_StockCount[Part Name],$A22,T_StockCount[WeekIndex],41),IF(('T_SelfStock'!AP26&lt;&gt;""),'T_SelfStock'!AP26,AO22-'Grid_Requirement'!AP22+'Grid_TTAFOutgoing'!AP22))</f>
        <v/>
      </c>
      <c r="AQ22">
        <f>IF(COUNTIFS(T_StockCount[Part Name],$A22,T_StockCount[WeekIndex],42)&gt;0,SUMIFS(T_StockCount[CountedQty],T_StockCount[Part Name],$A22,T_StockCount[WeekIndex],42),IF(('T_SelfStock'!AQ26&lt;&gt;""),'T_SelfStock'!AQ26,AP22-'Grid_Requirement'!AQ22+'Grid_TTAFOutgoing'!AQ22))</f>
        <v/>
      </c>
      <c r="AR22">
        <f>IF(COUNTIFS(T_StockCount[Part Name],$A22,T_StockCount[WeekIndex],43)&gt;0,SUMIFS(T_StockCount[CountedQty],T_StockCount[Part Name],$A22,T_StockCount[WeekIndex],43),IF(('T_SelfStock'!AR26&lt;&gt;""),'T_SelfStock'!AR26,AQ22-'Grid_Requirement'!AR22+'Grid_TTAFOutgoing'!AR22))</f>
        <v/>
      </c>
      <c r="AS22">
        <f>IF(COUNTIFS(T_StockCount[Part Name],$A22,T_StockCount[WeekIndex],44)&gt;0,SUMIFS(T_StockCount[CountedQty],T_StockCount[Part Name],$A22,T_StockCount[WeekIndex],44),IF(('T_SelfStock'!AS26&lt;&gt;""),'T_SelfStock'!AS26,AR22-'Grid_Requirement'!AS22+'Grid_TTAFOutgoing'!AS22))</f>
        <v/>
      </c>
      <c r="AT22">
        <f>IF(COUNTIFS(T_StockCount[Part Name],$A22,T_StockCount[WeekIndex],45)&gt;0,SUMIFS(T_StockCount[CountedQty],T_StockCount[Part Name],$A22,T_StockCount[WeekIndex],45),IF(('T_SelfStock'!AT26&lt;&gt;""),'T_SelfStock'!AT26,AS22-'Grid_Requirement'!AT22+'Grid_TTAFOutgoing'!AT22))</f>
        <v/>
      </c>
      <c r="AU22">
        <f>IF(COUNTIFS(T_StockCount[Part Name],$A22,T_StockCount[WeekIndex],46)&gt;0,SUMIFS(T_StockCount[CountedQty],T_StockCount[Part Name],$A22,T_StockCount[WeekIndex],46),IF(('T_SelfStock'!AU26&lt;&gt;""),'T_SelfStock'!AU26,AT22-'Grid_Requirement'!AU22+'Grid_TTAFOutgoing'!AU22))</f>
        <v/>
      </c>
      <c r="AV22">
        <f>IF(COUNTIFS(T_StockCount[Part Name],$A22,T_StockCount[WeekIndex],47)&gt;0,SUMIFS(T_StockCount[CountedQty],T_StockCount[Part Name],$A22,T_StockCount[WeekIndex],47),IF(('T_SelfStock'!AV26&lt;&gt;""),'T_SelfStock'!AV26,AU22-'Grid_Requirement'!AV22+'Grid_TTAFOutgoing'!AV22))</f>
        <v/>
      </c>
      <c r="AW22">
        <f>IF(COUNTIFS(T_StockCount[Part Name],$A22,T_StockCount[WeekIndex],48)&gt;0,SUMIFS(T_StockCount[CountedQty],T_StockCount[Part Name],$A22,T_StockCount[WeekIndex],48),IF(('T_SelfStock'!AW26&lt;&gt;""),'T_SelfStock'!AW26,AV22-'Grid_Requirement'!AW22+'Grid_TTAFOutgoing'!AW22))</f>
        <v/>
      </c>
      <c r="AX22">
        <f>IF(COUNTIFS(T_StockCount[Part Name],$A22,T_StockCount[WeekIndex],49)&gt;0,SUMIFS(T_StockCount[CountedQty],T_StockCount[Part Name],$A22,T_StockCount[WeekIndex],49),IF(('T_SelfStock'!AX26&lt;&gt;""),'T_SelfStock'!AX26,AW22-'Grid_Requirement'!AX22+'Grid_TTAFOutgoing'!AX22))</f>
        <v/>
      </c>
      <c r="AY22">
        <f>IF(COUNTIFS(T_StockCount[Part Name],$A22,T_StockCount[WeekIndex],50)&gt;0,SUMIFS(T_StockCount[CountedQty],T_StockCount[Part Name],$A22,T_StockCount[WeekIndex],50),IF(('T_SelfStock'!AY26&lt;&gt;""),'T_SelfStock'!AY26,AX22-'Grid_Requirement'!AY22+'Grid_TTAFOutgoing'!AY22))</f>
        <v/>
      </c>
      <c r="AZ22">
        <f>IF(COUNTIFS(T_StockCount[Part Name],$A22,T_StockCount[WeekIndex],51)&gt;0,SUMIFS(T_StockCount[CountedQty],T_StockCount[Part Name],$A22,T_StockCount[WeekIndex],51),IF(('T_SelfStock'!AZ26&lt;&gt;""),'T_SelfStock'!AZ26,AY22-'Grid_Requirement'!AZ22+'Grid_TTAFOutgoing'!AZ22))</f>
        <v/>
      </c>
      <c r="BA22">
        <f>IF(COUNTIFS(T_StockCount[Part Name],$A22,T_StockCount[WeekIndex],52)&gt;0,SUMIFS(T_StockCount[CountedQty],T_StockCount[Part Name],$A22,T_StockCount[WeekIndex],52),IF(('T_SelfStock'!BA26&lt;&gt;""),'T_SelfStock'!BA26,AZ22-'Grid_Requirement'!BA22+'Grid_TTAFOutgoing'!BA22))</f>
        <v/>
      </c>
      <c r="BB22">
        <f>IF(COUNTIFS(T_StockCount[Part Name],$A22,T_StockCount[WeekIndex],53)&gt;0,SUMIFS(T_StockCount[CountedQty],T_StockCount[Part Name],$A22,T_StockCount[WeekIndex],53),IF(('T_SelfStock'!BB26&lt;&gt;""),'T_SelfStock'!BB26,BA22-'Grid_Requirement'!BB22+'Grid_TTAFOutgoing'!BB22))</f>
        <v/>
      </c>
      <c r="BC22">
        <f>IF(COUNTIFS(T_StockCount[Part Name],$A22,T_StockCount[WeekIndex],54)&gt;0,SUMIFS(T_StockCount[CountedQty],T_StockCount[Part Name],$A22,T_StockCount[WeekIndex],54),IF(('T_SelfStock'!BC26&lt;&gt;""),'T_SelfStock'!BC26,BB22-'Grid_Requirement'!BC22+'Grid_TTAFOutgoing'!BC22))</f>
        <v/>
      </c>
      <c r="BD22">
        <f>IF(COUNTIFS(T_StockCount[Part Name],$A22,T_StockCount[WeekIndex],55)&gt;0,SUMIFS(T_StockCount[CountedQty],T_StockCount[Part Name],$A22,T_StockCount[WeekIndex],55),IF(('T_SelfStock'!BD26&lt;&gt;""),'T_SelfStock'!BD26,BC22-'Grid_Requirement'!BD22+'Grid_TTAFOutgoing'!BD22))</f>
        <v/>
      </c>
      <c r="BE22">
        <f>IF(COUNTIFS(T_StockCount[Part Name],$A22,T_StockCount[WeekIndex],56)&gt;0,SUMIFS(T_StockCount[CountedQty],T_StockCount[Part Name],$A22,T_StockCount[WeekIndex],56),IF(('T_SelfStock'!BE26&lt;&gt;""),'T_SelfStock'!BE26,BD22-'Grid_Requirement'!BE22+'Grid_TTAFOutgoing'!BE22))</f>
        <v/>
      </c>
      <c r="BF22">
        <f>IF(COUNTIFS(T_StockCount[Part Name],$A22,T_StockCount[WeekIndex],57)&gt;0,SUMIFS(T_StockCount[CountedQty],T_StockCount[Part Name],$A22,T_StockCount[WeekIndex],57),IF(('T_SelfStock'!BF26&lt;&gt;""),'T_SelfStock'!BF26,BE22-'Grid_Requirement'!BF22+'Grid_TTAFOutgoing'!BF22))</f>
        <v/>
      </c>
      <c r="BG22">
        <f>IF(COUNTIFS(T_StockCount[Part Name],$A22,T_StockCount[WeekIndex],58)&gt;0,SUMIFS(T_StockCount[CountedQty],T_StockCount[Part Name],$A22,T_StockCount[WeekIndex],58),IF(('T_SelfStock'!BG26&lt;&gt;""),'T_SelfStock'!BG26,BF22-'Grid_Requirement'!BG22+'Grid_TTAFOutgoing'!BG22))</f>
        <v/>
      </c>
      <c r="BH22">
        <f>IF(COUNTIFS(T_StockCount[Part Name],$A22,T_StockCount[WeekIndex],59)&gt;0,SUMIFS(T_StockCount[CountedQty],T_StockCount[Part Name],$A22,T_StockCount[WeekIndex],59),IF(('T_SelfStock'!BH26&lt;&gt;""),'T_SelfStock'!BH26,BG22-'Grid_Requirement'!BH22+'Grid_TTAFOutgoing'!BH22))</f>
        <v/>
      </c>
      <c r="BI22">
        <f>IF(COUNTIFS(T_StockCount[Part Name],$A22,T_StockCount[WeekIndex],60)&gt;0,SUMIFS(T_StockCount[CountedQty],T_StockCount[Part Name],$A22,T_StockCount[WeekIndex],60),IF(('T_SelfStock'!BI26&lt;&gt;""),'T_SelfStock'!BI26,BH22-'Grid_Requirement'!BI22+'Grid_TTAFOutgoing'!BI22))</f>
        <v/>
      </c>
      <c r="BJ22">
        <f>IF(COUNTIFS(T_StockCount[Part Name],$A22,T_StockCount[WeekIndex],61)&gt;0,SUMIFS(T_StockCount[CountedQty],T_StockCount[Part Name],$A22,T_StockCount[WeekIndex],61),IF(('T_SelfStock'!BJ26&lt;&gt;""),'T_SelfStock'!BJ26,BI22-'Grid_Requirement'!BJ22+'Grid_TTAFOutgoing'!BJ22))</f>
        <v/>
      </c>
      <c r="BK22">
        <f>IF(COUNTIFS(T_StockCount[Part Name],$A22,T_StockCount[WeekIndex],62)&gt;0,SUMIFS(T_StockCount[CountedQty],T_StockCount[Part Name],$A22,T_StockCount[WeekIndex],62),IF(('T_SelfStock'!BK26&lt;&gt;""),'T_SelfStock'!BK26,BJ22-'Grid_Requirement'!BK22+'Grid_TTAFOutgoing'!BK22))</f>
        <v/>
      </c>
      <c r="BL22">
        <f>IF(COUNTIFS(T_StockCount[Part Name],$A22,T_StockCount[WeekIndex],63)&gt;0,SUMIFS(T_StockCount[CountedQty],T_StockCount[Part Name],$A22,T_StockCount[WeekIndex],63),IF(('T_SelfStock'!BL26&lt;&gt;""),'T_SelfStock'!BL26,BK22-'Grid_Requirement'!BL22+'Grid_TTAFOutgoing'!BL22))</f>
        <v/>
      </c>
      <c r="BM22">
        <f>IF(COUNTIFS(T_StockCount[Part Name],$A22,T_StockCount[WeekIndex],64)&gt;0,SUMIFS(T_StockCount[CountedQty],T_StockCount[Part Name],$A22,T_StockCount[WeekIndex],64),IF(('T_SelfStock'!BM26&lt;&gt;""),'T_SelfStock'!BM26,BL22-'Grid_Requirement'!BM22+'Grid_TTAFOutgoing'!BM22))</f>
        <v/>
      </c>
      <c r="BN22">
        <f>IF(COUNTIFS(T_StockCount[Part Name],$A22,T_StockCount[WeekIndex],65)&gt;0,SUMIFS(T_StockCount[CountedQty],T_StockCount[Part Name],$A22,T_StockCount[WeekIndex],65),IF(('T_SelfStock'!BN26&lt;&gt;""),'T_SelfStock'!BN26,BM22-'Grid_Requirement'!BN22+'Grid_TTAFOutgoing'!BN22))</f>
        <v/>
      </c>
      <c r="BO22">
        <f>IF(COUNTIFS(T_StockCount[Part Name],$A22,T_StockCount[WeekIndex],66)&gt;0,SUMIFS(T_StockCount[CountedQty],T_StockCount[Part Name],$A22,T_StockCount[WeekIndex],66),IF(('T_SelfStock'!BO26&lt;&gt;""),'T_SelfStock'!BO26,BN22-'Grid_Requirement'!BO22+'Grid_TTAFOutgoing'!BO22))</f>
        <v/>
      </c>
      <c r="BP22">
        <f>IF(COUNTIFS(T_StockCount[Part Name],$A22,T_StockCount[WeekIndex],67)&gt;0,SUMIFS(T_StockCount[CountedQty],T_StockCount[Part Name],$A22,T_StockCount[WeekIndex],67),IF(('T_SelfStock'!BP26&lt;&gt;""),'T_SelfStock'!BP26,BO22-'Grid_Requirement'!BP22+'Grid_TTAFOutgoing'!BP22))</f>
        <v/>
      </c>
      <c r="BQ22">
        <f>IF(COUNTIFS(T_StockCount[Part Name],$A22,T_StockCount[WeekIndex],68)&gt;0,SUMIFS(T_StockCount[CountedQty],T_StockCount[Part Name],$A22,T_StockCount[WeekIndex],68),IF(('T_SelfStock'!BQ26&lt;&gt;""),'T_SelfStock'!BQ26,BP22-'Grid_Requirement'!BQ22+'Grid_TTAFOutgoing'!BQ22))</f>
        <v/>
      </c>
      <c r="BR22">
        <f>IF(COUNTIFS(T_StockCount[Part Name],$A22,T_StockCount[WeekIndex],69)&gt;0,SUMIFS(T_StockCount[CountedQty],T_StockCount[Part Name],$A22,T_StockCount[WeekIndex],69),IF(('T_SelfStock'!BR26&lt;&gt;""),'T_SelfStock'!BR26,BQ22-'Grid_Requirement'!BR22+'Grid_TTAFOutgoing'!BR22))</f>
        <v/>
      </c>
      <c r="BS22">
        <f>IF(COUNTIFS(T_StockCount[Part Name],$A22,T_StockCount[WeekIndex],70)&gt;0,SUMIFS(T_StockCount[CountedQty],T_StockCount[Part Name],$A22,T_StockCount[WeekIndex],70),IF(('T_SelfStock'!BS26&lt;&gt;""),'T_SelfStock'!BS26,BR22-'Grid_Requirement'!BS22+'Grid_TTAFOutgoing'!BS22))</f>
        <v/>
      </c>
      <c r="BT22">
        <f>IF(COUNTIFS(T_StockCount[Part Name],$A22,T_StockCount[WeekIndex],71)&gt;0,SUMIFS(T_StockCount[CountedQty],T_StockCount[Part Name],$A22,T_StockCount[WeekIndex],71),IF(('T_SelfStock'!BT26&lt;&gt;""),'T_SelfStock'!BT26,BS22-'Grid_Requirement'!BT22+'Grid_TTAFOutgoing'!BT22))</f>
        <v/>
      </c>
      <c r="BU22">
        <f>IF(COUNTIFS(T_StockCount[Part Name],$A22,T_StockCount[WeekIndex],72)&gt;0,SUMIFS(T_StockCount[CountedQty],T_StockCount[Part Name],$A22,T_StockCount[WeekIndex],72),IF(('T_SelfStock'!BU26&lt;&gt;""),'T_SelfStock'!BU26,BT22-'Grid_Requirement'!BU22+'Grid_TTAFOutgoing'!BU22))</f>
        <v/>
      </c>
      <c r="BV22">
        <f>IF(COUNTIFS(T_StockCount[Part Name],$A22,T_StockCount[WeekIndex],73)&gt;0,SUMIFS(T_StockCount[CountedQty],T_StockCount[Part Name],$A22,T_StockCount[WeekIndex],73),IF(('T_SelfStock'!BV26&lt;&gt;""),'T_SelfStock'!BV26,BU22-'Grid_Requirement'!BV22+'Grid_TTAFOutgoing'!BV22))</f>
        <v/>
      </c>
      <c r="BW22">
        <f>IF(COUNTIFS(T_StockCount[Part Name],$A22,T_StockCount[WeekIndex],74)&gt;0,SUMIFS(T_StockCount[CountedQty],T_StockCount[Part Name],$A22,T_StockCount[WeekIndex],74),IF(('T_SelfStock'!BW26&lt;&gt;""),'T_SelfStock'!BW26,BV22-'Grid_Requirement'!BW22+'Grid_TTAFOutgoing'!BW22))</f>
        <v/>
      </c>
      <c r="BX22">
        <f>IF(COUNTIFS(T_StockCount[Part Name],$A22,T_StockCount[WeekIndex],75)&gt;0,SUMIFS(T_StockCount[CountedQty],T_StockCount[Part Name],$A22,T_StockCount[WeekIndex],75),IF(('T_SelfStock'!BX26&lt;&gt;""),'T_SelfStock'!BX26,BW22-'Grid_Requirement'!BX22+'Grid_TTAFOutgoing'!BX22))</f>
        <v/>
      </c>
      <c r="BY22">
        <f>IF(COUNTIFS(T_StockCount[Part Name],$A22,T_StockCount[WeekIndex],76)&gt;0,SUMIFS(T_StockCount[CountedQty],T_StockCount[Part Name],$A22,T_StockCount[WeekIndex],76),IF(('T_SelfStock'!BY26&lt;&gt;""),'T_SelfStock'!BY26,BX22-'Grid_Requirement'!BY22+'Grid_TTAFOutgoing'!BY22))</f>
        <v/>
      </c>
      <c r="BZ22">
        <f>IF(COUNTIFS(T_StockCount[Part Name],$A22,T_StockCount[WeekIndex],77)&gt;0,SUMIFS(T_StockCount[CountedQty],T_StockCount[Part Name],$A22,T_StockCount[WeekIndex],77),IF(('T_SelfStock'!BZ26&lt;&gt;""),'T_SelfStock'!BZ26,BY22-'Grid_Requirement'!BZ22+'Grid_TTAFOutgoing'!BZ22))</f>
        <v/>
      </c>
      <c r="CA22">
        <f>IF(COUNTIFS(T_StockCount[Part Name],$A22,T_StockCount[WeekIndex],78)&gt;0,SUMIFS(T_StockCount[CountedQty],T_StockCount[Part Name],$A22,T_StockCount[WeekIndex],78),IF(('T_SelfStock'!CA26&lt;&gt;""),'T_SelfStock'!CA26,BZ22-'Grid_Requirement'!CA22+'Grid_TTAFOutgoing'!CA22))</f>
        <v/>
      </c>
      <c r="CB22">
        <f>IF(COUNTIFS(T_StockCount[Part Name],$A22,T_StockCount[WeekIndex],79)&gt;0,SUMIFS(T_StockCount[CountedQty],T_StockCount[Part Name],$A22,T_StockCount[WeekIndex],79),IF(('T_SelfStock'!CB26&lt;&gt;""),'T_SelfStock'!CB26,CA22-'Grid_Requirement'!CB22+'Grid_TTAFOutgoing'!CB22))</f>
        <v/>
      </c>
      <c r="CC22">
        <f>IF(COUNTIFS(T_StockCount[Part Name],$A22,T_StockCount[WeekIndex],80)&gt;0,SUMIFS(T_StockCount[CountedQty],T_StockCount[Part Name],$A22,T_StockCount[WeekIndex],80),IF(('T_SelfStock'!CC26&lt;&gt;""),'T_SelfStock'!CC26,CB22-'Grid_Requirement'!CC22+'Grid_TTAFOutgoing'!CC22))</f>
        <v/>
      </c>
      <c r="CD22">
        <f>IF(COUNTIFS(T_StockCount[Part Name],$A22,T_StockCount[WeekIndex],81)&gt;0,SUMIFS(T_StockCount[CountedQty],T_StockCount[Part Name],$A22,T_StockCount[WeekIndex],81),IF(('T_SelfStock'!CD26&lt;&gt;""),'T_SelfStock'!CD26,CC22-'Grid_Requirement'!CD22+'Grid_TTAFOutgoing'!CD22))</f>
        <v/>
      </c>
      <c r="CE22">
        <f>IF(COUNTIFS(T_StockCount[Part Name],$A22,T_StockCount[WeekIndex],82)&gt;0,SUMIFS(T_StockCount[CountedQty],T_StockCount[Part Name],$A22,T_StockCount[WeekIndex],82),IF(('T_SelfStock'!CE26&lt;&gt;""),'T_SelfStock'!CE26,CD22-'Grid_Requirement'!CE22+'Grid_TTAFOutgoing'!CE22))</f>
        <v/>
      </c>
      <c r="CF22">
        <f>IF(COUNTIFS(T_StockCount[Part Name],$A22,T_StockCount[WeekIndex],83)&gt;0,SUMIFS(T_StockCount[CountedQty],T_StockCount[Part Name],$A22,T_StockCount[WeekIndex],83),IF(('T_SelfStock'!CF26&lt;&gt;""),'T_SelfStock'!CF26,CE22-'Grid_Requirement'!CF22+'Grid_TTAFOutgoing'!CF22))</f>
        <v/>
      </c>
      <c r="CG22">
        <f>IF(COUNTIFS(T_StockCount[Part Name],$A22,T_StockCount[WeekIndex],84)&gt;0,SUMIFS(T_StockCount[CountedQty],T_StockCount[Part Name],$A22,T_StockCount[WeekIndex],84),IF(('T_SelfStock'!CG26&lt;&gt;""),'T_SelfStock'!CG26,CF22-'Grid_Requirement'!CG22+'Grid_TTAFOutgoing'!CG22))</f>
        <v/>
      </c>
      <c r="CH22">
        <f>IF(COUNTIFS(T_StockCount[Part Name],$A22,T_StockCount[WeekIndex],85)&gt;0,SUMIFS(T_StockCount[CountedQty],T_StockCount[Part Name],$A22,T_StockCount[WeekIndex],85),IF(('T_SelfStock'!CH26&lt;&gt;""),'T_SelfStock'!CH26,CG22-'Grid_Requirement'!CH22+'Grid_TTAFOutgoing'!CH22))</f>
        <v/>
      </c>
      <c r="CI22">
        <f>IF(COUNTIFS(T_StockCount[Part Name],$A22,T_StockCount[WeekIndex],86)&gt;0,SUMIFS(T_StockCount[CountedQty],T_StockCount[Part Name],$A22,T_StockCount[WeekIndex],86),IF(('T_SelfStock'!CI26&lt;&gt;""),'T_SelfStock'!CI26,CH22-'Grid_Requirement'!CI22+'Grid_TTAFOutgoing'!CI22))</f>
        <v/>
      </c>
      <c r="CJ22">
        <f>IF(COUNTIFS(T_StockCount[Part Name],$A22,T_StockCount[WeekIndex],87)&gt;0,SUMIFS(T_StockCount[CountedQty],T_StockCount[Part Name],$A22,T_StockCount[WeekIndex],87),IF(('T_SelfStock'!CJ26&lt;&gt;""),'T_SelfStock'!CJ26,CI22-'Grid_Requirement'!CJ22+'Grid_TTAFOutgoing'!CJ22))</f>
        <v/>
      </c>
      <c r="CK22">
        <f>IF(COUNTIFS(T_StockCount[Part Name],$A22,T_StockCount[WeekIndex],88)&gt;0,SUMIFS(T_StockCount[CountedQty],T_StockCount[Part Name],$A22,T_StockCount[WeekIndex],88),IF(('T_SelfStock'!CK26&lt;&gt;""),'T_SelfStock'!CK26,CJ22-'Grid_Requirement'!CK22+'Grid_TTAFOutgoing'!CK22))</f>
        <v/>
      </c>
      <c r="CL22">
        <f>IF(COUNTIFS(T_StockCount[Part Name],$A22,T_StockCount[WeekIndex],89)&gt;0,SUMIFS(T_StockCount[CountedQty],T_StockCount[Part Name],$A22,T_StockCount[WeekIndex],89),IF(('T_SelfStock'!CL26&lt;&gt;""),'T_SelfStock'!CL26,CK22-'Grid_Requirement'!CL22+'Grid_TTAFOutgoing'!CL22))</f>
        <v/>
      </c>
      <c r="CM22">
        <f>IF(COUNTIFS(T_StockCount[Part Name],$A22,T_StockCount[WeekIndex],90)&gt;0,SUMIFS(T_StockCount[CountedQty],T_StockCount[Part Name],$A22,T_StockCount[WeekIndex],90),IF(('T_SelfStock'!CM26&lt;&gt;""),'T_SelfStock'!CM26,CL22-'Grid_Requirement'!CM22+'Grid_TTAFOutgoing'!CM22))</f>
        <v/>
      </c>
      <c r="CN22">
        <f>IF(COUNTIFS(T_StockCount[Part Name],$A22,T_StockCount[WeekIndex],91)&gt;0,SUMIFS(T_StockCount[CountedQty],T_StockCount[Part Name],$A22,T_StockCount[WeekIndex],91),IF(('T_SelfStock'!CN26&lt;&gt;""),'T_SelfStock'!CN26,CM22-'Grid_Requirement'!CN22+'Grid_TTAFOutgoing'!CN22))</f>
        <v/>
      </c>
      <c r="CO22">
        <f>IF(COUNTIFS(T_StockCount[Part Name],$A22,T_StockCount[WeekIndex],92)&gt;0,SUMIFS(T_StockCount[CountedQty],T_StockCount[Part Name],$A22,T_StockCount[WeekIndex],92),IF(('T_SelfStock'!CO26&lt;&gt;""),'T_SelfStock'!CO26,CN22-'Grid_Requirement'!CO22+'Grid_TTAFOutgoing'!CO22))</f>
        <v/>
      </c>
      <c r="CP22">
        <f>IF(COUNTIFS(T_StockCount[Part Name],$A22,T_StockCount[WeekIndex],93)&gt;0,SUMIFS(T_StockCount[CountedQty],T_StockCount[Part Name],$A22,T_StockCount[WeekIndex],93),IF(('T_SelfStock'!CP26&lt;&gt;""),'T_SelfStock'!CP26,CO22-'Grid_Requirement'!CP22+'Grid_TTAFOutgoing'!CP22))</f>
        <v/>
      </c>
      <c r="CQ22">
        <f>IF(COUNTIFS(T_StockCount[Part Name],$A22,T_StockCount[WeekIndex],94)&gt;0,SUMIFS(T_StockCount[CountedQty],T_StockCount[Part Name],$A22,T_StockCount[WeekIndex],94),IF(('T_SelfStock'!CQ26&lt;&gt;""),'T_SelfStock'!CQ26,CP22-'Grid_Requirement'!CQ22+'Grid_TTAFOutgoing'!CQ22))</f>
        <v/>
      </c>
      <c r="CR22">
        <f>IF(COUNTIFS(T_StockCount[Part Name],$A22,T_StockCount[WeekIndex],95)&gt;0,SUMIFS(T_StockCount[CountedQty],T_StockCount[Part Name],$A22,T_StockCount[WeekIndex],95),IF(('T_SelfStock'!CR26&lt;&gt;""),'T_SelfStock'!CR26,CQ22-'Grid_Requirement'!CR22+'Grid_TTAFOutgoing'!CR22))</f>
        <v/>
      </c>
      <c r="CS22">
        <f>IF(COUNTIFS(T_StockCount[Part Name],$A22,T_StockCount[WeekIndex],96)&gt;0,SUMIFS(T_StockCount[CountedQty],T_StockCount[Part Name],$A22,T_StockCount[WeekIndex],96),IF(('T_SelfStock'!CS26&lt;&gt;""),'T_SelfStock'!CS26,CR22-'Grid_Requirement'!CS22+'Grid_TTAFOutgoing'!CS22))</f>
        <v/>
      </c>
      <c r="CT22">
        <f>IF(COUNTIFS(T_StockCount[Part Name],$A22,T_StockCount[WeekIndex],97)&gt;0,SUMIFS(T_StockCount[CountedQty],T_StockCount[Part Name],$A22,T_StockCount[WeekIndex],97),IF(('T_SelfStock'!CT26&lt;&gt;""),'T_SelfStock'!CT26,CS22-'Grid_Requirement'!CT22+'Grid_TTAFOutgoing'!CT22))</f>
        <v/>
      </c>
      <c r="CU22">
        <f>IF(COUNTIFS(T_StockCount[Part Name],$A22,T_StockCount[WeekIndex],98)&gt;0,SUMIFS(T_StockCount[CountedQty],T_StockCount[Part Name],$A22,T_StockCount[WeekIndex],98),IF(('T_SelfStock'!CU26&lt;&gt;""),'T_SelfStock'!CU26,CT22-'Grid_Requirement'!CU22+'Grid_TTAFOutgoing'!CU22))</f>
        <v/>
      </c>
      <c r="CV22">
        <f>IF(COUNTIFS(T_StockCount[Part Name],$A22,T_StockCount[WeekIndex],99)&gt;0,SUMIFS(T_StockCount[CountedQty],T_StockCount[Part Name],$A22,T_StockCount[WeekIndex],99),IF(('T_SelfStock'!CV26&lt;&gt;""),'T_SelfStock'!CV26,CU22-'Grid_Requirement'!CV22+'Grid_TTAFOutgoing'!CV22))</f>
        <v/>
      </c>
      <c r="CW22">
        <f>IF(COUNTIFS(T_StockCount[Part Name],$A22,T_StockCount[WeekIndex],100)&gt;0,SUMIFS(T_StockCount[CountedQty],T_StockCount[Part Name],$A22,T_StockCount[WeekIndex],100),IF(('T_SelfStock'!CW26&lt;&gt;""),'T_SelfStock'!CW26,CV22-'Grid_Requirement'!CW22+'Grid_TTAFOutgoing'!CW22))</f>
        <v/>
      </c>
      <c r="CX22">
        <f>IF(COUNTIFS(T_StockCount[Part Name],$A22,T_StockCount[WeekIndex],101)&gt;0,SUMIFS(T_StockCount[CountedQty],T_StockCount[Part Name],$A22,T_StockCount[WeekIndex],101),IF(('T_SelfStock'!CX26&lt;&gt;""),'T_SelfStock'!CX26,CW22-'Grid_Requirement'!CX22+'Grid_TTAFOutgoing'!CX22))</f>
        <v/>
      </c>
      <c r="CY22">
        <f>IF(COUNTIFS(T_StockCount[Part Name],$A22,T_StockCount[WeekIndex],102)&gt;0,SUMIFS(T_StockCount[CountedQty],T_StockCount[Part Name],$A22,T_StockCount[WeekIndex],102),IF(('T_SelfStock'!CY26&lt;&gt;""),'T_SelfStock'!CY26,CX22-'Grid_Requirement'!CY22+'Grid_TTAFOutgoing'!CY22))</f>
        <v/>
      </c>
      <c r="CZ22">
        <f>IF(COUNTIFS(T_StockCount[Part Name],$A22,T_StockCount[WeekIndex],103)&gt;0,SUMIFS(T_StockCount[CountedQty],T_StockCount[Part Name],$A22,T_StockCount[WeekIndex],103),IF(('T_SelfStock'!CZ26&lt;&gt;""),'T_SelfStock'!CZ26,CY22-'Grid_Requirement'!CZ22+'Grid_TTAFOutgoing'!CZ22))</f>
        <v/>
      </c>
      <c r="DA22">
        <f>IF(COUNTIFS(T_StockCount[Part Name],$A22,T_StockCount[WeekIndex],104)&gt;0,SUMIFS(T_StockCount[CountedQty],T_StockCount[Part Name],$A22,T_StockCount[WeekIndex],104),IF(('T_SelfStock'!DA26&lt;&gt;""),'T_SelfStock'!DA26,CZ22-'Grid_Requirement'!DA22+'Grid_TTAFOutgoing'!DA22))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Name],$A23,T_StockCount[WeekIndex],1),IF(('T_SelfStock'!B27&lt;&gt;""),'T_SelfStock'!B27,IFERROR(INDEX(T_OpeningStock[Opening_Qty],MATCH($A23,T_OpeningStock[Part Name],0)),0)-'Grid_Requirement'!B23+'Grid_TTAFOutgoing'!B23))</f>
        <v/>
      </c>
      <c r="C23">
        <f>IF(COUNTIFS(T_StockCount[Part Name],$A23,T_StockCount[WeekIndex],2)&gt;0,SUMIFS(T_StockCount[CountedQty],T_StockCount[Part Name],$A23,T_StockCount[WeekIndex],2),IF(('T_SelfStock'!C27&lt;&gt;""),'T_SelfStock'!C27,B23-'Grid_Requirement'!C23+'Grid_TTAFOutgoing'!C23))</f>
        <v/>
      </c>
      <c r="D23">
        <f>IF(COUNTIFS(T_StockCount[Part Name],$A23,T_StockCount[WeekIndex],3)&gt;0,SUMIFS(T_StockCount[CountedQty],T_StockCount[Part Name],$A23,T_StockCount[WeekIndex],3),IF(('T_SelfStock'!D27&lt;&gt;""),'T_SelfStock'!D27,C23-'Grid_Requirement'!D23+'Grid_TTAFOutgoing'!D23))</f>
        <v/>
      </c>
      <c r="E23">
        <f>IF(COUNTIFS(T_StockCount[Part Name],$A23,T_StockCount[WeekIndex],4)&gt;0,SUMIFS(T_StockCount[CountedQty],T_StockCount[Part Name],$A23,T_StockCount[WeekIndex],4),IF(('T_SelfStock'!E27&lt;&gt;""),'T_SelfStock'!E27,D23-'Grid_Requirement'!E23+'Grid_TTAFOutgoing'!E23))</f>
        <v/>
      </c>
      <c r="F23">
        <f>IF(COUNTIFS(T_StockCount[Part Name],$A23,T_StockCount[WeekIndex],5)&gt;0,SUMIFS(T_StockCount[CountedQty],T_StockCount[Part Name],$A23,T_StockCount[WeekIndex],5),IF(('T_SelfStock'!F27&lt;&gt;""),'T_SelfStock'!F27,E23-'Grid_Requirement'!F23+'Grid_TTAFOutgoing'!F23))</f>
        <v/>
      </c>
      <c r="G23">
        <f>IF(COUNTIFS(T_StockCount[Part Name],$A23,T_StockCount[WeekIndex],6)&gt;0,SUMIFS(T_StockCount[CountedQty],T_StockCount[Part Name],$A23,T_StockCount[WeekIndex],6),IF(('T_SelfStock'!G27&lt;&gt;""),'T_SelfStock'!G27,F23-'Grid_Requirement'!G23+'Grid_TTAFOutgoing'!G23))</f>
        <v/>
      </c>
      <c r="H23">
        <f>IF(COUNTIFS(T_StockCount[Part Name],$A23,T_StockCount[WeekIndex],7)&gt;0,SUMIFS(T_StockCount[CountedQty],T_StockCount[Part Name],$A23,T_StockCount[WeekIndex],7),IF(('T_SelfStock'!H27&lt;&gt;""),'T_SelfStock'!H27,G23-'Grid_Requirement'!H23+'Grid_TTAFOutgoing'!H23))</f>
        <v/>
      </c>
      <c r="I23">
        <f>IF(COUNTIFS(T_StockCount[Part Name],$A23,T_StockCount[WeekIndex],8)&gt;0,SUMIFS(T_StockCount[CountedQty],T_StockCount[Part Name],$A23,T_StockCount[WeekIndex],8),IF(('T_SelfStock'!I27&lt;&gt;""),'T_SelfStock'!I27,H23-'Grid_Requirement'!I23+'Grid_TTAFOutgoing'!I23))</f>
        <v/>
      </c>
      <c r="J23">
        <f>IF(COUNTIFS(T_StockCount[Part Name],$A23,T_StockCount[WeekIndex],9)&gt;0,SUMIFS(T_StockCount[CountedQty],T_StockCount[Part Name],$A23,T_StockCount[WeekIndex],9),IF(('T_SelfStock'!J27&lt;&gt;""),'T_SelfStock'!J27,I23-'Grid_Requirement'!J23+'Grid_TTAFOutgoing'!J23))</f>
        <v/>
      </c>
      <c r="K23">
        <f>IF(COUNTIFS(T_StockCount[Part Name],$A23,T_StockCount[WeekIndex],10)&gt;0,SUMIFS(T_StockCount[CountedQty],T_StockCount[Part Name],$A23,T_StockCount[WeekIndex],10),IF(('T_SelfStock'!K27&lt;&gt;""),'T_SelfStock'!K27,J23-'Grid_Requirement'!K23+'Grid_TTAFOutgoing'!K23))</f>
        <v/>
      </c>
      <c r="L23">
        <f>IF(COUNTIFS(T_StockCount[Part Name],$A23,T_StockCount[WeekIndex],11)&gt;0,SUMIFS(T_StockCount[CountedQty],T_StockCount[Part Name],$A23,T_StockCount[WeekIndex],11),IF(('T_SelfStock'!L27&lt;&gt;""),'T_SelfStock'!L27,K23-'Grid_Requirement'!L23+'Grid_TTAFOutgoing'!L23))</f>
        <v/>
      </c>
      <c r="M23">
        <f>IF(COUNTIFS(T_StockCount[Part Name],$A23,T_StockCount[WeekIndex],12)&gt;0,SUMIFS(T_StockCount[CountedQty],T_StockCount[Part Name],$A23,T_StockCount[WeekIndex],12),IF(('T_SelfStock'!M27&lt;&gt;""),'T_SelfStock'!M27,L23-'Grid_Requirement'!M23+'Grid_TTAFOutgoing'!M23))</f>
        <v/>
      </c>
      <c r="N23">
        <f>IF(COUNTIFS(T_StockCount[Part Name],$A23,T_StockCount[WeekIndex],13)&gt;0,SUMIFS(T_StockCount[CountedQty],T_StockCount[Part Name],$A23,T_StockCount[WeekIndex],13),IF(('T_SelfStock'!N27&lt;&gt;""),'T_SelfStock'!N27,M23-'Grid_Requirement'!N23+'Grid_TTAFOutgoing'!N23))</f>
        <v/>
      </c>
      <c r="O23">
        <f>IF(COUNTIFS(T_StockCount[Part Name],$A23,T_StockCount[WeekIndex],14)&gt;0,SUMIFS(T_StockCount[CountedQty],T_StockCount[Part Name],$A23,T_StockCount[WeekIndex],14),IF(('T_SelfStock'!O27&lt;&gt;""),'T_SelfStock'!O27,N23-'Grid_Requirement'!O23+'Grid_TTAFOutgoing'!O23))</f>
        <v/>
      </c>
      <c r="P23">
        <f>IF(COUNTIFS(T_StockCount[Part Name],$A23,T_StockCount[WeekIndex],15)&gt;0,SUMIFS(T_StockCount[CountedQty],T_StockCount[Part Name],$A23,T_StockCount[WeekIndex],15),IF(('T_SelfStock'!P27&lt;&gt;""),'T_SelfStock'!P27,O23-'Grid_Requirement'!P23+'Grid_TTAFOutgoing'!P23))</f>
        <v/>
      </c>
      <c r="Q23">
        <f>IF(COUNTIFS(T_StockCount[Part Name],$A23,T_StockCount[WeekIndex],16)&gt;0,SUMIFS(T_StockCount[CountedQty],T_StockCount[Part Name],$A23,T_StockCount[WeekIndex],16),IF(('T_SelfStock'!Q27&lt;&gt;""),'T_SelfStock'!Q27,P23-'Grid_Requirement'!Q23+'Grid_TTAFOutgoing'!Q23))</f>
        <v/>
      </c>
      <c r="R23">
        <f>IF(COUNTIFS(T_StockCount[Part Name],$A23,T_StockCount[WeekIndex],17)&gt;0,SUMIFS(T_StockCount[CountedQty],T_StockCount[Part Name],$A23,T_StockCount[WeekIndex],17),IF(('T_SelfStock'!R27&lt;&gt;""),'T_SelfStock'!R27,Q23-'Grid_Requirement'!R23+'Grid_TTAFOutgoing'!R23))</f>
        <v/>
      </c>
      <c r="S23">
        <f>IF(COUNTIFS(T_StockCount[Part Name],$A23,T_StockCount[WeekIndex],18)&gt;0,SUMIFS(T_StockCount[CountedQty],T_StockCount[Part Name],$A23,T_StockCount[WeekIndex],18),IF(('T_SelfStock'!S27&lt;&gt;""),'T_SelfStock'!S27,R23-'Grid_Requirement'!S23+'Grid_TTAFOutgoing'!S23))</f>
        <v/>
      </c>
      <c r="T23">
        <f>IF(COUNTIFS(T_StockCount[Part Name],$A23,T_StockCount[WeekIndex],19)&gt;0,SUMIFS(T_StockCount[CountedQty],T_StockCount[Part Name],$A23,T_StockCount[WeekIndex],19),IF(('T_SelfStock'!T27&lt;&gt;""),'T_SelfStock'!T27,S23-'Grid_Requirement'!T23+'Grid_TTAFOutgoing'!T23))</f>
        <v/>
      </c>
      <c r="U23">
        <f>IF(COUNTIFS(T_StockCount[Part Name],$A23,T_StockCount[WeekIndex],20)&gt;0,SUMIFS(T_StockCount[CountedQty],T_StockCount[Part Name],$A23,T_StockCount[WeekIndex],20),IF(('T_SelfStock'!U27&lt;&gt;""),'T_SelfStock'!U27,T23-'Grid_Requirement'!U23+'Grid_TTAFOutgoing'!U23))</f>
        <v/>
      </c>
      <c r="V23">
        <f>IF(COUNTIFS(T_StockCount[Part Name],$A23,T_StockCount[WeekIndex],21)&gt;0,SUMIFS(T_StockCount[CountedQty],T_StockCount[Part Name],$A23,T_StockCount[WeekIndex],21),IF(('T_SelfStock'!V27&lt;&gt;""),'T_SelfStock'!V27,U23-'Grid_Requirement'!V23+'Grid_TTAFOutgoing'!V23))</f>
        <v/>
      </c>
      <c r="W23">
        <f>IF(COUNTIFS(T_StockCount[Part Name],$A23,T_StockCount[WeekIndex],22)&gt;0,SUMIFS(T_StockCount[CountedQty],T_StockCount[Part Name],$A23,T_StockCount[WeekIndex],22),IF(('T_SelfStock'!W27&lt;&gt;""),'T_SelfStock'!W27,V23-'Grid_Requirement'!W23+'Grid_TTAFOutgoing'!W23))</f>
        <v/>
      </c>
      <c r="X23">
        <f>IF(COUNTIFS(T_StockCount[Part Name],$A23,T_StockCount[WeekIndex],23)&gt;0,SUMIFS(T_StockCount[CountedQty],T_StockCount[Part Name],$A23,T_StockCount[WeekIndex],23),IF(('T_SelfStock'!X27&lt;&gt;""),'T_SelfStock'!X27,W23-'Grid_Requirement'!X23+'Grid_TTAFOutgoing'!X23))</f>
        <v/>
      </c>
      <c r="Y23">
        <f>IF(COUNTIFS(T_StockCount[Part Name],$A23,T_StockCount[WeekIndex],24)&gt;0,SUMIFS(T_StockCount[CountedQty],T_StockCount[Part Name],$A23,T_StockCount[WeekIndex],24),IF(('T_SelfStock'!Y27&lt;&gt;""),'T_SelfStock'!Y27,X23-'Grid_Requirement'!Y23+'Grid_TTAFOutgoing'!Y23))</f>
        <v/>
      </c>
      <c r="Z23">
        <f>IF(COUNTIFS(T_StockCount[Part Name],$A23,T_StockCount[WeekIndex],25)&gt;0,SUMIFS(T_StockCount[CountedQty],T_StockCount[Part Name],$A23,T_StockCount[WeekIndex],25),IF(('T_SelfStock'!Z27&lt;&gt;""),'T_SelfStock'!Z27,Y23-'Grid_Requirement'!Z23+'Grid_TTAFOutgoing'!Z23))</f>
        <v/>
      </c>
      <c r="AA23">
        <f>IF(COUNTIFS(T_StockCount[Part Name],$A23,T_StockCount[WeekIndex],26)&gt;0,SUMIFS(T_StockCount[CountedQty],T_StockCount[Part Name],$A23,T_StockCount[WeekIndex],26),IF(('T_SelfStock'!AA27&lt;&gt;""),'T_SelfStock'!AA27,Z23-'Grid_Requirement'!AA23+'Grid_TTAFOutgoing'!AA23))</f>
        <v/>
      </c>
      <c r="AB23">
        <f>IF(COUNTIFS(T_StockCount[Part Name],$A23,T_StockCount[WeekIndex],27)&gt;0,SUMIFS(T_StockCount[CountedQty],T_StockCount[Part Name],$A23,T_StockCount[WeekIndex],27),IF(('T_SelfStock'!AB27&lt;&gt;""),'T_SelfStock'!AB27,AA23-'Grid_Requirement'!AB23+'Grid_TTAFOutgoing'!AB23))</f>
        <v/>
      </c>
      <c r="AC23">
        <f>IF(COUNTIFS(T_StockCount[Part Name],$A23,T_StockCount[WeekIndex],28)&gt;0,SUMIFS(T_StockCount[CountedQty],T_StockCount[Part Name],$A23,T_StockCount[WeekIndex],28),IF(('T_SelfStock'!AC27&lt;&gt;""),'T_SelfStock'!AC27,AB23-'Grid_Requirement'!AC23+'Grid_TTAFOutgoing'!AC23))</f>
        <v/>
      </c>
      <c r="AD23">
        <f>IF(COUNTIFS(T_StockCount[Part Name],$A23,T_StockCount[WeekIndex],29)&gt;0,SUMIFS(T_StockCount[CountedQty],T_StockCount[Part Name],$A23,T_StockCount[WeekIndex],29),IF(('T_SelfStock'!AD27&lt;&gt;""),'T_SelfStock'!AD27,AC23-'Grid_Requirement'!AD23+'Grid_TTAFOutgoing'!AD23))</f>
        <v/>
      </c>
      <c r="AE23">
        <f>IF(COUNTIFS(T_StockCount[Part Name],$A23,T_StockCount[WeekIndex],30)&gt;0,SUMIFS(T_StockCount[CountedQty],T_StockCount[Part Name],$A23,T_StockCount[WeekIndex],30),IF(('T_SelfStock'!AE27&lt;&gt;""),'T_SelfStock'!AE27,AD23-'Grid_Requirement'!AE23+'Grid_TTAFOutgoing'!AE23))</f>
        <v/>
      </c>
      <c r="AF23">
        <f>IF(COUNTIFS(T_StockCount[Part Name],$A23,T_StockCount[WeekIndex],31)&gt;0,SUMIFS(T_StockCount[CountedQty],T_StockCount[Part Name],$A23,T_StockCount[WeekIndex],31),IF(('T_SelfStock'!AF27&lt;&gt;""),'T_SelfStock'!AF27,AE23-'Grid_Requirement'!AF23+'Grid_TTAFOutgoing'!AF23))</f>
        <v/>
      </c>
      <c r="AG23">
        <f>IF(COUNTIFS(T_StockCount[Part Name],$A23,T_StockCount[WeekIndex],32)&gt;0,SUMIFS(T_StockCount[CountedQty],T_StockCount[Part Name],$A23,T_StockCount[WeekIndex],32),IF(('T_SelfStock'!AG27&lt;&gt;""),'T_SelfStock'!AG27,AF23-'Grid_Requirement'!AG23+'Grid_TTAFOutgoing'!AG23))</f>
        <v/>
      </c>
      <c r="AH23">
        <f>IF(COUNTIFS(T_StockCount[Part Name],$A23,T_StockCount[WeekIndex],33)&gt;0,SUMIFS(T_StockCount[CountedQty],T_StockCount[Part Name],$A23,T_StockCount[WeekIndex],33),IF(('T_SelfStock'!AH27&lt;&gt;""),'T_SelfStock'!AH27,AG23-'Grid_Requirement'!AH23+'Grid_TTAFOutgoing'!AH23))</f>
        <v/>
      </c>
      <c r="AI23">
        <f>IF(COUNTIFS(T_StockCount[Part Name],$A23,T_StockCount[WeekIndex],34)&gt;0,SUMIFS(T_StockCount[CountedQty],T_StockCount[Part Name],$A23,T_StockCount[WeekIndex],34),IF(('T_SelfStock'!AI27&lt;&gt;""),'T_SelfStock'!AI27,AH23-'Grid_Requirement'!AI23+'Grid_TTAFOutgoing'!AI23))</f>
        <v/>
      </c>
      <c r="AJ23">
        <f>IF(COUNTIFS(T_StockCount[Part Name],$A23,T_StockCount[WeekIndex],35)&gt;0,SUMIFS(T_StockCount[CountedQty],T_StockCount[Part Name],$A23,T_StockCount[WeekIndex],35),IF(('T_SelfStock'!AJ27&lt;&gt;""),'T_SelfStock'!AJ27,AI23-'Grid_Requirement'!AJ23+'Grid_TTAFOutgoing'!AJ23))</f>
        <v/>
      </c>
      <c r="AK23">
        <f>IF(COUNTIFS(T_StockCount[Part Name],$A23,T_StockCount[WeekIndex],36)&gt;0,SUMIFS(T_StockCount[CountedQty],T_StockCount[Part Name],$A23,T_StockCount[WeekIndex],36),IF(('T_SelfStock'!AK27&lt;&gt;""),'T_SelfStock'!AK27,AJ23-'Grid_Requirement'!AK23+'Grid_TTAFOutgoing'!AK23))</f>
        <v/>
      </c>
      <c r="AL23">
        <f>IF(COUNTIFS(T_StockCount[Part Name],$A23,T_StockCount[WeekIndex],37)&gt;0,SUMIFS(T_StockCount[CountedQty],T_StockCount[Part Name],$A23,T_StockCount[WeekIndex],37),IF(('T_SelfStock'!AL27&lt;&gt;""),'T_SelfStock'!AL27,AK23-'Grid_Requirement'!AL23+'Grid_TTAFOutgoing'!AL23))</f>
        <v/>
      </c>
      <c r="AM23">
        <f>IF(COUNTIFS(T_StockCount[Part Name],$A23,T_StockCount[WeekIndex],38)&gt;0,SUMIFS(T_StockCount[CountedQty],T_StockCount[Part Name],$A23,T_StockCount[WeekIndex],38),IF(('T_SelfStock'!AM27&lt;&gt;""),'T_SelfStock'!AM27,AL23-'Grid_Requirement'!AM23+'Grid_TTAFOutgoing'!AM23))</f>
        <v/>
      </c>
      <c r="AN23">
        <f>IF(COUNTIFS(T_StockCount[Part Name],$A23,T_StockCount[WeekIndex],39)&gt;0,SUMIFS(T_StockCount[CountedQty],T_StockCount[Part Name],$A23,T_StockCount[WeekIndex],39),IF(('T_SelfStock'!AN27&lt;&gt;""),'T_SelfStock'!AN27,AM23-'Grid_Requirement'!AN23+'Grid_TTAFOutgoing'!AN23))</f>
        <v/>
      </c>
      <c r="AO23">
        <f>IF(COUNTIFS(T_StockCount[Part Name],$A23,T_StockCount[WeekIndex],40)&gt;0,SUMIFS(T_StockCount[CountedQty],T_StockCount[Part Name],$A23,T_StockCount[WeekIndex],40),IF(('T_SelfStock'!AO27&lt;&gt;""),'T_SelfStock'!AO27,AN23-'Grid_Requirement'!AO23+'Grid_TTAFOutgoing'!AO23))</f>
        <v/>
      </c>
      <c r="AP23">
        <f>IF(COUNTIFS(T_StockCount[Part Name],$A23,T_StockCount[WeekIndex],41)&gt;0,SUMIFS(T_StockCount[CountedQty],T_StockCount[Part Name],$A23,T_StockCount[WeekIndex],41),IF(('T_SelfStock'!AP27&lt;&gt;""),'T_SelfStock'!AP27,AO23-'Grid_Requirement'!AP23+'Grid_TTAFOutgoing'!AP23))</f>
        <v/>
      </c>
      <c r="AQ23">
        <f>IF(COUNTIFS(T_StockCount[Part Name],$A23,T_StockCount[WeekIndex],42)&gt;0,SUMIFS(T_StockCount[CountedQty],T_StockCount[Part Name],$A23,T_StockCount[WeekIndex],42),IF(('T_SelfStock'!AQ27&lt;&gt;""),'T_SelfStock'!AQ27,AP23-'Grid_Requirement'!AQ23+'Grid_TTAFOutgoing'!AQ23))</f>
        <v/>
      </c>
      <c r="AR23">
        <f>IF(COUNTIFS(T_StockCount[Part Name],$A23,T_StockCount[WeekIndex],43)&gt;0,SUMIFS(T_StockCount[CountedQty],T_StockCount[Part Name],$A23,T_StockCount[WeekIndex],43),IF(('T_SelfStock'!AR27&lt;&gt;""),'T_SelfStock'!AR27,AQ23-'Grid_Requirement'!AR23+'Grid_TTAFOutgoing'!AR23))</f>
        <v/>
      </c>
      <c r="AS23">
        <f>IF(COUNTIFS(T_StockCount[Part Name],$A23,T_StockCount[WeekIndex],44)&gt;0,SUMIFS(T_StockCount[CountedQty],T_StockCount[Part Name],$A23,T_StockCount[WeekIndex],44),IF(('T_SelfStock'!AS27&lt;&gt;""),'T_SelfStock'!AS27,AR23-'Grid_Requirement'!AS23+'Grid_TTAFOutgoing'!AS23))</f>
        <v/>
      </c>
      <c r="AT23">
        <f>IF(COUNTIFS(T_StockCount[Part Name],$A23,T_StockCount[WeekIndex],45)&gt;0,SUMIFS(T_StockCount[CountedQty],T_StockCount[Part Name],$A23,T_StockCount[WeekIndex],45),IF(('T_SelfStock'!AT27&lt;&gt;""),'T_SelfStock'!AT27,AS23-'Grid_Requirement'!AT23+'Grid_TTAFOutgoing'!AT23))</f>
        <v/>
      </c>
      <c r="AU23">
        <f>IF(COUNTIFS(T_StockCount[Part Name],$A23,T_StockCount[WeekIndex],46)&gt;0,SUMIFS(T_StockCount[CountedQty],T_StockCount[Part Name],$A23,T_StockCount[WeekIndex],46),IF(('T_SelfStock'!AU27&lt;&gt;""),'T_SelfStock'!AU27,AT23-'Grid_Requirement'!AU23+'Grid_TTAFOutgoing'!AU23))</f>
        <v/>
      </c>
      <c r="AV23">
        <f>IF(COUNTIFS(T_StockCount[Part Name],$A23,T_StockCount[WeekIndex],47)&gt;0,SUMIFS(T_StockCount[CountedQty],T_StockCount[Part Name],$A23,T_StockCount[WeekIndex],47),IF(('T_SelfStock'!AV27&lt;&gt;""),'T_SelfStock'!AV27,AU23-'Grid_Requirement'!AV23+'Grid_TTAFOutgoing'!AV23))</f>
        <v/>
      </c>
      <c r="AW23">
        <f>IF(COUNTIFS(T_StockCount[Part Name],$A23,T_StockCount[WeekIndex],48)&gt;0,SUMIFS(T_StockCount[CountedQty],T_StockCount[Part Name],$A23,T_StockCount[WeekIndex],48),IF(('T_SelfStock'!AW27&lt;&gt;""),'T_SelfStock'!AW27,AV23-'Grid_Requirement'!AW23+'Grid_TTAFOutgoing'!AW23))</f>
        <v/>
      </c>
      <c r="AX23">
        <f>IF(COUNTIFS(T_StockCount[Part Name],$A23,T_StockCount[WeekIndex],49)&gt;0,SUMIFS(T_StockCount[CountedQty],T_StockCount[Part Name],$A23,T_StockCount[WeekIndex],49),IF(('T_SelfStock'!AX27&lt;&gt;""),'T_SelfStock'!AX27,AW23-'Grid_Requirement'!AX23+'Grid_TTAFOutgoing'!AX23))</f>
        <v/>
      </c>
      <c r="AY23">
        <f>IF(COUNTIFS(T_StockCount[Part Name],$A23,T_StockCount[WeekIndex],50)&gt;0,SUMIFS(T_StockCount[CountedQty],T_StockCount[Part Name],$A23,T_StockCount[WeekIndex],50),IF(('T_SelfStock'!AY27&lt;&gt;""),'T_SelfStock'!AY27,AX23-'Grid_Requirement'!AY23+'Grid_TTAFOutgoing'!AY23))</f>
        <v/>
      </c>
      <c r="AZ23">
        <f>IF(COUNTIFS(T_StockCount[Part Name],$A23,T_StockCount[WeekIndex],51)&gt;0,SUMIFS(T_StockCount[CountedQty],T_StockCount[Part Name],$A23,T_StockCount[WeekIndex],51),IF(('T_SelfStock'!AZ27&lt;&gt;""),'T_SelfStock'!AZ27,AY23-'Grid_Requirement'!AZ23+'Grid_TTAFOutgoing'!AZ23))</f>
        <v/>
      </c>
      <c r="BA23">
        <f>IF(COUNTIFS(T_StockCount[Part Name],$A23,T_StockCount[WeekIndex],52)&gt;0,SUMIFS(T_StockCount[CountedQty],T_StockCount[Part Name],$A23,T_StockCount[WeekIndex],52),IF(('T_SelfStock'!BA27&lt;&gt;""),'T_SelfStock'!BA27,AZ23-'Grid_Requirement'!BA23+'Grid_TTAFOutgoing'!BA23))</f>
        <v/>
      </c>
      <c r="BB23">
        <f>IF(COUNTIFS(T_StockCount[Part Name],$A23,T_StockCount[WeekIndex],53)&gt;0,SUMIFS(T_StockCount[CountedQty],T_StockCount[Part Name],$A23,T_StockCount[WeekIndex],53),IF(('T_SelfStock'!BB27&lt;&gt;""),'T_SelfStock'!BB27,BA23-'Grid_Requirement'!BB23+'Grid_TTAFOutgoing'!BB23))</f>
        <v/>
      </c>
      <c r="BC23">
        <f>IF(COUNTIFS(T_StockCount[Part Name],$A23,T_StockCount[WeekIndex],54)&gt;0,SUMIFS(T_StockCount[CountedQty],T_StockCount[Part Name],$A23,T_StockCount[WeekIndex],54),IF(('T_SelfStock'!BC27&lt;&gt;""),'T_SelfStock'!BC27,BB23-'Grid_Requirement'!BC23+'Grid_TTAFOutgoing'!BC23))</f>
        <v/>
      </c>
      <c r="BD23">
        <f>IF(COUNTIFS(T_StockCount[Part Name],$A23,T_StockCount[WeekIndex],55)&gt;0,SUMIFS(T_StockCount[CountedQty],T_StockCount[Part Name],$A23,T_StockCount[WeekIndex],55),IF(('T_SelfStock'!BD27&lt;&gt;""),'T_SelfStock'!BD27,BC23-'Grid_Requirement'!BD23+'Grid_TTAFOutgoing'!BD23))</f>
        <v/>
      </c>
      <c r="BE23">
        <f>IF(COUNTIFS(T_StockCount[Part Name],$A23,T_StockCount[WeekIndex],56)&gt;0,SUMIFS(T_StockCount[CountedQty],T_StockCount[Part Name],$A23,T_StockCount[WeekIndex],56),IF(('T_SelfStock'!BE27&lt;&gt;""),'T_SelfStock'!BE27,BD23-'Grid_Requirement'!BE23+'Grid_TTAFOutgoing'!BE23))</f>
        <v/>
      </c>
      <c r="BF23">
        <f>IF(COUNTIFS(T_StockCount[Part Name],$A23,T_StockCount[WeekIndex],57)&gt;0,SUMIFS(T_StockCount[CountedQty],T_StockCount[Part Name],$A23,T_StockCount[WeekIndex],57),IF(('T_SelfStock'!BF27&lt;&gt;""),'T_SelfStock'!BF27,BE23-'Grid_Requirement'!BF23+'Grid_TTAFOutgoing'!BF23))</f>
        <v/>
      </c>
      <c r="BG23">
        <f>IF(COUNTIFS(T_StockCount[Part Name],$A23,T_StockCount[WeekIndex],58)&gt;0,SUMIFS(T_StockCount[CountedQty],T_StockCount[Part Name],$A23,T_StockCount[WeekIndex],58),IF(('T_SelfStock'!BG27&lt;&gt;""),'T_SelfStock'!BG27,BF23-'Grid_Requirement'!BG23+'Grid_TTAFOutgoing'!BG23))</f>
        <v/>
      </c>
      <c r="BH23">
        <f>IF(COUNTIFS(T_StockCount[Part Name],$A23,T_StockCount[WeekIndex],59)&gt;0,SUMIFS(T_StockCount[CountedQty],T_StockCount[Part Name],$A23,T_StockCount[WeekIndex],59),IF(('T_SelfStock'!BH27&lt;&gt;""),'T_SelfStock'!BH27,BG23-'Grid_Requirement'!BH23+'Grid_TTAFOutgoing'!BH23))</f>
        <v/>
      </c>
      <c r="BI23">
        <f>IF(COUNTIFS(T_StockCount[Part Name],$A23,T_StockCount[WeekIndex],60)&gt;0,SUMIFS(T_StockCount[CountedQty],T_StockCount[Part Name],$A23,T_StockCount[WeekIndex],60),IF(('T_SelfStock'!BI27&lt;&gt;""),'T_SelfStock'!BI27,BH23-'Grid_Requirement'!BI23+'Grid_TTAFOutgoing'!BI23))</f>
        <v/>
      </c>
      <c r="BJ23">
        <f>IF(COUNTIFS(T_StockCount[Part Name],$A23,T_StockCount[WeekIndex],61)&gt;0,SUMIFS(T_StockCount[CountedQty],T_StockCount[Part Name],$A23,T_StockCount[WeekIndex],61),IF(('T_SelfStock'!BJ27&lt;&gt;""),'T_SelfStock'!BJ27,BI23-'Grid_Requirement'!BJ23+'Grid_TTAFOutgoing'!BJ23))</f>
        <v/>
      </c>
      <c r="BK23">
        <f>IF(COUNTIFS(T_StockCount[Part Name],$A23,T_StockCount[WeekIndex],62)&gt;0,SUMIFS(T_StockCount[CountedQty],T_StockCount[Part Name],$A23,T_StockCount[WeekIndex],62),IF(('T_SelfStock'!BK27&lt;&gt;""),'T_SelfStock'!BK27,BJ23-'Grid_Requirement'!BK23+'Grid_TTAFOutgoing'!BK23))</f>
        <v/>
      </c>
      <c r="BL23">
        <f>IF(COUNTIFS(T_StockCount[Part Name],$A23,T_StockCount[WeekIndex],63)&gt;0,SUMIFS(T_StockCount[CountedQty],T_StockCount[Part Name],$A23,T_StockCount[WeekIndex],63),IF(('T_SelfStock'!BL27&lt;&gt;""),'T_SelfStock'!BL27,BK23-'Grid_Requirement'!BL23+'Grid_TTAFOutgoing'!BL23))</f>
        <v/>
      </c>
      <c r="BM23">
        <f>IF(COUNTIFS(T_StockCount[Part Name],$A23,T_StockCount[WeekIndex],64)&gt;0,SUMIFS(T_StockCount[CountedQty],T_StockCount[Part Name],$A23,T_StockCount[WeekIndex],64),IF(('T_SelfStock'!BM27&lt;&gt;""),'T_SelfStock'!BM27,BL23-'Grid_Requirement'!BM23+'Grid_TTAFOutgoing'!BM23))</f>
        <v/>
      </c>
      <c r="BN23">
        <f>IF(COUNTIFS(T_StockCount[Part Name],$A23,T_StockCount[WeekIndex],65)&gt;0,SUMIFS(T_StockCount[CountedQty],T_StockCount[Part Name],$A23,T_StockCount[WeekIndex],65),IF(('T_SelfStock'!BN27&lt;&gt;""),'T_SelfStock'!BN27,BM23-'Grid_Requirement'!BN23+'Grid_TTAFOutgoing'!BN23))</f>
        <v/>
      </c>
      <c r="BO23">
        <f>IF(COUNTIFS(T_StockCount[Part Name],$A23,T_StockCount[WeekIndex],66)&gt;0,SUMIFS(T_StockCount[CountedQty],T_StockCount[Part Name],$A23,T_StockCount[WeekIndex],66),IF(('T_SelfStock'!BO27&lt;&gt;""),'T_SelfStock'!BO27,BN23-'Grid_Requirement'!BO23+'Grid_TTAFOutgoing'!BO23))</f>
        <v/>
      </c>
      <c r="BP23">
        <f>IF(COUNTIFS(T_StockCount[Part Name],$A23,T_StockCount[WeekIndex],67)&gt;0,SUMIFS(T_StockCount[CountedQty],T_StockCount[Part Name],$A23,T_StockCount[WeekIndex],67),IF(('T_SelfStock'!BP27&lt;&gt;""),'T_SelfStock'!BP27,BO23-'Grid_Requirement'!BP23+'Grid_TTAFOutgoing'!BP23))</f>
        <v/>
      </c>
      <c r="BQ23">
        <f>IF(COUNTIFS(T_StockCount[Part Name],$A23,T_StockCount[WeekIndex],68)&gt;0,SUMIFS(T_StockCount[CountedQty],T_StockCount[Part Name],$A23,T_StockCount[WeekIndex],68),IF(('T_SelfStock'!BQ27&lt;&gt;""),'T_SelfStock'!BQ27,BP23-'Grid_Requirement'!BQ23+'Grid_TTAFOutgoing'!BQ23))</f>
        <v/>
      </c>
      <c r="BR23">
        <f>IF(COUNTIFS(T_StockCount[Part Name],$A23,T_StockCount[WeekIndex],69)&gt;0,SUMIFS(T_StockCount[CountedQty],T_StockCount[Part Name],$A23,T_StockCount[WeekIndex],69),IF(('T_SelfStock'!BR27&lt;&gt;""),'T_SelfStock'!BR27,BQ23-'Grid_Requirement'!BR23+'Grid_TTAFOutgoing'!BR23))</f>
        <v/>
      </c>
      <c r="BS23">
        <f>IF(COUNTIFS(T_StockCount[Part Name],$A23,T_StockCount[WeekIndex],70)&gt;0,SUMIFS(T_StockCount[CountedQty],T_StockCount[Part Name],$A23,T_StockCount[WeekIndex],70),IF(('T_SelfStock'!BS27&lt;&gt;""),'T_SelfStock'!BS27,BR23-'Grid_Requirement'!BS23+'Grid_TTAFOutgoing'!BS23))</f>
        <v/>
      </c>
      <c r="BT23">
        <f>IF(COUNTIFS(T_StockCount[Part Name],$A23,T_StockCount[WeekIndex],71)&gt;0,SUMIFS(T_StockCount[CountedQty],T_StockCount[Part Name],$A23,T_StockCount[WeekIndex],71),IF(('T_SelfStock'!BT27&lt;&gt;""),'T_SelfStock'!BT27,BS23-'Grid_Requirement'!BT23+'Grid_TTAFOutgoing'!BT23))</f>
        <v/>
      </c>
      <c r="BU23">
        <f>IF(COUNTIFS(T_StockCount[Part Name],$A23,T_StockCount[WeekIndex],72)&gt;0,SUMIFS(T_StockCount[CountedQty],T_StockCount[Part Name],$A23,T_StockCount[WeekIndex],72),IF(('T_SelfStock'!BU27&lt;&gt;""),'T_SelfStock'!BU27,BT23-'Grid_Requirement'!BU23+'Grid_TTAFOutgoing'!BU23))</f>
        <v/>
      </c>
      <c r="BV23">
        <f>IF(COUNTIFS(T_StockCount[Part Name],$A23,T_StockCount[WeekIndex],73)&gt;0,SUMIFS(T_StockCount[CountedQty],T_StockCount[Part Name],$A23,T_StockCount[WeekIndex],73),IF(('T_SelfStock'!BV27&lt;&gt;""),'T_SelfStock'!BV27,BU23-'Grid_Requirement'!BV23+'Grid_TTAFOutgoing'!BV23))</f>
        <v/>
      </c>
      <c r="BW23">
        <f>IF(COUNTIFS(T_StockCount[Part Name],$A23,T_StockCount[WeekIndex],74)&gt;0,SUMIFS(T_StockCount[CountedQty],T_StockCount[Part Name],$A23,T_StockCount[WeekIndex],74),IF(('T_SelfStock'!BW27&lt;&gt;""),'T_SelfStock'!BW27,BV23-'Grid_Requirement'!BW23+'Grid_TTAFOutgoing'!BW23))</f>
        <v/>
      </c>
      <c r="BX23">
        <f>IF(COUNTIFS(T_StockCount[Part Name],$A23,T_StockCount[WeekIndex],75)&gt;0,SUMIFS(T_StockCount[CountedQty],T_StockCount[Part Name],$A23,T_StockCount[WeekIndex],75),IF(('T_SelfStock'!BX27&lt;&gt;""),'T_SelfStock'!BX27,BW23-'Grid_Requirement'!BX23+'Grid_TTAFOutgoing'!BX23))</f>
        <v/>
      </c>
      <c r="BY23">
        <f>IF(COUNTIFS(T_StockCount[Part Name],$A23,T_StockCount[WeekIndex],76)&gt;0,SUMIFS(T_StockCount[CountedQty],T_StockCount[Part Name],$A23,T_StockCount[WeekIndex],76),IF(('T_SelfStock'!BY27&lt;&gt;""),'T_SelfStock'!BY27,BX23-'Grid_Requirement'!BY23+'Grid_TTAFOutgoing'!BY23))</f>
        <v/>
      </c>
      <c r="BZ23">
        <f>IF(COUNTIFS(T_StockCount[Part Name],$A23,T_StockCount[WeekIndex],77)&gt;0,SUMIFS(T_StockCount[CountedQty],T_StockCount[Part Name],$A23,T_StockCount[WeekIndex],77),IF(('T_SelfStock'!BZ27&lt;&gt;""),'T_SelfStock'!BZ27,BY23-'Grid_Requirement'!BZ23+'Grid_TTAFOutgoing'!BZ23))</f>
        <v/>
      </c>
      <c r="CA23">
        <f>IF(COUNTIFS(T_StockCount[Part Name],$A23,T_StockCount[WeekIndex],78)&gt;0,SUMIFS(T_StockCount[CountedQty],T_StockCount[Part Name],$A23,T_StockCount[WeekIndex],78),IF(('T_SelfStock'!CA27&lt;&gt;""),'T_SelfStock'!CA27,BZ23-'Grid_Requirement'!CA23+'Grid_TTAFOutgoing'!CA23))</f>
        <v/>
      </c>
      <c r="CB23">
        <f>IF(COUNTIFS(T_StockCount[Part Name],$A23,T_StockCount[WeekIndex],79)&gt;0,SUMIFS(T_StockCount[CountedQty],T_StockCount[Part Name],$A23,T_StockCount[WeekIndex],79),IF(('T_SelfStock'!CB27&lt;&gt;""),'T_SelfStock'!CB27,CA23-'Grid_Requirement'!CB23+'Grid_TTAFOutgoing'!CB23))</f>
        <v/>
      </c>
      <c r="CC23">
        <f>IF(COUNTIFS(T_StockCount[Part Name],$A23,T_StockCount[WeekIndex],80)&gt;0,SUMIFS(T_StockCount[CountedQty],T_StockCount[Part Name],$A23,T_StockCount[WeekIndex],80),IF(('T_SelfStock'!CC27&lt;&gt;""),'T_SelfStock'!CC27,CB23-'Grid_Requirement'!CC23+'Grid_TTAFOutgoing'!CC23))</f>
        <v/>
      </c>
      <c r="CD23">
        <f>IF(COUNTIFS(T_StockCount[Part Name],$A23,T_StockCount[WeekIndex],81)&gt;0,SUMIFS(T_StockCount[CountedQty],T_StockCount[Part Name],$A23,T_StockCount[WeekIndex],81),IF(('T_SelfStock'!CD27&lt;&gt;""),'T_SelfStock'!CD27,CC23-'Grid_Requirement'!CD23+'Grid_TTAFOutgoing'!CD23))</f>
        <v/>
      </c>
      <c r="CE23">
        <f>IF(COUNTIFS(T_StockCount[Part Name],$A23,T_StockCount[WeekIndex],82)&gt;0,SUMIFS(T_StockCount[CountedQty],T_StockCount[Part Name],$A23,T_StockCount[WeekIndex],82),IF(('T_SelfStock'!CE27&lt;&gt;""),'T_SelfStock'!CE27,CD23-'Grid_Requirement'!CE23+'Grid_TTAFOutgoing'!CE23))</f>
        <v/>
      </c>
      <c r="CF23">
        <f>IF(COUNTIFS(T_StockCount[Part Name],$A23,T_StockCount[WeekIndex],83)&gt;0,SUMIFS(T_StockCount[CountedQty],T_StockCount[Part Name],$A23,T_StockCount[WeekIndex],83),IF(('T_SelfStock'!CF27&lt;&gt;""),'T_SelfStock'!CF27,CE23-'Grid_Requirement'!CF23+'Grid_TTAFOutgoing'!CF23))</f>
        <v/>
      </c>
      <c r="CG23">
        <f>IF(COUNTIFS(T_StockCount[Part Name],$A23,T_StockCount[WeekIndex],84)&gt;0,SUMIFS(T_StockCount[CountedQty],T_StockCount[Part Name],$A23,T_StockCount[WeekIndex],84),IF(('T_SelfStock'!CG27&lt;&gt;""),'T_SelfStock'!CG27,CF23-'Grid_Requirement'!CG23+'Grid_TTAFOutgoing'!CG23))</f>
        <v/>
      </c>
      <c r="CH23">
        <f>IF(COUNTIFS(T_StockCount[Part Name],$A23,T_StockCount[WeekIndex],85)&gt;0,SUMIFS(T_StockCount[CountedQty],T_StockCount[Part Name],$A23,T_StockCount[WeekIndex],85),IF(('T_SelfStock'!CH27&lt;&gt;""),'T_SelfStock'!CH27,CG23-'Grid_Requirement'!CH23+'Grid_TTAFOutgoing'!CH23))</f>
        <v/>
      </c>
      <c r="CI23">
        <f>IF(COUNTIFS(T_StockCount[Part Name],$A23,T_StockCount[WeekIndex],86)&gt;0,SUMIFS(T_StockCount[CountedQty],T_StockCount[Part Name],$A23,T_StockCount[WeekIndex],86),IF(('T_SelfStock'!CI27&lt;&gt;""),'T_SelfStock'!CI27,CH23-'Grid_Requirement'!CI23+'Grid_TTAFOutgoing'!CI23))</f>
        <v/>
      </c>
      <c r="CJ23">
        <f>IF(COUNTIFS(T_StockCount[Part Name],$A23,T_StockCount[WeekIndex],87)&gt;0,SUMIFS(T_StockCount[CountedQty],T_StockCount[Part Name],$A23,T_StockCount[WeekIndex],87),IF(('T_SelfStock'!CJ27&lt;&gt;""),'T_SelfStock'!CJ27,CI23-'Grid_Requirement'!CJ23+'Grid_TTAFOutgoing'!CJ23))</f>
        <v/>
      </c>
      <c r="CK23">
        <f>IF(COUNTIFS(T_StockCount[Part Name],$A23,T_StockCount[WeekIndex],88)&gt;0,SUMIFS(T_StockCount[CountedQty],T_StockCount[Part Name],$A23,T_StockCount[WeekIndex],88),IF(('T_SelfStock'!CK27&lt;&gt;""),'T_SelfStock'!CK27,CJ23-'Grid_Requirement'!CK23+'Grid_TTAFOutgoing'!CK23))</f>
        <v/>
      </c>
      <c r="CL23">
        <f>IF(COUNTIFS(T_StockCount[Part Name],$A23,T_StockCount[WeekIndex],89)&gt;0,SUMIFS(T_StockCount[CountedQty],T_StockCount[Part Name],$A23,T_StockCount[WeekIndex],89),IF(('T_SelfStock'!CL27&lt;&gt;""),'T_SelfStock'!CL27,CK23-'Grid_Requirement'!CL23+'Grid_TTAFOutgoing'!CL23))</f>
        <v/>
      </c>
      <c r="CM23">
        <f>IF(COUNTIFS(T_StockCount[Part Name],$A23,T_StockCount[WeekIndex],90)&gt;0,SUMIFS(T_StockCount[CountedQty],T_StockCount[Part Name],$A23,T_StockCount[WeekIndex],90),IF(('T_SelfStock'!CM27&lt;&gt;""),'T_SelfStock'!CM27,CL23-'Grid_Requirement'!CM23+'Grid_TTAFOutgoing'!CM23))</f>
        <v/>
      </c>
      <c r="CN23">
        <f>IF(COUNTIFS(T_StockCount[Part Name],$A23,T_StockCount[WeekIndex],91)&gt;0,SUMIFS(T_StockCount[CountedQty],T_StockCount[Part Name],$A23,T_StockCount[WeekIndex],91),IF(('T_SelfStock'!CN27&lt;&gt;""),'T_SelfStock'!CN27,CM23-'Grid_Requirement'!CN23+'Grid_TTAFOutgoing'!CN23))</f>
        <v/>
      </c>
      <c r="CO23">
        <f>IF(COUNTIFS(T_StockCount[Part Name],$A23,T_StockCount[WeekIndex],92)&gt;0,SUMIFS(T_StockCount[CountedQty],T_StockCount[Part Name],$A23,T_StockCount[WeekIndex],92),IF(('T_SelfStock'!CO27&lt;&gt;""),'T_SelfStock'!CO27,CN23-'Grid_Requirement'!CO23+'Grid_TTAFOutgoing'!CO23))</f>
        <v/>
      </c>
      <c r="CP23">
        <f>IF(COUNTIFS(T_StockCount[Part Name],$A23,T_StockCount[WeekIndex],93)&gt;0,SUMIFS(T_StockCount[CountedQty],T_StockCount[Part Name],$A23,T_StockCount[WeekIndex],93),IF(('T_SelfStock'!CP27&lt;&gt;""),'T_SelfStock'!CP27,CO23-'Grid_Requirement'!CP23+'Grid_TTAFOutgoing'!CP23))</f>
        <v/>
      </c>
      <c r="CQ23">
        <f>IF(COUNTIFS(T_StockCount[Part Name],$A23,T_StockCount[WeekIndex],94)&gt;0,SUMIFS(T_StockCount[CountedQty],T_StockCount[Part Name],$A23,T_StockCount[WeekIndex],94),IF(('T_SelfStock'!CQ27&lt;&gt;""),'T_SelfStock'!CQ27,CP23-'Grid_Requirement'!CQ23+'Grid_TTAFOutgoing'!CQ23))</f>
        <v/>
      </c>
      <c r="CR23">
        <f>IF(COUNTIFS(T_StockCount[Part Name],$A23,T_StockCount[WeekIndex],95)&gt;0,SUMIFS(T_StockCount[CountedQty],T_StockCount[Part Name],$A23,T_StockCount[WeekIndex],95),IF(('T_SelfStock'!CR27&lt;&gt;""),'T_SelfStock'!CR27,CQ23-'Grid_Requirement'!CR23+'Grid_TTAFOutgoing'!CR23))</f>
        <v/>
      </c>
      <c r="CS23">
        <f>IF(COUNTIFS(T_StockCount[Part Name],$A23,T_StockCount[WeekIndex],96)&gt;0,SUMIFS(T_StockCount[CountedQty],T_StockCount[Part Name],$A23,T_StockCount[WeekIndex],96),IF(('T_SelfStock'!CS27&lt;&gt;""),'T_SelfStock'!CS27,CR23-'Grid_Requirement'!CS23+'Grid_TTAFOutgoing'!CS23))</f>
        <v/>
      </c>
      <c r="CT23">
        <f>IF(COUNTIFS(T_StockCount[Part Name],$A23,T_StockCount[WeekIndex],97)&gt;0,SUMIFS(T_StockCount[CountedQty],T_StockCount[Part Name],$A23,T_StockCount[WeekIndex],97),IF(('T_SelfStock'!CT27&lt;&gt;""),'T_SelfStock'!CT27,CS23-'Grid_Requirement'!CT23+'Grid_TTAFOutgoing'!CT23))</f>
        <v/>
      </c>
      <c r="CU23">
        <f>IF(COUNTIFS(T_StockCount[Part Name],$A23,T_StockCount[WeekIndex],98)&gt;0,SUMIFS(T_StockCount[CountedQty],T_StockCount[Part Name],$A23,T_StockCount[WeekIndex],98),IF(('T_SelfStock'!CU27&lt;&gt;""),'T_SelfStock'!CU27,CT23-'Grid_Requirement'!CU23+'Grid_TTAFOutgoing'!CU23))</f>
        <v/>
      </c>
      <c r="CV23">
        <f>IF(COUNTIFS(T_StockCount[Part Name],$A23,T_StockCount[WeekIndex],99)&gt;0,SUMIFS(T_StockCount[CountedQty],T_StockCount[Part Name],$A23,T_StockCount[WeekIndex],99),IF(('T_SelfStock'!CV27&lt;&gt;""),'T_SelfStock'!CV27,CU23-'Grid_Requirement'!CV23+'Grid_TTAFOutgoing'!CV23))</f>
        <v/>
      </c>
      <c r="CW23">
        <f>IF(COUNTIFS(T_StockCount[Part Name],$A23,T_StockCount[WeekIndex],100)&gt;0,SUMIFS(T_StockCount[CountedQty],T_StockCount[Part Name],$A23,T_StockCount[WeekIndex],100),IF(('T_SelfStock'!CW27&lt;&gt;""),'T_SelfStock'!CW27,CV23-'Grid_Requirement'!CW23+'Grid_TTAFOutgoing'!CW23))</f>
        <v/>
      </c>
      <c r="CX23">
        <f>IF(COUNTIFS(T_StockCount[Part Name],$A23,T_StockCount[WeekIndex],101)&gt;0,SUMIFS(T_StockCount[CountedQty],T_StockCount[Part Name],$A23,T_StockCount[WeekIndex],101),IF(('T_SelfStock'!CX27&lt;&gt;""),'T_SelfStock'!CX27,CW23-'Grid_Requirement'!CX23+'Grid_TTAFOutgoing'!CX23))</f>
        <v/>
      </c>
      <c r="CY23">
        <f>IF(COUNTIFS(T_StockCount[Part Name],$A23,T_StockCount[WeekIndex],102)&gt;0,SUMIFS(T_StockCount[CountedQty],T_StockCount[Part Name],$A23,T_StockCount[WeekIndex],102),IF(('T_SelfStock'!CY27&lt;&gt;""),'T_SelfStock'!CY27,CX23-'Grid_Requirement'!CY23+'Grid_TTAFOutgoing'!CY23))</f>
        <v/>
      </c>
      <c r="CZ23">
        <f>IF(COUNTIFS(T_StockCount[Part Name],$A23,T_StockCount[WeekIndex],103)&gt;0,SUMIFS(T_StockCount[CountedQty],T_StockCount[Part Name],$A23,T_StockCount[WeekIndex],103),IF(('T_SelfStock'!CZ27&lt;&gt;""),'T_SelfStock'!CZ27,CY23-'Grid_Requirement'!CZ23+'Grid_TTAFOutgoing'!CZ23))</f>
        <v/>
      </c>
      <c r="DA23">
        <f>IF(COUNTIFS(T_StockCount[Part Name],$A23,T_StockCount[WeekIndex],104)&gt;0,SUMIFS(T_StockCount[CountedQty],T_StockCount[Part Name],$A23,T_StockCount[WeekIndex],104),IF(('T_SelfStock'!DA27&lt;&gt;""),'T_SelfStock'!DA27,CZ23-'Grid_Requirement'!DA23+'Grid_TTAFOutgoing'!DA23))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Name],$A24,T_StockCount[WeekIndex],1),IF(('T_SelfStock'!B28&lt;&gt;""),'T_SelfStock'!B28,IFERROR(INDEX(T_OpeningStock[Opening_Qty],MATCH($A24,T_OpeningStock[Part Name],0)),0)-'Grid_Requirement'!B24+'Grid_TTAFOutgoing'!B24))</f>
        <v/>
      </c>
      <c r="C24">
        <f>IF(COUNTIFS(T_StockCount[Part Name],$A24,T_StockCount[WeekIndex],2)&gt;0,SUMIFS(T_StockCount[CountedQty],T_StockCount[Part Name],$A24,T_StockCount[WeekIndex],2),IF(('T_SelfStock'!C28&lt;&gt;""),'T_SelfStock'!C28,B24-'Grid_Requirement'!C24+'Grid_TTAFOutgoing'!C24))</f>
        <v/>
      </c>
      <c r="D24">
        <f>IF(COUNTIFS(T_StockCount[Part Name],$A24,T_StockCount[WeekIndex],3)&gt;0,SUMIFS(T_StockCount[CountedQty],T_StockCount[Part Name],$A24,T_StockCount[WeekIndex],3),IF(('T_SelfStock'!D28&lt;&gt;""),'T_SelfStock'!D28,C24-'Grid_Requirement'!D24+'Grid_TTAFOutgoing'!D24))</f>
        <v/>
      </c>
      <c r="E24">
        <f>IF(COUNTIFS(T_StockCount[Part Name],$A24,T_StockCount[WeekIndex],4)&gt;0,SUMIFS(T_StockCount[CountedQty],T_StockCount[Part Name],$A24,T_StockCount[WeekIndex],4),IF(('T_SelfStock'!E28&lt;&gt;""),'T_SelfStock'!E28,D24-'Grid_Requirement'!E24+'Grid_TTAFOutgoing'!E24))</f>
        <v/>
      </c>
      <c r="F24">
        <f>IF(COUNTIFS(T_StockCount[Part Name],$A24,T_StockCount[WeekIndex],5)&gt;0,SUMIFS(T_StockCount[CountedQty],T_StockCount[Part Name],$A24,T_StockCount[WeekIndex],5),IF(('T_SelfStock'!F28&lt;&gt;""),'T_SelfStock'!F28,E24-'Grid_Requirement'!F24+'Grid_TTAFOutgoing'!F24))</f>
        <v/>
      </c>
      <c r="G24">
        <f>IF(COUNTIFS(T_StockCount[Part Name],$A24,T_StockCount[WeekIndex],6)&gt;0,SUMIFS(T_StockCount[CountedQty],T_StockCount[Part Name],$A24,T_StockCount[WeekIndex],6),IF(('T_SelfStock'!G28&lt;&gt;""),'T_SelfStock'!G28,F24-'Grid_Requirement'!G24+'Grid_TTAFOutgoing'!G24))</f>
        <v/>
      </c>
      <c r="H24">
        <f>IF(COUNTIFS(T_StockCount[Part Name],$A24,T_StockCount[WeekIndex],7)&gt;0,SUMIFS(T_StockCount[CountedQty],T_StockCount[Part Name],$A24,T_StockCount[WeekIndex],7),IF(('T_SelfStock'!H28&lt;&gt;""),'T_SelfStock'!H28,G24-'Grid_Requirement'!H24+'Grid_TTAFOutgoing'!H24))</f>
        <v/>
      </c>
      <c r="I24">
        <f>IF(COUNTIFS(T_StockCount[Part Name],$A24,T_StockCount[WeekIndex],8)&gt;0,SUMIFS(T_StockCount[CountedQty],T_StockCount[Part Name],$A24,T_StockCount[WeekIndex],8),IF(('T_SelfStock'!I28&lt;&gt;""),'T_SelfStock'!I28,H24-'Grid_Requirement'!I24+'Grid_TTAFOutgoing'!I24))</f>
        <v/>
      </c>
      <c r="J24">
        <f>IF(COUNTIFS(T_StockCount[Part Name],$A24,T_StockCount[WeekIndex],9)&gt;0,SUMIFS(T_StockCount[CountedQty],T_StockCount[Part Name],$A24,T_StockCount[WeekIndex],9),IF(('T_SelfStock'!J28&lt;&gt;""),'T_SelfStock'!J28,I24-'Grid_Requirement'!J24+'Grid_TTAFOutgoing'!J24))</f>
        <v/>
      </c>
      <c r="K24">
        <f>IF(COUNTIFS(T_StockCount[Part Name],$A24,T_StockCount[WeekIndex],10)&gt;0,SUMIFS(T_StockCount[CountedQty],T_StockCount[Part Name],$A24,T_StockCount[WeekIndex],10),IF(('T_SelfStock'!K28&lt;&gt;""),'T_SelfStock'!K28,J24-'Grid_Requirement'!K24+'Grid_TTAFOutgoing'!K24))</f>
        <v/>
      </c>
      <c r="L24">
        <f>IF(COUNTIFS(T_StockCount[Part Name],$A24,T_StockCount[WeekIndex],11)&gt;0,SUMIFS(T_StockCount[CountedQty],T_StockCount[Part Name],$A24,T_StockCount[WeekIndex],11),IF(('T_SelfStock'!L28&lt;&gt;""),'T_SelfStock'!L28,K24-'Grid_Requirement'!L24+'Grid_TTAFOutgoing'!L24))</f>
        <v/>
      </c>
      <c r="M24">
        <f>IF(COUNTIFS(T_StockCount[Part Name],$A24,T_StockCount[WeekIndex],12)&gt;0,SUMIFS(T_StockCount[CountedQty],T_StockCount[Part Name],$A24,T_StockCount[WeekIndex],12),IF(('T_SelfStock'!M28&lt;&gt;""),'T_SelfStock'!M28,L24-'Grid_Requirement'!M24+'Grid_TTAFOutgoing'!M24))</f>
        <v/>
      </c>
      <c r="N24">
        <f>IF(COUNTIFS(T_StockCount[Part Name],$A24,T_StockCount[WeekIndex],13)&gt;0,SUMIFS(T_StockCount[CountedQty],T_StockCount[Part Name],$A24,T_StockCount[WeekIndex],13),IF(('T_SelfStock'!N28&lt;&gt;""),'T_SelfStock'!N28,M24-'Grid_Requirement'!N24+'Grid_TTAFOutgoing'!N24))</f>
        <v/>
      </c>
      <c r="O24">
        <f>IF(COUNTIFS(T_StockCount[Part Name],$A24,T_StockCount[WeekIndex],14)&gt;0,SUMIFS(T_StockCount[CountedQty],T_StockCount[Part Name],$A24,T_StockCount[WeekIndex],14),IF(('T_SelfStock'!O28&lt;&gt;""),'T_SelfStock'!O28,N24-'Grid_Requirement'!O24+'Grid_TTAFOutgoing'!O24))</f>
        <v/>
      </c>
      <c r="P24">
        <f>IF(COUNTIFS(T_StockCount[Part Name],$A24,T_StockCount[WeekIndex],15)&gt;0,SUMIFS(T_StockCount[CountedQty],T_StockCount[Part Name],$A24,T_StockCount[WeekIndex],15),IF(('T_SelfStock'!P28&lt;&gt;""),'T_SelfStock'!P28,O24-'Grid_Requirement'!P24+'Grid_TTAFOutgoing'!P24))</f>
        <v/>
      </c>
      <c r="Q24">
        <f>IF(COUNTIFS(T_StockCount[Part Name],$A24,T_StockCount[WeekIndex],16)&gt;0,SUMIFS(T_StockCount[CountedQty],T_StockCount[Part Name],$A24,T_StockCount[WeekIndex],16),IF(('T_SelfStock'!Q28&lt;&gt;""),'T_SelfStock'!Q28,P24-'Grid_Requirement'!Q24+'Grid_TTAFOutgoing'!Q24))</f>
        <v/>
      </c>
      <c r="R24">
        <f>IF(COUNTIFS(T_StockCount[Part Name],$A24,T_StockCount[WeekIndex],17)&gt;0,SUMIFS(T_StockCount[CountedQty],T_StockCount[Part Name],$A24,T_StockCount[WeekIndex],17),IF(('T_SelfStock'!R28&lt;&gt;""),'T_SelfStock'!R28,Q24-'Grid_Requirement'!R24+'Grid_TTAFOutgoing'!R24))</f>
        <v/>
      </c>
      <c r="S24">
        <f>IF(COUNTIFS(T_StockCount[Part Name],$A24,T_StockCount[WeekIndex],18)&gt;0,SUMIFS(T_StockCount[CountedQty],T_StockCount[Part Name],$A24,T_StockCount[WeekIndex],18),IF(('T_SelfStock'!S28&lt;&gt;""),'T_SelfStock'!S28,R24-'Grid_Requirement'!S24+'Grid_TTAFOutgoing'!S24))</f>
        <v/>
      </c>
      <c r="T24">
        <f>IF(COUNTIFS(T_StockCount[Part Name],$A24,T_StockCount[WeekIndex],19)&gt;0,SUMIFS(T_StockCount[CountedQty],T_StockCount[Part Name],$A24,T_StockCount[WeekIndex],19),IF(('T_SelfStock'!T28&lt;&gt;""),'T_SelfStock'!T28,S24-'Grid_Requirement'!T24+'Grid_TTAFOutgoing'!T24))</f>
        <v/>
      </c>
      <c r="U24">
        <f>IF(COUNTIFS(T_StockCount[Part Name],$A24,T_StockCount[WeekIndex],20)&gt;0,SUMIFS(T_StockCount[CountedQty],T_StockCount[Part Name],$A24,T_StockCount[WeekIndex],20),IF(('T_SelfStock'!U28&lt;&gt;""),'T_SelfStock'!U28,T24-'Grid_Requirement'!U24+'Grid_TTAFOutgoing'!U24))</f>
        <v/>
      </c>
      <c r="V24">
        <f>IF(COUNTIFS(T_StockCount[Part Name],$A24,T_StockCount[WeekIndex],21)&gt;0,SUMIFS(T_StockCount[CountedQty],T_StockCount[Part Name],$A24,T_StockCount[WeekIndex],21),IF(('T_SelfStock'!V28&lt;&gt;""),'T_SelfStock'!V28,U24-'Grid_Requirement'!V24+'Grid_TTAFOutgoing'!V24))</f>
        <v/>
      </c>
      <c r="W24">
        <f>IF(COUNTIFS(T_StockCount[Part Name],$A24,T_StockCount[WeekIndex],22)&gt;0,SUMIFS(T_StockCount[CountedQty],T_StockCount[Part Name],$A24,T_StockCount[WeekIndex],22),IF(('T_SelfStock'!W28&lt;&gt;""),'T_SelfStock'!W28,V24-'Grid_Requirement'!W24+'Grid_TTAFOutgoing'!W24))</f>
        <v/>
      </c>
      <c r="X24">
        <f>IF(COUNTIFS(T_StockCount[Part Name],$A24,T_StockCount[WeekIndex],23)&gt;0,SUMIFS(T_StockCount[CountedQty],T_StockCount[Part Name],$A24,T_StockCount[WeekIndex],23),IF(('T_SelfStock'!X28&lt;&gt;""),'T_SelfStock'!X28,W24-'Grid_Requirement'!X24+'Grid_TTAFOutgoing'!X24))</f>
        <v/>
      </c>
      <c r="Y24">
        <f>IF(COUNTIFS(T_StockCount[Part Name],$A24,T_StockCount[WeekIndex],24)&gt;0,SUMIFS(T_StockCount[CountedQty],T_StockCount[Part Name],$A24,T_StockCount[WeekIndex],24),IF(('T_SelfStock'!Y28&lt;&gt;""),'T_SelfStock'!Y28,X24-'Grid_Requirement'!Y24+'Grid_TTAFOutgoing'!Y24))</f>
        <v/>
      </c>
      <c r="Z24">
        <f>IF(COUNTIFS(T_StockCount[Part Name],$A24,T_StockCount[WeekIndex],25)&gt;0,SUMIFS(T_StockCount[CountedQty],T_StockCount[Part Name],$A24,T_StockCount[WeekIndex],25),IF(('T_SelfStock'!Z28&lt;&gt;""),'T_SelfStock'!Z28,Y24-'Grid_Requirement'!Z24+'Grid_TTAFOutgoing'!Z24))</f>
        <v/>
      </c>
      <c r="AA24">
        <f>IF(COUNTIFS(T_StockCount[Part Name],$A24,T_StockCount[WeekIndex],26)&gt;0,SUMIFS(T_StockCount[CountedQty],T_StockCount[Part Name],$A24,T_StockCount[WeekIndex],26),IF(('T_SelfStock'!AA28&lt;&gt;""),'T_SelfStock'!AA28,Z24-'Grid_Requirement'!AA24+'Grid_TTAFOutgoing'!AA24))</f>
        <v/>
      </c>
      <c r="AB24">
        <f>IF(COUNTIFS(T_StockCount[Part Name],$A24,T_StockCount[WeekIndex],27)&gt;0,SUMIFS(T_StockCount[CountedQty],T_StockCount[Part Name],$A24,T_StockCount[WeekIndex],27),IF(('T_SelfStock'!AB28&lt;&gt;""),'T_SelfStock'!AB28,AA24-'Grid_Requirement'!AB24+'Grid_TTAFOutgoing'!AB24))</f>
        <v/>
      </c>
      <c r="AC24">
        <f>IF(COUNTIFS(T_StockCount[Part Name],$A24,T_StockCount[WeekIndex],28)&gt;0,SUMIFS(T_StockCount[CountedQty],T_StockCount[Part Name],$A24,T_StockCount[WeekIndex],28),IF(('T_SelfStock'!AC28&lt;&gt;""),'T_SelfStock'!AC28,AB24-'Grid_Requirement'!AC24+'Grid_TTAFOutgoing'!AC24))</f>
        <v/>
      </c>
      <c r="AD24">
        <f>IF(COUNTIFS(T_StockCount[Part Name],$A24,T_StockCount[WeekIndex],29)&gt;0,SUMIFS(T_StockCount[CountedQty],T_StockCount[Part Name],$A24,T_StockCount[WeekIndex],29),IF(('T_SelfStock'!AD28&lt;&gt;""),'T_SelfStock'!AD28,AC24-'Grid_Requirement'!AD24+'Grid_TTAFOutgoing'!AD24))</f>
        <v/>
      </c>
      <c r="AE24">
        <f>IF(COUNTIFS(T_StockCount[Part Name],$A24,T_StockCount[WeekIndex],30)&gt;0,SUMIFS(T_StockCount[CountedQty],T_StockCount[Part Name],$A24,T_StockCount[WeekIndex],30),IF(('T_SelfStock'!AE28&lt;&gt;""),'T_SelfStock'!AE28,AD24-'Grid_Requirement'!AE24+'Grid_TTAFOutgoing'!AE24))</f>
        <v/>
      </c>
      <c r="AF24">
        <f>IF(COUNTIFS(T_StockCount[Part Name],$A24,T_StockCount[WeekIndex],31)&gt;0,SUMIFS(T_StockCount[CountedQty],T_StockCount[Part Name],$A24,T_StockCount[WeekIndex],31),IF(('T_SelfStock'!AF28&lt;&gt;""),'T_SelfStock'!AF28,AE24-'Grid_Requirement'!AF24+'Grid_TTAFOutgoing'!AF24))</f>
        <v/>
      </c>
      <c r="AG24">
        <f>IF(COUNTIFS(T_StockCount[Part Name],$A24,T_StockCount[WeekIndex],32)&gt;0,SUMIFS(T_StockCount[CountedQty],T_StockCount[Part Name],$A24,T_StockCount[WeekIndex],32),IF(('T_SelfStock'!AG28&lt;&gt;""),'T_SelfStock'!AG28,AF24-'Grid_Requirement'!AG24+'Grid_TTAFOutgoing'!AG24))</f>
        <v/>
      </c>
      <c r="AH24">
        <f>IF(COUNTIFS(T_StockCount[Part Name],$A24,T_StockCount[WeekIndex],33)&gt;0,SUMIFS(T_StockCount[CountedQty],T_StockCount[Part Name],$A24,T_StockCount[WeekIndex],33),IF(('T_SelfStock'!AH28&lt;&gt;""),'T_SelfStock'!AH28,AG24-'Grid_Requirement'!AH24+'Grid_TTAFOutgoing'!AH24))</f>
        <v/>
      </c>
      <c r="AI24">
        <f>IF(COUNTIFS(T_StockCount[Part Name],$A24,T_StockCount[WeekIndex],34)&gt;0,SUMIFS(T_StockCount[CountedQty],T_StockCount[Part Name],$A24,T_StockCount[WeekIndex],34),IF(('T_SelfStock'!AI28&lt;&gt;""),'T_SelfStock'!AI28,AH24-'Grid_Requirement'!AI24+'Grid_TTAFOutgoing'!AI24))</f>
        <v/>
      </c>
      <c r="AJ24">
        <f>IF(COUNTIFS(T_StockCount[Part Name],$A24,T_StockCount[WeekIndex],35)&gt;0,SUMIFS(T_StockCount[CountedQty],T_StockCount[Part Name],$A24,T_StockCount[WeekIndex],35),IF(('T_SelfStock'!AJ28&lt;&gt;""),'T_SelfStock'!AJ28,AI24-'Grid_Requirement'!AJ24+'Grid_TTAFOutgoing'!AJ24))</f>
        <v/>
      </c>
      <c r="AK24">
        <f>IF(COUNTIFS(T_StockCount[Part Name],$A24,T_StockCount[WeekIndex],36)&gt;0,SUMIFS(T_StockCount[CountedQty],T_StockCount[Part Name],$A24,T_StockCount[WeekIndex],36),IF(('T_SelfStock'!AK28&lt;&gt;""),'T_SelfStock'!AK28,AJ24-'Grid_Requirement'!AK24+'Grid_TTAFOutgoing'!AK24))</f>
        <v/>
      </c>
      <c r="AL24">
        <f>IF(COUNTIFS(T_StockCount[Part Name],$A24,T_StockCount[WeekIndex],37)&gt;0,SUMIFS(T_StockCount[CountedQty],T_StockCount[Part Name],$A24,T_StockCount[WeekIndex],37),IF(('T_SelfStock'!AL28&lt;&gt;""),'T_SelfStock'!AL28,AK24-'Grid_Requirement'!AL24+'Grid_TTAFOutgoing'!AL24))</f>
        <v/>
      </c>
      <c r="AM24">
        <f>IF(COUNTIFS(T_StockCount[Part Name],$A24,T_StockCount[WeekIndex],38)&gt;0,SUMIFS(T_StockCount[CountedQty],T_StockCount[Part Name],$A24,T_StockCount[WeekIndex],38),IF(('T_SelfStock'!AM28&lt;&gt;""),'T_SelfStock'!AM28,AL24-'Grid_Requirement'!AM24+'Grid_TTAFOutgoing'!AM24))</f>
        <v/>
      </c>
      <c r="AN24">
        <f>IF(COUNTIFS(T_StockCount[Part Name],$A24,T_StockCount[WeekIndex],39)&gt;0,SUMIFS(T_StockCount[CountedQty],T_StockCount[Part Name],$A24,T_StockCount[WeekIndex],39),IF(('T_SelfStock'!AN28&lt;&gt;""),'T_SelfStock'!AN28,AM24-'Grid_Requirement'!AN24+'Grid_TTAFOutgoing'!AN24))</f>
        <v/>
      </c>
      <c r="AO24">
        <f>IF(COUNTIFS(T_StockCount[Part Name],$A24,T_StockCount[WeekIndex],40)&gt;0,SUMIFS(T_StockCount[CountedQty],T_StockCount[Part Name],$A24,T_StockCount[WeekIndex],40),IF(('T_SelfStock'!AO28&lt;&gt;""),'T_SelfStock'!AO28,AN24-'Grid_Requirement'!AO24+'Grid_TTAFOutgoing'!AO24))</f>
        <v/>
      </c>
      <c r="AP24">
        <f>IF(COUNTIFS(T_StockCount[Part Name],$A24,T_StockCount[WeekIndex],41)&gt;0,SUMIFS(T_StockCount[CountedQty],T_StockCount[Part Name],$A24,T_StockCount[WeekIndex],41),IF(('T_SelfStock'!AP28&lt;&gt;""),'T_SelfStock'!AP28,AO24-'Grid_Requirement'!AP24+'Grid_TTAFOutgoing'!AP24))</f>
        <v/>
      </c>
      <c r="AQ24">
        <f>IF(COUNTIFS(T_StockCount[Part Name],$A24,T_StockCount[WeekIndex],42)&gt;0,SUMIFS(T_StockCount[CountedQty],T_StockCount[Part Name],$A24,T_StockCount[WeekIndex],42),IF(('T_SelfStock'!AQ28&lt;&gt;""),'T_SelfStock'!AQ28,AP24-'Grid_Requirement'!AQ24+'Grid_TTAFOutgoing'!AQ24))</f>
        <v/>
      </c>
      <c r="AR24">
        <f>IF(COUNTIFS(T_StockCount[Part Name],$A24,T_StockCount[WeekIndex],43)&gt;0,SUMIFS(T_StockCount[CountedQty],T_StockCount[Part Name],$A24,T_StockCount[WeekIndex],43),IF(('T_SelfStock'!AR28&lt;&gt;""),'T_SelfStock'!AR28,AQ24-'Grid_Requirement'!AR24+'Grid_TTAFOutgoing'!AR24))</f>
        <v/>
      </c>
      <c r="AS24">
        <f>IF(COUNTIFS(T_StockCount[Part Name],$A24,T_StockCount[WeekIndex],44)&gt;0,SUMIFS(T_StockCount[CountedQty],T_StockCount[Part Name],$A24,T_StockCount[WeekIndex],44),IF(('T_SelfStock'!AS28&lt;&gt;""),'T_SelfStock'!AS28,AR24-'Grid_Requirement'!AS24+'Grid_TTAFOutgoing'!AS24))</f>
        <v/>
      </c>
      <c r="AT24">
        <f>IF(COUNTIFS(T_StockCount[Part Name],$A24,T_StockCount[WeekIndex],45)&gt;0,SUMIFS(T_StockCount[CountedQty],T_StockCount[Part Name],$A24,T_StockCount[WeekIndex],45),IF(('T_SelfStock'!AT28&lt;&gt;""),'T_SelfStock'!AT28,AS24-'Grid_Requirement'!AT24+'Grid_TTAFOutgoing'!AT24))</f>
        <v/>
      </c>
      <c r="AU24">
        <f>IF(COUNTIFS(T_StockCount[Part Name],$A24,T_StockCount[WeekIndex],46)&gt;0,SUMIFS(T_StockCount[CountedQty],T_StockCount[Part Name],$A24,T_StockCount[WeekIndex],46),IF(('T_SelfStock'!AU28&lt;&gt;""),'T_SelfStock'!AU28,AT24-'Grid_Requirement'!AU24+'Grid_TTAFOutgoing'!AU24))</f>
        <v/>
      </c>
      <c r="AV24">
        <f>IF(COUNTIFS(T_StockCount[Part Name],$A24,T_StockCount[WeekIndex],47)&gt;0,SUMIFS(T_StockCount[CountedQty],T_StockCount[Part Name],$A24,T_StockCount[WeekIndex],47),IF(('T_SelfStock'!AV28&lt;&gt;""),'T_SelfStock'!AV28,AU24-'Grid_Requirement'!AV24+'Grid_TTAFOutgoing'!AV24))</f>
        <v/>
      </c>
      <c r="AW24">
        <f>IF(COUNTIFS(T_StockCount[Part Name],$A24,T_StockCount[WeekIndex],48)&gt;0,SUMIFS(T_StockCount[CountedQty],T_StockCount[Part Name],$A24,T_StockCount[WeekIndex],48),IF(('T_SelfStock'!AW28&lt;&gt;""),'T_SelfStock'!AW28,AV24-'Grid_Requirement'!AW24+'Grid_TTAFOutgoing'!AW24))</f>
        <v/>
      </c>
      <c r="AX24">
        <f>IF(COUNTIFS(T_StockCount[Part Name],$A24,T_StockCount[WeekIndex],49)&gt;0,SUMIFS(T_StockCount[CountedQty],T_StockCount[Part Name],$A24,T_StockCount[WeekIndex],49),IF(('T_SelfStock'!AX28&lt;&gt;""),'T_SelfStock'!AX28,AW24-'Grid_Requirement'!AX24+'Grid_TTAFOutgoing'!AX24))</f>
        <v/>
      </c>
      <c r="AY24">
        <f>IF(COUNTIFS(T_StockCount[Part Name],$A24,T_StockCount[WeekIndex],50)&gt;0,SUMIFS(T_StockCount[CountedQty],T_StockCount[Part Name],$A24,T_StockCount[WeekIndex],50),IF(('T_SelfStock'!AY28&lt;&gt;""),'T_SelfStock'!AY28,AX24-'Grid_Requirement'!AY24+'Grid_TTAFOutgoing'!AY24))</f>
        <v/>
      </c>
      <c r="AZ24">
        <f>IF(COUNTIFS(T_StockCount[Part Name],$A24,T_StockCount[WeekIndex],51)&gt;0,SUMIFS(T_StockCount[CountedQty],T_StockCount[Part Name],$A24,T_StockCount[WeekIndex],51),IF(('T_SelfStock'!AZ28&lt;&gt;""),'T_SelfStock'!AZ28,AY24-'Grid_Requirement'!AZ24+'Grid_TTAFOutgoing'!AZ24))</f>
        <v/>
      </c>
      <c r="BA24">
        <f>IF(COUNTIFS(T_StockCount[Part Name],$A24,T_StockCount[WeekIndex],52)&gt;0,SUMIFS(T_StockCount[CountedQty],T_StockCount[Part Name],$A24,T_StockCount[WeekIndex],52),IF(('T_SelfStock'!BA28&lt;&gt;""),'T_SelfStock'!BA28,AZ24-'Grid_Requirement'!BA24+'Grid_TTAFOutgoing'!BA24))</f>
        <v/>
      </c>
      <c r="BB24">
        <f>IF(COUNTIFS(T_StockCount[Part Name],$A24,T_StockCount[WeekIndex],53)&gt;0,SUMIFS(T_StockCount[CountedQty],T_StockCount[Part Name],$A24,T_StockCount[WeekIndex],53),IF(('T_SelfStock'!BB28&lt;&gt;""),'T_SelfStock'!BB28,BA24-'Grid_Requirement'!BB24+'Grid_TTAFOutgoing'!BB24))</f>
        <v/>
      </c>
      <c r="BC24">
        <f>IF(COUNTIFS(T_StockCount[Part Name],$A24,T_StockCount[WeekIndex],54)&gt;0,SUMIFS(T_StockCount[CountedQty],T_StockCount[Part Name],$A24,T_StockCount[WeekIndex],54),IF(('T_SelfStock'!BC28&lt;&gt;""),'T_SelfStock'!BC28,BB24-'Grid_Requirement'!BC24+'Grid_TTAFOutgoing'!BC24))</f>
        <v/>
      </c>
      <c r="BD24">
        <f>IF(COUNTIFS(T_StockCount[Part Name],$A24,T_StockCount[WeekIndex],55)&gt;0,SUMIFS(T_StockCount[CountedQty],T_StockCount[Part Name],$A24,T_StockCount[WeekIndex],55),IF(('T_SelfStock'!BD28&lt;&gt;""),'T_SelfStock'!BD28,BC24-'Grid_Requirement'!BD24+'Grid_TTAFOutgoing'!BD24))</f>
        <v/>
      </c>
      <c r="BE24">
        <f>IF(COUNTIFS(T_StockCount[Part Name],$A24,T_StockCount[WeekIndex],56)&gt;0,SUMIFS(T_StockCount[CountedQty],T_StockCount[Part Name],$A24,T_StockCount[WeekIndex],56),IF(('T_SelfStock'!BE28&lt;&gt;""),'T_SelfStock'!BE28,BD24-'Grid_Requirement'!BE24+'Grid_TTAFOutgoing'!BE24))</f>
        <v/>
      </c>
      <c r="BF24">
        <f>IF(COUNTIFS(T_StockCount[Part Name],$A24,T_StockCount[WeekIndex],57)&gt;0,SUMIFS(T_StockCount[CountedQty],T_StockCount[Part Name],$A24,T_StockCount[WeekIndex],57),IF(('T_SelfStock'!BF28&lt;&gt;""),'T_SelfStock'!BF28,BE24-'Grid_Requirement'!BF24+'Grid_TTAFOutgoing'!BF24))</f>
        <v/>
      </c>
      <c r="BG24">
        <f>IF(COUNTIFS(T_StockCount[Part Name],$A24,T_StockCount[WeekIndex],58)&gt;0,SUMIFS(T_StockCount[CountedQty],T_StockCount[Part Name],$A24,T_StockCount[WeekIndex],58),IF(('T_SelfStock'!BG28&lt;&gt;""),'T_SelfStock'!BG28,BF24-'Grid_Requirement'!BG24+'Grid_TTAFOutgoing'!BG24))</f>
        <v/>
      </c>
      <c r="BH24">
        <f>IF(COUNTIFS(T_StockCount[Part Name],$A24,T_StockCount[WeekIndex],59)&gt;0,SUMIFS(T_StockCount[CountedQty],T_StockCount[Part Name],$A24,T_StockCount[WeekIndex],59),IF(('T_SelfStock'!BH28&lt;&gt;""),'T_SelfStock'!BH28,BG24-'Grid_Requirement'!BH24+'Grid_TTAFOutgoing'!BH24))</f>
        <v/>
      </c>
      <c r="BI24">
        <f>IF(COUNTIFS(T_StockCount[Part Name],$A24,T_StockCount[WeekIndex],60)&gt;0,SUMIFS(T_StockCount[CountedQty],T_StockCount[Part Name],$A24,T_StockCount[WeekIndex],60),IF(('T_SelfStock'!BI28&lt;&gt;""),'T_SelfStock'!BI28,BH24-'Grid_Requirement'!BI24+'Grid_TTAFOutgoing'!BI24))</f>
        <v/>
      </c>
      <c r="BJ24">
        <f>IF(COUNTIFS(T_StockCount[Part Name],$A24,T_StockCount[WeekIndex],61)&gt;0,SUMIFS(T_StockCount[CountedQty],T_StockCount[Part Name],$A24,T_StockCount[WeekIndex],61),IF(('T_SelfStock'!BJ28&lt;&gt;""),'T_SelfStock'!BJ28,BI24-'Grid_Requirement'!BJ24+'Grid_TTAFOutgoing'!BJ24))</f>
        <v/>
      </c>
      <c r="BK24">
        <f>IF(COUNTIFS(T_StockCount[Part Name],$A24,T_StockCount[WeekIndex],62)&gt;0,SUMIFS(T_StockCount[CountedQty],T_StockCount[Part Name],$A24,T_StockCount[WeekIndex],62),IF(('T_SelfStock'!BK28&lt;&gt;""),'T_SelfStock'!BK28,BJ24-'Grid_Requirement'!BK24+'Grid_TTAFOutgoing'!BK24))</f>
        <v/>
      </c>
      <c r="BL24">
        <f>IF(COUNTIFS(T_StockCount[Part Name],$A24,T_StockCount[WeekIndex],63)&gt;0,SUMIFS(T_StockCount[CountedQty],T_StockCount[Part Name],$A24,T_StockCount[WeekIndex],63),IF(('T_SelfStock'!BL28&lt;&gt;""),'T_SelfStock'!BL28,BK24-'Grid_Requirement'!BL24+'Grid_TTAFOutgoing'!BL24))</f>
        <v/>
      </c>
      <c r="BM24">
        <f>IF(COUNTIFS(T_StockCount[Part Name],$A24,T_StockCount[WeekIndex],64)&gt;0,SUMIFS(T_StockCount[CountedQty],T_StockCount[Part Name],$A24,T_StockCount[WeekIndex],64),IF(('T_SelfStock'!BM28&lt;&gt;""),'T_SelfStock'!BM28,BL24-'Grid_Requirement'!BM24+'Grid_TTAFOutgoing'!BM24))</f>
        <v/>
      </c>
      <c r="BN24">
        <f>IF(COUNTIFS(T_StockCount[Part Name],$A24,T_StockCount[WeekIndex],65)&gt;0,SUMIFS(T_StockCount[CountedQty],T_StockCount[Part Name],$A24,T_StockCount[WeekIndex],65),IF(('T_SelfStock'!BN28&lt;&gt;""),'T_SelfStock'!BN28,BM24-'Grid_Requirement'!BN24+'Grid_TTAFOutgoing'!BN24))</f>
        <v/>
      </c>
      <c r="BO24">
        <f>IF(COUNTIFS(T_StockCount[Part Name],$A24,T_StockCount[WeekIndex],66)&gt;0,SUMIFS(T_StockCount[CountedQty],T_StockCount[Part Name],$A24,T_StockCount[WeekIndex],66),IF(('T_SelfStock'!BO28&lt;&gt;""),'T_SelfStock'!BO28,BN24-'Grid_Requirement'!BO24+'Grid_TTAFOutgoing'!BO24))</f>
        <v/>
      </c>
      <c r="BP24">
        <f>IF(COUNTIFS(T_StockCount[Part Name],$A24,T_StockCount[WeekIndex],67)&gt;0,SUMIFS(T_StockCount[CountedQty],T_StockCount[Part Name],$A24,T_StockCount[WeekIndex],67),IF(('T_SelfStock'!BP28&lt;&gt;""),'T_SelfStock'!BP28,BO24-'Grid_Requirement'!BP24+'Grid_TTAFOutgoing'!BP24))</f>
        <v/>
      </c>
      <c r="BQ24">
        <f>IF(COUNTIFS(T_StockCount[Part Name],$A24,T_StockCount[WeekIndex],68)&gt;0,SUMIFS(T_StockCount[CountedQty],T_StockCount[Part Name],$A24,T_StockCount[WeekIndex],68),IF(('T_SelfStock'!BQ28&lt;&gt;""),'T_SelfStock'!BQ28,BP24-'Grid_Requirement'!BQ24+'Grid_TTAFOutgoing'!BQ24))</f>
        <v/>
      </c>
      <c r="BR24">
        <f>IF(COUNTIFS(T_StockCount[Part Name],$A24,T_StockCount[WeekIndex],69)&gt;0,SUMIFS(T_StockCount[CountedQty],T_StockCount[Part Name],$A24,T_StockCount[WeekIndex],69),IF(('T_SelfStock'!BR28&lt;&gt;""),'T_SelfStock'!BR28,BQ24-'Grid_Requirement'!BR24+'Grid_TTAFOutgoing'!BR24))</f>
        <v/>
      </c>
      <c r="BS24">
        <f>IF(COUNTIFS(T_StockCount[Part Name],$A24,T_StockCount[WeekIndex],70)&gt;0,SUMIFS(T_StockCount[CountedQty],T_StockCount[Part Name],$A24,T_StockCount[WeekIndex],70),IF(('T_SelfStock'!BS28&lt;&gt;""),'T_SelfStock'!BS28,BR24-'Grid_Requirement'!BS24+'Grid_TTAFOutgoing'!BS24))</f>
        <v/>
      </c>
      <c r="BT24">
        <f>IF(COUNTIFS(T_StockCount[Part Name],$A24,T_StockCount[WeekIndex],71)&gt;0,SUMIFS(T_StockCount[CountedQty],T_StockCount[Part Name],$A24,T_StockCount[WeekIndex],71),IF(('T_SelfStock'!BT28&lt;&gt;""),'T_SelfStock'!BT28,BS24-'Grid_Requirement'!BT24+'Grid_TTAFOutgoing'!BT24))</f>
        <v/>
      </c>
      <c r="BU24">
        <f>IF(COUNTIFS(T_StockCount[Part Name],$A24,T_StockCount[WeekIndex],72)&gt;0,SUMIFS(T_StockCount[CountedQty],T_StockCount[Part Name],$A24,T_StockCount[WeekIndex],72),IF(('T_SelfStock'!BU28&lt;&gt;""),'T_SelfStock'!BU28,BT24-'Grid_Requirement'!BU24+'Grid_TTAFOutgoing'!BU24))</f>
        <v/>
      </c>
      <c r="BV24">
        <f>IF(COUNTIFS(T_StockCount[Part Name],$A24,T_StockCount[WeekIndex],73)&gt;0,SUMIFS(T_StockCount[CountedQty],T_StockCount[Part Name],$A24,T_StockCount[WeekIndex],73),IF(('T_SelfStock'!BV28&lt;&gt;""),'T_SelfStock'!BV28,BU24-'Grid_Requirement'!BV24+'Grid_TTAFOutgoing'!BV24))</f>
        <v/>
      </c>
      <c r="BW24">
        <f>IF(COUNTIFS(T_StockCount[Part Name],$A24,T_StockCount[WeekIndex],74)&gt;0,SUMIFS(T_StockCount[CountedQty],T_StockCount[Part Name],$A24,T_StockCount[WeekIndex],74),IF(('T_SelfStock'!BW28&lt;&gt;""),'T_SelfStock'!BW28,BV24-'Grid_Requirement'!BW24+'Grid_TTAFOutgoing'!BW24))</f>
        <v/>
      </c>
      <c r="BX24">
        <f>IF(COUNTIFS(T_StockCount[Part Name],$A24,T_StockCount[WeekIndex],75)&gt;0,SUMIFS(T_StockCount[CountedQty],T_StockCount[Part Name],$A24,T_StockCount[WeekIndex],75),IF(('T_SelfStock'!BX28&lt;&gt;""),'T_SelfStock'!BX28,BW24-'Grid_Requirement'!BX24+'Grid_TTAFOutgoing'!BX24))</f>
        <v/>
      </c>
      <c r="BY24">
        <f>IF(COUNTIFS(T_StockCount[Part Name],$A24,T_StockCount[WeekIndex],76)&gt;0,SUMIFS(T_StockCount[CountedQty],T_StockCount[Part Name],$A24,T_StockCount[WeekIndex],76),IF(('T_SelfStock'!BY28&lt;&gt;""),'T_SelfStock'!BY28,BX24-'Grid_Requirement'!BY24+'Grid_TTAFOutgoing'!BY24))</f>
        <v/>
      </c>
      <c r="BZ24">
        <f>IF(COUNTIFS(T_StockCount[Part Name],$A24,T_StockCount[WeekIndex],77)&gt;0,SUMIFS(T_StockCount[CountedQty],T_StockCount[Part Name],$A24,T_StockCount[WeekIndex],77),IF(('T_SelfStock'!BZ28&lt;&gt;""),'T_SelfStock'!BZ28,BY24-'Grid_Requirement'!BZ24+'Grid_TTAFOutgoing'!BZ24))</f>
        <v/>
      </c>
      <c r="CA24">
        <f>IF(COUNTIFS(T_StockCount[Part Name],$A24,T_StockCount[WeekIndex],78)&gt;0,SUMIFS(T_StockCount[CountedQty],T_StockCount[Part Name],$A24,T_StockCount[WeekIndex],78),IF(('T_SelfStock'!CA28&lt;&gt;""),'T_SelfStock'!CA28,BZ24-'Grid_Requirement'!CA24+'Grid_TTAFOutgoing'!CA24))</f>
        <v/>
      </c>
      <c r="CB24">
        <f>IF(COUNTIFS(T_StockCount[Part Name],$A24,T_StockCount[WeekIndex],79)&gt;0,SUMIFS(T_StockCount[CountedQty],T_StockCount[Part Name],$A24,T_StockCount[WeekIndex],79),IF(('T_SelfStock'!CB28&lt;&gt;""),'T_SelfStock'!CB28,CA24-'Grid_Requirement'!CB24+'Grid_TTAFOutgoing'!CB24))</f>
        <v/>
      </c>
      <c r="CC24">
        <f>IF(COUNTIFS(T_StockCount[Part Name],$A24,T_StockCount[WeekIndex],80)&gt;0,SUMIFS(T_StockCount[CountedQty],T_StockCount[Part Name],$A24,T_StockCount[WeekIndex],80),IF(('T_SelfStock'!CC28&lt;&gt;""),'T_SelfStock'!CC28,CB24-'Grid_Requirement'!CC24+'Grid_TTAFOutgoing'!CC24))</f>
        <v/>
      </c>
      <c r="CD24">
        <f>IF(COUNTIFS(T_StockCount[Part Name],$A24,T_StockCount[WeekIndex],81)&gt;0,SUMIFS(T_StockCount[CountedQty],T_StockCount[Part Name],$A24,T_StockCount[WeekIndex],81),IF(('T_SelfStock'!CD28&lt;&gt;""),'T_SelfStock'!CD28,CC24-'Grid_Requirement'!CD24+'Grid_TTAFOutgoing'!CD24))</f>
        <v/>
      </c>
      <c r="CE24">
        <f>IF(COUNTIFS(T_StockCount[Part Name],$A24,T_StockCount[WeekIndex],82)&gt;0,SUMIFS(T_StockCount[CountedQty],T_StockCount[Part Name],$A24,T_StockCount[WeekIndex],82),IF(('T_SelfStock'!CE28&lt;&gt;""),'T_SelfStock'!CE28,CD24-'Grid_Requirement'!CE24+'Grid_TTAFOutgoing'!CE24))</f>
        <v/>
      </c>
      <c r="CF24">
        <f>IF(COUNTIFS(T_StockCount[Part Name],$A24,T_StockCount[WeekIndex],83)&gt;0,SUMIFS(T_StockCount[CountedQty],T_StockCount[Part Name],$A24,T_StockCount[WeekIndex],83),IF(('T_SelfStock'!CF28&lt;&gt;""),'T_SelfStock'!CF28,CE24-'Grid_Requirement'!CF24+'Grid_TTAFOutgoing'!CF24))</f>
        <v/>
      </c>
      <c r="CG24">
        <f>IF(COUNTIFS(T_StockCount[Part Name],$A24,T_StockCount[WeekIndex],84)&gt;0,SUMIFS(T_StockCount[CountedQty],T_StockCount[Part Name],$A24,T_StockCount[WeekIndex],84),IF(('T_SelfStock'!CG28&lt;&gt;""),'T_SelfStock'!CG28,CF24-'Grid_Requirement'!CG24+'Grid_TTAFOutgoing'!CG24))</f>
        <v/>
      </c>
      <c r="CH24">
        <f>IF(COUNTIFS(T_StockCount[Part Name],$A24,T_StockCount[WeekIndex],85)&gt;0,SUMIFS(T_StockCount[CountedQty],T_StockCount[Part Name],$A24,T_StockCount[WeekIndex],85),IF(('T_SelfStock'!CH28&lt;&gt;""),'T_SelfStock'!CH28,CG24-'Grid_Requirement'!CH24+'Grid_TTAFOutgoing'!CH24))</f>
        <v/>
      </c>
      <c r="CI24">
        <f>IF(COUNTIFS(T_StockCount[Part Name],$A24,T_StockCount[WeekIndex],86)&gt;0,SUMIFS(T_StockCount[CountedQty],T_StockCount[Part Name],$A24,T_StockCount[WeekIndex],86),IF(('T_SelfStock'!CI28&lt;&gt;""),'T_SelfStock'!CI28,CH24-'Grid_Requirement'!CI24+'Grid_TTAFOutgoing'!CI24))</f>
        <v/>
      </c>
      <c r="CJ24">
        <f>IF(COUNTIFS(T_StockCount[Part Name],$A24,T_StockCount[WeekIndex],87)&gt;0,SUMIFS(T_StockCount[CountedQty],T_StockCount[Part Name],$A24,T_StockCount[WeekIndex],87),IF(('T_SelfStock'!CJ28&lt;&gt;""),'T_SelfStock'!CJ28,CI24-'Grid_Requirement'!CJ24+'Grid_TTAFOutgoing'!CJ24))</f>
        <v/>
      </c>
      <c r="CK24">
        <f>IF(COUNTIFS(T_StockCount[Part Name],$A24,T_StockCount[WeekIndex],88)&gt;0,SUMIFS(T_StockCount[CountedQty],T_StockCount[Part Name],$A24,T_StockCount[WeekIndex],88),IF(('T_SelfStock'!CK28&lt;&gt;""),'T_SelfStock'!CK28,CJ24-'Grid_Requirement'!CK24+'Grid_TTAFOutgoing'!CK24))</f>
        <v/>
      </c>
      <c r="CL24">
        <f>IF(COUNTIFS(T_StockCount[Part Name],$A24,T_StockCount[WeekIndex],89)&gt;0,SUMIFS(T_StockCount[CountedQty],T_StockCount[Part Name],$A24,T_StockCount[WeekIndex],89),IF(('T_SelfStock'!CL28&lt;&gt;""),'T_SelfStock'!CL28,CK24-'Grid_Requirement'!CL24+'Grid_TTAFOutgoing'!CL24))</f>
        <v/>
      </c>
      <c r="CM24">
        <f>IF(COUNTIFS(T_StockCount[Part Name],$A24,T_StockCount[WeekIndex],90)&gt;0,SUMIFS(T_StockCount[CountedQty],T_StockCount[Part Name],$A24,T_StockCount[WeekIndex],90),IF(('T_SelfStock'!CM28&lt;&gt;""),'T_SelfStock'!CM28,CL24-'Grid_Requirement'!CM24+'Grid_TTAFOutgoing'!CM24))</f>
        <v/>
      </c>
      <c r="CN24">
        <f>IF(COUNTIFS(T_StockCount[Part Name],$A24,T_StockCount[WeekIndex],91)&gt;0,SUMIFS(T_StockCount[CountedQty],T_StockCount[Part Name],$A24,T_StockCount[WeekIndex],91),IF(('T_SelfStock'!CN28&lt;&gt;""),'T_SelfStock'!CN28,CM24-'Grid_Requirement'!CN24+'Grid_TTAFOutgoing'!CN24))</f>
        <v/>
      </c>
      <c r="CO24">
        <f>IF(COUNTIFS(T_StockCount[Part Name],$A24,T_StockCount[WeekIndex],92)&gt;0,SUMIFS(T_StockCount[CountedQty],T_StockCount[Part Name],$A24,T_StockCount[WeekIndex],92),IF(('T_SelfStock'!CO28&lt;&gt;""),'T_SelfStock'!CO28,CN24-'Grid_Requirement'!CO24+'Grid_TTAFOutgoing'!CO24))</f>
        <v/>
      </c>
      <c r="CP24">
        <f>IF(COUNTIFS(T_StockCount[Part Name],$A24,T_StockCount[WeekIndex],93)&gt;0,SUMIFS(T_StockCount[CountedQty],T_StockCount[Part Name],$A24,T_StockCount[WeekIndex],93),IF(('T_SelfStock'!CP28&lt;&gt;""),'T_SelfStock'!CP28,CO24-'Grid_Requirement'!CP24+'Grid_TTAFOutgoing'!CP24))</f>
        <v/>
      </c>
      <c r="CQ24">
        <f>IF(COUNTIFS(T_StockCount[Part Name],$A24,T_StockCount[WeekIndex],94)&gt;0,SUMIFS(T_StockCount[CountedQty],T_StockCount[Part Name],$A24,T_StockCount[WeekIndex],94),IF(('T_SelfStock'!CQ28&lt;&gt;""),'T_SelfStock'!CQ28,CP24-'Grid_Requirement'!CQ24+'Grid_TTAFOutgoing'!CQ24))</f>
        <v/>
      </c>
      <c r="CR24">
        <f>IF(COUNTIFS(T_StockCount[Part Name],$A24,T_StockCount[WeekIndex],95)&gt;0,SUMIFS(T_StockCount[CountedQty],T_StockCount[Part Name],$A24,T_StockCount[WeekIndex],95),IF(('T_SelfStock'!CR28&lt;&gt;""),'T_SelfStock'!CR28,CQ24-'Grid_Requirement'!CR24+'Grid_TTAFOutgoing'!CR24))</f>
        <v/>
      </c>
      <c r="CS24">
        <f>IF(COUNTIFS(T_StockCount[Part Name],$A24,T_StockCount[WeekIndex],96)&gt;0,SUMIFS(T_StockCount[CountedQty],T_StockCount[Part Name],$A24,T_StockCount[WeekIndex],96),IF(('T_SelfStock'!CS28&lt;&gt;""),'T_SelfStock'!CS28,CR24-'Grid_Requirement'!CS24+'Grid_TTAFOutgoing'!CS24))</f>
        <v/>
      </c>
      <c r="CT24">
        <f>IF(COUNTIFS(T_StockCount[Part Name],$A24,T_StockCount[WeekIndex],97)&gt;0,SUMIFS(T_StockCount[CountedQty],T_StockCount[Part Name],$A24,T_StockCount[WeekIndex],97),IF(('T_SelfStock'!CT28&lt;&gt;""),'T_SelfStock'!CT28,CS24-'Grid_Requirement'!CT24+'Grid_TTAFOutgoing'!CT24))</f>
        <v/>
      </c>
      <c r="CU24">
        <f>IF(COUNTIFS(T_StockCount[Part Name],$A24,T_StockCount[WeekIndex],98)&gt;0,SUMIFS(T_StockCount[CountedQty],T_StockCount[Part Name],$A24,T_StockCount[WeekIndex],98),IF(('T_SelfStock'!CU28&lt;&gt;""),'T_SelfStock'!CU28,CT24-'Grid_Requirement'!CU24+'Grid_TTAFOutgoing'!CU24))</f>
        <v/>
      </c>
      <c r="CV24">
        <f>IF(COUNTIFS(T_StockCount[Part Name],$A24,T_StockCount[WeekIndex],99)&gt;0,SUMIFS(T_StockCount[CountedQty],T_StockCount[Part Name],$A24,T_StockCount[WeekIndex],99),IF(('T_SelfStock'!CV28&lt;&gt;""),'T_SelfStock'!CV28,CU24-'Grid_Requirement'!CV24+'Grid_TTAFOutgoing'!CV24))</f>
        <v/>
      </c>
      <c r="CW24">
        <f>IF(COUNTIFS(T_StockCount[Part Name],$A24,T_StockCount[WeekIndex],100)&gt;0,SUMIFS(T_StockCount[CountedQty],T_StockCount[Part Name],$A24,T_StockCount[WeekIndex],100),IF(('T_SelfStock'!CW28&lt;&gt;""),'T_SelfStock'!CW28,CV24-'Grid_Requirement'!CW24+'Grid_TTAFOutgoing'!CW24))</f>
        <v/>
      </c>
      <c r="CX24">
        <f>IF(COUNTIFS(T_StockCount[Part Name],$A24,T_StockCount[WeekIndex],101)&gt;0,SUMIFS(T_StockCount[CountedQty],T_StockCount[Part Name],$A24,T_StockCount[WeekIndex],101),IF(('T_SelfStock'!CX28&lt;&gt;""),'T_SelfStock'!CX28,CW24-'Grid_Requirement'!CX24+'Grid_TTAFOutgoing'!CX24))</f>
        <v/>
      </c>
      <c r="CY24">
        <f>IF(COUNTIFS(T_StockCount[Part Name],$A24,T_StockCount[WeekIndex],102)&gt;0,SUMIFS(T_StockCount[CountedQty],T_StockCount[Part Name],$A24,T_StockCount[WeekIndex],102),IF(('T_SelfStock'!CY28&lt;&gt;""),'T_SelfStock'!CY28,CX24-'Grid_Requirement'!CY24+'Grid_TTAFOutgoing'!CY24))</f>
        <v/>
      </c>
      <c r="CZ24">
        <f>IF(COUNTIFS(T_StockCount[Part Name],$A24,T_StockCount[WeekIndex],103)&gt;0,SUMIFS(T_StockCount[CountedQty],T_StockCount[Part Name],$A24,T_StockCount[WeekIndex],103),IF(('T_SelfStock'!CZ28&lt;&gt;""),'T_SelfStock'!CZ28,CY24-'Grid_Requirement'!CZ24+'Grid_TTAFOutgoing'!CZ24))</f>
        <v/>
      </c>
      <c r="DA24">
        <f>IF(COUNTIFS(T_StockCount[Part Name],$A24,T_StockCount[WeekIndex],104)&gt;0,SUMIFS(T_StockCount[CountedQty],T_StockCount[Part Name],$A24,T_StockCount[WeekIndex],104),IF(('T_SelfStock'!DA28&lt;&gt;""),'T_SelfStock'!DA28,CZ24-'Grid_Requirement'!DA24+'Grid_TTAFOutgoing'!DA24))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Name],$A25,T_StockCount[WeekIndex],1),IF(('T_SelfStock'!B29&lt;&gt;""),'T_SelfStock'!B29,IFERROR(INDEX(T_OpeningStock[Opening_Qty],MATCH($A25,T_OpeningStock[Part Name],0)),0)-'Grid_Requirement'!B25+'Grid_TTAFOutgoing'!B25))</f>
        <v/>
      </c>
      <c r="C25">
        <f>IF(COUNTIFS(T_StockCount[Part Name],$A25,T_StockCount[WeekIndex],2)&gt;0,SUMIFS(T_StockCount[CountedQty],T_StockCount[Part Name],$A25,T_StockCount[WeekIndex],2),IF(('T_SelfStock'!C29&lt;&gt;""),'T_SelfStock'!C29,B25-'Grid_Requirement'!C25+'Grid_TTAFOutgoing'!C25))</f>
        <v/>
      </c>
      <c r="D25">
        <f>IF(COUNTIFS(T_StockCount[Part Name],$A25,T_StockCount[WeekIndex],3)&gt;0,SUMIFS(T_StockCount[CountedQty],T_StockCount[Part Name],$A25,T_StockCount[WeekIndex],3),IF(('T_SelfStock'!D29&lt;&gt;""),'T_SelfStock'!D29,C25-'Grid_Requirement'!D25+'Grid_TTAFOutgoing'!D25))</f>
        <v/>
      </c>
      <c r="E25">
        <f>IF(COUNTIFS(T_StockCount[Part Name],$A25,T_StockCount[WeekIndex],4)&gt;0,SUMIFS(T_StockCount[CountedQty],T_StockCount[Part Name],$A25,T_StockCount[WeekIndex],4),IF(('T_SelfStock'!E29&lt;&gt;""),'T_SelfStock'!E29,D25-'Grid_Requirement'!E25+'Grid_TTAFOutgoing'!E25))</f>
        <v/>
      </c>
      <c r="F25">
        <f>IF(COUNTIFS(T_StockCount[Part Name],$A25,T_StockCount[WeekIndex],5)&gt;0,SUMIFS(T_StockCount[CountedQty],T_StockCount[Part Name],$A25,T_StockCount[WeekIndex],5),IF(('T_SelfStock'!F29&lt;&gt;""),'T_SelfStock'!F29,E25-'Grid_Requirement'!F25+'Grid_TTAFOutgoing'!F25))</f>
        <v/>
      </c>
      <c r="G25">
        <f>IF(COUNTIFS(T_StockCount[Part Name],$A25,T_StockCount[WeekIndex],6)&gt;0,SUMIFS(T_StockCount[CountedQty],T_StockCount[Part Name],$A25,T_StockCount[WeekIndex],6),IF(('T_SelfStock'!G29&lt;&gt;""),'T_SelfStock'!G29,F25-'Grid_Requirement'!G25+'Grid_TTAFOutgoing'!G25))</f>
        <v/>
      </c>
      <c r="H25">
        <f>IF(COUNTIFS(T_StockCount[Part Name],$A25,T_StockCount[WeekIndex],7)&gt;0,SUMIFS(T_StockCount[CountedQty],T_StockCount[Part Name],$A25,T_StockCount[WeekIndex],7),IF(('T_SelfStock'!H29&lt;&gt;""),'T_SelfStock'!H29,G25-'Grid_Requirement'!H25+'Grid_TTAFOutgoing'!H25))</f>
        <v/>
      </c>
      <c r="I25">
        <f>IF(COUNTIFS(T_StockCount[Part Name],$A25,T_StockCount[WeekIndex],8)&gt;0,SUMIFS(T_StockCount[CountedQty],T_StockCount[Part Name],$A25,T_StockCount[WeekIndex],8),IF(('T_SelfStock'!I29&lt;&gt;""),'T_SelfStock'!I29,H25-'Grid_Requirement'!I25+'Grid_TTAFOutgoing'!I25))</f>
        <v/>
      </c>
      <c r="J25">
        <f>IF(COUNTIFS(T_StockCount[Part Name],$A25,T_StockCount[WeekIndex],9)&gt;0,SUMIFS(T_StockCount[CountedQty],T_StockCount[Part Name],$A25,T_StockCount[WeekIndex],9),IF(('T_SelfStock'!J29&lt;&gt;""),'T_SelfStock'!J29,I25-'Grid_Requirement'!J25+'Grid_TTAFOutgoing'!J25))</f>
        <v/>
      </c>
      <c r="K25">
        <f>IF(COUNTIFS(T_StockCount[Part Name],$A25,T_StockCount[WeekIndex],10)&gt;0,SUMIFS(T_StockCount[CountedQty],T_StockCount[Part Name],$A25,T_StockCount[WeekIndex],10),IF(('T_SelfStock'!K29&lt;&gt;""),'T_SelfStock'!K29,J25-'Grid_Requirement'!K25+'Grid_TTAFOutgoing'!K25))</f>
        <v/>
      </c>
      <c r="L25">
        <f>IF(COUNTIFS(T_StockCount[Part Name],$A25,T_StockCount[WeekIndex],11)&gt;0,SUMIFS(T_StockCount[CountedQty],T_StockCount[Part Name],$A25,T_StockCount[WeekIndex],11),IF(('T_SelfStock'!L29&lt;&gt;""),'T_SelfStock'!L29,K25-'Grid_Requirement'!L25+'Grid_TTAFOutgoing'!L25))</f>
        <v/>
      </c>
      <c r="M25">
        <f>IF(COUNTIFS(T_StockCount[Part Name],$A25,T_StockCount[WeekIndex],12)&gt;0,SUMIFS(T_StockCount[CountedQty],T_StockCount[Part Name],$A25,T_StockCount[WeekIndex],12),IF(('T_SelfStock'!M29&lt;&gt;""),'T_SelfStock'!M29,L25-'Grid_Requirement'!M25+'Grid_TTAFOutgoing'!M25))</f>
        <v/>
      </c>
      <c r="N25">
        <f>IF(COUNTIFS(T_StockCount[Part Name],$A25,T_StockCount[WeekIndex],13)&gt;0,SUMIFS(T_StockCount[CountedQty],T_StockCount[Part Name],$A25,T_StockCount[WeekIndex],13),IF(('T_SelfStock'!N29&lt;&gt;""),'T_SelfStock'!N29,M25-'Grid_Requirement'!N25+'Grid_TTAFOutgoing'!N25))</f>
        <v/>
      </c>
      <c r="O25">
        <f>IF(COUNTIFS(T_StockCount[Part Name],$A25,T_StockCount[WeekIndex],14)&gt;0,SUMIFS(T_StockCount[CountedQty],T_StockCount[Part Name],$A25,T_StockCount[WeekIndex],14),IF(('T_SelfStock'!O29&lt;&gt;""),'T_SelfStock'!O29,N25-'Grid_Requirement'!O25+'Grid_TTAFOutgoing'!O25))</f>
        <v/>
      </c>
      <c r="P25">
        <f>IF(COUNTIFS(T_StockCount[Part Name],$A25,T_StockCount[WeekIndex],15)&gt;0,SUMIFS(T_StockCount[CountedQty],T_StockCount[Part Name],$A25,T_StockCount[WeekIndex],15),IF(('T_SelfStock'!P29&lt;&gt;""),'T_SelfStock'!P29,O25-'Grid_Requirement'!P25+'Grid_TTAFOutgoing'!P25))</f>
        <v/>
      </c>
      <c r="Q25">
        <f>IF(COUNTIFS(T_StockCount[Part Name],$A25,T_StockCount[WeekIndex],16)&gt;0,SUMIFS(T_StockCount[CountedQty],T_StockCount[Part Name],$A25,T_StockCount[WeekIndex],16),IF(('T_SelfStock'!Q29&lt;&gt;""),'T_SelfStock'!Q29,P25-'Grid_Requirement'!Q25+'Grid_TTAFOutgoing'!Q25))</f>
        <v/>
      </c>
      <c r="R25">
        <f>IF(COUNTIFS(T_StockCount[Part Name],$A25,T_StockCount[WeekIndex],17)&gt;0,SUMIFS(T_StockCount[CountedQty],T_StockCount[Part Name],$A25,T_StockCount[WeekIndex],17),IF(('T_SelfStock'!R29&lt;&gt;""),'T_SelfStock'!R29,Q25-'Grid_Requirement'!R25+'Grid_TTAFOutgoing'!R25))</f>
        <v/>
      </c>
      <c r="S25">
        <f>IF(COUNTIFS(T_StockCount[Part Name],$A25,T_StockCount[WeekIndex],18)&gt;0,SUMIFS(T_StockCount[CountedQty],T_StockCount[Part Name],$A25,T_StockCount[WeekIndex],18),IF(('T_SelfStock'!S29&lt;&gt;""),'T_SelfStock'!S29,R25-'Grid_Requirement'!S25+'Grid_TTAFOutgoing'!S25))</f>
        <v/>
      </c>
      <c r="T25">
        <f>IF(COUNTIFS(T_StockCount[Part Name],$A25,T_StockCount[WeekIndex],19)&gt;0,SUMIFS(T_StockCount[CountedQty],T_StockCount[Part Name],$A25,T_StockCount[WeekIndex],19),IF(('T_SelfStock'!T29&lt;&gt;""),'T_SelfStock'!T29,S25-'Grid_Requirement'!T25+'Grid_TTAFOutgoing'!T25))</f>
        <v/>
      </c>
      <c r="U25">
        <f>IF(COUNTIFS(T_StockCount[Part Name],$A25,T_StockCount[WeekIndex],20)&gt;0,SUMIFS(T_StockCount[CountedQty],T_StockCount[Part Name],$A25,T_StockCount[WeekIndex],20),IF(('T_SelfStock'!U29&lt;&gt;""),'T_SelfStock'!U29,T25-'Grid_Requirement'!U25+'Grid_TTAFOutgoing'!U25))</f>
        <v/>
      </c>
      <c r="V25">
        <f>IF(COUNTIFS(T_StockCount[Part Name],$A25,T_StockCount[WeekIndex],21)&gt;0,SUMIFS(T_StockCount[CountedQty],T_StockCount[Part Name],$A25,T_StockCount[WeekIndex],21),IF(('T_SelfStock'!V29&lt;&gt;""),'T_SelfStock'!V29,U25-'Grid_Requirement'!V25+'Grid_TTAFOutgoing'!V25))</f>
        <v/>
      </c>
      <c r="W25">
        <f>IF(COUNTIFS(T_StockCount[Part Name],$A25,T_StockCount[WeekIndex],22)&gt;0,SUMIFS(T_StockCount[CountedQty],T_StockCount[Part Name],$A25,T_StockCount[WeekIndex],22),IF(('T_SelfStock'!W29&lt;&gt;""),'T_SelfStock'!W29,V25-'Grid_Requirement'!W25+'Grid_TTAFOutgoing'!W25))</f>
        <v/>
      </c>
      <c r="X25">
        <f>IF(COUNTIFS(T_StockCount[Part Name],$A25,T_StockCount[WeekIndex],23)&gt;0,SUMIFS(T_StockCount[CountedQty],T_StockCount[Part Name],$A25,T_StockCount[WeekIndex],23),IF(('T_SelfStock'!X29&lt;&gt;""),'T_SelfStock'!X29,W25-'Grid_Requirement'!X25+'Grid_TTAFOutgoing'!X25))</f>
        <v/>
      </c>
      <c r="Y25">
        <f>IF(COUNTIFS(T_StockCount[Part Name],$A25,T_StockCount[WeekIndex],24)&gt;0,SUMIFS(T_StockCount[CountedQty],T_StockCount[Part Name],$A25,T_StockCount[WeekIndex],24),IF(('T_SelfStock'!Y29&lt;&gt;""),'T_SelfStock'!Y29,X25-'Grid_Requirement'!Y25+'Grid_TTAFOutgoing'!Y25))</f>
        <v/>
      </c>
      <c r="Z25">
        <f>IF(COUNTIFS(T_StockCount[Part Name],$A25,T_StockCount[WeekIndex],25)&gt;0,SUMIFS(T_StockCount[CountedQty],T_StockCount[Part Name],$A25,T_StockCount[WeekIndex],25),IF(('T_SelfStock'!Z29&lt;&gt;""),'T_SelfStock'!Z29,Y25-'Grid_Requirement'!Z25+'Grid_TTAFOutgoing'!Z25))</f>
        <v/>
      </c>
      <c r="AA25">
        <f>IF(COUNTIFS(T_StockCount[Part Name],$A25,T_StockCount[WeekIndex],26)&gt;0,SUMIFS(T_StockCount[CountedQty],T_StockCount[Part Name],$A25,T_StockCount[WeekIndex],26),IF(('T_SelfStock'!AA29&lt;&gt;""),'T_SelfStock'!AA29,Z25-'Grid_Requirement'!AA25+'Grid_TTAFOutgoing'!AA25))</f>
        <v/>
      </c>
      <c r="AB25">
        <f>IF(COUNTIFS(T_StockCount[Part Name],$A25,T_StockCount[WeekIndex],27)&gt;0,SUMIFS(T_StockCount[CountedQty],T_StockCount[Part Name],$A25,T_StockCount[WeekIndex],27),IF(('T_SelfStock'!AB29&lt;&gt;""),'T_SelfStock'!AB29,AA25-'Grid_Requirement'!AB25+'Grid_TTAFOutgoing'!AB25))</f>
        <v/>
      </c>
      <c r="AC25">
        <f>IF(COUNTIFS(T_StockCount[Part Name],$A25,T_StockCount[WeekIndex],28)&gt;0,SUMIFS(T_StockCount[CountedQty],T_StockCount[Part Name],$A25,T_StockCount[WeekIndex],28),IF(('T_SelfStock'!AC29&lt;&gt;""),'T_SelfStock'!AC29,AB25-'Grid_Requirement'!AC25+'Grid_TTAFOutgoing'!AC25))</f>
        <v/>
      </c>
      <c r="AD25">
        <f>IF(COUNTIFS(T_StockCount[Part Name],$A25,T_StockCount[WeekIndex],29)&gt;0,SUMIFS(T_StockCount[CountedQty],T_StockCount[Part Name],$A25,T_StockCount[WeekIndex],29),IF(('T_SelfStock'!AD29&lt;&gt;""),'T_SelfStock'!AD29,AC25-'Grid_Requirement'!AD25+'Grid_TTAFOutgoing'!AD25))</f>
        <v/>
      </c>
      <c r="AE25">
        <f>IF(COUNTIFS(T_StockCount[Part Name],$A25,T_StockCount[WeekIndex],30)&gt;0,SUMIFS(T_StockCount[CountedQty],T_StockCount[Part Name],$A25,T_StockCount[WeekIndex],30),IF(('T_SelfStock'!AE29&lt;&gt;""),'T_SelfStock'!AE29,AD25-'Grid_Requirement'!AE25+'Grid_TTAFOutgoing'!AE25))</f>
        <v/>
      </c>
      <c r="AF25">
        <f>IF(COUNTIFS(T_StockCount[Part Name],$A25,T_StockCount[WeekIndex],31)&gt;0,SUMIFS(T_StockCount[CountedQty],T_StockCount[Part Name],$A25,T_StockCount[WeekIndex],31),IF(('T_SelfStock'!AF29&lt;&gt;""),'T_SelfStock'!AF29,AE25-'Grid_Requirement'!AF25+'Grid_TTAFOutgoing'!AF25))</f>
        <v/>
      </c>
      <c r="AG25">
        <f>IF(COUNTIFS(T_StockCount[Part Name],$A25,T_StockCount[WeekIndex],32)&gt;0,SUMIFS(T_StockCount[CountedQty],T_StockCount[Part Name],$A25,T_StockCount[WeekIndex],32),IF(('T_SelfStock'!AG29&lt;&gt;""),'T_SelfStock'!AG29,AF25-'Grid_Requirement'!AG25+'Grid_TTAFOutgoing'!AG25))</f>
        <v/>
      </c>
      <c r="AH25">
        <f>IF(COUNTIFS(T_StockCount[Part Name],$A25,T_StockCount[WeekIndex],33)&gt;0,SUMIFS(T_StockCount[CountedQty],T_StockCount[Part Name],$A25,T_StockCount[WeekIndex],33),IF(('T_SelfStock'!AH29&lt;&gt;""),'T_SelfStock'!AH29,AG25-'Grid_Requirement'!AH25+'Grid_TTAFOutgoing'!AH25))</f>
        <v/>
      </c>
      <c r="AI25">
        <f>IF(COUNTIFS(T_StockCount[Part Name],$A25,T_StockCount[WeekIndex],34)&gt;0,SUMIFS(T_StockCount[CountedQty],T_StockCount[Part Name],$A25,T_StockCount[WeekIndex],34),IF(('T_SelfStock'!AI29&lt;&gt;""),'T_SelfStock'!AI29,AH25-'Grid_Requirement'!AI25+'Grid_TTAFOutgoing'!AI25))</f>
        <v/>
      </c>
      <c r="AJ25">
        <f>IF(COUNTIFS(T_StockCount[Part Name],$A25,T_StockCount[WeekIndex],35)&gt;0,SUMIFS(T_StockCount[CountedQty],T_StockCount[Part Name],$A25,T_StockCount[WeekIndex],35),IF(('T_SelfStock'!AJ29&lt;&gt;""),'T_SelfStock'!AJ29,AI25-'Grid_Requirement'!AJ25+'Grid_TTAFOutgoing'!AJ25))</f>
        <v/>
      </c>
      <c r="AK25">
        <f>IF(COUNTIFS(T_StockCount[Part Name],$A25,T_StockCount[WeekIndex],36)&gt;0,SUMIFS(T_StockCount[CountedQty],T_StockCount[Part Name],$A25,T_StockCount[WeekIndex],36),IF(('T_SelfStock'!AK29&lt;&gt;""),'T_SelfStock'!AK29,AJ25-'Grid_Requirement'!AK25+'Grid_TTAFOutgoing'!AK25))</f>
        <v/>
      </c>
      <c r="AL25">
        <f>IF(COUNTIFS(T_StockCount[Part Name],$A25,T_StockCount[WeekIndex],37)&gt;0,SUMIFS(T_StockCount[CountedQty],T_StockCount[Part Name],$A25,T_StockCount[WeekIndex],37),IF(('T_SelfStock'!AL29&lt;&gt;""),'T_SelfStock'!AL29,AK25-'Grid_Requirement'!AL25+'Grid_TTAFOutgoing'!AL25))</f>
        <v/>
      </c>
      <c r="AM25">
        <f>IF(COUNTIFS(T_StockCount[Part Name],$A25,T_StockCount[WeekIndex],38)&gt;0,SUMIFS(T_StockCount[CountedQty],T_StockCount[Part Name],$A25,T_StockCount[WeekIndex],38),IF(('T_SelfStock'!AM29&lt;&gt;""),'T_SelfStock'!AM29,AL25-'Grid_Requirement'!AM25+'Grid_TTAFOutgoing'!AM25))</f>
        <v/>
      </c>
      <c r="AN25">
        <f>IF(COUNTIFS(T_StockCount[Part Name],$A25,T_StockCount[WeekIndex],39)&gt;0,SUMIFS(T_StockCount[CountedQty],T_StockCount[Part Name],$A25,T_StockCount[WeekIndex],39),IF(('T_SelfStock'!AN29&lt;&gt;""),'T_SelfStock'!AN29,AM25-'Grid_Requirement'!AN25+'Grid_TTAFOutgoing'!AN25))</f>
        <v/>
      </c>
      <c r="AO25">
        <f>IF(COUNTIFS(T_StockCount[Part Name],$A25,T_StockCount[WeekIndex],40)&gt;0,SUMIFS(T_StockCount[CountedQty],T_StockCount[Part Name],$A25,T_StockCount[WeekIndex],40),IF(('T_SelfStock'!AO29&lt;&gt;""),'T_SelfStock'!AO29,AN25-'Grid_Requirement'!AO25+'Grid_TTAFOutgoing'!AO25))</f>
        <v/>
      </c>
      <c r="AP25">
        <f>IF(COUNTIFS(T_StockCount[Part Name],$A25,T_StockCount[WeekIndex],41)&gt;0,SUMIFS(T_StockCount[CountedQty],T_StockCount[Part Name],$A25,T_StockCount[WeekIndex],41),IF(('T_SelfStock'!AP29&lt;&gt;""),'T_SelfStock'!AP29,AO25-'Grid_Requirement'!AP25+'Grid_TTAFOutgoing'!AP25))</f>
        <v/>
      </c>
      <c r="AQ25">
        <f>IF(COUNTIFS(T_StockCount[Part Name],$A25,T_StockCount[WeekIndex],42)&gt;0,SUMIFS(T_StockCount[CountedQty],T_StockCount[Part Name],$A25,T_StockCount[WeekIndex],42),IF(('T_SelfStock'!AQ29&lt;&gt;""),'T_SelfStock'!AQ29,AP25-'Grid_Requirement'!AQ25+'Grid_TTAFOutgoing'!AQ25))</f>
        <v/>
      </c>
      <c r="AR25">
        <f>IF(COUNTIFS(T_StockCount[Part Name],$A25,T_StockCount[WeekIndex],43)&gt;0,SUMIFS(T_StockCount[CountedQty],T_StockCount[Part Name],$A25,T_StockCount[WeekIndex],43),IF(('T_SelfStock'!AR29&lt;&gt;""),'T_SelfStock'!AR29,AQ25-'Grid_Requirement'!AR25+'Grid_TTAFOutgoing'!AR25))</f>
        <v/>
      </c>
      <c r="AS25">
        <f>IF(COUNTIFS(T_StockCount[Part Name],$A25,T_StockCount[WeekIndex],44)&gt;0,SUMIFS(T_StockCount[CountedQty],T_StockCount[Part Name],$A25,T_StockCount[WeekIndex],44),IF(('T_SelfStock'!AS29&lt;&gt;""),'T_SelfStock'!AS29,AR25-'Grid_Requirement'!AS25+'Grid_TTAFOutgoing'!AS25))</f>
        <v/>
      </c>
      <c r="AT25">
        <f>IF(COUNTIFS(T_StockCount[Part Name],$A25,T_StockCount[WeekIndex],45)&gt;0,SUMIFS(T_StockCount[CountedQty],T_StockCount[Part Name],$A25,T_StockCount[WeekIndex],45),IF(('T_SelfStock'!AT29&lt;&gt;""),'T_SelfStock'!AT29,AS25-'Grid_Requirement'!AT25+'Grid_TTAFOutgoing'!AT25))</f>
        <v/>
      </c>
      <c r="AU25">
        <f>IF(COUNTIFS(T_StockCount[Part Name],$A25,T_StockCount[WeekIndex],46)&gt;0,SUMIFS(T_StockCount[CountedQty],T_StockCount[Part Name],$A25,T_StockCount[WeekIndex],46),IF(('T_SelfStock'!AU29&lt;&gt;""),'T_SelfStock'!AU29,AT25-'Grid_Requirement'!AU25+'Grid_TTAFOutgoing'!AU25))</f>
        <v/>
      </c>
      <c r="AV25">
        <f>IF(COUNTIFS(T_StockCount[Part Name],$A25,T_StockCount[WeekIndex],47)&gt;0,SUMIFS(T_StockCount[CountedQty],T_StockCount[Part Name],$A25,T_StockCount[WeekIndex],47),IF(('T_SelfStock'!AV29&lt;&gt;""),'T_SelfStock'!AV29,AU25-'Grid_Requirement'!AV25+'Grid_TTAFOutgoing'!AV25))</f>
        <v/>
      </c>
      <c r="AW25">
        <f>IF(COUNTIFS(T_StockCount[Part Name],$A25,T_StockCount[WeekIndex],48)&gt;0,SUMIFS(T_StockCount[CountedQty],T_StockCount[Part Name],$A25,T_StockCount[WeekIndex],48),IF(('T_SelfStock'!AW29&lt;&gt;""),'T_SelfStock'!AW29,AV25-'Grid_Requirement'!AW25+'Grid_TTAFOutgoing'!AW25))</f>
        <v/>
      </c>
      <c r="AX25">
        <f>IF(COUNTIFS(T_StockCount[Part Name],$A25,T_StockCount[WeekIndex],49)&gt;0,SUMIFS(T_StockCount[CountedQty],T_StockCount[Part Name],$A25,T_StockCount[WeekIndex],49),IF(('T_SelfStock'!AX29&lt;&gt;""),'T_SelfStock'!AX29,AW25-'Grid_Requirement'!AX25+'Grid_TTAFOutgoing'!AX25))</f>
        <v/>
      </c>
      <c r="AY25">
        <f>IF(COUNTIFS(T_StockCount[Part Name],$A25,T_StockCount[WeekIndex],50)&gt;0,SUMIFS(T_StockCount[CountedQty],T_StockCount[Part Name],$A25,T_StockCount[WeekIndex],50),IF(('T_SelfStock'!AY29&lt;&gt;""),'T_SelfStock'!AY29,AX25-'Grid_Requirement'!AY25+'Grid_TTAFOutgoing'!AY25))</f>
        <v/>
      </c>
      <c r="AZ25">
        <f>IF(COUNTIFS(T_StockCount[Part Name],$A25,T_StockCount[WeekIndex],51)&gt;0,SUMIFS(T_StockCount[CountedQty],T_StockCount[Part Name],$A25,T_StockCount[WeekIndex],51),IF(('T_SelfStock'!AZ29&lt;&gt;""),'T_SelfStock'!AZ29,AY25-'Grid_Requirement'!AZ25+'Grid_TTAFOutgoing'!AZ25))</f>
        <v/>
      </c>
      <c r="BA25">
        <f>IF(COUNTIFS(T_StockCount[Part Name],$A25,T_StockCount[WeekIndex],52)&gt;0,SUMIFS(T_StockCount[CountedQty],T_StockCount[Part Name],$A25,T_StockCount[WeekIndex],52),IF(('T_SelfStock'!BA29&lt;&gt;""),'T_SelfStock'!BA29,AZ25-'Grid_Requirement'!BA25+'Grid_TTAFOutgoing'!BA25))</f>
        <v/>
      </c>
      <c r="BB25">
        <f>IF(COUNTIFS(T_StockCount[Part Name],$A25,T_StockCount[WeekIndex],53)&gt;0,SUMIFS(T_StockCount[CountedQty],T_StockCount[Part Name],$A25,T_StockCount[WeekIndex],53),IF(('T_SelfStock'!BB29&lt;&gt;""),'T_SelfStock'!BB29,BA25-'Grid_Requirement'!BB25+'Grid_TTAFOutgoing'!BB25))</f>
        <v/>
      </c>
      <c r="BC25">
        <f>IF(COUNTIFS(T_StockCount[Part Name],$A25,T_StockCount[WeekIndex],54)&gt;0,SUMIFS(T_StockCount[CountedQty],T_StockCount[Part Name],$A25,T_StockCount[WeekIndex],54),IF(('T_SelfStock'!BC29&lt;&gt;""),'T_SelfStock'!BC29,BB25-'Grid_Requirement'!BC25+'Grid_TTAFOutgoing'!BC25))</f>
        <v/>
      </c>
      <c r="BD25">
        <f>IF(COUNTIFS(T_StockCount[Part Name],$A25,T_StockCount[WeekIndex],55)&gt;0,SUMIFS(T_StockCount[CountedQty],T_StockCount[Part Name],$A25,T_StockCount[WeekIndex],55),IF(('T_SelfStock'!BD29&lt;&gt;""),'T_SelfStock'!BD29,BC25-'Grid_Requirement'!BD25+'Grid_TTAFOutgoing'!BD25))</f>
        <v/>
      </c>
      <c r="BE25">
        <f>IF(COUNTIFS(T_StockCount[Part Name],$A25,T_StockCount[WeekIndex],56)&gt;0,SUMIFS(T_StockCount[CountedQty],T_StockCount[Part Name],$A25,T_StockCount[WeekIndex],56),IF(('T_SelfStock'!BE29&lt;&gt;""),'T_SelfStock'!BE29,BD25-'Grid_Requirement'!BE25+'Grid_TTAFOutgoing'!BE25))</f>
        <v/>
      </c>
      <c r="BF25">
        <f>IF(COUNTIFS(T_StockCount[Part Name],$A25,T_StockCount[WeekIndex],57)&gt;0,SUMIFS(T_StockCount[CountedQty],T_StockCount[Part Name],$A25,T_StockCount[WeekIndex],57),IF(('T_SelfStock'!BF29&lt;&gt;""),'T_SelfStock'!BF29,BE25-'Grid_Requirement'!BF25+'Grid_TTAFOutgoing'!BF25))</f>
        <v/>
      </c>
      <c r="BG25">
        <f>IF(COUNTIFS(T_StockCount[Part Name],$A25,T_StockCount[WeekIndex],58)&gt;0,SUMIFS(T_StockCount[CountedQty],T_StockCount[Part Name],$A25,T_StockCount[WeekIndex],58),IF(('T_SelfStock'!BG29&lt;&gt;""),'T_SelfStock'!BG29,BF25-'Grid_Requirement'!BG25+'Grid_TTAFOutgoing'!BG25))</f>
        <v/>
      </c>
      <c r="BH25">
        <f>IF(COUNTIFS(T_StockCount[Part Name],$A25,T_StockCount[WeekIndex],59)&gt;0,SUMIFS(T_StockCount[CountedQty],T_StockCount[Part Name],$A25,T_StockCount[WeekIndex],59),IF(('T_SelfStock'!BH29&lt;&gt;""),'T_SelfStock'!BH29,BG25-'Grid_Requirement'!BH25+'Grid_TTAFOutgoing'!BH25))</f>
        <v/>
      </c>
      <c r="BI25">
        <f>IF(COUNTIFS(T_StockCount[Part Name],$A25,T_StockCount[WeekIndex],60)&gt;0,SUMIFS(T_StockCount[CountedQty],T_StockCount[Part Name],$A25,T_StockCount[WeekIndex],60),IF(('T_SelfStock'!BI29&lt;&gt;""),'T_SelfStock'!BI29,BH25-'Grid_Requirement'!BI25+'Grid_TTAFOutgoing'!BI25))</f>
        <v/>
      </c>
      <c r="BJ25">
        <f>IF(COUNTIFS(T_StockCount[Part Name],$A25,T_StockCount[WeekIndex],61)&gt;0,SUMIFS(T_StockCount[CountedQty],T_StockCount[Part Name],$A25,T_StockCount[WeekIndex],61),IF(('T_SelfStock'!BJ29&lt;&gt;""),'T_SelfStock'!BJ29,BI25-'Grid_Requirement'!BJ25+'Grid_TTAFOutgoing'!BJ25))</f>
        <v/>
      </c>
      <c r="BK25">
        <f>IF(COUNTIFS(T_StockCount[Part Name],$A25,T_StockCount[WeekIndex],62)&gt;0,SUMIFS(T_StockCount[CountedQty],T_StockCount[Part Name],$A25,T_StockCount[WeekIndex],62),IF(('T_SelfStock'!BK29&lt;&gt;""),'T_SelfStock'!BK29,BJ25-'Grid_Requirement'!BK25+'Grid_TTAFOutgoing'!BK25))</f>
        <v/>
      </c>
      <c r="BL25">
        <f>IF(COUNTIFS(T_StockCount[Part Name],$A25,T_StockCount[WeekIndex],63)&gt;0,SUMIFS(T_StockCount[CountedQty],T_StockCount[Part Name],$A25,T_StockCount[WeekIndex],63),IF(('T_SelfStock'!BL29&lt;&gt;""),'T_SelfStock'!BL29,BK25-'Grid_Requirement'!BL25+'Grid_TTAFOutgoing'!BL25))</f>
        <v/>
      </c>
      <c r="BM25">
        <f>IF(COUNTIFS(T_StockCount[Part Name],$A25,T_StockCount[WeekIndex],64)&gt;0,SUMIFS(T_StockCount[CountedQty],T_StockCount[Part Name],$A25,T_StockCount[WeekIndex],64),IF(('T_SelfStock'!BM29&lt;&gt;""),'T_SelfStock'!BM29,BL25-'Grid_Requirement'!BM25+'Grid_TTAFOutgoing'!BM25))</f>
        <v/>
      </c>
      <c r="BN25">
        <f>IF(COUNTIFS(T_StockCount[Part Name],$A25,T_StockCount[WeekIndex],65)&gt;0,SUMIFS(T_StockCount[CountedQty],T_StockCount[Part Name],$A25,T_StockCount[WeekIndex],65),IF(('T_SelfStock'!BN29&lt;&gt;""),'T_SelfStock'!BN29,BM25-'Grid_Requirement'!BN25+'Grid_TTAFOutgoing'!BN25))</f>
        <v/>
      </c>
      <c r="BO25">
        <f>IF(COUNTIFS(T_StockCount[Part Name],$A25,T_StockCount[WeekIndex],66)&gt;0,SUMIFS(T_StockCount[CountedQty],T_StockCount[Part Name],$A25,T_StockCount[WeekIndex],66),IF(('T_SelfStock'!BO29&lt;&gt;""),'T_SelfStock'!BO29,BN25-'Grid_Requirement'!BO25+'Grid_TTAFOutgoing'!BO25))</f>
        <v/>
      </c>
      <c r="BP25">
        <f>IF(COUNTIFS(T_StockCount[Part Name],$A25,T_StockCount[WeekIndex],67)&gt;0,SUMIFS(T_StockCount[CountedQty],T_StockCount[Part Name],$A25,T_StockCount[WeekIndex],67),IF(('T_SelfStock'!BP29&lt;&gt;""),'T_SelfStock'!BP29,BO25-'Grid_Requirement'!BP25+'Grid_TTAFOutgoing'!BP25))</f>
        <v/>
      </c>
      <c r="BQ25">
        <f>IF(COUNTIFS(T_StockCount[Part Name],$A25,T_StockCount[WeekIndex],68)&gt;0,SUMIFS(T_StockCount[CountedQty],T_StockCount[Part Name],$A25,T_StockCount[WeekIndex],68),IF(('T_SelfStock'!BQ29&lt;&gt;""),'T_SelfStock'!BQ29,BP25-'Grid_Requirement'!BQ25+'Grid_TTAFOutgoing'!BQ25))</f>
        <v/>
      </c>
      <c r="BR25">
        <f>IF(COUNTIFS(T_StockCount[Part Name],$A25,T_StockCount[WeekIndex],69)&gt;0,SUMIFS(T_StockCount[CountedQty],T_StockCount[Part Name],$A25,T_StockCount[WeekIndex],69),IF(('T_SelfStock'!BR29&lt;&gt;""),'T_SelfStock'!BR29,BQ25-'Grid_Requirement'!BR25+'Grid_TTAFOutgoing'!BR25))</f>
        <v/>
      </c>
      <c r="BS25">
        <f>IF(COUNTIFS(T_StockCount[Part Name],$A25,T_StockCount[WeekIndex],70)&gt;0,SUMIFS(T_StockCount[CountedQty],T_StockCount[Part Name],$A25,T_StockCount[WeekIndex],70),IF(('T_SelfStock'!BS29&lt;&gt;""),'T_SelfStock'!BS29,BR25-'Grid_Requirement'!BS25+'Grid_TTAFOutgoing'!BS25))</f>
        <v/>
      </c>
      <c r="BT25">
        <f>IF(COUNTIFS(T_StockCount[Part Name],$A25,T_StockCount[WeekIndex],71)&gt;0,SUMIFS(T_StockCount[CountedQty],T_StockCount[Part Name],$A25,T_StockCount[WeekIndex],71),IF(('T_SelfStock'!BT29&lt;&gt;""),'T_SelfStock'!BT29,BS25-'Grid_Requirement'!BT25+'Grid_TTAFOutgoing'!BT25))</f>
        <v/>
      </c>
      <c r="BU25">
        <f>IF(COUNTIFS(T_StockCount[Part Name],$A25,T_StockCount[WeekIndex],72)&gt;0,SUMIFS(T_StockCount[CountedQty],T_StockCount[Part Name],$A25,T_StockCount[WeekIndex],72),IF(('T_SelfStock'!BU29&lt;&gt;""),'T_SelfStock'!BU29,BT25-'Grid_Requirement'!BU25+'Grid_TTAFOutgoing'!BU25))</f>
        <v/>
      </c>
      <c r="BV25">
        <f>IF(COUNTIFS(T_StockCount[Part Name],$A25,T_StockCount[WeekIndex],73)&gt;0,SUMIFS(T_StockCount[CountedQty],T_StockCount[Part Name],$A25,T_StockCount[WeekIndex],73),IF(('T_SelfStock'!BV29&lt;&gt;""),'T_SelfStock'!BV29,BU25-'Grid_Requirement'!BV25+'Grid_TTAFOutgoing'!BV25))</f>
        <v/>
      </c>
      <c r="BW25">
        <f>IF(COUNTIFS(T_StockCount[Part Name],$A25,T_StockCount[WeekIndex],74)&gt;0,SUMIFS(T_StockCount[CountedQty],T_StockCount[Part Name],$A25,T_StockCount[WeekIndex],74),IF(('T_SelfStock'!BW29&lt;&gt;""),'T_SelfStock'!BW29,BV25-'Grid_Requirement'!BW25+'Grid_TTAFOutgoing'!BW25))</f>
        <v/>
      </c>
      <c r="BX25">
        <f>IF(COUNTIFS(T_StockCount[Part Name],$A25,T_StockCount[WeekIndex],75)&gt;0,SUMIFS(T_StockCount[CountedQty],T_StockCount[Part Name],$A25,T_StockCount[WeekIndex],75),IF(('T_SelfStock'!BX29&lt;&gt;""),'T_SelfStock'!BX29,BW25-'Grid_Requirement'!BX25+'Grid_TTAFOutgoing'!BX25))</f>
        <v/>
      </c>
      <c r="BY25">
        <f>IF(COUNTIFS(T_StockCount[Part Name],$A25,T_StockCount[WeekIndex],76)&gt;0,SUMIFS(T_StockCount[CountedQty],T_StockCount[Part Name],$A25,T_StockCount[WeekIndex],76),IF(('T_SelfStock'!BY29&lt;&gt;""),'T_SelfStock'!BY29,BX25-'Grid_Requirement'!BY25+'Grid_TTAFOutgoing'!BY25))</f>
        <v/>
      </c>
      <c r="BZ25">
        <f>IF(COUNTIFS(T_StockCount[Part Name],$A25,T_StockCount[WeekIndex],77)&gt;0,SUMIFS(T_StockCount[CountedQty],T_StockCount[Part Name],$A25,T_StockCount[WeekIndex],77),IF(('T_SelfStock'!BZ29&lt;&gt;""),'T_SelfStock'!BZ29,BY25-'Grid_Requirement'!BZ25+'Grid_TTAFOutgoing'!BZ25))</f>
        <v/>
      </c>
      <c r="CA25">
        <f>IF(COUNTIFS(T_StockCount[Part Name],$A25,T_StockCount[WeekIndex],78)&gt;0,SUMIFS(T_StockCount[CountedQty],T_StockCount[Part Name],$A25,T_StockCount[WeekIndex],78),IF(('T_SelfStock'!CA29&lt;&gt;""),'T_SelfStock'!CA29,BZ25-'Grid_Requirement'!CA25+'Grid_TTAFOutgoing'!CA25))</f>
        <v/>
      </c>
      <c r="CB25">
        <f>IF(COUNTIFS(T_StockCount[Part Name],$A25,T_StockCount[WeekIndex],79)&gt;0,SUMIFS(T_StockCount[CountedQty],T_StockCount[Part Name],$A25,T_StockCount[WeekIndex],79),IF(('T_SelfStock'!CB29&lt;&gt;""),'T_SelfStock'!CB29,CA25-'Grid_Requirement'!CB25+'Grid_TTAFOutgoing'!CB25))</f>
        <v/>
      </c>
      <c r="CC25">
        <f>IF(COUNTIFS(T_StockCount[Part Name],$A25,T_StockCount[WeekIndex],80)&gt;0,SUMIFS(T_StockCount[CountedQty],T_StockCount[Part Name],$A25,T_StockCount[WeekIndex],80),IF(('T_SelfStock'!CC29&lt;&gt;""),'T_SelfStock'!CC29,CB25-'Grid_Requirement'!CC25+'Grid_TTAFOutgoing'!CC25))</f>
        <v/>
      </c>
      <c r="CD25">
        <f>IF(COUNTIFS(T_StockCount[Part Name],$A25,T_StockCount[WeekIndex],81)&gt;0,SUMIFS(T_StockCount[CountedQty],T_StockCount[Part Name],$A25,T_StockCount[WeekIndex],81),IF(('T_SelfStock'!CD29&lt;&gt;""),'T_SelfStock'!CD29,CC25-'Grid_Requirement'!CD25+'Grid_TTAFOutgoing'!CD25))</f>
        <v/>
      </c>
      <c r="CE25">
        <f>IF(COUNTIFS(T_StockCount[Part Name],$A25,T_StockCount[WeekIndex],82)&gt;0,SUMIFS(T_StockCount[CountedQty],T_StockCount[Part Name],$A25,T_StockCount[WeekIndex],82),IF(('T_SelfStock'!CE29&lt;&gt;""),'T_SelfStock'!CE29,CD25-'Grid_Requirement'!CE25+'Grid_TTAFOutgoing'!CE25))</f>
        <v/>
      </c>
      <c r="CF25">
        <f>IF(COUNTIFS(T_StockCount[Part Name],$A25,T_StockCount[WeekIndex],83)&gt;0,SUMIFS(T_StockCount[CountedQty],T_StockCount[Part Name],$A25,T_StockCount[WeekIndex],83),IF(('T_SelfStock'!CF29&lt;&gt;""),'T_SelfStock'!CF29,CE25-'Grid_Requirement'!CF25+'Grid_TTAFOutgoing'!CF25))</f>
        <v/>
      </c>
      <c r="CG25">
        <f>IF(COUNTIFS(T_StockCount[Part Name],$A25,T_StockCount[WeekIndex],84)&gt;0,SUMIFS(T_StockCount[CountedQty],T_StockCount[Part Name],$A25,T_StockCount[WeekIndex],84),IF(('T_SelfStock'!CG29&lt;&gt;""),'T_SelfStock'!CG29,CF25-'Grid_Requirement'!CG25+'Grid_TTAFOutgoing'!CG25))</f>
        <v/>
      </c>
      <c r="CH25">
        <f>IF(COUNTIFS(T_StockCount[Part Name],$A25,T_StockCount[WeekIndex],85)&gt;0,SUMIFS(T_StockCount[CountedQty],T_StockCount[Part Name],$A25,T_StockCount[WeekIndex],85),IF(('T_SelfStock'!CH29&lt;&gt;""),'T_SelfStock'!CH29,CG25-'Grid_Requirement'!CH25+'Grid_TTAFOutgoing'!CH25))</f>
        <v/>
      </c>
      <c r="CI25">
        <f>IF(COUNTIFS(T_StockCount[Part Name],$A25,T_StockCount[WeekIndex],86)&gt;0,SUMIFS(T_StockCount[CountedQty],T_StockCount[Part Name],$A25,T_StockCount[WeekIndex],86),IF(('T_SelfStock'!CI29&lt;&gt;""),'T_SelfStock'!CI29,CH25-'Grid_Requirement'!CI25+'Grid_TTAFOutgoing'!CI25))</f>
        <v/>
      </c>
      <c r="CJ25">
        <f>IF(COUNTIFS(T_StockCount[Part Name],$A25,T_StockCount[WeekIndex],87)&gt;0,SUMIFS(T_StockCount[CountedQty],T_StockCount[Part Name],$A25,T_StockCount[WeekIndex],87),IF(('T_SelfStock'!CJ29&lt;&gt;""),'T_SelfStock'!CJ29,CI25-'Grid_Requirement'!CJ25+'Grid_TTAFOutgoing'!CJ25))</f>
        <v/>
      </c>
      <c r="CK25">
        <f>IF(COUNTIFS(T_StockCount[Part Name],$A25,T_StockCount[WeekIndex],88)&gt;0,SUMIFS(T_StockCount[CountedQty],T_StockCount[Part Name],$A25,T_StockCount[WeekIndex],88),IF(('T_SelfStock'!CK29&lt;&gt;""),'T_SelfStock'!CK29,CJ25-'Grid_Requirement'!CK25+'Grid_TTAFOutgoing'!CK25))</f>
        <v/>
      </c>
      <c r="CL25">
        <f>IF(COUNTIFS(T_StockCount[Part Name],$A25,T_StockCount[WeekIndex],89)&gt;0,SUMIFS(T_StockCount[CountedQty],T_StockCount[Part Name],$A25,T_StockCount[WeekIndex],89),IF(('T_SelfStock'!CL29&lt;&gt;""),'T_SelfStock'!CL29,CK25-'Grid_Requirement'!CL25+'Grid_TTAFOutgoing'!CL25))</f>
        <v/>
      </c>
      <c r="CM25">
        <f>IF(COUNTIFS(T_StockCount[Part Name],$A25,T_StockCount[WeekIndex],90)&gt;0,SUMIFS(T_StockCount[CountedQty],T_StockCount[Part Name],$A25,T_StockCount[WeekIndex],90),IF(('T_SelfStock'!CM29&lt;&gt;""),'T_SelfStock'!CM29,CL25-'Grid_Requirement'!CM25+'Grid_TTAFOutgoing'!CM25))</f>
        <v/>
      </c>
      <c r="CN25">
        <f>IF(COUNTIFS(T_StockCount[Part Name],$A25,T_StockCount[WeekIndex],91)&gt;0,SUMIFS(T_StockCount[CountedQty],T_StockCount[Part Name],$A25,T_StockCount[WeekIndex],91),IF(('T_SelfStock'!CN29&lt;&gt;""),'T_SelfStock'!CN29,CM25-'Grid_Requirement'!CN25+'Grid_TTAFOutgoing'!CN25))</f>
        <v/>
      </c>
      <c r="CO25">
        <f>IF(COUNTIFS(T_StockCount[Part Name],$A25,T_StockCount[WeekIndex],92)&gt;0,SUMIFS(T_StockCount[CountedQty],T_StockCount[Part Name],$A25,T_StockCount[WeekIndex],92),IF(('T_SelfStock'!CO29&lt;&gt;""),'T_SelfStock'!CO29,CN25-'Grid_Requirement'!CO25+'Grid_TTAFOutgoing'!CO25))</f>
        <v/>
      </c>
      <c r="CP25">
        <f>IF(COUNTIFS(T_StockCount[Part Name],$A25,T_StockCount[WeekIndex],93)&gt;0,SUMIFS(T_StockCount[CountedQty],T_StockCount[Part Name],$A25,T_StockCount[WeekIndex],93),IF(('T_SelfStock'!CP29&lt;&gt;""),'T_SelfStock'!CP29,CO25-'Grid_Requirement'!CP25+'Grid_TTAFOutgoing'!CP25))</f>
        <v/>
      </c>
      <c r="CQ25">
        <f>IF(COUNTIFS(T_StockCount[Part Name],$A25,T_StockCount[WeekIndex],94)&gt;0,SUMIFS(T_StockCount[CountedQty],T_StockCount[Part Name],$A25,T_StockCount[WeekIndex],94),IF(('T_SelfStock'!CQ29&lt;&gt;""),'T_SelfStock'!CQ29,CP25-'Grid_Requirement'!CQ25+'Grid_TTAFOutgoing'!CQ25))</f>
        <v/>
      </c>
      <c r="CR25">
        <f>IF(COUNTIFS(T_StockCount[Part Name],$A25,T_StockCount[WeekIndex],95)&gt;0,SUMIFS(T_StockCount[CountedQty],T_StockCount[Part Name],$A25,T_StockCount[WeekIndex],95),IF(('T_SelfStock'!CR29&lt;&gt;""),'T_SelfStock'!CR29,CQ25-'Grid_Requirement'!CR25+'Grid_TTAFOutgoing'!CR25))</f>
        <v/>
      </c>
      <c r="CS25">
        <f>IF(COUNTIFS(T_StockCount[Part Name],$A25,T_StockCount[WeekIndex],96)&gt;0,SUMIFS(T_StockCount[CountedQty],T_StockCount[Part Name],$A25,T_StockCount[WeekIndex],96),IF(('T_SelfStock'!CS29&lt;&gt;""),'T_SelfStock'!CS29,CR25-'Grid_Requirement'!CS25+'Grid_TTAFOutgoing'!CS25))</f>
        <v/>
      </c>
      <c r="CT25">
        <f>IF(COUNTIFS(T_StockCount[Part Name],$A25,T_StockCount[WeekIndex],97)&gt;0,SUMIFS(T_StockCount[CountedQty],T_StockCount[Part Name],$A25,T_StockCount[WeekIndex],97),IF(('T_SelfStock'!CT29&lt;&gt;""),'T_SelfStock'!CT29,CS25-'Grid_Requirement'!CT25+'Grid_TTAFOutgoing'!CT25))</f>
        <v/>
      </c>
      <c r="CU25">
        <f>IF(COUNTIFS(T_StockCount[Part Name],$A25,T_StockCount[WeekIndex],98)&gt;0,SUMIFS(T_StockCount[CountedQty],T_StockCount[Part Name],$A25,T_StockCount[WeekIndex],98),IF(('T_SelfStock'!CU29&lt;&gt;""),'T_SelfStock'!CU29,CT25-'Grid_Requirement'!CU25+'Grid_TTAFOutgoing'!CU25))</f>
        <v/>
      </c>
      <c r="CV25">
        <f>IF(COUNTIFS(T_StockCount[Part Name],$A25,T_StockCount[WeekIndex],99)&gt;0,SUMIFS(T_StockCount[CountedQty],T_StockCount[Part Name],$A25,T_StockCount[WeekIndex],99),IF(('T_SelfStock'!CV29&lt;&gt;""),'T_SelfStock'!CV29,CU25-'Grid_Requirement'!CV25+'Grid_TTAFOutgoing'!CV25))</f>
        <v/>
      </c>
      <c r="CW25">
        <f>IF(COUNTIFS(T_StockCount[Part Name],$A25,T_StockCount[WeekIndex],100)&gt;0,SUMIFS(T_StockCount[CountedQty],T_StockCount[Part Name],$A25,T_StockCount[WeekIndex],100),IF(('T_SelfStock'!CW29&lt;&gt;""),'T_SelfStock'!CW29,CV25-'Grid_Requirement'!CW25+'Grid_TTAFOutgoing'!CW25))</f>
        <v/>
      </c>
      <c r="CX25">
        <f>IF(COUNTIFS(T_StockCount[Part Name],$A25,T_StockCount[WeekIndex],101)&gt;0,SUMIFS(T_StockCount[CountedQty],T_StockCount[Part Name],$A25,T_StockCount[WeekIndex],101),IF(('T_SelfStock'!CX29&lt;&gt;""),'T_SelfStock'!CX29,CW25-'Grid_Requirement'!CX25+'Grid_TTAFOutgoing'!CX25))</f>
        <v/>
      </c>
      <c r="CY25">
        <f>IF(COUNTIFS(T_StockCount[Part Name],$A25,T_StockCount[WeekIndex],102)&gt;0,SUMIFS(T_StockCount[CountedQty],T_StockCount[Part Name],$A25,T_StockCount[WeekIndex],102),IF(('T_SelfStock'!CY29&lt;&gt;""),'T_SelfStock'!CY29,CX25-'Grid_Requirement'!CY25+'Grid_TTAFOutgoing'!CY25))</f>
        <v/>
      </c>
      <c r="CZ25">
        <f>IF(COUNTIFS(T_StockCount[Part Name],$A25,T_StockCount[WeekIndex],103)&gt;0,SUMIFS(T_StockCount[CountedQty],T_StockCount[Part Name],$A25,T_StockCount[WeekIndex],103),IF(('T_SelfStock'!CZ29&lt;&gt;""),'T_SelfStock'!CZ29,CY25-'Grid_Requirement'!CZ25+'Grid_TTAFOutgoing'!CZ25))</f>
        <v/>
      </c>
      <c r="DA25">
        <f>IF(COUNTIFS(T_StockCount[Part Name],$A25,T_StockCount[WeekIndex],104)&gt;0,SUMIFS(T_StockCount[CountedQty],T_StockCount[Part Name],$A25,T_StockCount[WeekIndex],104),IF(('T_SelfStock'!DA29&lt;&gt;""),'T_SelfStock'!DA29,CZ25-'Grid_Requirement'!DA25+'Grid_TTAFOutgoing'!DA25))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Name],$A26,T_StockCount[WeekIndex],1),IF(('T_SelfStock'!B30&lt;&gt;""),'T_SelfStock'!B30,IFERROR(INDEX(T_OpeningStock[Opening_Qty],MATCH($A26,T_OpeningStock[Part Name],0)),0)-'Grid_Requirement'!B26+'Grid_TTAFOutgoing'!B26))</f>
        <v/>
      </c>
      <c r="C26">
        <f>IF(COUNTIFS(T_StockCount[Part Name],$A26,T_StockCount[WeekIndex],2)&gt;0,SUMIFS(T_StockCount[CountedQty],T_StockCount[Part Name],$A26,T_StockCount[WeekIndex],2),IF(('T_SelfStock'!C30&lt;&gt;""),'T_SelfStock'!C30,B26-'Grid_Requirement'!C26+'Grid_TTAFOutgoing'!C26))</f>
        <v/>
      </c>
      <c r="D26">
        <f>IF(COUNTIFS(T_StockCount[Part Name],$A26,T_StockCount[WeekIndex],3)&gt;0,SUMIFS(T_StockCount[CountedQty],T_StockCount[Part Name],$A26,T_StockCount[WeekIndex],3),IF(('T_SelfStock'!D30&lt;&gt;""),'T_SelfStock'!D30,C26-'Grid_Requirement'!D26+'Grid_TTAFOutgoing'!D26))</f>
        <v/>
      </c>
      <c r="E26">
        <f>IF(COUNTIFS(T_StockCount[Part Name],$A26,T_StockCount[WeekIndex],4)&gt;0,SUMIFS(T_StockCount[CountedQty],T_StockCount[Part Name],$A26,T_StockCount[WeekIndex],4),IF(('T_SelfStock'!E30&lt;&gt;""),'T_SelfStock'!E30,D26-'Grid_Requirement'!E26+'Grid_TTAFOutgoing'!E26))</f>
        <v/>
      </c>
      <c r="F26">
        <f>IF(COUNTIFS(T_StockCount[Part Name],$A26,T_StockCount[WeekIndex],5)&gt;0,SUMIFS(T_StockCount[CountedQty],T_StockCount[Part Name],$A26,T_StockCount[WeekIndex],5),IF(('T_SelfStock'!F30&lt;&gt;""),'T_SelfStock'!F30,E26-'Grid_Requirement'!F26+'Grid_TTAFOutgoing'!F26))</f>
        <v/>
      </c>
      <c r="G26">
        <f>IF(COUNTIFS(T_StockCount[Part Name],$A26,T_StockCount[WeekIndex],6)&gt;0,SUMIFS(T_StockCount[CountedQty],T_StockCount[Part Name],$A26,T_StockCount[WeekIndex],6),IF(('T_SelfStock'!G30&lt;&gt;""),'T_SelfStock'!G30,F26-'Grid_Requirement'!G26+'Grid_TTAFOutgoing'!G26))</f>
        <v/>
      </c>
      <c r="H26">
        <f>IF(COUNTIFS(T_StockCount[Part Name],$A26,T_StockCount[WeekIndex],7)&gt;0,SUMIFS(T_StockCount[CountedQty],T_StockCount[Part Name],$A26,T_StockCount[WeekIndex],7),IF(('T_SelfStock'!H30&lt;&gt;""),'T_SelfStock'!H30,G26-'Grid_Requirement'!H26+'Grid_TTAFOutgoing'!H26))</f>
        <v/>
      </c>
      <c r="I26">
        <f>IF(COUNTIFS(T_StockCount[Part Name],$A26,T_StockCount[WeekIndex],8)&gt;0,SUMIFS(T_StockCount[CountedQty],T_StockCount[Part Name],$A26,T_StockCount[WeekIndex],8),IF(('T_SelfStock'!I30&lt;&gt;""),'T_SelfStock'!I30,H26-'Grid_Requirement'!I26+'Grid_TTAFOutgoing'!I26))</f>
        <v/>
      </c>
      <c r="J26">
        <f>IF(COUNTIFS(T_StockCount[Part Name],$A26,T_StockCount[WeekIndex],9)&gt;0,SUMIFS(T_StockCount[CountedQty],T_StockCount[Part Name],$A26,T_StockCount[WeekIndex],9),IF(('T_SelfStock'!J30&lt;&gt;""),'T_SelfStock'!J30,I26-'Grid_Requirement'!J26+'Grid_TTAFOutgoing'!J26))</f>
        <v/>
      </c>
      <c r="K26">
        <f>IF(COUNTIFS(T_StockCount[Part Name],$A26,T_StockCount[WeekIndex],10)&gt;0,SUMIFS(T_StockCount[CountedQty],T_StockCount[Part Name],$A26,T_StockCount[WeekIndex],10),IF(('T_SelfStock'!K30&lt;&gt;""),'T_SelfStock'!K30,J26-'Grid_Requirement'!K26+'Grid_TTAFOutgoing'!K26))</f>
        <v/>
      </c>
      <c r="L26">
        <f>IF(COUNTIFS(T_StockCount[Part Name],$A26,T_StockCount[WeekIndex],11)&gt;0,SUMIFS(T_StockCount[CountedQty],T_StockCount[Part Name],$A26,T_StockCount[WeekIndex],11),IF(('T_SelfStock'!L30&lt;&gt;""),'T_SelfStock'!L30,K26-'Grid_Requirement'!L26+'Grid_TTAFOutgoing'!L26))</f>
        <v/>
      </c>
      <c r="M26">
        <f>IF(COUNTIFS(T_StockCount[Part Name],$A26,T_StockCount[WeekIndex],12)&gt;0,SUMIFS(T_StockCount[CountedQty],T_StockCount[Part Name],$A26,T_StockCount[WeekIndex],12),IF(('T_SelfStock'!M30&lt;&gt;""),'T_SelfStock'!M30,L26-'Grid_Requirement'!M26+'Grid_TTAFOutgoing'!M26))</f>
        <v/>
      </c>
      <c r="N26">
        <f>IF(COUNTIFS(T_StockCount[Part Name],$A26,T_StockCount[WeekIndex],13)&gt;0,SUMIFS(T_StockCount[CountedQty],T_StockCount[Part Name],$A26,T_StockCount[WeekIndex],13),IF(('T_SelfStock'!N30&lt;&gt;""),'T_SelfStock'!N30,M26-'Grid_Requirement'!N26+'Grid_TTAFOutgoing'!N26))</f>
        <v/>
      </c>
      <c r="O26">
        <f>IF(COUNTIFS(T_StockCount[Part Name],$A26,T_StockCount[WeekIndex],14)&gt;0,SUMIFS(T_StockCount[CountedQty],T_StockCount[Part Name],$A26,T_StockCount[WeekIndex],14),IF(('T_SelfStock'!O30&lt;&gt;""),'T_SelfStock'!O30,N26-'Grid_Requirement'!O26+'Grid_TTAFOutgoing'!O26))</f>
        <v/>
      </c>
      <c r="P26">
        <f>IF(COUNTIFS(T_StockCount[Part Name],$A26,T_StockCount[WeekIndex],15)&gt;0,SUMIFS(T_StockCount[CountedQty],T_StockCount[Part Name],$A26,T_StockCount[WeekIndex],15),IF(('T_SelfStock'!P30&lt;&gt;""),'T_SelfStock'!P30,O26-'Grid_Requirement'!P26+'Grid_TTAFOutgoing'!P26))</f>
        <v/>
      </c>
      <c r="Q26">
        <f>IF(COUNTIFS(T_StockCount[Part Name],$A26,T_StockCount[WeekIndex],16)&gt;0,SUMIFS(T_StockCount[CountedQty],T_StockCount[Part Name],$A26,T_StockCount[WeekIndex],16),IF(('T_SelfStock'!Q30&lt;&gt;""),'T_SelfStock'!Q30,P26-'Grid_Requirement'!Q26+'Grid_TTAFOutgoing'!Q26))</f>
        <v/>
      </c>
      <c r="R26">
        <f>IF(COUNTIFS(T_StockCount[Part Name],$A26,T_StockCount[WeekIndex],17)&gt;0,SUMIFS(T_StockCount[CountedQty],T_StockCount[Part Name],$A26,T_StockCount[WeekIndex],17),IF(('T_SelfStock'!R30&lt;&gt;""),'T_SelfStock'!R30,Q26-'Grid_Requirement'!R26+'Grid_TTAFOutgoing'!R26))</f>
        <v/>
      </c>
      <c r="S26">
        <f>IF(COUNTIFS(T_StockCount[Part Name],$A26,T_StockCount[WeekIndex],18)&gt;0,SUMIFS(T_StockCount[CountedQty],T_StockCount[Part Name],$A26,T_StockCount[WeekIndex],18),IF(('T_SelfStock'!S30&lt;&gt;""),'T_SelfStock'!S30,R26-'Grid_Requirement'!S26+'Grid_TTAFOutgoing'!S26))</f>
        <v/>
      </c>
      <c r="T26">
        <f>IF(COUNTIFS(T_StockCount[Part Name],$A26,T_StockCount[WeekIndex],19)&gt;0,SUMIFS(T_StockCount[CountedQty],T_StockCount[Part Name],$A26,T_StockCount[WeekIndex],19),IF(('T_SelfStock'!T30&lt;&gt;""),'T_SelfStock'!T30,S26-'Grid_Requirement'!T26+'Grid_TTAFOutgoing'!T26))</f>
        <v/>
      </c>
      <c r="U26">
        <f>IF(COUNTIFS(T_StockCount[Part Name],$A26,T_StockCount[WeekIndex],20)&gt;0,SUMIFS(T_StockCount[CountedQty],T_StockCount[Part Name],$A26,T_StockCount[WeekIndex],20),IF(('T_SelfStock'!U30&lt;&gt;""),'T_SelfStock'!U30,T26-'Grid_Requirement'!U26+'Grid_TTAFOutgoing'!U26))</f>
        <v/>
      </c>
      <c r="V26">
        <f>IF(COUNTIFS(T_StockCount[Part Name],$A26,T_StockCount[WeekIndex],21)&gt;0,SUMIFS(T_StockCount[CountedQty],T_StockCount[Part Name],$A26,T_StockCount[WeekIndex],21),IF(('T_SelfStock'!V30&lt;&gt;""),'T_SelfStock'!V30,U26-'Grid_Requirement'!V26+'Grid_TTAFOutgoing'!V26))</f>
        <v/>
      </c>
      <c r="W26">
        <f>IF(COUNTIFS(T_StockCount[Part Name],$A26,T_StockCount[WeekIndex],22)&gt;0,SUMIFS(T_StockCount[CountedQty],T_StockCount[Part Name],$A26,T_StockCount[WeekIndex],22),IF(('T_SelfStock'!W30&lt;&gt;""),'T_SelfStock'!W30,V26-'Grid_Requirement'!W26+'Grid_TTAFOutgoing'!W26))</f>
        <v/>
      </c>
      <c r="X26">
        <f>IF(COUNTIFS(T_StockCount[Part Name],$A26,T_StockCount[WeekIndex],23)&gt;0,SUMIFS(T_StockCount[CountedQty],T_StockCount[Part Name],$A26,T_StockCount[WeekIndex],23),IF(('T_SelfStock'!X30&lt;&gt;""),'T_SelfStock'!X30,W26-'Grid_Requirement'!X26+'Grid_TTAFOutgoing'!X26))</f>
        <v/>
      </c>
      <c r="Y26">
        <f>IF(COUNTIFS(T_StockCount[Part Name],$A26,T_StockCount[WeekIndex],24)&gt;0,SUMIFS(T_StockCount[CountedQty],T_StockCount[Part Name],$A26,T_StockCount[WeekIndex],24),IF(('T_SelfStock'!Y30&lt;&gt;""),'T_SelfStock'!Y30,X26-'Grid_Requirement'!Y26+'Grid_TTAFOutgoing'!Y26))</f>
        <v/>
      </c>
      <c r="Z26">
        <f>IF(COUNTIFS(T_StockCount[Part Name],$A26,T_StockCount[WeekIndex],25)&gt;0,SUMIFS(T_StockCount[CountedQty],T_StockCount[Part Name],$A26,T_StockCount[WeekIndex],25),IF(('T_SelfStock'!Z30&lt;&gt;""),'T_SelfStock'!Z30,Y26-'Grid_Requirement'!Z26+'Grid_TTAFOutgoing'!Z26))</f>
        <v/>
      </c>
      <c r="AA26">
        <f>IF(COUNTIFS(T_StockCount[Part Name],$A26,T_StockCount[WeekIndex],26)&gt;0,SUMIFS(T_StockCount[CountedQty],T_StockCount[Part Name],$A26,T_StockCount[WeekIndex],26),IF(('T_SelfStock'!AA30&lt;&gt;""),'T_SelfStock'!AA30,Z26-'Grid_Requirement'!AA26+'Grid_TTAFOutgoing'!AA26))</f>
        <v/>
      </c>
      <c r="AB26">
        <f>IF(COUNTIFS(T_StockCount[Part Name],$A26,T_StockCount[WeekIndex],27)&gt;0,SUMIFS(T_StockCount[CountedQty],T_StockCount[Part Name],$A26,T_StockCount[WeekIndex],27),IF(('T_SelfStock'!AB30&lt;&gt;""),'T_SelfStock'!AB30,AA26-'Grid_Requirement'!AB26+'Grid_TTAFOutgoing'!AB26))</f>
        <v/>
      </c>
      <c r="AC26">
        <f>IF(COUNTIFS(T_StockCount[Part Name],$A26,T_StockCount[WeekIndex],28)&gt;0,SUMIFS(T_StockCount[CountedQty],T_StockCount[Part Name],$A26,T_StockCount[WeekIndex],28),IF(('T_SelfStock'!AC30&lt;&gt;""),'T_SelfStock'!AC30,AB26-'Grid_Requirement'!AC26+'Grid_TTAFOutgoing'!AC26))</f>
        <v/>
      </c>
      <c r="AD26">
        <f>IF(COUNTIFS(T_StockCount[Part Name],$A26,T_StockCount[WeekIndex],29)&gt;0,SUMIFS(T_StockCount[CountedQty],T_StockCount[Part Name],$A26,T_StockCount[WeekIndex],29),IF(('T_SelfStock'!AD30&lt;&gt;""),'T_SelfStock'!AD30,AC26-'Grid_Requirement'!AD26+'Grid_TTAFOutgoing'!AD26))</f>
        <v/>
      </c>
      <c r="AE26">
        <f>IF(COUNTIFS(T_StockCount[Part Name],$A26,T_StockCount[WeekIndex],30)&gt;0,SUMIFS(T_StockCount[CountedQty],T_StockCount[Part Name],$A26,T_StockCount[WeekIndex],30),IF(('T_SelfStock'!AE30&lt;&gt;""),'T_SelfStock'!AE30,AD26-'Grid_Requirement'!AE26+'Grid_TTAFOutgoing'!AE26))</f>
        <v/>
      </c>
      <c r="AF26">
        <f>IF(COUNTIFS(T_StockCount[Part Name],$A26,T_StockCount[WeekIndex],31)&gt;0,SUMIFS(T_StockCount[CountedQty],T_StockCount[Part Name],$A26,T_StockCount[WeekIndex],31),IF(('T_SelfStock'!AF30&lt;&gt;""),'T_SelfStock'!AF30,AE26-'Grid_Requirement'!AF26+'Grid_TTAFOutgoing'!AF26))</f>
        <v/>
      </c>
      <c r="AG26">
        <f>IF(COUNTIFS(T_StockCount[Part Name],$A26,T_StockCount[WeekIndex],32)&gt;0,SUMIFS(T_StockCount[CountedQty],T_StockCount[Part Name],$A26,T_StockCount[WeekIndex],32),IF(('T_SelfStock'!AG30&lt;&gt;""),'T_SelfStock'!AG30,AF26-'Grid_Requirement'!AG26+'Grid_TTAFOutgoing'!AG26))</f>
        <v/>
      </c>
      <c r="AH26">
        <f>IF(COUNTIFS(T_StockCount[Part Name],$A26,T_StockCount[WeekIndex],33)&gt;0,SUMIFS(T_StockCount[CountedQty],T_StockCount[Part Name],$A26,T_StockCount[WeekIndex],33),IF(('T_SelfStock'!AH30&lt;&gt;""),'T_SelfStock'!AH30,AG26-'Grid_Requirement'!AH26+'Grid_TTAFOutgoing'!AH26))</f>
        <v/>
      </c>
      <c r="AI26">
        <f>IF(COUNTIFS(T_StockCount[Part Name],$A26,T_StockCount[WeekIndex],34)&gt;0,SUMIFS(T_StockCount[CountedQty],T_StockCount[Part Name],$A26,T_StockCount[WeekIndex],34),IF(('T_SelfStock'!AI30&lt;&gt;""),'T_SelfStock'!AI30,AH26-'Grid_Requirement'!AI26+'Grid_TTAFOutgoing'!AI26))</f>
        <v/>
      </c>
      <c r="AJ26">
        <f>IF(COUNTIFS(T_StockCount[Part Name],$A26,T_StockCount[WeekIndex],35)&gt;0,SUMIFS(T_StockCount[CountedQty],T_StockCount[Part Name],$A26,T_StockCount[WeekIndex],35),IF(('T_SelfStock'!AJ30&lt;&gt;""),'T_SelfStock'!AJ30,AI26-'Grid_Requirement'!AJ26+'Grid_TTAFOutgoing'!AJ26))</f>
        <v/>
      </c>
      <c r="AK26">
        <f>IF(COUNTIFS(T_StockCount[Part Name],$A26,T_StockCount[WeekIndex],36)&gt;0,SUMIFS(T_StockCount[CountedQty],T_StockCount[Part Name],$A26,T_StockCount[WeekIndex],36),IF(('T_SelfStock'!AK30&lt;&gt;""),'T_SelfStock'!AK30,AJ26-'Grid_Requirement'!AK26+'Grid_TTAFOutgoing'!AK26))</f>
        <v/>
      </c>
      <c r="AL26">
        <f>IF(COUNTIFS(T_StockCount[Part Name],$A26,T_StockCount[WeekIndex],37)&gt;0,SUMIFS(T_StockCount[CountedQty],T_StockCount[Part Name],$A26,T_StockCount[WeekIndex],37),IF(('T_SelfStock'!AL30&lt;&gt;""),'T_SelfStock'!AL30,AK26-'Grid_Requirement'!AL26+'Grid_TTAFOutgoing'!AL26))</f>
        <v/>
      </c>
      <c r="AM26">
        <f>IF(COUNTIFS(T_StockCount[Part Name],$A26,T_StockCount[WeekIndex],38)&gt;0,SUMIFS(T_StockCount[CountedQty],T_StockCount[Part Name],$A26,T_StockCount[WeekIndex],38),IF(('T_SelfStock'!AM30&lt;&gt;""),'T_SelfStock'!AM30,AL26-'Grid_Requirement'!AM26+'Grid_TTAFOutgoing'!AM26))</f>
        <v/>
      </c>
      <c r="AN26">
        <f>IF(COUNTIFS(T_StockCount[Part Name],$A26,T_StockCount[WeekIndex],39)&gt;0,SUMIFS(T_StockCount[CountedQty],T_StockCount[Part Name],$A26,T_StockCount[WeekIndex],39),IF(('T_SelfStock'!AN30&lt;&gt;""),'T_SelfStock'!AN30,AM26-'Grid_Requirement'!AN26+'Grid_TTAFOutgoing'!AN26))</f>
        <v/>
      </c>
      <c r="AO26">
        <f>IF(COUNTIFS(T_StockCount[Part Name],$A26,T_StockCount[WeekIndex],40)&gt;0,SUMIFS(T_StockCount[CountedQty],T_StockCount[Part Name],$A26,T_StockCount[WeekIndex],40),IF(('T_SelfStock'!AO30&lt;&gt;""),'T_SelfStock'!AO30,AN26-'Grid_Requirement'!AO26+'Grid_TTAFOutgoing'!AO26))</f>
        <v/>
      </c>
      <c r="AP26">
        <f>IF(COUNTIFS(T_StockCount[Part Name],$A26,T_StockCount[WeekIndex],41)&gt;0,SUMIFS(T_StockCount[CountedQty],T_StockCount[Part Name],$A26,T_StockCount[WeekIndex],41),IF(('T_SelfStock'!AP30&lt;&gt;""),'T_SelfStock'!AP30,AO26-'Grid_Requirement'!AP26+'Grid_TTAFOutgoing'!AP26))</f>
        <v/>
      </c>
      <c r="AQ26">
        <f>IF(COUNTIFS(T_StockCount[Part Name],$A26,T_StockCount[WeekIndex],42)&gt;0,SUMIFS(T_StockCount[CountedQty],T_StockCount[Part Name],$A26,T_StockCount[WeekIndex],42),IF(('T_SelfStock'!AQ30&lt;&gt;""),'T_SelfStock'!AQ30,AP26-'Grid_Requirement'!AQ26+'Grid_TTAFOutgoing'!AQ26))</f>
        <v/>
      </c>
      <c r="AR26">
        <f>IF(COUNTIFS(T_StockCount[Part Name],$A26,T_StockCount[WeekIndex],43)&gt;0,SUMIFS(T_StockCount[CountedQty],T_StockCount[Part Name],$A26,T_StockCount[WeekIndex],43),IF(('T_SelfStock'!AR30&lt;&gt;""),'T_SelfStock'!AR30,AQ26-'Grid_Requirement'!AR26+'Grid_TTAFOutgoing'!AR26))</f>
        <v/>
      </c>
      <c r="AS26">
        <f>IF(COUNTIFS(T_StockCount[Part Name],$A26,T_StockCount[WeekIndex],44)&gt;0,SUMIFS(T_StockCount[CountedQty],T_StockCount[Part Name],$A26,T_StockCount[WeekIndex],44),IF(('T_SelfStock'!AS30&lt;&gt;""),'T_SelfStock'!AS30,AR26-'Grid_Requirement'!AS26+'Grid_TTAFOutgoing'!AS26))</f>
        <v/>
      </c>
      <c r="AT26">
        <f>IF(COUNTIFS(T_StockCount[Part Name],$A26,T_StockCount[WeekIndex],45)&gt;0,SUMIFS(T_StockCount[CountedQty],T_StockCount[Part Name],$A26,T_StockCount[WeekIndex],45),IF(('T_SelfStock'!AT30&lt;&gt;""),'T_SelfStock'!AT30,AS26-'Grid_Requirement'!AT26+'Grid_TTAFOutgoing'!AT26))</f>
        <v/>
      </c>
      <c r="AU26">
        <f>IF(COUNTIFS(T_StockCount[Part Name],$A26,T_StockCount[WeekIndex],46)&gt;0,SUMIFS(T_StockCount[CountedQty],T_StockCount[Part Name],$A26,T_StockCount[WeekIndex],46),IF(('T_SelfStock'!AU30&lt;&gt;""),'T_SelfStock'!AU30,AT26-'Grid_Requirement'!AU26+'Grid_TTAFOutgoing'!AU26))</f>
        <v/>
      </c>
      <c r="AV26">
        <f>IF(COUNTIFS(T_StockCount[Part Name],$A26,T_StockCount[WeekIndex],47)&gt;0,SUMIFS(T_StockCount[CountedQty],T_StockCount[Part Name],$A26,T_StockCount[WeekIndex],47),IF(('T_SelfStock'!AV30&lt;&gt;""),'T_SelfStock'!AV30,AU26-'Grid_Requirement'!AV26+'Grid_TTAFOutgoing'!AV26))</f>
        <v/>
      </c>
      <c r="AW26">
        <f>IF(COUNTIFS(T_StockCount[Part Name],$A26,T_StockCount[WeekIndex],48)&gt;0,SUMIFS(T_StockCount[CountedQty],T_StockCount[Part Name],$A26,T_StockCount[WeekIndex],48),IF(('T_SelfStock'!AW30&lt;&gt;""),'T_SelfStock'!AW30,AV26-'Grid_Requirement'!AW26+'Grid_TTAFOutgoing'!AW26))</f>
        <v/>
      </c>
      <c r="AX26">
        <f>IF(COUNTIFS(T_StockCount[Part Name],$A26,T_StockCount[WeekIndex],49)&gt;0,SUMIFS(T_StockCount[CountedQty],T_StockCount[Part Name],$A26,T_StockCount[WeekIndex],49),IF(('T_SelfStock'!AX30&lt;&gt;""),'T_SelfStock'!AX30,AW26-'Grid_Requirement'!AX26+'Grid_TTAFOutgoing'!AX26))</f>
        <v/>
      </c>
      <c r="AY26">
        <f>IF(COUNTIFS(T_StockCount[Part Name],$A26,T_StockCount[WeekIndex],50)&gt;0,SUMIFS(T_StockCount[CountedQty],T_StockCount[Part Name],$A26,T_StockCount[WeekIndex],50),IF(('T_SelfStock'!AY30&lt;&gt;""),'T_SelfStock'!AY30,AX26-'Grid_Requirement'!AY26+'Grid_TTAFOutgoing'!AY26))</f>
        <v/>
      </c>
      <c r="AZ26">
        <f>IF(COUNTIFS(T_StockCount[Part Name],$A26,T_StockCount[WeekIndex],51)&gt;0,SUMIFS(T_StockCount[CountedQty],T_StockCount[Part Name],$A26,T_StockCount[WeekIndex],51),IF(('T_SelfStock'!AZ30&lt;&gt;""),'T_SelfStock'!AZ30,AY26-'Grid_Requirement'!AZ26+'Grid_TTAFOutgoing'!AZ26))</f>
        <v/>
      </c>
      <c r="BA26">
        <f>IF(COUNTIFS(T_StockCount[Part Name],$A26,T_StockCount[WeekIndex],52)&gt;0,SUMIFS(T_StockCount[CountedQty],T_StockCount[Part Name],$A26,T_StockCount[WeekIndex],52),IF(('T_SelfStock'!BA30&lt;&gt;""),'T_SelfStock'!BA30,AZ26-'Grid_Requirement'!BA26+'Grid_TTAFOutgoing'!BA26))</f>
        <v/>
      </c>
      <c r="BB26">
        <f>IF(COUNTIFS(T_StockCount[Part Name],$A26,T_StockCount[WeekIndex],53)&gt;0,SUMIFS(T_StockCount[CountedQty],T_StockCount[Part Name],$A26,T_StockCount[WeekIndex],53),IF(('T_SelfStock'!BB30&lt;&gt;""),'T_SelfStock'!BB30,BA26-'Grid_Requirement'!BB26+'Grid_TTAFOutgoing'!BB26))</f>
        <v/>
      </c>
      <c r="BC26">
        <f>IF(COUNTIFS(T_StockCount[Part Name],$A26,T_StockCount[WeekIndex],54)&gt;0,SUMIFS(T_StockCount[CountedQty],T_StockCount[Part Name],$A26,T_StockCount[WeekIndex],54),IF(('T_SelfStock'!BC30&lt;&gt;""),'T_SelfStock'!BC30,BB26-'Grid_Requirement'!BC26+'Grid_TTAFOutgoing'!BC26))</f>
        <v/>
      </c>
      <c r="BD26">
        <f>IF(COUNTIFS(T_StockCount[Part Name],$A26,T_StockCount[WeekIndex],55)&gt;0,SUMIFS(T_StockCount[CountedQty],T_StockCount[Part Name],$A26,T_StockCount[WeekIndex],55),IF(('T_SelfStock'!BD30&lt;&gt;""),'T_SelfStock'!BD30,BC26-'Grid_Requirement'!BD26+'Grid_TTAFOutgoing'!BD26))</f>
        <v/>
      </c>
      <c r="BE26">
        <f>IF(COUNTIFS(T_StockCount[Part Name],$A26,T_StockCount[WeekIndex],56)&gt;0,SUMIFS(T_StockCount[CountedQty],T_StockCount[Part Name],$A26,T_StockCount[WeekIndex],56),IF(('T_SelfStock'!BE30&lt;&gt;""),'T_SelfStock'!BE30,BD26-'Grid_Requirement'!BE26+'Grid_TTAFOutgoing'!BE26))</f>
        <v/>
      </c>
      <c r="BF26">
        <f>IF(COUNTIFS(T_StockCount[Part Name],$A26,T_StockCount[WeekIndex],57)&gt;0,SUMIFS(T_StockCount[CountedQty],T_StockCount[Part Name],$A26,T_StockCount[WeekIndex],57),IF(('T_SelfStock'!BF30&lt;&gt;""),'T_SelfStock'!BF30,BE26-'Grid_Requirement'!BF26+'Grid_TTAFOutgoing'!BF26))</f>
        <v/>
      </c>
      <c r="BG26">
        <f>IF(COUNTIFS(T_StockCount[Part Name],$A26,T_StockCount[WeekIndex],58)&gt;0,SUMIFS(T_StockCount[CountedQty],T_StockCount[Part Name],$A26,T_StockCount[WeekIndex],58),IF(('T_SelfStock'!BG30&lt;&gt;""),'T_SelfStock'!BG30,BF26-'Grid_Requirement'!BG26+'Grid_TTAFOutgoing'!BG26))</f>
        <v/>
      </c>
      <c r="BH26">
        <f>IF(COUNTIFS(T_StockCount[Part Name],$A26,T_StockCount[WeekIndex],59)&gt;0,SUMIFS(T_StockCount[CountedQty],T_StockCount[Part Name],$A26,T_StockCount[WeekIndex],59),IF(('T_SelfStock'!BH30&lt;&gt;""),'T_SelfStock'!BH30,BG26-'Grid_Requirement'!BH26+'Grid_TTAFOutgoing'!BH26))</f>
        <v/>
      </c>
      <c r="BI26">
        <f>IF(COUNTIFS(T_StockCount[Part Name],$A26,T_StockCount[WeekIndex],60)&gt;0,SUMIFS(T_StockCount[CountedQty],T_StockCount[Part Name],$A26,T_StockCount[WeekIndex],60),IF(('T_SelfStock'!BI30&lt;&gt;""),'T_SelfStock'!BI30,BH26-'Grid_Requirement'!BI26+'Grid_TTAFOutgoing'!BI26))</f>
        <v/>
      </c>
      <c r="BJ26">
        <f>IF(COUNTIFS(T_StockCount[Part Name],$A26,T_StockCount[WeekIndex],61)&gt;0,SUMIFS(T_StockCount[CountedQty],T_StockCount[Part Name],$A26,T_StockCount[WeekIndex],61),IF(('T_SelfStock'!BJ30&lt;&gt;""),'T_SelfStock'!BJ30,BI26-'Grid_Requirement'!BJ26+'Grid_TTAFOutgoing'!BJ26))</f>
        <v/>
      </c>
      <c r="BK26">
        <f>IF(COUNTIFS(T_StockCount[Part Name],$A26,T_StockCount[WeekIndex],62)&gt;0,SUMIFS(T_StockCount[CountedQty],T_StockCount[Part Name],$A26,T_StockCount[WeekIndex],62),IF(('T_SelfStock'!BK30&lt;&gt;""),'T_SelfStock'!BK30,BJ26-'Grid_Requirement'!BK26+'Grid_TTAFOutgoing'!BK26))</f>
        <v/>
      </c>
      <c r="BL26">
        <f>IF(COUNTIFS(T_StockCount[Part Name],$A26,T_StockCount[WeekIndex],63)&gt;0,SUMIFS(T_StockCount[CountedQty],T_StockCount[Part Name],$A26,T_StockCount[WeekIndex],63),IF(('T_SelfStock'!BL30&lt;&gt;""),'T_SelfStock'!BL30,BK26-'Grid_Requirement'!BL26+'Grid_TTAFOutgoing'!BL26))</f>
        <v/>
      </c>
      <c r="BM26">
        <f>IF(COUNTIFS(T_StockCount[Part Name],$A26,T_StockCount[WeekIndex],64)&gt;0,SUMIFS(T_StockCount[CountedQty],T_StockCount[Part Name],$A26,T_StockCount[WeekIndex],64),IF(('T_SelfStock'!BM30&lt;&gt;""),'T_SelfStock'!BM30,BL26-'Grid_Requirement'!BM26+'Grid_TTAFOutgoing'!BM26))</f>
        <v/>
      </c>
      <c r="BN26">
        <f>IF(COUNTIFS(T_StockCount[Part Name],$A26,T_StockCount[WeekIndex],65)&gt;0,SUMIFS(T_StockCount[CountedQty],T_StockCount[Part Name],$A26,T_StockCount[WeekIndex],65),IF(('T_SelfStock'!BN30&lt;&gt;""),'T_SelfStock'!BN30,BM26-'Grid_Requirement'!BN26+'Grid_TTAFOutgoing'!BN26))</f>
        <v/>
      </c>
      <c r="BO26">
        <f>IF(COUNTIFS(T_StockCount[Part Name],$A26,T_StockCount[WeekIndex],66)&gt;0,SUMIFS(T_StockCount[CountedQty],T_StockCount[Part Name],$A26,T_StockCount[WeekIndex],66),IF(('T_SelfStock'!BO30&lt;&gt;""),'T_SelfStock'!BO30,BN26-'Grid_Requirement'!BO26+'Grid_TTAFOutgoing'!BO26))</f>
        <v/>
      </c>
      <c r="BP26">
        <f>IF(COUNTIFS(T_StockCount[Part Name],$A26,T_StockCount[WeekIndex],67)&gt;0,SUMIFS(T_StockCount[CountedQty],T_StockCount[Part Name],$A26,T_StockCount[WeekIndex],67),IF(('T_SelfStock'!BP30&lt;&gt;""),'T_SelfStock'!BP30,BO26-'Grid_Requirement'!BP26+'Grid_TTAFOutgoing'!BP26))</f>
        <v/>
      </c>
      <c r="BQ26">
        <f>IF(COUNTIFS(T_StockCount[Part Name],$A26,T_StockCount[WeekIndex],68)&gt;0,SUMIFS(T_StockCount[CountedQty],T_StockCount[Part Name],$A26,T_StockCount[WeekIndex],68),IF(('T_SelfStock'!BQ30&lt;&gt;""),'T_SelfStock'!BQ30,BP26-'Grid_Requirement'!BQ26+'Grid_TTAFOutgoing'!BQ26))</f>
        <v/>
      </c>
      <c r="BR26">
        <f>IF(COUNTIFS(T_StockCount[Part Name],$A26,T_StockCount[WeekIndex],69)&gt;0,SUMIFS(T_StockCount[CountedQty],T_StockCount[Part Name],$A26,T_StockCount[WeekIndex],69),IF(('T_SelfStock'!BR30&lt;&gt;""),'T_SelfStock'!BR30,BQ26-'Grid_Requirement'!BR26+'Grid_TTAFOutgoing'!BR26))</f>
        <v/>
      </c>
      <c r="BS26">
        <f>IF(COUNTIFS(T_StockCount[Part Name],$A26,T_StockCount[WeekIndex],70)&gt;0,SUMIFS(T_StockCount[CountedQty],T_StockCount[Part Name],$A26,T_StockCount[WeekIndex],70),IF(('T_SelfStock'!BS30&lt;&gt;""),'T_SelfStock'!BS30,BR26-'Grid_Requirement'!BS26+'Grid_TTAFOutgoing'!BS26))</f>
        <v/>
      </c>
      <c r="BT26">
        <f>IF(COUNTIFS(T_StockCount[Part Name],$A26,T_StockCount[WeekIndex],71)&gt;0,SUMIFS(T_StockCount[CountedQty],T_StockCount[Part Name],$A26,T_StockCount[WeekIndex],71),IF(('T_SelfStock'!BT30&lt;&gt;""),'T_SelfStock'!BT30,BS26-'Grid_Requirement'!BT26+'Grid_TTAFOutgoing'!BT26))</f>
        <v/>
      </c>
      <c r="BU26">
        <f>IF(COUNTIFS(T_StockCount[Part Name],$A26,T_StockCount[WeekIndex],72)&gt;0,SUMIFS(T_StockCount[CountedQty],T_StockCount[Part Name],$A26,T_StockCount[WeekIndex],72),IF(('T_SelfStock'!BU30&lt;&gt;""),'T_SelfStock'!BU30,BT26-'Grid_Requirement'!BU26+'Grid_TTAFOutgoing'!BU26))</f>
        <v/>
      </c>
      <c r="BV26">
        <f>IF(COUNTIFS(T_StockCount[Part Name],$A26,T_StockCount[WeekIndex],73)&gt;0,SUMIFS(T_StockCount[CountedQty],T_StockCount[Part Name],$A26,T_StockCount[WeekIndex],73),IF(('T_SelfStock'!BV30&lt;&gt;""),'T_SelfStock'!BV30,BU26-'Grid_Requirement'!BV26+'Grid_TTAFOutgoing'!BV26))</f>
        <v/>
      </c>
      <c r="BW26">
        <f>IF(COUNTIFS(T_StockCount[Part Name],$A26,T_StockCount[WeekIndex],74)&gt;0,SUMIFS(T_StockCount[CountedQty],T_StockCount[Part Name],$A26,T_StockCount[WeekIndex],74),IF(('T_SelfStock'!BW30&lt;&gt;""),'T_SelfStock'!BW30,BV26-'Grid_Requirement'!BW26+'Grid_TTAFOutgoing'!BW26))</f>
        <v/>
      </c>
      <c r="BX26">
        <f>IF(COUNTIFS(T_StockCount[Part Name],$A26,T_StockCount[WeekIndex],75)&gt;0,SUMIFS(T_StockCount[CountedQty],T_StockCount[Part Name],$A26,T_StockCount[WeekIndex],75),IF(('T_SelfStock'!BX30&lt;&gt;""),'T_SelfStock'!BX30,BW26-'Grid_Requirement'!BX26+'Grid_TTAFOutgoing'!BX26))</f>
        <v/>
      </c>
      <c r="BY26">
        <f>IF(COUNTIFS(T_StockCount[Part Name],$A26,T_StockCount[WeekIndex],76)&gt;0,SUMIFS(T_StockCount[CountedQty],T_StockCount[Part Name],$A26,T_StockCount[WeekIndex],76),IF(('T_SelfStock'!BY30&lt;&gt;""),'T_SelfStock'!BY30,BX26-'Grid_Requirement'!BY26+'Grid_TTAFOutgoing'!BY26))</f>
        <v/>
      </c>
      <c r="BZ26">
        <f>IF(COUNTIFS(T_StockCount[Part Name],$A26,T_StockCount[WeekIndex],77)&gt;0,SUMIFS(T_StockCount[CountedQty],T_StockCount[Part Name],$A26,T_StockCount[WeekIndex],77),IF(('T_SelfStock'!BZ30&lt;&gt;""),'T_SelfStock'!BZ30,BY26-'Grid_Requirement'!BZ26+'Grid_TTAFOutgoing'!BZ26))</f>
        <v/>
      </c>
      <c r="CA26">
        <f>IF(COUNTIFS(T_StockCount[Part Name],$A26,T_StockCount[WeekIndex],78)&gt;0,SUMIFS(T_StockCount[CountedQty],T_StockCount[Part Name],$A26,T_StockCount[WeekIndex],78),IF(('T_SelfStock'!CA30&lt;&gt;""),'T_SelfStock'!CA30,BZ26-'Grid_Requirement'!CA26+'Grid_TTAFOutgoing'!CA26))</f>
        <v/>
      </c>
      <c r="CB26">
        <f>IF(COUNTIFS(T_StockCount[Part Name],$A26,T_StockCount[WeekIndex],79)&gt;0,SUMIFS(T_StockCount[CountedQty],T_StockCount[Part Name],$A26,T_StockCount[WeekIndex],79),IF(('T_SelfStock'!CB30&lt;&gt;""),'T_SelfStock'!CB30,CA26-'Grid_Requirement'!CB26+'Grid_TTAFOutgoing'!CB26))</f>
        <v/>
      </c>
      <c r="CC26">
        <f>IF(COUNTIFS(T_StockCount[Part Name],$A26,T_StockCount[WeekIndex],80)&gt;0,SUMIFS(T_StockCount[CountedQty],T_StockCount[Part Name],$A26,T_StockCount[WeekIndex],80),IF(('T_SelfStock'!CC30&lt;&gt;""),'T_SelfStock'!CC30,CB26-'Grid_Requirement'!CC26+'Grid_TTAFOutgoing'!CC26))</f>
        <v/>
      </c>
      <c r="CD26">
        <f>IF(COUNTIFS(T_StockCount[Part Name],$A26,T_StockCount[WeekIndex],81)&gt;0,SUMIFS(T_StockCount[CountedQty],T_StockCount[Part Name],$A26,T_StockCount[WeekIndex],81),IF(('T_SelfStock'!CD30&lt;&gt;""),'T_SelfStock'!CD30,CC26-'Grid_Requirement'!CD26+'Grid_TTAFOutgoing'!CD26))</f>
        <v/>
      </c>
      <c r="CE26">
        <f>IF(COUNTIFS(T_StockCount[Part Name],$A26,T_StockCount[WeekIndex],82)&gt;0,SUMIFS(T_StockCount[CountedQty],T_StockCount[Part Name],$A26,T_StockCount[WeekIndex],82),IF(('T_SelfStock'!CE30&lt;&gt;""),'T_SelfStock'!CE30,CD26-'Grid_Requirement'!CE26+'Grid_TTAFOutgoing'!CE26))</f>
        <v/>
      </c>
      <c r="CF26">
        <f>IF(COUNTIFS(T_StockCount[Part Name],$A26,T_StockCount[WeekIndex],83)&gt;0,SUMIFS(T_StockCount[CountedQty],T_StockCount[Part Name],$A26,T_StockCount[WeekIndex],83),IF(('T_SelfStock'!CF30&lt;&gt;""),'T_SelfStock'!CF30,CE26-'Grid_Requirement'!CF26+'Grid_TTAFOutgoing'!CF26))</f>
        <v/>
      </c>
      <c r="CG26">
        <f>IF(COUNTIFS(T_StockCount[Part Name],$A26,T_StockCount[WeekIndex],84)&gt;0,SUMIFS(T_StockCount[CountedQty],T_StockCount[Part Name],$A26,T_StockCount[WeekIndex],84),IF(('T_SelfStock'!CG30&lt;&gt;""),'T_SelfStock'!CG30,CF26-'Grid_Requirement'!CG26+'Grid_TTAFOutgoing'!CG26))</f>
        <v/>
      </c>
      <c r="CH26">
        <f>IF(COUNTIFS(T_StockCount[Part Name],$A26,T_StockCount[WeekIndex],85)&gt;0,SUMIFS(T_StockCount[CountedQty],T_StockCount[Part Name],$A26,T_StockCount[WeekIndex],85),IF(('T_SelfStock'!CH30&lt;&gt;""),'T_SelfStock'!CH30,CG26-'Grid_Requirement'!CH26+'Grid_TTAFOutgoing'!CH26))</f>
        <v/>
      </c>
      <c r="CI26">
        <f>IF(COUNTIFS(T_StockCount[Part Name],$A26,T_StockCount[WeekIndex],86)&gt;0,SUMIFS(T_StockCount[CountedQty],T_StockCount[Part Name],$A26,T_StockCount[WeekIndex],86),IF(('T_SelfStock'!CI30&lt;&gt;""),'T_SelfStock'!CI30,CH26-'Grid_Requirement'!CI26+'Grid_TTAFOutgoing'!CI26))</f>
        <v/>
      </c>
      <c r="CJ26">
        <f>IF(COUNTIFS(T_StockCount[Part Name],$A26,T_StockCount[WeekIndex],87)&gt;0,SUMIFS(T_StockCount[CountedQty],T_StockCount[Part Name],$A26,T_StockCount[WeekIndex],87),IF(('T_SelfStock'!CJ30&lt;&gt;""),'T_SelfStock'!CJ30,CI26-'Grid_Requirement'!CJ26+'Grid_TTAFOutgoing'!CJ26))</f>
        <v/>
      </c>
      <c r="CK26">
        <f>IF(COUNTIFS(T_StockCount[Part Name],$A26,T_StockCount[WeekIndex],88)&gt;0,SUMIFS(T_StockCount[CountedQty],T_StockCount[Part Name],$A26,T_StockCount[WeekIndex],88),IF(('T_SelfStock'!CK30&lt;&gt;""),'T_SelfStock'!CK30,CJ26-'Grid_Requirement'!CK26+'Grid_TTAFOutgoing'!CK26))</f>
        <v/>
      </c>
      <c r="CL26">
        <f>IF(COUNTIFS(T_StockCount[Part Name],$A26,T_StockCount[WeekIndex],89)&gt;0,SUMIFS(T_StockCount[CountedQty],T_StockCount[Part Name],$A26,T_StockCount[WeekIndex],89),IF(('T_SelfStock'!CL30&lt;&gt;""),'T_SelfStock'!CL30,CK26-'Grid_Requirement'!CL26+'Grid_TTAFOutgoing'!CL26))</f>
        <v/>
      </c>
      <c r="CM26">
        <f>IF(COUNTIFS(T_StockCount[Part Name],$A26,T_StockCount[WeekIndex],90)&gt;0,SUMIFS(T_StockCount[CountedQty],T_StockCount[Part Name],$A26,T_StockCount[WeekIndex],90),IF(('T_SelfStock'!CM30&lt;&gt;""),'T_SelfStock'!CM30,CL26-'Grid_Requirement'!CM26+'Grid_TTAFOutgoing'!CM26))</f>
        <v/>
      </c>
      <c r="CN26">
        <f>IF(COUNTIFS(T_StockCount[Part Name],$A26,T_StockCount[WeekIndex],91)&gt;0,SUMIFS(T_StockCount[CountedQty],T_StockCount[Part Name],$A26,T_StockCount[WeekIndex],91),IF(('T_SelfStock'!CN30&lt;&gt;""),'T_SelfStock'!CN30,CM26-'Grid_Requirement'!CN26+'Grid_TTAFOutgoing'!CN26))</f>
        <v/>
      </c>
      <c r="CO26">
        <f>IF(COUNTIFS(T_StockCount[Part Name],$A26,T_StockCount[WeekIndex],92)&gt;0,SUMIFS(T_StockCount[CountedQty],T_StockCount[Part Name],$A26,T_StockCount[WeekIndex],92),IF(('T_SelfStock'!CO30&lt;&gt;""),'T_SelfStock'!CO30,CN26-'Grid_Requirement'!CO26+'Grid_TTAFOutgoing'!CO26))</f>
        <v/>
      </c>
      <c r="CP26">
        <f>IF(COUNTIFS(T_StockCount[Part Name],$A26,T_StockCount[WeekIndex],93)&gt;0,SUMIFS(T_StockCount[CountedQty],T_StockCount[Part Name],$A26,T_StockCount[WeekIndex],93),IF(('T_SelfStock'!CP30&lt;&gt;""),'T_SelfStock'!CP30,CO26-'Grid_Requirement'!CP26+'Grid_TTAFOutgoing'!CP26))</f>
        <v/>
      </c>
      <c r="CQ26">
        <f>IF(COUNTIFS(T_StockCount[Part Name],$A26,T_StockCount[WeekIndex],94)&gt;0,SUMIFS(T_StockCount[CountedQty],T_StockCount[Part Name],$A26,T_StockCount[WeekIndex],94),IF(('T_SelfStock'!CQ30&lt;&gt;""),'T_SelfStock'!CQ30,CP26-'Grid_Requirement'!CQ26+'Grid_TTAFOutgoing'!CQ26))</f>
        <v/>
      </c>
      <c r="CR26">
        <f>IF(COUNTIFS(T_StockCount[Part Name],$A26,T_StockCount[WeekIndex],95)&gt;0,SUMIFS(T_StockCount[CountedQty],T_StockCount[Part Name],$A26,T_StockCount[WeekIndex],95),IF(('T_SelfStock'!CR30&lt;&gt;""),'T_SelfStock'!CR30,CQ26-'Grid_Requirement'!CR26+'Grid_TTAFOutgoing'!CR26))</f>
        <v/>
      </c>
      <c r="CS26">
        <f>IF(COUNTIFS(T_StockCount[Part Name],$A26,T_StockCount[WeekIndex],96)&gt;0,SUMIFS(T_StockCount[CountedQty],T_StockCount[Part Name],$A26,T_StockCount[WeekIndex],96),IF(('T_SelfStock'!CS30&lt;&gt;""),'T_SelfStock'!CS30,CR26-'Grid_Requirement'!CS26+'Grid_TTAFOutgoing'!CS26))</f>
        <v/>
      </c>
      <c r="CT26">
        <f>IF(COUNTIFS(T_StockCount[Part Name],$A26,T_StockCount[WeekIndex],97)&gt;0,SUMIFS(T_StockCount[CountedQty],T_StockCount[Part Name],$A26,T_StockCount[WeekIndex],97),IF(('T_SelfStock'!CT30&lt;&gt;""),'T_SelfStock'!CT30,CS26-'Grid_Requirement'!CT26+'Grid_TTAFOutgoing'!CT26))</f>
        <v/>
      </c>
      <c r="CU26">
        <f>IF(COUNTIFS(T_StockCount[Part Name],$A26,T_StockCount[WeekIndex],98)&gt;0,SUMIFS(T_StockCount[CountedQty],T_StockCount[Part Name],$A26,T_StockCount[WeekIndex],98),IF(('T_SelfStock'!CU30&lt;&gt;""),'T_SelfStock'!CU30,CT26-'Grid_Requirement'!CU26+'Grid_TTAFOutgoing'!CU26))</f>
        <v/>
      </c>
      <c r="CV26">
        <f>IF(COUNTIFS(T_StockCount[Part Name],$A26,T_StockCount[WeekIndex],99)&gt;0,SUMIFS(T_StockCount[CountedQty],T_StockCount[Part Name],$A26,T_StockCount[WeekIndex],99),IF(('T_SelfStock'!CV30&lt;&gt;""),'T_SelfStock'!CV30,CU26-'Grid_Requirement'!CV26+'Grid_TTAFOutgoing'!CV26))</f>
        <v/>
      </c>
      <c r="CW26">
        <f>IF(COUNTIFS(T_StockCount[Part Name],$A26,T_StockCount[WeekIndex],100)&gt;0,SUMIFS(T_StockCount[CountedQty],T_StockCount[Part Name],$A26,T_StockCount[WeekIndex],100),IF(('T_SelfStock'!CW30&lt;&gt;""),'T_SelfStock'!CW30,CV26-'Grid_Requirement'!CW26+'Grid_TTAFOutgoing'!CW26))</f>
        <v/>
      </c>
      <c r="CX26">
        <f>IF(COUNTIFS(T_StockCount[Part Name],$A26,T_StockCount[WeekIndex],101)&gt;0,SUMIFS(T_StockCount[CountedQty],T_StockCount[Part Name],$A26,T_StockCount[WeekIndex],101),IF(('T_SelfStock'!CX30&lt;&gt;""),'T_SelfStock'!CX30,CW26-'Grid_Requirement'!CX26+'Grid_TTAFOutgoing'!CX26))</f>
        <v/>
      </c>
      <c r="CY26">
        <f>IF(COUNTIFS(T_StockCount[Part Name],$A26,T_StockCount[WeekIndex],102)&gt;0,SUMIFS(T_StockCount[CountedQty],T_StockCount[Part Name],$A26,T_StockCount[WeekIndex],102),IF(('T_SelfStock'!CY30&lt;&gt;""),'T_SelfStock'!CY30,CX26-'Grid_Requirement'!CY26+'Grid_TTAFOutgoing'!CY26))</f>
        <v/>
      </c>
      <c r="CZ26">
        <f>IF(COUNTIFS(T_StockCount[Part Name],$A26,T_StockCount[WeekIndex],103)&gt;0,SUMIFS(T_StockCount[CountedQty],T_StockCount[Part Name],$A26,T_StockCount[WeekIndex],103),IF(('T_SelfStock'!CZ30&lt;&gt;""),'T_SelfStock'!CZ30,CY26-'Grid_Requirement'!CZ26+'Grid_TTAFOutgoing'!CZ26))</f>
        <v/>
      </c>
      <c r="DA26">
        <f>IF(COUNTIFS(T_StockCount[Part Name],$A26,T_StockCount[WeekIndex],104)&gt;0,SUMIFS(T_StockCount[CountedQty],T_StockCount[Part Name],$A26,T_StockCount[WeekIndex],104),IF(('T_SelfStock'!DA30&lt;&gt;""),'T_SelfStock'!DA30,CZ26-'Grid_Requirement'!DA26+'Grid_TTAFOutgoing'!DA26))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Name],$A27,T_StockCount[WeekIndex],1),IF(('T_SelfStock'!B31&lt;&gt;""),'T_SelfStock'!B31,IFERROR(INDEX(T_OpeningStock[Opening_Qty],MATCH($A27,T_OpeningStock[Part Name],0)),0)-'Grid_Requirement'!B27+'Grid_TTAFOutgoing'!B27))</f>
        <v/>
      </c>
      <c r="C27">
        <f>IF(COUNTIFS(T_StockCount[Part Name],$A27,T_StockCount[WeekIndex],2)&gt;0,SUMIFS(T_StockCount[CountedQty],T_StockCount[Part Name],$A27,T_StockCount[WeekIndex],2),IF(('T_SelfStock'!C31&lt;&gt;""),'T_SelfStock'!C31,B27-'Grid_Requirement'!C27+'Grid_TTAFOutgoing'!C27))</f>
        <v/>
      </c>
      <c r="D27">
        <f>IF(COUNTIFS(T_StockCount[Part Name],$A27,T_StockCount[WeekIndex],3)&gt;0,SUMIFS(T_StockCount[CountedQty],T_StockCount[Part Name],$A27,T_StockCount[WeekIndex],3),IF(('T_SelfStock'!D31&lt;&gt;""),'T_SelfStock'!D31,C27-'Grid_Requirement'!D27+'Grid_TTAFOutgoing'!D27))</f>
        <v/>
      </c>
      <c r="E27">
        <f>IF(COUNTIFS(T_StockCount[Part Name],$A27,T_StockCount[WeekIndex],4)&gt;0,SUMIFS(T_StockCount[CountedQty],T_StockCount[Part Name],$A27,T_StockCount[WeekIndex],4),IF(('T_SelfStock'!E31&lt;&gt;""),'T_SelfStock'!E31,D27-'Grid_Requirement'!E27+'Grid_TTAFOutgoing'!E27))</f>
        <v/>
      </c>
      <c r="F27">
        <f>IF(COUNTIFS(T_StockCount[Part Name],$A27,T_StockCount[WeekIndex],5)&gt;0,SUMIFS(T_StockCount[CountedQty],T_StockCount[Part Name],$A27,T_StockCount[WeekIndex],5),IF(('T_SelfStock'!F31&lt;&gt;""),'T_SelfStock'!F31,E27-'Grid_Requirement'!F27+'Grid_TTAFOutgoing'!F27))</f>
        <v/>
      </c>
      <c r="G27">
        <f>IF(COUNTIFS(T_StockCount[Part Name],$A27,T_StockCount[WeekIndex],6)&gt;0,SUMIFS(T_StockCount[CountedQty],T_StockCount[Part Name],$A27,T_StockCount[WeekIndex],6),IF(('T_SelfStock'!G31&lt;&gt;""),'T_SelfStock'!G31,F27-'Grid_Requirement'!G27+'Grid_TTAFOutgoing'!G27))</f>
        <v/>
      </c>
      <c r="H27">
        <f>IF(COUNTIFS(T_StockCount[Part Name],$A27,T_StockCount[WeekIndex],7)&gt;0,SUMIFS(T_StockCount[CountedQty],T_StockCount[Part Name],$A27,T_StockCount[WeekIndex],7),IF(('T_SelfStock'!H31&lt;&gt;""),'T_SelfStock'!H31,G27-'Grid_Requirement'!H27+'Grid_TTAFOutgoing'!H27))</f>
        <v/>
      </c>
      <c r="I27">
        <f>IF(COUNTIFS(T_StockCount[Part Name],$A27,T_StockCount[WeekIndex],8)&gt;0,SUMIFS(T_StockCount[CountedQty],T_StockCount[Part Name],$A27,T_StockCount[WeekIndex],8),IF(('T_SelfStock'!I31&lt;&gt;""),'T_SelfStock'!I31,H27-'Grid_Requirement'!I27+'Grid_TTAFOutgoing'!I27))</f>
        <v/>
      </c>
      <c r="J27">
        <f>IF(COUNTIFS(T_StockCount[Part Name],$A27,T_StockCount[WeekIndex],9)&gt;0,SUMIFS(T_StockCount[CountedQty],T_StockCount[Part Name],$A27,T_StockCount[WeekIndex],9),IF(('T_SelfStock'!J31&lt;&gt;""),'T_SelfStock'!J31,I27-'Grid_Requirement'!J27+'Grid_TTAFOutgoing'!J27))</f>
        <v/>
      </c>
      <c r="K27">
        <f>IF(COUNTIFS(T_StockCount[Part Name],$A27,T_StockCount[WeekIndex],10)&gt;0,SUMIFS(T_StockCount[CountedQty],T_StockCount[Part Name],$A27,T_StockCount[WeekIndex],10),IF(('T_SelfStock'!K31&lt;&gt;""),'T_SelfStock'!K31,J27-'Grid_Requirement'!K27+'Grid_TTAFOutgoing'!K27))</f>
        <v/>
      </c>
      <c r="L27">
        <f>IF(COUNTIFS(T_StockCount[Part Name],$A27,T_StockCount[WeekIndex],11)&gt;0,SUMIFS(T_StockCount[CountedQty],T_StockCount[Part Name],$A27,T_StockCount[WeekIndex],11),IF(('T_SelfStock'!L31&lt;&gt;""),'T_SelfStock'!L31,K27-'Grid_Requirement'!L27+'Grid_TTAFOutgoing'!L27))</f>
        <v/>
      </c>
      <c r="M27">
        <f>IF(COUNTIFS(T_StockCount[Part Name],$A27,T_StockCount[WeekIndex],12)&gt;0,SUMIFS(T_StockCount[CountedQty],T_StockCount[Part Name],$A27,T_StockCount[WeekIndex],12),IF(('T_SelfStock'!M31&lt;&gt;""),'T_SelfStock'!M31,L27-'Grid_Requirement'!M27+'Grid_TTAFOutgoing'!M27))</f>
        <v/>
      </c>
      <c r="N27">
        <f>IF(COUNTIFS(T_StockCount[Part Name],$A27,T_StockCount[WeekIndex],13)&gt;0,SUMIFS(T_StockCount[CountedQty],T_StockCount[Part Name],$A27,T_StockCount[WeekIndex],13),IF(('T_SelfStock'!N31&lt;&gt;""),'T_SelfStock'!N31,M27-'Grid_Requirement'!N27+'Grid_TTAFOutgoing'!N27))</f>
        <v/>
      </c>
      <c r="O27">
        <f>IF(COUNTIFS(T_StockCount[Part Name],$A27,T_StockCount[WeekIndex],14)&gt;0,SUMIFS(T_StockCount[CountedQty],T_StockCount[Part Name],$A27,T_StockCount[WeekIndex],14),IF(('T_SelfStock'!O31&lt;&gt;""),'T_SelfStock'!O31,N27-'Grid_Requirement'!O27+'Grid_TTAFOutgoing'!O27))</f>
        <v/>
      </c>
      <c r="P27">
        <f>IF(COUNTIFS(T_StockCount[Part Name],$A27,T_StockCount[WeekIndex],15)&gt;0,SUMIFS(T_StockCount[CountedQty],T_StockCount[Part Name],$A27,T_StockCount[WeekIndex],15),IF(('T_SelfStock'!P31&lt;&gt;""),'T_SelfStock'!P31,O27-'Grid_Requirement'!P27+'Grid_TTAFOutgoing'!P27))</f>
        <v/>
      </c>
      <c r="Q27">
        <f>IF(COUNTIFS(T_StockCount[Part Name],$A27,T_StockCount[WeekIndex],16)&gt;0,SUMIFS(T_StockCount[CountedQty],T_StockCount[Part Name],$A27,T_StockCount[WeekIndex],16),IF(('T_SelfStock'!Q31&lt;&gt;""),'T_SelfStock'!Q31,P27-'Grid_Requirement'!Q27+'Grid_TTAFOutgoing'!Q27))</f>
        <v/>
      </c>
      <c r="R27">
        <f>IF(COUNTIFS(T_StockCount[Part Name],$A27,T_StockCount[WeekIndex],17)&gt;0,SUMIFS(T_StockCount[CountedQty],T_StockCount[Part Name],$A27,T_StockCount[WeekIndex],17),IF(('T_SelfStock'!R31&lt;&gt;""),'T_SelfStock'!R31,Q27-'Grid_Requirement'!R27+'Grid_TTAFOutgoing'!R27))</f>
        <v/>
      </c>
      <c r="S27">
        <f>IF(COUNTIFS(T_StockCount[Part Name],$A27,T_StockCount[WeekIndex],18)&gt;0,SUMIFS(T_StockCount[CountedQty],T_StockCount[Part Name],$A27,T_StockCount[WeekIndex],18),IF(('T_SelfStock'!S31&lt;&gt;""),'T_SelfStock'!S31,R27-'Grid_Requirement'!S27+'Grid_TTAFOutgoing'!S27))</f>
        <v/>
      </c>
      <c r="T27">
        <f>IF(COUNTIFS(T_StockCount[Part Name],$A27,T_StockCount[WeekIndex],19)&gt;0,SUMIFS(T_StockCount[CountedQty],T_StockCount[Part Name],$A27,T_StockCount[WeekIndex],19),IF(('T_SelfStock'!T31&lt;&gt;""),'T_SelfStock'!T31,S27-'Grid_Requirement'!T27+'Grid_TTAFOutgoing'!T27))</f>
        <v/>
      </c>
      <c r="U27">
        <f>IF(COUNTIFS(T_StockCount[Part Name],$A27,T_StockCount[WeekIndex],20)&gt;0,SUMIFS(T_StockCount[CountedQty],T_StockCount[Part Name],$A27,T_StockCount[WeekIndex],20),IF(('T_SelfStock'!U31&lt;&gt;""),'T_SelfStock'!U31,T27-'Grid_Requirement'!U27+'Grid_TTAFOutgoing'!U27))</f>
        <v/>
      </c>
      <c r="V27">
        <f>IF(COUNTIFS(T_StockCount[Part Name],$A27,T_StockCount[WeekIndex],21)&gt;0,SUMIFS(T_StockCount[CountedQty],T_StockCount[Part Name],$A27,T_StockCount[WeekIndex],21),IF(('T_SelfStock'!V31&lt;&gt;""),'T_SelfStock'!V31,U27-'Grid_Requirement'!V27+'Grid_TTAFOutgoing'!V27))</f>
        <v/>
      </c>
      <c r="W27">
        <f>IF(COUNTIFS(T_StockCount[Part Name],$A27,T_StockCount[WeekIndex],22)&gt;0,SUMIFS(T_StockCount[CountedQty],T_StockCount[Part Name],$A27,T_StockCount[WeekIndex],22),IF(('T_SelfStock'!W31&lt;&gt;""),'T_SelfStock'!W31,V27-'Grid_Requirement'!W27+'Grid_TTAFOutgoing'!W27))</f>
        <v/>
      </c>
      <c r="X27">
        <f>IF(COUNTIFS(T_StockCount[Part Name],$A27,T_StockCount[WeekIndex],23)&gt;0,SUMIFS(T_StockCount[CountedQty],T_StockCount[Part Name],$A27,T_StockCount[WeekIndex],23),IF(('T_SelfStock'!X31&lt;&gt;""),'T_SelfStock'!X31,W27-'Grid_Requirement'!X27+'Grid_TTAFOutgoing'!X27))</f>
        <v/>
      </c>
      <c r="Y27">
        <f>IF(COUNTIFS(T_StockCount[Part Name],$A27,T_StockCount[WeekIndex],24)&gt;0,SUMIFS(T_StockCount[CountedQty],T_StockCount[Part Name],$A27,T_StockCount[WeekIndex],24),IF(('T_SelfStock'!Y31&lt;&gt;""),'T_SelfStock'!Y31,X27-'Grid_Requirement'!Y27+'Grid_TTAFOutgoing'!Y27))</f>
        <v/>
      </c>
      <c r="Z27">
        <f>IF(COUNTIFS(T_StockCount[Part Name],$A27,T_StockCount[WeekIndex],25)&gt;0,SUMIFS(T_StockCount[CountedQty],T_StockCount[Part Name],$A27,T_StockCount[WeekIndex],25),IF(('T_SelfStock'!Z31&lt;&gt;""),'T_SelfStock'!Z31,Y27-'Grid_Requirement'!Z27+'Grid_TTAFOutgoing'!Z27))</f>
        <v/>
      </c>
      <c r="AA27">
        <f>IF(COUNTIFS(T_StockCount[Part Name],$A27,T_StockCount[WeekIndex],26)&gt;0,SUMIFS(T_StockCount[CountedQty],T_StockCount[Part Name],$A27,T_StockCount[WeekIndex],26),IF(('T_SelfStock'!AA31&lt;&gt;""),'T_SelfStock'!AA31,Z27-'Grid_Requirement'!AA27+'Grid_TTAFOutgoing'!AA27))</f>
        <v/>
      </c>
      <c r="AB27">
        <f>IF(COUNTIFS(T_StockCount[Part Name],$A27,T_StockCount[WeekIndex],27)&gt;0,SUMIFS(T_StockCount[CountedQty],T_StockCount[Part Name],$A27,T_StockCount[WeekIndex],27),IF(('T_SelfStock'!AB31&lt;&gt;""),'T_SelfStock'!AB31,AA27-'Grid_Requirement'!AB27+'Grid_TTAFOutgoing'!AB27))</f>
        <v/>
      </c>
      <c r="AC27">
        <f>IF(COUNTIFS(T_StockCount[Part Name],$A27,T_StockCount[WeekIndex],28)&gt;0,SUMIFS(T_StockCount[CountedQty],T_StockCount[Part Name],$A27,T_StockCount[WeekIndex],28),IF(('T_SelfStock'!AC31&lt;&gt;""),'T_SelfStock'!AC31,AB27-'Grid_Requirement'!AC27+'Grid_TTAFOutgoing'!AC27))</f>
        <v/>
      </c>
      <c r="AD27">
        <f>IF(COUNTIFS(T_StockCount[Part Name],$A27,T_StockCount[WeekIndex],29)&gt;0,SUMIFS(T_StockCount[CountedQty],T_StockCount[Part Name],$A27,T_StockCount[WeekIndex],29),IF(('T_SelfStock'!AD31&lt;&gt;""),'T_SelfStock'!AD31,AC27-'Grid_Requirement'!AD27+'Grid_TTAFOutgoing'!AD27))</f>
        <v/>
      </c>
      <c r="AE27">
        <f>IF(COUNTIFS(T_StockCount[Part Name],$A27,T_StockCount[WeekIndex],30)&gt;0,SUMIFS(T_StockCount[CountedQty],T_StockCount[Part Name],$A27,T_StockCount[WeekIndex],30),IF(('T_SelfStock'!AE31&lt;&gt;""),'T_SelfStock'!AE31,AD27-'Grid_Requirement'!AE27+'Grid_TTAFOutgoing'!AE27))</f>
        <v/>
      </c>
      <c r="AF27">
        <f>IF(COUNTIFS(T_StockCount[Part Name],$A27,T_StockCount[WeekIndex],31)&gt;0,SUMIFS(T_StockCount[CountedQty],T_StockCount[Part Name],$A27,T_StockCount[WeekIndex],31),IF(('T_SelfStock'!AF31&lt;&gt;""),'T_SelfStock'!AF31,AE27-'Grid_Requirement'!AF27+'Grid_TTAFOutgoing'!AF27))</f>
        <v/>
      </c>
      <c r="AG27">
        <f>IF(COUNTIFS(T_StockCount[Part Name],$A27,T_StockCount[WeekIndex],32)&gt;0,SUMIFS(T_StockCount[CountedQty],T_StockCount[Part Name],$A27,T_StockCount[WeekIndex],32),IF(('T_SelfStock'!AG31&lt;&gt;""),'T_SelfStock'!AG31,AF27-'Grid_Requirement'!AG27+'Grid_TTAFOutgoing'!AG27))</f>
        <v/>
      </c>
      <c r="AH27">
        <f>IF(COUNTIFS(T_StockCount[Part Name],$A27,T_StockCount[WeekIndex],33)&gt;0,SUMIFS(T_StockCount[CountedQty],T_StockCount[Part Name],$A27,T_StockCount[WeekIndex],33),IF(('T_SelfStock'!AH31&lt;&gt;""),'T_SelfStock'!AH31,AG27-'Grid_Requirement'!AH27+'Grid_TTAFOutgoing'!AH27))</f>
        <v/>
      </c>
      <c r="AI27">
        <f>IF(COUNTIFS(T_StockCount[Part Name],$A27,T_StockCount[WeekIndex],34)&gt;0,SUMIFS(T_StockCount[CountedQty],T_StockCount[Part Name],$A27,T_StockCount[WeekIndex],34),IF(('T_SelfStock'!AI31&lt;&gt;""),'T_SelfStock'!AI31,AH27-'Grid_Requirement'!AI27+'Grid_TTAFOutgoing'!AI27))</f>
        <v/>
      </c>
      <c r="AJ27">
        <f>IF(COUNTIFS(T_StockCount[Part Name],$A27,T_StockCount[WeekIndex],35)&gt;0,SUMIFS(T_StockCount[CountedQty],T_StockCount[Part Name],$A27,T_StockCount[WeekIndex],35),IF(('T_SelfStock'!AJ31&lt;&gt;""),'T_SelfStock'!AJ31,AI27-'Grid_Requirement'!AJ27+'Grid_TTAFOutgoing'!AJ27))</f>
        <v/>
      </c>
      <c r="AK27">
        <f>IF(COUNTIFS(T_StockCount[Part Name],$A27,T_StockCount[WeekIndex],36)&gt;0,SUMIFS(T_StockCount[CountedQty],T_StockCount[Part Name],$A27,T_StockCount[WeekIndex],36),IF(('T_SelfStock'!AK31&lt;&gt;""),'T_SelfStock'!AK31,AJ27-'Grid_Requirement'!AK27+'Grid_TTAFOutgoing'!AK27))</f>
        <v/>
      </c>
      <c r="AL27">
        <f>IF(COUNTIFS(T_StockCount[Part Name],$A27,T_StockCount[WeekIndex],37)&gt;0,SUMIFS(T_StockCount[CountedQty],T_StockCount[Part Name],$A27,T_StockCount[WeekIndex],37),IF(('T_SelfStock'!AL31&lt;&gt;""),'T_SelfStock'!AL31,AK27-'Grid_Requirement'!AL27+'Grid_TTAFOutgoing'!AL27))</f>
        <v/>
      </c>
      <c r="AM27">
        <f>IF(COUNTIFS(T_StockCount[Part Name],$A27,T_StockCount[WeekIndex],38)&gt;0,SUMIFS(T_StockCount[CountedQty],T_StockCount[Part Name],$A27,T_StockCount[WeekIndex],38),IF(('T_SelfStock'!AM31&lt;&gt;""),'T_SelfStock'!AM31,AL27-'Grid_Requirement'!AM27+'Grid_TTAFOutgoing'!AM27))</f>
        <v/>
      </c>
      <c r="AN27">
        <f>IF(COUNTIFS(T_StockCount[Part Name],$A27,T_StockCount[WeekIndex],39)&gt;0,SUMIFS(T_StockCount[CountedQty],T_StockCount[Part Name],$A27,T_StockCount[WeekIndex],39),IF(('T_SelfStock'!AN31&lt;&gt;""),'T_SelfStock'!AN31,AM27-'Grid_Requirement'!AN27+'Grid_TTAFOutgoing'!AN27))</f>
        <v/>
      </c>
      <c r="AO27">
        <f>IF(COUNTIFS(T_StockCount[Part Name],$A27,T_StockCount[WeekIndex],40)&gt;0,SUMIFS(T_StockCount[CountedQty],T_StockCount[Part Name],$A27,T_StockCount[WeekIndex],40),IF(('T_SelfStock'!AO31&lt;&gt;""),'T_SelfStock'!AO31,AN27-'Grid_Requirement'!AO27+'Grid_TTAFOutgoing'!AO27))</f>
        <v/>
      </c>
      <c r="AP27">
        <f>IF(COUNTIFS(T_StockCount[Part Name],$A27,T_StockCount[WeekIndex],41)&gt;0,SUMIFS(T_StockCount[CountedQty],T_StockCount[Part Name],$A27,T_StockCount[WeekIndex],41),IF(('T_SelfStock'!AP31&lt;&gt;""),'T_SelfStock'!AP31,AO27-'Grid_Requirement'!AP27+'Grid_TTAFOutgoing'!AP27))</f>
        <v/>
      </c>
      <c r="AQ27">
        <f>IF(COUNTIFS(T_StockCount[Part Name],$A27,T_StockCount[WeekIndex],42)&gt;0,SUMIFS(T_StockCount[CountedQty],T_StockCount[Part Name],$A27,T_StockCount[WeekIndex],42),IF(('T_SelfStock'!AQ31&lt;&gt;""),'T_SelfStock'!AQ31,AP27-'Grid_Requirement'!AQ27+'Grid_TTAFOutgoing'!AQ27))</f>
        <v/>
      </c>
      <c r="AR27">
        <f>IF(COUNTIFS(T_StockCount[Part Name],$A27,T_StockCount[WeekIndex],43)&gt;0,SUMIFS(T_StockCount[CountedQty],T_StockCount[Part Name],$A27,T_StockCount[WeekIndex],43),IF(('T_SelfStock'!AR31&lt;&gt;""),'T_SelfStock'!AR31,AQ27-'Grid_Requirement'!AR27+'Grid_TTAFOutgoing'!AR27))</f>
        <v/>
      </c>
      <c r="AS27">
        <f>IF(COUNTIFS(T_StockCount[Part Name],$A27,T_StockCount[WeekIndex],44)&gt;0,SUMIFS(T_StockCount[CountedQty],T_StockCount[Part Name],$A27,T_StockCount[WeekIndex],44),IF(('T_SelfStock'!AS31&lt;&gt;""),'T_SelfStock'!AS31,AR27-'Grid_Requirement'!AS27+'Grid_TTAFOutgoing'!AS27))</f>
        <v/>
      </c>
      <c r="AT27">
        <f>IF(COUNTIFS(T_StockCount[Part Name],$A27,T_StockCount[WeekIndex],45)&gt;0,SUMIFS(T_StockCount[CountedQty],T_StockCount[Part Name],$A27,T_StockCount[WeekIndex],45),IF(('T_SelfStock'!AT31&lt;&gt;""),'T_SelfStock'!AT31,AS27-'Grid_Requirement'!AT27+'Grid_TTAFOutgoing'!AT27))</f>
        <v/>
      </c>
      <c r="AU27">
        <f>IF(COUNTIFS(T_StockCount[Part Name],$A27,T_StockCount[WeekIndex],46)&gt;0,SUMIFS(T_StockCount[CountedQty],T_StockCount[Part Name],$A27,T_StockCount[WeekIndex],46),IF(('T_SelfStock'!AU31&lt;&gt;""),'T_SelfStock'!AU31,AT27-'Grid_Requirement'!AU27+'Grid_TTAFOutgoing'!AU27))</f>
        <v/>
      </c>
      <c r="AV27">
        <f>IF(COUNTIFS(T_StockCount[Part Name],$A27,T_StockCount[WeekIndex],47)&gt;0,SUMIFS(T_StockCount[CountedQty],T_StockCount[Part Name],$A27,T_StockCount[WeekIndex],47),IF(('T_SelfStock'!AV31&lt;&gt;""),'T_SelfStock'!AV31,AU27-'Grid_Requirement'!AV27+'Grid_TTAFOutgoing'!AV27))</f>
        <v/>
      </c>
      <c r="AW27">
        <f>IF(COUNTIFS(T_StockCount[Part Name],$A27,T_StockCount[WeekIndex],48)&gt;0,SUMIFS(T_StockCount[CountedQty],T_StockCount[Part Name],$A27,T_StockCount[WeekIndex],48),IF(('T_SelfStock'!AW31&lt;&gt;""),'T_SelfStock'!AW31,AV27-'Grid_Requirement'!AW27+'Grid_TTAFOutgoing'!AW27))</f>
        <v/>
      </c>
      <c r="AX27">
        <f>IF(COUNTIFS(T_StockCount[Part Name],$A27,T_StockCount[WeekIndex],49)&gt;0,SUMIFS(T_StockCount[CountedQty],T_StockCount[Part Name],$A27,T_StockCount[WeekIndex],49),IF(('T_SelfStock'!AX31&lt;&gt;""),'T_SelfStock'!AX31,AW27-'Grid_Requirement'!AX27+'Grid_TTAFOutgoing'!AX27))</f>
        <v/>
      </c>
      <c r="AY27">
        <f>IF(COUNTIFS(T_StockCount[Part Name],$A27,T_StockCount[WeekIndex],50)&gt;0,SUMIFS(T_StockCount[CountedQty],T_StockCount[Part Name],$A27,T_StockCount[WeekIndex],50),IF(('T_SelfStock'!AY31&lt;&gt;""),'T_SelfStock'!AY31,AX27-'Grid_Requirement'!AY27+'Grid_TTAFOutgoing'!AY27))</f>
        <v/>
      </c>
      <c r="AZ27">
        <f>IF(COUNTIFS(T_StockCount[Part Name],$A27,T_StockCount[WeekIndex],51)&gt;0,SUMIFS(T_StockCount[CountedQty],T_StockCount[Part Name],$A27,T_StockCount[WeekIndex],51),IF(('T_SelfStock'!AZ31&lt;&gt;""),'T_SelfStock'!AZ31,AY27-'Grid_Requirement'!AZ27+'Grid_TTAFOutgoing'!AZ27))</f>
        <v/>
      </c>
      <c r="BA27">
        <f>IF(COUNTIFS(T_StockCount[Part Name],$A27,T_StockCount[WeekIndex],52)&gt;0,SUMIFS(T_StockCount[CountedQty],T_StockCount[Part Name],$A27,T_StockCount[WeekIndex],52),IF(('T_SelfStock'!BA31&lt;&gt;""),'T_SelfStock'!BA31,AZ27-'Grid_Requirement'!BA27+'Grid_TTAFOutgoing'!BA27))</f>
        <v/>
      </c>
      <c r="BB27">
        <f>IF(COUNTIFS(T_StockCount[Part Name],$A27,T_StockCount[WeekIndex],53)&gt;0,SUMIFS(T_StockCount[CountedQty],T_StockCount[Part Name],$A27,T_StockCount[WeekIndex],53),IF(('T_SelfStock'!BB31&lt;&gt;""),'T_SelfStock'!BB31,BA27-'Grid_Requirement'!BB27+'Grid_TTAFOutgoing'!BB27))</f>
        <v/>
      </c>
      <c r="BC27">
        <f>IF(COUNTIFS(T_StockCount[Part Name],$A27,T_StockCount[WeekIndex],54)&gt;0,SUMIFS(T_StockCount[CountedQty],T_StockCount[Part Name],$A27,T_StockCount[WeekIndex],54),IF(('T_SelfStock'!BC31&lt;&gt;""),'T_SelfStock'!BC31,BB27-'Grid_Requirement'!BC27+'Grid_TTAFOutgoing'!BC27))</f>
        <v/>
      </c>
      <c r="BD27">
        <f>IF(COUNTIFS(T_StockCount[Part Name],$A27,T_StockCount[WeekIndex],55)&gt;0,SUMIFS(T_StockCount[CountedQty],T_StockCount[Part Name],$A27,T_StockCount[WeekIndex],55),IF(('T_SelfStock'!BD31&lt;&gt;""),'T_SelfStock'!BD31,BC27-'Grid_Requirement'!BD27+'Grid_TTAFOutgoing'!BD27))</f>
        <v/>
      </c>
      <c r="BE27">
        <f>IF(COUNTIFS(T_StockCount[Part Name],$A27,T_StockCount[WeekIndex],56)&gt;0,SUMIFS(T_StockCount[CountedQty],T_StockCount[Part Name],$A27,T_StockCount[WeekIndex],56),IF(('T_SelfStock'!BE31&lt;&gt;""),'T_SelfStock'!BE31,BD27-'Grid_Requirement'!BE27+'Grid_TTAFOutgoing'!BE27))</f>
        <v/>
      </c>
      <c r="BF27">
        <f>IF(COUNTIFS(T_StockCount[Part Name],$A27,T_StockCount[WeekIndex],57)&gt;0,SUMIFS(T_StockCount[CountedQty],T_StockCount[Part Name],$A27,T_StockCount[WeekIndex],57),IF(('T_SelfStock'!BF31&lt;&gt;""),'T_SelfStock'!BF31,BE27-'Grid_Requirement'!BF27+'Grid_TTAFOutgoing'!BF27))</f>
        <v/>
      </c>
      <c r="BG27">
        <f>IF(COUNTIFS(T_StockCount[Part Name],$A27,T_StockCount[WeekIndex],58)&gt;0,SUMIFS(T_StockCount[CountedQty],T_StockCount[Part Name],$A27,T_StockCount[WeekIndex],58),IF(('T_SelfStock'!BG31&lt;&gt;""),'T_SelfStock'!BG31,BF27-'Grid_Requirement'!BG27+'Grid_TTAFOutgoing'!BG27))</f>
        <v/>
      </c>
      <c r="BH27">
        <f>IF(COUNTIFS(T_StockCount[Part Name],$A27,T_StockCount[WeekIndex],59)&gt;0,SUMIFS(T_StockCount[CountedQty],T_StockCount[Part Name],$A27,T_StockCount[WeekIndex],59),IF(('T_SelfStock'!BH31&lt;&gt;""),'T_SelfStock'!BH31,BG27-'Grid_Requirement'!BH27+'Grid_TTAFOutgoing'!BH27))</f>
        <v/>
      </c>
      <c r="BI27">
        <f>IF(COUNTIFS(T_StockCount[Part Name],$A27,T_StockCount[WeekIndex],60)&gt;0,SUMIFS(T_StockCount[CountedQty],T_StockCount[Part Name],$A27,T_StockCount[WeekIndex],60),IF(('T_SelfStock'!BI31&lt;&gt;""),'T_SelfStock'!BI31,BH27-'Grid_Requirement'!BI27+'Grid_TTAFOutgoing'!BI27))</f>
        <v/>
      </c>
      <c r="BJ27">
        <f>IF(COUNTIFS(T_StockCount[Part Name],$A27,T_StockCount[WeekIndex],61)&gt;0,SUMIFS(T_StockCount[CountedQty],T_StockCount[Part Name],$A27,T_StockCount[WeekIndex],61),IF(('T_SelfStock'!BJ31&lt;&gt;""),'T_SelfStock'!BJ31,BI27-'Grid_Requirement'!BJ27+'Grid_TTAFOutgoing'!BJ27))</f>
        <v/>
      </c>
      <c r="BK27">
        <f>IF(COUNTIFS(T_StockCount[Part Name],$A27,T_StockCount[WeekIndex],62)&gt;0,SUMIFS(T_StockCount[CountedQty],T_StockCount[Part Name],$A27,T_StockCount[WeekIndex],62),IF(('T_SelfStock'!BK31&lt;&gt;""),'T_SelfStock'!BK31,BJ27-'Grid_Requirement'!BK27+'Grid_TTAFOutgoing'!BK27))</f>
        <v/>
      </c>
      <c r="BL27">
        <f>IF(COUNTIFS(T_StockCount[Part Name],$A27,T_StockCount[WeekIndex],63)&gt;0,SUMIFS(T_StockCount[CountedQty],T_StockCount[Part Name],$A27,T_StockCount[WeekIndex],63),IF(('T_SelfStock'!BL31&lt;&gt;""),'T_SelfStock'!BL31,BK27-'Grid_Requirement'!BL27+'Grid_TTAFOutgoing'!BL27))</f>
        <v/>
      </c>
      <c r="BM27">
        <f>IF(COUNTIFS(T_StockCount[Part Name],$A27,T_StockCount[WeekIndex],64)&gt;0,SUMIFS(T_StockCount[CountedQty],T_StockCount[Part Name],$A27,T_StockCount[WeekIndex],64),IF(('T_SelfStock'!BM31&lt;&gt;""),'T_SelfStock'!BM31,BL27-'Grid_Requirement'!BM27+'Grid_TTAFOutgoing'!BM27))</f>
        <v/>
      </c>
      <c r="BN27">
        <f>IF(COUNTIFS(T_StockCount[Part Name],$A27,T_StockCount[WeekIndex],65)&gt;0,SUMIFS(T_StockCount[CountedQty],T_StockCount[Part Name],$A27,T_StockCount[WeekIndex],65),IF(('T_SelfStock'!BN31&lt;&gt;""),'T_SelfStock'!BN31,BM27-'Grid_Requirement'!BN27+'Grid_TTAFOutgoing'!BN27))</f>
        <v/>
      </c>
      <c r="BO27">
        <f>IF(COUNTIFS(T_StockCount[Part Name],$A27,T_StockCount[WeekIndex],66)&gt;0,SUMIFS(T_StockCount[CountedQty],T_StockCount[Part Name],$A27,T_StockCount[WeekIndex],66),IF(('T_SelfStock'!BO31&lt;&gt;""),'T_SelfStock'!BO31,BN27-'Grid_Requirement'!BO27+'Grid_TTAFOutgoing'!BO27))</f>
        <v/>
      </c>
      <c r="BP27">
        <f>IF(COUNTIFS(T_StockCount[Part Name],$A27,T_StockCount[WeekIndex],67)&gt;0,SUMIFS(T_StockCount[CountedQty],T_StockCount[Part Name],$A27,T_StockCount[WeekIndex],67),IF(('T_SelfStock'!BP31&lt;&gt;""),'T_SelfStock'!BP31,BO27-'Grid_Requirement'!BP27+'Grid_TTAFOutgoing'!BP27))</f>
        <v/>
      </c>
      <c r="BQ27">
        <f>IF(COUNTIFS(T_StockCount[Part Name],$A27,T_StockCount[WeekIndex],68)&gt;0,SUMIFS(T_StockCount[CountedQty],T_StockCount[Part Name],$A27,T_StockCount[WeekIndex],68),IF(('T_SelfStock'!BQ31&lt;&gt;""),'T_SelfStock'!BQ31,BP27-'Grid_Requirement'!BQ27+'Grid_TTAFOutgoing'!BQ27))</f>
        <v/>
      </c>
      <c r="BR27">
        <f>IF(COUNTIFS(T_StockCount[Part Name],$A27,T_StockCount[WeekIndex],69)&gt;0,SUMIFS(T_StockCount[CountedQty],T_StockCount[Part Name],$A27,T_StockCount[WeekIndex],69),IF(('T_SelfStock'!BR31&lt;&gt;""),'T_SelfStock'!BR31,BQ27-'Grid_Requirement'!BR27+'Grid_TTAFOutgoing'!BR27))</f>
        <v/>
      </c>
      <c r="BS27">
        <f>IF(COUNTIFS(T_StockCount[Part Name],$A27,T_StockCount[WeekIndex],70)&gt;0,SUMIFS(T_StockCount[CountedQty],T_StockCount[Part Name],$A27,T_StockCount[WeekIndex],70),IF(('T_SelfStock'!BS31&lt;&gt;""),'T_SelfStock'!BS31,BR27-'Grid_Requirement'!BS27+'Grid_TTAFOutgoing'!BS27))</f>
        <v/>
      </c>
      <c r="BT27">
        <f>IF(COUNTIFS(T_StockCount[Part Name],$A27,T_StockCount[WeekIndex],71)&gt;0,SUMIFS(T_StockCount[CountedQty],T_StockCount[Part Name],$A27,T_StockCount[WeekIndex],71),IF(('T_SelfStock'!BT31&lt;&gt;""),'T_SelfStock'!BT31,BS27-'Grid_Requirement'!BT27+'Grid_TTAFOutgoing'!BT27))</f>
        <v/>
      </c>
      <c r="BU27">
        <f>IF(COUNTIFS(T_StockCount[Part Name],$A27,T_StockCount[WeekIndex],72)&gt;0,SUMIFS(T_StockCount[CountedQty],T_StockCount[Part Name],$A27,T_StockCount[WeekIndex],72),IF(('T_SelfStock'!BU31&lt;&gt;""),'T_SelfStock'!BU31,BT27-'Grid_Requirement'!BU27+'Grid_TTAFOutgoing'!BU27))</f>
        <v/>
      </c>
      <c r="BV27">
        <f>IF(COUNTIFS(T_StockCount[Part Name],$A27,T_StockCount[WeekIndex],73)&gt;0,SUMIFS(T_StockCount[CountedQty],T_StockCount[Part Name],$A27,T_StockCount[WeekIndex],73),IF(('T_SelfStock'!BV31&lt;&gt;""),'T_SelfStock'!BV31,BU27-'Grid_Requirement'!BV27+'Grid_TTAFOutgoing'!BV27))</f>
        <v/>
      </c>
      <c r="BW27">
        <f>IF(COUNTIFS(T_StockCount[Part Name],$A27,T_StockCount[WeekIndex],74)&gt;0,SUMIFS(T_StockCount[CountedQty],T_StockCount[Part Name],$A27,T_StockCount[WeekIndex],74),IF(('T_SelfStock'!BW31&lt;&gt;""),'T_SelfStock'!BW31,BV27-'Grid_Requirement'!BW27+'Grid_TTAFOutgoing'!BW27))</f>
        <v/>
      </c>
      <c r="BX27">
        <f>IF(COUNTIFS(T_StockCount[Part Name],$A27,T_StockCount[WeekIndex],75)&gt;0,SUMIFS(T_StockCount[CountedQty],T_StockCount[Part Name],$A27,T_StockCount[WeekIndex],75),IF(('T_SelfStock'!BX31&lt;&gt;""),'T_SelfStock'!BX31,BW27-'Grid_Requirement'!BX27+'Grid_TTAFOutgoing'!BX27))</f>
        <v/>
      </c>
      <c r="BY27">
        <f>IF(COUNTIFS(T_StockCount[Part Name],$A27,T_StockCount[WeekIndex],76)&gt;0,SUMIFS(T_StockCount[CountedQty],T_StockCount[Part Name],$A27,T_StockCount[WeekIndex],76),IF(('T_SelfStock'!BY31&lt;&gt;""),'T_SelfStock'!BY31,BX27-'Grid_Requirement'!BY27+'Grid_TTAFOutgoing'!BY27))</f>
        <v/>
      </c>
      <c r="BZ27">
        <f>IF(COUNTIFS(T_StockCount[Part Name],$A27,T_StockCount[WeekIndex],77)&gt;0,SUMIFS(T_StockCount[CountedQty],T_StockCount[Part Name],$A27,T_StockCount[WeekIndex],77),IF(('T_SelfStock'!BZ31&lt;&gt;""),'T_SelfStock'!BZ31,BY27-'Grid_Requirement'!BZ27+'Grid_TTAFOutgoing'!BZ27))</f>
        <v/>
      </c>
      <c r="CA27">
        <f>IF(COUNTIFS(T_StockCount[Part Name],$A27,T_StockCount[WeekIndex],78)&gt;0,SUMIFS(T_StockCount[CountedQty],T_StockCount[Part Name],$A27,T_StockCount[WeekIndex],78),IF(('T_SelfStock'!CA31&lt;&gt;""),'T_SelfStock'!CA31,BZ27-'Grid_Requirement'!CA27+'Grid_TTAFOutgoing'!CA27))</f>
        <v/>
      </c>
      <c r="CB27">
        <f>IF(COUNTIFS(T_StockCount[Part Name],$A27,T_StockCount[WeekIndex],79)&gt;0,SUMIFS(T_StockCount[CountedQty],T_StockCount[Part Name],$A27,T_StockCount[WeekIndex],79),IF(('T_SelfStock'!CB31&lt;&gt;""),'T_SelfStock'!CB31,CA27-'Grid_Requirement'!CB27+'Grid_TTAFOutgoing'!CB27))</f>
        <v/>
      </c>
      <c r="CC27">
        <f>IF(COUNTIFS(T_StockCount[Part Name],$A27,T_StockCount[WeekIndex],80)&gt;0,SUMIFS(T_StockCount[CountedQty],T_StockCount[Part Name],$A27,T_StockCount[WeekIndex],80),IF(('T_SelfStock'!CC31&lt;&gt;""),'T_SelfStock'!CC31,CB27-'Grid_Requirement'!CC27+'Grid_TTAFOutgoing'!CC27))</f>
        <v/>
      </c>
      <c r="CD27">
        <f>IF(COUNTIFS(T_StockCount[Part Name],$A27,T_StockCount[WeekIndex],81)&gt;0,SUMIFS(T_StockCount[CountedQty],T_StockCount[Part Name],$A27,T_StockCount[WeekIndex],81),IF(('T_SelfStock'!CD31&lt;&gt;""),'T_SelfStock'!CD31,CC27-'Grid_Requirement'!CD27+'Grid_TTAFOutgoing'!CD27))</f>
        <v/>
      </c>
      <c r="CE27">
        <f>IF(COUNTIFS(T_StockCount[Part Name],$A27,T_StockCount[WeekIndex],82)&gt;0,SUMIFS(T_StockCount[CountedQty],T_StockCount[Part Name],$A27,T_StockCount[WeekIndex],82),IF(('T_SelfStock'!CE31&lt;&gt;""),'T_SelfStock'!CE31,CD27-'Grid_Requirement'!CE27+'Grid_TTAFOutgoing'!CE27))</f>
        <v/>
      </c>
      <c r="CF27">
        <f>IF(COUNTIFS(T_StockCount[Part Name],$A27,T_StockCount[WeekIndex],83)&gt;0,SUMIFS(T_StockCount[CountedQty],T_StockCount[Part Name],$A27,T_StockCount[WeekIndex],83),IF(('T_SelfStock'!CF31&lt;&gt;""),'T_SelfStock'!CF31,CE27-'Grid_Requirement'!CF27+'Grid_TTAFOutgoing'!CF27))</f>
        <v/>
      </c>
      <c r="CG27">
        <f>IF(COUNTIFS(T_StockCount[Part Name],$A27,T_StockCount[WeekIndex],84)&gt;0,SUMIFS(T_StockCount[CountedQty],T_StockCount[Part Name],$A27,T_StockCount[WeekIndex],84),IF(('T_SelfStock'!CG31&lt;&gt;""),'T_SelfStock'!CG31,CF27-'Grid_Requirement'!CG27+'Grid_TTAFOutgoing'!CG27))</f>
        <v/>
      </c>
      <c r="CH27">
        <f>IF(COUNTIFS(T_StockCount[Part Name],$A27,T_StockCount[WeekIndex],85)&gt;0,SUMIFS(T_StockCount[CountedQty],T_StockCount[Part Name],$A27,T_StockCount[WeekIndex],85),IF(('T_SelfStock'!CH31&lt;&gt;""),'T_SelfStock'!CH31,CG27-'Grid_Requirement'!CH27+'Grid_TTAFOutgoing'!CH27))</f>
        <v/>
      </c>
      <c r="CI27">
        <f>IF(COUNTIFS(T_StockCount[Part Name],$A27,T_StockCount[WeekIndex],86)&gt;0,SUMIFS(T_StockCount[CountedQty],T_StockCount[Part Name],$A27,T_StockCount[WeekIndex],86),IF(('T_SelfStock'!CI31&lt;&gt;""),'T_SelfStock'!CI31,CH27-'Grid_Requirement'!CI27+'Grid_TTAFOutgoing'!CI27))</f>
        <v/>
      </c>
      <c r="CJ27">
        <f>IF(COUNTIFS(T_StockCount[Part Name],$A27,T_StockCount[WeekIndex],87)&gt;0,SUMIFS(T_StockCount[CountedQty],T_StockCount[Part Name],$A27,T_StockCount[WeekIndex],87),IF(('T_SelfStock'!CJ31&lt;&gt;""),'T_SelfStock'!CJ31,CI27-'Grid_Requirement'!CJ27+'Grid_TTAFOutgoing'!CJ27))</f>
        <v/>
      </c>
      <c r="CK27">
        <f>IF(COUNTIFS(T_StockCount[Part Name],$A27,T_StockCount[WeekIndex],88)&gt;0,SUMIFS(T_StockCount[CountedQty],T_StockCount[Part Name],$A27,T_StockCount[WeekIndex],88),IF(('T_SelfStock'!CK31&lt;&gt;""),'T_SelfStock'!CK31,CJ27-'Grid_Requirement'!CK27+'Grid_TTAFOutgoing'!CK27))</f>
        <v/>
      </c>
      <c r="CL27">
        <f>IF(COUNTIFS(T_StockCount[Part Name],$A27,T_StockCount[WeekIndex],89)&gt;0,SUMIFS(T_StockCount[CountedQty],T_StockCount[Part Name],$A27,T_StockCount[WeekIndex],89),IF(('T_SelfStock'!CL31&lt;&gt;""),'T_SelfStock'!CL31,CK27-'Grid_Requirement'!CL27+'Grid_TTAFOutgoing'!CL27))</f>
        <v/>
      </c>
      <c r="CM27">
        <f>IF(COUNTIFS(T_StockCount[Part Name],$A27,T_StockCount[WeekIndex],90)&gt;0,SUMIFS(T_StockCount[CountedQty],T_StockCount[Part Name],$A27,T_StockCount[WeekIndex],90),IF(('T_SelfStock'!CM31&lt;&gt;""),'T_SelfStock'!CM31,CL27-'Grid_Requirement'!CM27+'Grid_TTAFOutgoing'!CM27))</f>
        <v/>
      </c>
      <c r="CN27">
        <f>IF(COUNTIFS(T_StockCount[Part Name],$A27,T_StockCount[WeekIndex],91)&gt;0,SUMIFS(T_StockCount[CountedQty],T_StockCount[Part Name],$A27,T_StockCount[WeekIndex],91),IF(('T_SelfStock'!CN31&lt;&gt;""),'T_SelfStock'!CN31,CM27-'Grid_Requirement'!CN27+'Grid_TTAFOutgoing'!CN27))</f>
        <v/>
      </c>
      <c r="CO27">
        <f>IF(COUNTIFS(T_StockCount[Part Name],$A27,T_StockCount[WeekIndex],92)&gt;0,SUMIFS(T_StockCount[CountedQty],T_StockCount[Part Name],$A27,T_StockCount[WeekIndex],92),IF(('T_SelfStock'!CO31&lt;&gt;""),'T_SelfStock'!CO31,CN27-'Grid_Requirement'!CO27+'Grid_TTAFOutgoing'!CO27))</f>
        <v/>
      </c>
      <c r="CP27">
        <f>IF(COUNTIFS(T_StockCount[Part Name],$A27,T_StockCount[WeekIndex],93)&gt;0,SUMIFS(T_StockCount[CountedQty],T_StockCount[Part Name],$A27,T_StockCount[WeekIndex],93),IF(('T_SelfStock'!CP31&lt;&gt;""),'T_SelfStock'!CP31,CO27-'Grid_Requirement'!CP27+'Grid_TTAFOutgoing'!CP27))</f>
        <v/>
      </c>
      <c r="CQ27">
        <f>IF(COUNTIFS(T_StockCount[Part Name],$A27,T_StockCount[WeekIndex],94)&gt;0,SUMIFS(T_StockCount[CountedQty],T_StockCount[Part Name],$A27,T_StockCount[WeekIndex],94),IF(('T_SelfStock'!CQ31&lt;&gt;""),'T_SelfStock'!CQ31,CP27-'Grid_Requirement'!CQ27+'Grid_TTAFOutgoing'!CQ27))</f>
        <v/>
      </c>
      <c r="CR27">
        <f>IF(COUNTIFS(T_StockCount[Part Name],$A27,T_StockCount[WeekIndex],95)&gt;0,SUMIFS(T_StockCount[CountedQty],T_StockCount[Part Name],$A27,T_StockCount[WeekIndex],95),IF(('T_SelfStock'!CR31&lt;&gt;""),'T_SelfStock'!CR31,CQ27-'Grid_Requirement'!CR27+'Grid_TTAFOutgoing'!CR27))</f>
        <v/>
      </c>
      <c r="CS27">
        <f>IF(COUNTIFS(T_StockCount[Part Name],$A27,T_StockCount[WeekIndex],96)&gt;0,SUMIFS(T_StockCount[CountedQty],T_StockCount[Part Name],$A27,T_StockCount[WeekIndex],96),IF(('T_SelfStock'!CS31&lt;&gt;""),'T_SelfStock'!CS31,CR27-'Grid_Requirement'!CS27+'Grid_TTAFOutgoing'!CS27))</f>
        <v/>
      </c>
      <c r="CT27">
        <f>IF(COUNTIFS(T_StockCount[Part Name],$A27,T_StockCount[WeekIndex],97)&gt;0,SUMIFS(T_StockCount[CountedQty],T_StockCount[Part Name],$A27,T_StockCount[WeekIndex],97),IF(('T_SelfStock'!CT31&lt;&gt;""),'T_SelfStock'!CT31,CS27-'Grid_Requirement'!CT27+'Grid_TTAFOutgoing'!CT27))</f>
        <v/>
      </c>
      <c r="CU27">
        <f>IF(COUNTIFS(T_StockCount[Part Name],$A27,T_StockCount[WeekIndex],98)&gt;0,SUMIFS(T_StockCount[CountedQty],T_StockCount[Part Name],$A27,T_StockCount[WeekIndex],98),IF(('T_SelfStock'!CU31&lt;&gt;""),'T_SelfStock'!CU31,CT27-'Grid_Requirement'!CU27+'Grid_TTAFOutgoing'!CU27))</f>
        <v/>
      </c>
      <c r="CV27">
        <f>IF(COUNTIFS(T_StockCount[Part Name],$A27,T_StockCount[WeekIndex],99)&gt;0,SUMIFS(T_StockCount[CountedQty],T_StockCount[Part Name],$A27,T_StockCount[WeekIndex],99),IF(('T_SelfStock'!CV31&lt;&gt;""),'T_SelfStock'!CV31,CU27-'Grid_Requirement'!CV27+'Grid_TTAFOutgoing'!CV27))</f>
        <v/>
      </c>
      <c r="CW27">
        <f>IF(COUNTIFS(T_StockCount[Part Name],$A27,T_StockCount[WeekIndex],100)&gt;0,SUMIFS(T_StockCount[CountedQty],T_StockCount[Part Name],$A27,T_StockCount[WeekIndex],100),IF(('T_SelfStock'!CW31&lt;&gt;""),'T_SelfStock'!CW31,CV27-'Grid_Requirement'!CW27+'Grid_TTAFOutgoing'!CW27))</f>
        <v/>
      </c>
      <c r="CX27">
        <f>IF(COUNTIFS(T_StockCount[Part Name],$A27,T_StockCount[WeekIndex],101)&gt;0,SUMIFS(T_StockCount[CountedQty],T_StockCount[Part Name],$A27,T_StockCount[WeekIndex],101),IF(('T_SelfStock'!CX31&lt;&gt;""),'T_SelfStock'!CX31,CW27-'Grid_Requirement'!CX27+'Grid_TTAFOutgoing'!CX27))</f>
        <v/>
      </c>
      <c r="CY27">
        <f>IF(COUNTIFS(T_StockCount[Part Name],$A27,T_StockCount[WeekIndex],102)&gt;0,SUMIFS(T_StockCount[CountedQty],T_StockCount[Part Name],$A27,T_StockCount[WeekIndex],102),IF(('T_SelfStock'!CY31&lt;&gt;""),'T_SelfStock'!CY31,CX27-'Grid_Requirement'!CY27+'Grid_TTAFOutgoing'!CY27))</f>
        <v/>
      </c>
      <c r="CZ27">
        <f>IF(COUNTIFS(T_StockCount[Part Name],$A27,T_StockCount[WeekIndex],103)&gt;0,SUMIFS(T_StockCount[CountedQty],T_StockCount[Part Name],$A27,T_StockCount[WeekIndex],103),IF(('T_SelfStock'!CZ31&lt;&gt;""),'T_SelfStock'!CZ31,CY27-'Grid_Requirement'!CZ27+'Grid_TTAFOutgoing'!CZ27))</f>
        <v/>
      </c>
      <c r="DA27">
        <f>IF(COUNTIFS(T_StockCount[Part Name],$A27,T_StockCount[WeekIndex],104)&gt;0,SUMIFS(T_StockCount[CountedQty],T_StockCount[Part Name],$A27,T_StockCount[WeekIndex],104),IF(('T_SelfStock'!DA31&lt;&gt;""),'T_SelfStock'!DA31,CZ27-'Grid_Requirement'!DA27+'Grid_TTAFOutgoing'!DA27))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Name],$A28,T_StockCount[WeekIndex],1),IF(('T_SelfStock'!B32&lt;&gt;""),'T_SelfStock'!B32,IFERROR(INDEX(T_OpeningStock[Opening_Qty],MATCH($A28,T_OpeningStock[Part Name],0)),0)-'Grid_Requirement'!B28+'Grid_TTAFOutgoing'!B28))</f>
        <v/>
      </c>
      <c r="C28">
        <f>IF(COUNTIFS(T_StockCount[Part Name],$A28,T_StockCount[WeekIndex],2)&gt;0,SUMIFS(T_StockCount[CountedQty],T_StockCount[Part Name],$A28,T_StockCount[WeekIndex],2),IF(('T_SelfStock'!C32&lt;&gt;""),'T_SelfStock'!C32,B28-'Grid_Requirement'!C28+'Grid_TTAFOutgoing'!C28))</f>
        <v/>
      </c>
      <c r="D28">
        <f>IF(COUNTIFS(T_StockCount[Part Name],$A28,T_StockCount[WeekIndex],3)&gt;0,SUMIFS(T_StockCount[CountedQty],T_StockCount[Part Name],$A28,T_StockCount[WeekIndex],3),IF(('T_SelfStock'!D32&lt;&gt;""),'T_SelfStock'!D32,C28-'Grid_Requirement'!D28+'Grid_TTAFOutgoing'!D28))</f>
        <v/>
      </c>
      <c r="E28">
        <f>IF(COUNTIFS(T_StockCount[Part Name],$A28,T_StockCount[WeekIndex],4)&gt;0,SUMIFS(T_StockCount[CountedQty],T_StockCount[Part Name],$A28,T_StockCount[WeekIndex],4),IF(('T_SelfStock'!E32&lt;&gt;""),'T_SelfStock'!E32,D28-'Grid_Requirement'!E28+'Grid_TTAFOutgoing'!E28))</f>
        <v/>
      </c>
      <c r="F28">
        <f>IF(COUNTIFS(T_StockCount[Part Name],$A28,T_StockCount[WeekIndex],5)&gt;0,SUMIFS(T_StockCount[CountedQty],T_StockCount[Part Name],$A28,T_StockCount[WeekIndex],5),IF(('T_SelfStock'!F32&lt;&gt;""),'T_SelfStock'!F32,E28-'Grid_Requirement'!F28+'Grid_TTAFOutgoing'!F28))</f>
        <v/>
      </c>
      <c r="G28">
        <f>IF(COUNTIFS(T_StockCount[Part Name],$A28,T_StockCount[WeekIndex],6)&gt;0,SUMIFS(T_StockCount[CountedQty],T_StockCount[Part Name],$A28,T_StockCount[WeekIndex],6),IF(('T_SelfStock'!G32&lt;&gt;""),'T_SelfStock'!G32,F28-'Grid_Requirement'!G28+'Grid_TTAFOutgoing'!G28))</f>
        <v/>
      </c>
      <c r="H28">
        <f>IF(COUNTIFS(T_StockCount[Part Name],$A28,T_StockCount[WeekIndex],7)&gt;0,SUMIFS(T_StockCount[CountedQty],T_StockCount[Part Name],$A28,T_StockCount[WeekIndex],7),IF(('T_SelfStock'!H32&lt;&gt;""),'T_SelfStock'!H32,G28-'Grid_Requirement'!H28+'Grid_TTAFOutgoing'!H28))</f>
        <v/>
      </c>
      <c r="I28">
        <f>IF(COUNTIFS(T_StockCount[Part Name],$A28,T_StockCount[WeekIndex],8)&gt;0,SUMIFS(T_StockCount[CountedQty],T_StockCount[Part Name],$A28,T_StockCount[WeekIndex],8),IF(('T_SelfStock'!I32&lt;&gt;""),'T_SelfStock'!I32,H28-'Grid_Requirement'!I28+'Grid_TTAFOutgoing'!I28))</f>
        <v/>
      </c>
      <c r="J28">
        <f>IF(COUNTIFS(T_StockCount[Part Name],$A28,T_StockCount[WeekIndex],9)&gt;0,SUMIFS(T_StockCount[CountedQty],T_StockCount[Part Name],$A28,T_StockCount[WeekIndex],9),IF(('T_SelfStock'!J32&lt;&gt;""),'T_SelfStock'!J32,I28-'Grid_Requirement'!J28+'Grid_TTAFOutgoing'!J28))</f>
        <v/>
      </c>
      <c r="K28">
        <f>IF(COUNTIFS(T_StockCount[Part Name],$A28,T_StockCount[WeekIndex],10)&gt;0,SUMIFS(T_StockCount[CountedQty],T_StockCount[Part Name],$A28,T_StockCount[WeekIndex],10),IF(('T_SelfStock'!K32&lt;&gt;""),'T_SelfStock'!K32,J28-'Grid_Requirement'!K28+'Grid_TTAFOutgoing'!K28))</f>
        <v/>
      </c>
      <c r="L28">
        <f>IF(COUNTIFS(T_StockCount[Part Name],$A28,T_StockCount[WeekIndex],11)&gt;0,SUMIFS(T_StockCount[CountedQty],T_StockCount[Part Name],$A28,T_StockCount[WeekIndex],11),IF(('T_SelfStock'!L32&lt;&gt;""),'T_SelfStock'!L32,K28-'Grid_Requirement'!L28+'Grid_TTAFOutgoing'!L28))</f>
        <v/>
      </c>
      <c r="M28">
        <f>IF(COUNTIFS(T_StockCount[Part Name],$A28,T_StockCount[WeekIndex],12)&gt;0,SUMIFS(T_StockCount[CountedQty],T_StockCount[Part Name],$A28,T_StockCount[WeekIndex],12),IF(('T_SelfStock'!M32&lt;&gt;""),'T_SelfStock'!M32,L28-'Grid_Requirement'!M28+'Grid_TTAFOutgoing'!M28))</f>
        <v/>
      </c>
      <c r="N28">
        <f>IF(COUNTIFS(T_StockCount[Part Name],$A28,T_StockCount[WeekIndex],13)&gt;0,SUMIFS(T_StockCount[CountedQty],T_StockCount[Part Name],$A28,T_StockCount[WeekIndex],13),IF(('T_SelfStock'!N32&lt;&gt;""),'T_SelfStock'!N32,M28-'Grid_Requirement'!N28+'Grid_TTAFOutgoing'!N28))</f>
        <v/>
      </c>
      <c r="O28">
        <f>IF(COUNTIFS(T_StockCount[Part Name],$A28,T_StockCount[WeekIndex],14)&gt;0,SUMIFS(T_StockCount[CountedQty],T_StockCount[Part Name],$A28,T_StockCount[WeekIndex],14),IF(('T_SelfStock'!O32&lt;&gt;""),'T_SelfStock'!O32,N28-'Grid_Requirement'!O28+'Grid_TTAFOutgoing'!O28))</f>
        <v/>
      </c>
      <c r="P28">
        <f>IF(COUNTIFS(T_StockCount[Part Name],$A28,T_StockCount[WeekIndex],15)&gt;0,SUMIFS(T_StockCount[CountedQty],T_StockCount[Part Name],$A28,T_StockCount[WeekIndex],15),IF(('T_SelfStock'!P32&lt;&gt;""),'T_SelfStock'!P32,O28-'Grid_Requirement'!P28+'Grid_TTAFOutgoing'!P28))</f>
        <v/>
      </c>
      <c r="Q28">
        <f>IF(COUNTIFS(T_StockCount[Part Name],$A28,T_StockCount[WeekIndex],16)&gt;0,SUMIFS(T_StockCount[CountedQty],T_StockCount[Part Name],$A28,T_StockCount[WeekIndex],16),IF(('T_SelfStock'!Q32&lt;&gt;""),'T_SelfStock'!Q32,P28-'Grid_Requirement'!Q28+'Grid_TTAFOutgoing'!Q28))</f>
        <v/>
      </c>
      <c r="R28">
        <f>IF(COUNTIFS(T_StockCount[Part Name],$A28,T_StockCount[WeekIndex],17)&gt;0,SUMIFS(T_StockCount[CountedQty],T_StockCount[Part Name],$A28,T_StockCount[WeekIndex],17),IF(('T_SelfStock'!R32&lt;&gt;""),'T_SelfStock'!R32,Q28-'Grid_Requirement'!R28+'Grid_TTAFOutgoing'!R28))</f>
        <v/>
      </c>
      <c r="S28">
        <f>IF(COUNTIFS(T_StockCount[Part Name],$A28,T_StockCount[WeekIndex],18)&gt;0,SUMIFS(T_StockCount[CountedQty],T_StockCount[Part Name],$A28,T_StockCount[WeekIndex],18),IF(('T_SelfStock'!S32&lt;&gt;""),'T_SelfStock'!S32,R28-'Grid_Requirement'!S28+'Grid_TTAFOutgoing'!S28))</f>
        <v/>
      </c>
      <c r="T28">
        <f>IF(COUNTIFS(T_StockCount[Part Name],$A28,T_StockCount[WeekIndex],19)&gt;0,SUMIFS(T_StockCount[CountedQty],T_StockCount[Part Name],$A28,T_StockCount[WeekIndex],19),IF(('T_SelfStock'!T32&lt;&gt;""),'T_SelfStock'!T32,S28-'Grid_Requirement'!T28+'Grid_TTAFOutgoing'!T28))</f>
        <v/>
      </c>
      <c r="U28">
        <f>IF(COUNTIFS(T_StockCount[Part Name],$A28,T_StockCount[WeekIndex],20)&gt;0,SUMIFS(T_StockCount[CountedQty],T_StockCount[Part Name],$A28,T_StockCount[WeekIndex],20),IF(('T_SelfStock'!U32&lt;&gt;""),'T_SelfStock'!U32,T28-'Grid_Requirement'!U28+'Grid_TTAFOutgoing'!U28))</f>
        <v/>
      </c>
      <c r="V28">
        <f>IF(COUNTIFS(T_StockCount[Part Name],$A28,T_StockCount[WeekIndex],21)&gt;0,SUMIFS(T_StockCount[CountedQty],T_StockCount[Part Name],$A28,T_StockCount[WeekIndex],21),IF(('T_SelfStock'!V32&lt;&gt;""),'T_SelfStock'!V32,U28-'Grid_Requirement'!V28+'Grid_TTAFOutgoing'!V28))</f>
        <v/>
      </c>
      <c r="W28">
        <f>IF(COUNTIFS(T_StockCount[Part Name],$A28,T_StockCount[WeekIndex],22)&gt;0,SUMIFS(T_StockCount[CountedQty],T_StockCount[Part Name],$A28,T_StockCount[WeekIndex],22),IF(('T_SelfStock'!W32&lt;&gt;""),'T_SelfStock'!W32,V28-'Grid_Requirement'!W28+'Grid_TTAFOutgoing'!W28))</f>
        <v/>
      </c>
      <c r="X28">
        <f>IF(COUNTIFS(T_StockCount[Part Name],$A28,T_StockCount[WeekIndex],23)&gt;0,SUMIFS(T_StockCount[CountedQty],T_StockCount[Part Name],$A28,T_StockCount[WeekIndex],23),IF(('T_SelfStock'!X32&lt;&gt;""),'T_SelfStock'!X32,W28-'Grid_Requirement'!X28+'Grid_TTAFOutgoing'!X28))</f>
        <v/>
      </c>
      <c r="Y28">
        <f>IF(COUNTIFS(T_StockCount[Part Name],$A28,T_StockCount[WeekIndex],24)&gt;0,SUMIFS(T_StockCount[CountedQty],T_StockCount[Part Name],$A28,T_StockCount[WeekIndex],24),IF(('T_SelfStock'!Y32&lt;&gt;""),'T_SelfStock'!Y32,X28-'Grid_Requirement'!Y28+'Grid_TTAFOutgoing'!Y28))</f>
        <v/>
      </c>
      <c r="Z28">
        <f>IF(COUNTIFS(T_StockCount[Part Name],$A28,T_StockCount[WeekIndex],25)&gt;0,SUMIFS(T_StockCount[CountedQty],T_StockCount[Part Name],$A28,T_StockCount[WeekIndex],25),IF(('T_SelfStock'!Z32&lt;&gt;""),'T_SelfStock'!Z32,Y28-'Grid_Requirement'!Z28+'Grid_TTAFOutgoing'!Z28))</f>
        <v/>
      </c>
      <c r="AA28">
        <f>IF(COUNTIFS(T_StockCount[Part Name],$A28,T_StockCount[WeekIndex],26)&gt;0,SUMIFS(T_StockCount[CountedQty],T_StockCount[Part Name],$A28,T_StockCount[WeekIndex],26),IF(('T_SelfStock'!AA32&lt;&gt;""),'T_SelfStock'!AA32,Z28-'Grid_Requirement'!AA28+'Grid_TTAFOutgoing'!AA28))</f>
        <v/>
      </c>
      <c r="AB28">
        <f>IF(COUNTIFS(T_StockCount[Part Name],$A28,T_StockCount[WeekIndex],27)&gt;0,SUMIFS(T_StockCount[CountedQty],T_StockCount[Part Name],$A28,T_StockCount[WeekIndex],27),IF(('T_SelfStock'!AB32&lt;&gt;""),'T_SelfStock'!AB32,AA28-'Grid_Requirement'!AB28+'Grid_TTAFOutgoing'!AB28))</f>
        <v/>
      </c>
      <c r="AC28">
        <f>IF(COUNTIFS(T_StockCount[Part Name],$A28,T_StockCount[WeekIndex],28)&gt;0,SUMIFS(T_StockCount[CountedQty],T_StockCount[Part Name],$A28,T_StockCount[WeekIndex],28),IF(('T_SelfStock'!AC32&lt;&gt;""),'T_SelfStock'!AC32,AB28-'Grid_Requirement'!AC28+'Grid_TTAFOutgoing'!AC28))</f>
        <v/>
      </c>
      <c r="AD28">
        <f>IF(COUNTIFS(T_StockCount[Part Name],$A28,T_StockCount[WeekIndex],29)&gt;0,SUMIFS(T_StockCount[CountedQty],T_StockCount[Part Name],$A28,T_StockCount[WeekIndex],29),IF(('T_SelfStock'!AD32&lt;&gt;""),'T_SelfStock'!AD32,AC28-'Grid_Requirement'!AD28+'Grid_TTAFOutgoing'!AD28))</f>
        <v/>
      </c>
      <c r="AE28">
        <f>IF(COUNTIFS(T_StockCount[Part Name],$A28,T_StockCount[WeekIndex],30)&gt;0,SUMIFS(T_StockCount[CountedQty],T_StockCount[Part Name],$A28,T_StockCount[WeekIndex],30),IF(('T_SelfStock'!AE32&lt;&gt;""),'T_SelfStock'!AE32,AD28-'Grid_Requirement'!AE28+'Grid_TTAFOutgoing'!AE28))</f>
        <v/>
      </c>
      <c r="AF28">
        <f>IF(COUNTIFS(T_StockCount[Part Name],$A28,T_StockCount[WeekIndex],31)&gt;0,SUMIFS(T_StockCount[CountedQty],T_StockCount[Part Name],$A28,T_StockCount[WeekIndex],31),IF(('T_SelfStock'!AF32&lt;&gt;""),'T_SelfStock'!AF32,AE28-'Grid_Requirement'!AF28+'Grid_TTAFOutgoing'!AF28))</f>
        <v/>
      </c>
      <c r="AG28">
        <f>IF(COUNTIFS(T_StockCount[Part Name],$A28,T_StockCount[WeekIndex],32)&gt;0,SUMIFS(T_StockCount[CountedQty],T_StockCount[Part Name],$A28,T_StockCount[WeekIndex],32),IF(('T_SelfStock'!AG32&lt;&gt;""),'T_SelfStock'!AG32,AF28-'Grid_Requirement'!AG28+'Grid_TTAFOutgoing'!AG28))</f>
        <v/>
      </c>
      <c r="AH28">
        <f>IF(COUNTIFS(T_StockCount[Part Name],$A28,T_StockCount[WeekIndex],33)&gt;0,SUMIFS(T_StockCount[CountedQty],T_StockCount[Part Name],$A28,T_StockCount[WeekIndex],33),IF(('T_SelfStock'!AH32&lt;&gt;""),'T_SelfStock'!AH32,AG28-'Grid_Requirement'!AH28+'Grid_TTAFOutgoing'!AH28))</f>
        <v/>
      </c>
      <c r="AI28">
        <f>IF(COUNTIFS(T_StockCount[Part Name],$A28,T_StockCount[WeekIndex],34)&gt;0,SUMIFS(T_StockCount[CountedQty],T_StockCount[Part Name],$A28,T_StockCount[WeekIndex],34),IF(('T_SelfStock'!AI32&lt;&gt;""),'T_SelfStock'!AI32,AH28-'Grid_Requirement'!AI28+'Grid_TTAFOutgoing'!AI28))</f>
        <v/>
      </c>
      <c r="AJ28">
        <f>IF(COUNTIFS(T_StockCount[Part Name],$A28,T_StockCount[WeekIndex],35)&gt;0,SUMIFS(T_StockCount[CountedQty],T_StockCount[Part Name],$A28,T_StockCount[WeekIndex],35),IF(('T_SelfStock'!AJ32&lt;&gt;""),'T_SelfStock'!AJ32,AI28-'Grid_Requirement'!AJ28+'Grid_TTAFOutgoing'!AJ28))</f>
        <v/>
      </c>
      <c r="AK28">
        <f>IF(COUNTIFS(T_StockCount[Part Name],$A28,T_StockCount[WeekIndex],36)&gt;0,SUMIFS(T_StockCount[CountedQty],T_StockCount[Part Name],$A28,T_StockCount[WeekIndex],36),IF(('T_SelfStock'!AK32&lt;&gt;""),'T_SelfStock'!AK32,AJ28-'Grid_Requirement'!AK28+'Grid_TTAFOutgoing'!AK28))</f>
        <v/>
      </c>
      <c r="AL28">
        <f>IF(COUNTIFS(T_StockCount[Part Name],$A28,T_StockCount[WeekIndex],37)&gt;0,SUMIFS(T_StockCount[CountedQty],T_StockCount[Part Name],$A28,T_StockCount[WeekIndex],37),IF(('T_SelfStock'!AL32&lt;&gt;""),'T_SelfStock'!AL32,AK28-'Grid_Requirement'!AL28+'Grid_TTAFOutgoing'!AL28))</f>
        <v/>
      </c>
      <c r="AM28">
        <f>IF(COUNTIFS(T_StockCount[Part Name],$A28,T_StockCount[WeekIndex],38)&gt;0,SUMIFS(T_StockCount[CountedQty],T_StockCount[Part Name],$A28,T_StockCount[WeekIndex],38),IF(('T_SelfStock'!AM32&lt;&gt;""),'T_SelfStock'!AM32,AL28-'Grid_Requirement'!AM28+'Grid_TTAFOutgoing'!AM28))</f>
        <v/>
      </c>
      <c r="AN28">
        <f>IF(COUNTIFS(T_StockCount[Part Name],$A28,T_StockCount[WeekIndex],39)&gt;0,SUMIFS(T_StockCount[CountedQty],T_StockCount[Part Name],$A28,T_StockCount[WeekIndex],39),IF(('T_SelfStock'!AN32&lt;&gt;""),'T_SelfStock'!AN32,AM28-'Grid_Requirement'!AN28+'Grid_TTAFOutgoing'!AN28))</f>
        <v/>
      </c>
      <c r="AO28">
        <f>IF(COUNTIFS(T_StockCount[Part Name],$A28,T_StockCount[WeekIndex],40)&gt;0,SUMIFS(T_StockCount[CountedQty],T_StockCount[Part Name],$A28,T_StockCount[WeekIndex],40),IF(('T_SelfStock'!AO32&lt;&gt;""),'T_SelfStock'!AO32,AN28-'Grid_Requirement'!AO28+'Grid_TTAFOutgoing'!AO28))</f>
        <v/>
      </c>
      <c r="AP28">
        <f>IF(COUNTIFS(T_StockCount[Part Name],$A28,T_StockCount[WeekIndex],41)&gt;0,SUMIFS(T_StockCount[CountedQty],T_StockCount[Part Name],$A28,T_StockCount[WeekIndex],41),IF(('T_SelfStock'!AP32&lt;&gt;""),'T_SelfStock'!AP32,AO28-'Grid_Requirement'!AP28+'Grid_TTAFOutgoing'!AP28))</f>
        <v/>
      </c>
      <c r="AQ28">
        <f>IF(COUNTIFS(T_StockCount[Part Name],$A28,T_StockCount[WeekIndex],42)&gt;0,SUMIFS(T_StockCount[CountedQty],T_StockCount[Part Name],$A28,T_StockCount[WeekIndex],42),IF(('T_SelfStock'!AQ32&lt;&gt;""),'T_SelfStock'!AQ32,AP28-'Grid_Requirement'!AQ28+'Grid_TTAFOutgoing'!AQ28))</f>
        <v/>
      </c>
      <c r="AR28">
        <f>IF(COUNTIFS(T_StockCount[Part Name],$A28,T_StockCount[WeekIndex],43)&gt;0,SUMIFS(T_StockCount[CountedQty],T_StockCount[Part Name],$A28,T_StockCount[WeekIndex],43),IF(('T_SelfStock'!AR32&lt;&gt;""),'T_SelfStock'!AR32,AQ28-'Grid_Requirement'!AR28+'Grid_TTAFOutgoing'!AR28))</f>
        <v/>
      </c>
      <c r="AS28">
        <f>IF(COUNTIFS(T_StockCount[Part Name],$A28,T_StockCount[WeekIndex],44)&gt;0,SUMIFS(T_StockCount[CountedQty],T_StockCount[Part Name],$A28,T_StockCount[WeekIndex],44),IF(('T_SelfStock'!AS32&lt;&gt;""),'T_SelfStock'!AS32,AR28-'Grid_Requirement'!AS28+'Grid_TTAFOutgoing'!AS28))</f>
        <v/>
      </c>
      <c r="AT28">
        <f>IF(COUNTIFS(T_StockCount[Part Name],$A28,T_StockCount[WeekIndex],45)&gt;0,SUMIFS(T_StockCount[CountedQty],T_StockCount[Part Name],$A28,T_StockCount[WeekIndex],45),IF(('T_SelfStock'!AT32&lt;&gt;""),'T_SelfStock'!AT32,AS28-'Grid_Requirement'!AT28+'Grid_TTAFOutgoing'!AT28))</f>
        <v/>
      </c>
      <c r="AU28">
        <f>IF(COUNTIFS(T_StockCount[Part Name],$A28,T_StockCount[WeekIndex],46)&gt;0,SUMIFS(T_StockCount[CountedQty],T_StockCount[Part Name],$A28,T_StockCount[WeekIndex],46),IF(('T_SelfStock'!AU32&lt;&gt;""),'T_SelfStock'!AU32,AT28-'Grid_Requirement'!AU28+'Grid_TTAFOutgoing'!AU28))</f>
        <v/>
      </c>
      <c r="AV28">
        <f>IF(COUNTIFS(T_StockCount[Part Name],$A28,T_StockCount[WeekIndex],47)&gt;0,SUMIFS(T_StockCount[CountedQty],T_StockCount[Part Name],$A28,T_StockCount[WeekIndex],47),IF(('T_SelfStock'!AV32&lt;&gt;""),'T_SelfStock'!AV32,AU28-'Grid_Requirement'!AV28+'Grid_TTAFOutgoing'!AV28))</f>
        <v/>
      </c>
      <c r="AW28">
        <f>IF(COUNTIFS(T_StockCount[Part Name],$A28,T_StockCount[WeekIndex],48)&gt;0,SUMIFS(T_StockCount[CountedQty],T_StockCount[Part Name],$A28,T_StockCount[WeekIndex],48),IF(('T_SelfStock'!AW32&lt;&gt;""),'T_SelfStock'!AW32,AV28-'Grid_Requirement'!AW28+'Grid_TTAFOutgoing'!AW28))</f>
        <v/>
      </c>
      <c r="AX28">
        <f>IF(COUNTIFS(T_StockCount[Part Name],$A28,T_StockCount[WeekIndex],49)&gt;0,SUMIFS(T_StockCount[CountedQty],T_StockCount[Part Name],$A28,T_StockCount[WeekIndex],49),IF(('T_SelfStock'!AX32&lt;&gt;""),'T_SelfStock'!AX32,AW28-'Grid_Requirement'!AX28+'Grid_TTAFOutgoing'!AX28))</f>
        <v/>
      </c>
      <c r="AY28">
        <f>IF(COUNTIFS(T_StockCount[Part Name],$A28,T_StockCount[WeekIndex],50)&gt;0,SUMIFS(T_StockCount[CountedQty],T_StockCount[Part Name],$A28,T_StockCount[WeekIndex],50),IF(('T_SelfStock'!AY32&lt;&gt;""),'T_SelfStock'!AY32,AX28-'Grid_Requirement'!AY28+'Grid_TTAFOutgoing'!AY28))</f>
        <v/>
      </c>
      <c r="AZ28">
        <f>IF(COUNTIFS(T_StockCount[Part Name],$A28,T_StockCount[WeekIndex],51)&gt;0,SUMIFS(T_StockCount[CountedQty],T_StockCount[Part Name],$A28,T_StockCount[WeekIndex],51),IF(('T_SelfStock'!AZ32&lt;&gt;""),'T_SelfStock'!AZ32,AY28-'Grid_Requirement'!AZ28+'Grid_TTAFOutgoing'!AZ28))</f>
        <v/>
      </c>
      <c r="BA28">
        <f>IF(COUNTIFS(T_StockCount[Part Name],$A28,T_StockCount[WeekIndex],52)&gt;0,SUMIFS(T_StockCount[CountedQty],T_StockCount[Part Name],$A28,T_StockCount[WeekIndex],52),IF(('T_SelfStock'!BA32&lt;&gt;""),'T_SelfStock'!BA32,AZ28-'Grid_Requirement'!BA28+'Grid_TTAFOutgoing'!BA28))</f>
        <v/>
      </c>
      <c r="BB28">
        <f>IF(COUNTIFS(T_StockCount[Part Name],$A28,T_StockCount[WeekIndex],53)&gt;0,SUMIFS(T_StockCount[CountedQty],T_StockCount[Part Name],$A28,T_StockCount[WeekIndex],53),IF(('T_SelfStock'!BB32&lt;&gt;""),'T_SelfStock'!BB32,BA28-'Grid_Requirement'!BB28+'Grid_TTAFOutgoing'!BB28))</f>
        <v/>
      </c>
      <c r="BC28">
        <f>IF(COUNTIFS(T_StockCount[Part Name],$A28,T_StockCount[WeekIndex],54)&gt;0,SUMIFS(T_StockCount[CountedQty],T_StockCount[Part Name],$A28,T_StockCount[WeekIndex],54),IF(('T_SelfStock'!BC32&lt;&gt;""),'T_SelfStock'!BC32,BB28-'Grid_Requirement'!BC28+'Grid_TTAFOutgoing'!BC28))</f>
        <v/>
      </c>
      <c r="BD28">
        <f>IF(COUNTIFS(T_StockCount[Part Name],$A28,T_StockCount[WeekIndex],55)&gt;0,SUMIFS(T_StockCount[CountedQty],T_StockCount[Part Name],$A28,T_StockCount[WeekIndex],55),IF(('T_SelfStock'!BD32&lt;&gt;""),'T_SelfStock'!BD32,BC28-'Grid_Requirement'!BD28+'Grid_TTAFOutgoing'!BD28))</f>
        <v/>
      </c>
      <c r="BE28">
        <f>IF(COUNTIFS(T_StockCount[Part Name],$A28,T_StockCount[WeekIndex],56)&gt;0,SUMIFS(T_StockCount[CountedQty],T_StockCount[Part Name],$A28,T_StockCount[WeekIndex],56),IF(('T_SelfStock'!BE32&lt;&gt;""),'T_SelfStock'!BE32,BD28-'Grid_Requirement'!BE28+'Grid_TTAFOutgoing'!BE28))</f>
        <v/>
      </c>
      <c r="BF28">
        <f>IF(COUNTIFS(T_StockCount[Part Name],$A28,T_StockCount[WeekIndex],57)&gt;0,SUMIFS(T_StockCount[CountedQty],T_StockCount[Part Name],$A28,T_StockCount[WeekIndex],57),IF(('T_SelfStock'!BF32&lt;&gt;""),'T_SelfStock'!BF32,BE28-'Grid_Requirement'!BF28+'Grid_TTAFOutgoing'!BF28))</f>
        <v/>
      </c>
      <c r="BG28">
        <f>IF(COUNTIFS(T_StockCount[Part Name],$A28,T_StockCount[WeekIndex],58)&gt;0,SUMIFS(T_StockCount[CountedQty],T_StockCount[Part Name],$A28,T_StockCount[WeekIndex],58),IF(('T_SelfStock'!BG32&lt;&gt;""),'T_SelfStock'!BG32,BF28-'Grid_Requirement'!BG28+'Grid_TTAFOutgoing'!BG28))</f>
        <v/>
      </c>
      <c r="BH28">
        <f>IF(COUNTIFS(T_StockCount[Part Name],$A28,T_StockCount[WeekIndex],59)&gt;0,SUMIFS(T_StockCount[CountedQty],T_StockCount[Part Name],$A28,T_StockCount[WeekIndex],59),IF(('T_SelfStock'!BH32&lt;&gt;""),'T_SelfStock'!BH32,BG28-'Grid_Requirement'!BH28+'Grid_TTAFOutgoing'!BH28))</f>
        <v/>
      </c>
      <c r="BI28">
        <f>IF(COUNTIFS(T_StockCount[Part Name],$A28,T_StockCount[WeekIndex],60)&gt;0,SUMIFS(T_StockCount[CountedQty],T_StockCount[Part Name],$A28,T_StockCount[WeekIndex],60),IF(('T_SelfStock'!BI32&lt;&gt;""),'T_SelfStock'!BI32,BH28-'Grid_Requirement'!BI28+'Grid_TTAFOutgoing'!BI28))</f>
        <v/>
      </c>
      <c r="BJ28">
        <f>IF(COUNTIFS(T_StockCount[Part Name],$A28,T_StockCount[WeekIndex],61)&gt;0,SUMIFS(T_StockCount[CountedQty],T_StockCount[Part Name],$A28,T_StockCount[WeekIndex],61),IF(('T_SelfStock'!BJ32&lt;&gt;""),'T_SelfStock'!BJ32,BI28-'Grid_Requirement'!BJ28+'Grid_TTAFOutgoing'!BJ28))</f>
        <v/>
      </c>
      <c r="BK28">
        <f>IF(COUNTIFS(T_StockCount[Part Name],$A28,T_StockCount[WeekIndex],62)&gt;0,SUMIFS(T_StockCount[CountedQty],T_StockCount[Part Name],$A28,T_StockCount[WeekIndex],62),IF(('T_SelfStock'!BK32&lt;&gt;""),'T_SelfStock'!BK32,BJ28-'Grid_Requirement'!BK28+'Grid_TTAFOutgoing'!BK28))</f>
        <v/>
      </c>
      <c r="BL28">
        <f>IF(COUNTIFS(T_StockCount[Part Name],$A28,T_StockCount[WeekIndex],63)&gt;0,SUMIFS(T_StockCount[CountedQty],T_StockCount[Part Name],$A28,T_StockCount[WeekIndex],63),IF(('T_SelfStock'!BL32&lt;&gt;""),'T_SelfStock'!BL32,BK28-'Grid_Requirement'!BL28+'Grid_TTAFOutgoing'!BL28))</f>
        <v/>
      </c>
      <c r="BM28">
        <f>IF(COUNTIFS(T_StockCount[Part Name],$A28,T_StockCount[WeekIndex],64)&gt;0,SUMIFS(T_StockCount[CountedQty],T_StockCount[Part Name],$A28,T_StockCount[WeekIndex],64),IF(('T_SelfStock'!BM32&lt;&gt;""),'T_SelfStock'!BM32,BL28-'Grid_Requirement'!BM28+'Grid_TTAFOutgoing'!BM28))</f>
        <v/>
      </c>
      <c r="BN28">
        <f>IF(COUNTIFS(T_StockCount[Part Name],$A28,T_StockCount[WeekIndex],65)&gt;0,SUMIFS(T_StockCount[CountedQty],T_StockCount[Part Name],$A28,T_StockCount[WeekIndex],65),IF(('T_SelfStock'!BN32&lt;&gt;""),'T_SelfStock'!BN32,BM28-'Grid_Requirement'!BN28+'Grid_TTAFOutgoing'!BN28))</f>
        <v/>
      </c>
      <c r="BO28">
        <f>IF(COUNTIFS(T_StockCount[Part Name],$A28,T_StockCount[WeekIndex],66)&gt;0,SUMIFS(T_StockCount[CountedQty],T_StockCount[Part Name],$A28,T_StockCount[WeekIndex],66),IF(('T_SelfStock'!BO32&lt;&gt;""),'T_SelfStock'!BO32,BN28-'Grid_Requirement'!BO28+'Grid_TTAFOutgoing'!BO28))</f>
        <v/>
      </c>
      <c r="BP28">
        <f>IF(COUNTIFS(T_StockCount[Part Name],$A28,T_StockCount[WeekIndex],67)&gt;0,SUMIFS(T_StockCount[CountedQty],T_StockCount[Part Name],$A28,T_StockCount[WeekIndex],67),IF(('T_SelfStock'!BP32&lt;&gt;""),'T_SelfStock'!BP32,BO28-'Grid_Requirement'!BP28+'Grid_TTAFOutgoing'!BP28))</f>
        <v/>
      </c>
      <c r="BQ28">
        <f>IF(COUNTIFS(T_StockCount[Part Name],$A28,T_StockCount[WeekIndex],68)&gt;0,SUMIFS(T_StockCount[CountedQty],T_StockCount[Part Name],$A28,T_StockCount[WeekIndex],68),IF(('T_SelfStock'!BQ32&lt;&gt;""),'T_SelfStock'!BQ32,BP28-'Grid_Requirement'!BQ28+'Grid_TTAFOutgoing'!BQ28))</f>
        <v/>
      </c>
      <c r="BR28">
        <f>IF(COUNTIFS(T_StockCount[Part Name],$A28,T_StockCount[WeekIndex],69)&gt;0,SUMIFS(T_StockCount[CountedQty],T_StockCount[Part Name],$A28,T_StockCount[WeekIndex],69),IF(('T_SelfStock'!BR32&lt;&gt;""),'T_SelfStock'!BR32,BQ28-'Grid_Requirement'!BR28+'Grid_TTAFOutgoing'!BR28))</f>
        <v/>
      </c>
      <c r="BS28">
        <f>IF(COUNTIFS(T_StockCount[Part Name],$A28,T_StockCount[WeekIndex],70)&gt;0,SUMIFS(T_StockCount[CountedQty],T_StockCount[Part Name],$A28,T_StockCount[WeekIndex],70),IF(('T_SelfStock'!BS32&lt;&gt;""),'T_SelfStock'!BS32,BR28-'Grid_Requirement'!BS28+'Grid_TTAFOutgoing'!BS28))</f>
        <v/>
      </c>
      <c r="BT28">
        <f>IF(COUNTIFS(T_StockCount[Part Name],$A28,T_StockCount[WeekIndex],71)&gt;0,SUMIFS(T_StockCount[CountedQty],T_StockCount[Part Name],$A28,T_StockCount[WeekIndex],71),IF(('T_SelfStock'!BT32&lt;&gt;""),'T_SelfStock'!BT32,BS28-'Grid_Requirement'!BT28+'Grid_TTAFOutgoing'!BT28))</f>
        <v/>
      </c>
      <c r="BU28">
        <f>IF(COUNTIFS(T_StockCount[Part Name],$A28,T_StockCount[WeekIndex],72)&gt;0,SUMIFS(T_StockCount[CountedQty],T_StockCount[Part Name],$A28,T_StockCount[WeekIndex],72),IF(('T_SelfStock'!BU32&lt;&gt;""),'T_SelfStock'!BU32,BT28-'Grid_Requirement'!BU28+'Grid_TTAFOutgoing'!BU28))</f>
        <v/>
      </c>
      <c r="BV28">
        <f>IF(COUNTIFS(T_StockCount[Part Name],$A28,T_StockCount[WeekIndex],73)&gt;0,SUMIFS(T_StockCount[CountedQty],T_StockCount[Part Name],$A28,T_StockCount[WeekIndex],73),IF(('T_SelfStock'!BV32&lt;&gt;""),'T_SelfStock'!BV32,BU28-'Grid_Requirement'!BV28+'Grid_TTAFOutgoing'!BV28))</f>
        <v/>
      </c>
      <c r="BW28">
        <f>IF(COUNTIFS(T_StockCount[Part Name],$A28,T_StockCount[WeekIndex],74)&gt;0,SUMIFS(T_StockCount[CountedQty],T_StockCount[Part Name],$A28,T_StockCount[WeekIndex],74),IF(('T_SelfStock'!BW32&lt;&gt;""),'T_SelfStock'!BW32,BV28-'Grid_Requirement'!BW28+'Grid_TTAFOutgoing'!BW28))</f>
        <v/>
      </c>
      <c r="BX28">
        <f>IF(COUNTIFS(T_StockCount[Part Name],$A28,T_StockCount[WeekIndex],75)&gt;0,SUMIFS(T_StockCount[CountedQty],T_StockCount[Part Name],$A28,T_StockCount[WeekIndex],75),IF(('T_SelfStock'!BX32&lt;&gt;""),'T_SelfStock'!BX32,BW28-'Grid_Requirement'!BX28+'Grid_TTAFOutgoing'!BX28))</f>
        <v/>
      </c>
      <c r="BY28">
        <f>IF(COUNTIFS(T_StockCount[Part Name],$A28,T_StockCount[WeekIndex],76)&gt;0,SUMIFS(T_StockCount[CountedQty],T_StockCount[Part Name],$A28,T_StockCount[WeekIndex],76),IF(('T_SelfStock'!BY32&lt;&gt;""),'T_SelfStock'!BY32,BX28-'Grid_Requirement'!BY28+'Grid_TTAFOutgoing'!BY28))</f>
        <v/>
      </c>
      <c r="BZ28">
        <f>IF(COUNTIFS(T_StockCount[Part Name],$A28,T_StockCount[WeekIndex],77)&gt;0,SUMIFS(T_StockCount[CountedQty],T_StockCount[Part Name],$A28,T_StockCount[WeekIndex],77),IF(('T_SelfStock'!BZ32&lt;&gt;""),'T_SelfStock'!BZ32,BY28-'Grid_Requirement'!BZ28+'Grid_TTAFOutgoing'!BZ28))</f>
        <v/>
      </c>
      <c r="CA28">
        <f>IF(COUNTIFS(T_StockCount[Part Name],$A28,T_StockCount[WeekIndex],78)&gt;0,SUMIFS(T_StockCount[CountedQty],T_StockCount[Part Name],$A28,T_StockCount[WeekIndex],78),IF(('T_SelfStock'!CA32&lt;&gt;""),'T_SelfStock'!CA32,BZ28-'Grid_Requirement'!CA28+'Grid_TTAFOutgoing'!CA28))</f>
        <v/>
      </c>
      <c r="CB28">
        <f>IF(COUNTIFS(T_StockCount[Part Name],$A28,T_StockCount[WeekIndex],79)&gt;0,SUMIFS(T_StockCount[CountedQty],T_StockCount[Part Name],$A28,T_StockCount[WeekIndex],79),IF(('T_SelfStock'!CB32&lt;&gt;""),'T_SelfStock'!CB32,CA28-'Grid_Requirement'!CB28+'Grid_TTAFOutgoing'!CB28))</f>
        <v/>
      </c>
      <c r="CC28">
        <f>IF(COUNTIFS(T_StockCount[Part Name],$A28,T_StockCount[WeekIndex],80)&gt;0,SUMIFS(T_StockCount[CountedQty],T_StockCount[Part Name],$A28,T_StockCount[WeekIndex],80),IF(('T_SelfStock'!CC32&lt;&gt;""),'T_SelfStock'!CC32,CB28-'Grid_Requirement'!CC28+'Grid_TTAFOutgoing'!CC28))</f>
        <v/>
      </c>
      <c r="CD28">
        <f>IF(COUNTIFS(T_StockCount[Part Name],$A28,T_StockCount[WeekIndex],81)&gt;0,SUMIFS(T_StockCount[CountedQty],T_StockCount[Part Name],$A28,T_StockCount[WeekIndex],81),IF(('T_SelfStock'!CD32&lt;&gt;""),'T_SelfStock'!CD32,CC28-'Grid_Requirement'!CD28+'Grid_TTAFOutgoing'!CD28))</f>
        <v/>
      </c>
      <c r="CE28">
        <f>IF(COUNTIFS(T_StockCount[Part Name],$A28,T_StockCount[WeekIndex],82)&gt;0,SUMIFS(T_StockCount[CountedQty],T_StockCount[Part Name],$A28,T_StockCount[WeekIndex],82),IF(('T_SelfStock'!CE32&lt;&gt;""),'T_SelfStock'!CE32,CD28-'Grid_Requirement'!CE28+'Grid_TTAFOutgoing'!CE28))</f>
        <v/>
      </c>
      <c r="CF28">
        <f>IF(COUNTIFS(T_StockCount[Part Name],$A28,T_StockCount[WeekIndex],83)&gt;0,SUMIFS(T_StockCount[CountedQty],T_StockCount[Part Name],$A28,T_StockCount[WeekIndex],83),IF(('T_SelfStock'!CF32&lt;&gt;""),'T_SelfStock'!CF32,CE28-'Grid_Requirement'!CF28+'Grid_TTAFOutgoing'!CF28))</f>
        <v/>
      </c>
      <c r="CG28">
        <f>IF(COUNTIFS(T_StockCount[Part Name],$A28,T_StockCount[WeekIndex],84)&gt;0,SUMIFS(T_StockCount[CountedQty],T_StockCount[Part Name],$A28,T_StockCount[WeekIndex],84),IF(('T_SelfStock'!CG32&lt;&gt;""),'T_SelfStock'!CG32,CF28-'Grid_Requirement'!CG28+'Grid_TTAFOutgoing'!CG28))</f>
        <v/>
      </c>
      <c r="CH28">
        <f>IF(COUNTIFS(T_StockCount[Part Name],$A28,T_StockCount[WeekIndex],85)&gt;0,SUMIFS(T_StockCount[CountedQty],T_StockCount[Part Name],$A28,T_StockCount[WeekIndex],85),IF(('T_SelfStock'!CH32&lt;&gt;""),'T_SelfStock'!CH32,CG28-'Grid_Requirement'!CH28+'Grid_TTAFOutgoing'!CH28))</f>
        <v/>
      </c>
      <c r="CI28">
        <f>IF(COUNTIFS(T_StockCount[Part Name],$A28,T_StockCount[WeekIndex],86)&gt;0,SUMIFS(T_StockCount[CountedQty],T_StockCount[Part Name],$A28,T_StockCount[WeekIndex],86),IF(('T_SelfStock'!CI32&lt;&gt;""),'T_SelfStock'!CI32,CH28-'Grid_Requirement'!CI28+'Grid_TTAFOutgoing'!CI28))</f>
        <v/>
      </c>
      <c r="CJ28">
        <f>IF(COUNTIFS(T_StockCount[Part Name],$A28,T_StockCount[WeekIndex],87)&gt;0,SUMIFS(T_StockCount[CountedQty],T_StockCount[Part Name],$A28,T_StockCount[WeekIndex],87),IF(('T_SelfStock'!CJ32&lt;&gt;""),'T_SelfStock'!CJ32,CI28-'Grid_Requirement'!CJ28+'Grid_TTAFOutgoing'!CJ28))</f>
        <v/>
      </c>
      <c r="CK28">
        <f>IF(COUNTIFS(T_StockCount[Part Name],$A28,T_StockCount[WeekIndex],88)&gt;0,SUMIFS(T_StockCount[CountedQty],T_StockCount[Part Name],$A28,T_StockCount[WeekIndex],88),IF(('T_SelfStock'!CK32&lt;&gt;""),'T_SelfStock'!CK32,CJ28-'Grid_Requirement'!CK28+'Grid_TTAFOutgoing'!CK28))</f>
        <v/>
      </c>
      <c r="CL28">
        <f>IF(COUNTIFS(T_StockCount[Part Name],$A28,T_StockCount[WeekIndex],89)&gt;0,SUMIFS(T_StockCount[CountedQty],T_StockCount[Part Name],$A28,T_StockCount[WeekIndex],89),IF(('T_SelfStock'!CL32&lt;&gt;""),'T_SelfStock'!CL32,CK28-'Grid_Requirement'!CL28+'Grid_TTAFOutgoing'!CL28))</f>
        <v/>
      </c>
      <c r="CM28">
        <f>IF(COUNTIFS(T_StockCount[Part Name],$A28,T_StockCount[WeekIndex],90)&gt;0,SUMIFS(T_StockCount[CountedQty],T_StockCount[Part Name],$A28,T_StockCount[WeekIndex],90),IF(('T_SelfStock'!CM32&lt;&gt;""),'T_SelfStock'!CM32,CL28-'Grid_Requirement'!CM28+'Grid_TTAFOutgoing'!CM28))</f>
        <v/>
      </c>
      <c r="CN28">
        <f>IF(COUNTIFS(T_StockCount[Part Name],$A28,T_StockCount[WeekIndex],91)&gt;0,SUMIFS(T_StockCount[CountedQty],T_StockCount[Part Name],$A28,T_StockCount[WeekIndex],91),IF(('T_SelfStock'!CN32&lt;&gt;""),'T_SelfStock'!CN32,CM28-'Grid_Requirement'!CN28+'Grid_TTAFOutgoing'!CN28))</f>
        <v/>
      </c>
      <c r="CO28">
        <f>IF(COUNTIFS(T_StockCount[Part Name],$A28,T_StockCount[WeekIndex],92)&gt;0,SUMIFS(T_StockCount[CountedQty],T_StockCount[Part Name],$A28,T_StockCount[WeekIndex],92),IF(('T_SelfStock'!CO32&lt;&gt;""),'T_SelfStock'!CO32,CN28-'Grid_Requirement'!CO28+'Grid_TTAFOutgoing'!CO28))</f>
        <v/>
      </c>
      <c r="CP28">
        <f>IF(COUNTIFS(T_StockCount[Part Name],$A28,T_StockCount[WeekIndex],93)&gt;0,SUMIFS(T_StockCount[CountedQty],T_StockCount[Part Name],$A28,T_StockCount[WeekIndex],93),IF(('T_SelfStock'!CP32&lt;&gt;""),'T_SelfStock'!CP32,CO28-'Grid_Requirement'!CP28+'Grid_TTAFOutgoing'!CP28))</f>
        <v/>
      </c>
      <c r="CQ28">
        <f>IF(COUNTIFS(T_StockCount[Part Name],$A28,T_StockCount[WeekIndex],94)&gt;0,SUMIFS(T_StockCount[CountedQty],T_StockCount[Part Name],$A28,T_StockCount[WeekIndex],94),IF(('T_SelfStock'!CQ32&lt;&gt;""),'T_SelfStock'!CQ32,CP28-'Grid_Requirement'!CQ28+'Grid_TTAFOutgoing'!CQ28))</f>
        <v/>
      </c>
      <c r="CR28">
        <f>IF(COUNTIFS(T_StockCount[Part Name],$A28,T_StockCount[WeekIndex],95)&gt;0,SUMIFS(T_StockCount[CountedQty],T_StockCount[Part Name],$A28,T_StockCount[WeekIndex],95),IF(('T_SelfStock'!CR32&lt;&gt;""),'T_SelfStock'!CR32,CQ28-'Grid_Requirement'!CR28+'Grid_TTAFOutgoing'!CR28))</f>
        <v/>
      </c>
      <c r="CS28">
        <f>IF(COUNTIFS(T_StockCount[Part Name],$A28,T_StockCount[WeekIndex],96)&gt;0,SUMIFS(T_StockCount[CountedQty],T_StockCount[Part Name],$A28,T_StockCount[WeekIndex],96),IF(('T_SelfStock'!CS32&lt;&gt;""),'T_SelfStock'!CS32,CR28-'Grid_Requirement'!CS28+'Grid_TTAFOutgoing'!CS28))</f>
        <v/>
      </c>
      <c r="CT28">
        <f>IF(COUNTIFS(T_StockCount[Part Name],$A28,T_StockCount[WeekIndex],97)&gt;0,SUMIFS(T_StockCount[CountedQty],T_StockCount[Part Name],$A28,T_StockCount[WeekIndex],97),IF(('T_SelfStock'!CT32&lt;&gt;""),'T_SelfStock'!CT32,CS28-'Grid_Requirement'!CT28+'Grid_TTAFOutgoing'!CT28))</f>
        <v/>
      </c>
      <c r="CU28">
        <f>IF(COUNTIFS(T_StockCount[Part Name],$A28,T_StockCount[WeekIndex],98)&gt;0,SUMIFS(T_StockCount[CountedQty],T_StockCount[Part Name],$A28,T_StockCount[WeekIndex],98),IF(('T_SelfStock'!CU32&lt;&gt;""),'T_SelfStock'!CU32,CT28-'Grid_Requirement'!CU28+'Grid_TTAFOutgoing'!CU28))</f>
        <v/>
      </c>
      <c r="CV28">
        <f>IF(COUNTIFS(T_StockCount[Part Name],$A28,T_StockCount[WeekIndex],99)&gt;0,SUMIFS(T_StockCount[CountedQty],T_StockCount[Part Name],$A28,T_StockCount[WeekIndex],99),IF(('T_SelfStock'!CV32&lt;&gt;""),'T_SelfStock'!CV32,CU28-'Grid_Requirement'!CV28+'Grid_TTAFOutgoing'!CV28))</f>
        <v/>
      </c>
      <c r="CW28">
        <f>IF(COUNTIFS(T_StockCount[Part Name],$A28,T_StockCount[WeekIndex],100)&gt;0,SUMIFS(T_StockCount[CountedQty],T_StockCount[Part Name],$A28,T_StockCount[WeekIndex],100),IF(('T_SelfStock'!CW32&lt;&gt;""),'T_SelfStock'!CW32,CV28-'Grid_Requirement'!CW28+'Grid_TTAFOutgoing'!CW28))</f>
        <v/>
      </c>
      <c r="CX28">
        <f>IF(COUNTIFS(T_StockCount[Part Name],$A28,T_StockCount[WeekIndex],101)&gt;0,SUMIFS(T_StockCount[CountedQty],T_StockCount[Part Name],$A28,T_StockCount[WeekIndex],101),IF(('T_SelfStock'!CX32&lt;&gt;""),'T_SelfStock'!CX32,CW28-'Grid_Requirement'!CX28+'Grid_TTAFOutgoing'!CX28))</f>
        <v/>
      </c>
      <c r="CY28">
        <f>IF(COUNTIFS(T_StockCount[Part Name],$A28,T_StockCount[WeekIndex],102)&gt;0,SUMIFS(T_StockCount[CountedQty],T_StockCount[Part Name],$A28,T_StockCount[WeekIndex],102),IF(('T_SelfStock'!CY32&lt;&gt;""),'T_SelfStock'!CY32,CX28-'Grid_Requirement'!CY28+'Grid_TTAFOutgoing'!CY28))</f>
        <v/>
      </c>
      <c r="CZ28">
        <f>IF(COUNTIFS(T_StockCount[Part Name],$A28,T_StockCount[WeekIndex],103)&gt;0,SUMIFS(T_StockCount[CountedQty],T_StockCount[Part Name],$A28,T_StockCount[WeekIndex],103),IF(('T_SelfStock'!CZ32&lt;&gt;""),'T_SelfStock'!CZ32,CY28-'Grid_Requirement'!CZ28+'Grid_TTAFOutgoing'!CZ28))</f>
        <v/>
      </c>
      <c r="DA28">
        <f>IF(COUNTIFS(T_StockCount[Part Name],$A28,T_StockCount[WeekIndex],104)&gt;0,SUMIFS(T_StockCount[CountedQty],T_StockCount[Part Name],$A28,T_StockCount[WeekIndex],104),IF(('T_SelfStock'!DA32&lt;&gt;""),'T_SelfStock'!DA32,CZ28-'Grid_Requirement'!DA28+'Grid_TTAFOutgoing'!DA28))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Name],$A29,T_StockCount[WeekIndex],1),IF(('T_SelfStock'!B33&lt;&gt;""),'T_SelfStock'!B33,IFERROR(INDEX(T_OpeningStock[Opening_Qty],MATCH($A29,T_OpeningStock[Part Name],0)),0)-'Grid_Requirement'!B29+'Grid_TTAFOutgoing'!B29))</f>
        <v/>
      </c>
      <c r="C29">
        <f>IF(COUNTIFS(T_StockCount[Part Name],$A29,T_StockCount[WeekIndex],2)&gt;0,SUMIFS(T_StockCount[CountedQty],T_StockCount[Part Name],$A29,T_StockCount[WeekIndex],2),IF(('T_SelfStock'!C33&lt;&gt;""),'T_SelfStock'!C33,B29-'Grid_Requirement'!C29+'Grid_TTAFOutgoing'!C29))</f>
        <v/>
      </c>
      <c r="D29">
        <f>IF(COUNTIFS(T_StockCount[Part Name],$A29,T_StockCount[WeekIndex],3)&gt;0,SUMIFS(T_StockCount[CountedQty],T_StockCount[Part Name],$A29,T_StockCount[WeekIndex],3),IF(('T_SelfStock'!D33&lt;&gt;""),'T_SelfStock'!D33,C29-'Grid_Requirement'!D29+'Grid_TTAFOutgoing'!D29))</f>
        <v/>
      </c>
      <c r="E29">
        <f>IF(COUNTIFS(T_StockCount[Part Name],$A29,T_StockCount[WeekIndex],4)&gt;0,SUMIFS(T_StockCount[CountedQty],T_StockCount[Part Name],$A29,T_StockCount[WeekIndex],4),IF(('T_SelfStock'!E33&lt;&gt;""),'T_SelfStock'!E33,D29-'Grid_Requirement'!E29+'Grid_TTAFOutgoing'!E29))</f>
        <v/>
      </c>
      <c r="F29">
        <f>IF(COUNTIFS(T_StockCount[Part Name],$A29,T_StockCount[WeekIndex],5)&gt;0,SUMIFS(T_StockCount[CountedQty],T_StockCount[Part Name],$A29,T_StockCount[WeekIndex],5),IF(('T_SelfStock'!F33&lt;&gt;""),'T_SelfStock'!F33,E29-'Grid_Requirement'!F29+'Grid_TTAFOutgoing'!F29))</f>
        <v/>
      </c>
      <c r="G29">
        <f>IF(COUNTIFS(T_StockCount[Part Name],$A29,T_StockCount[WeekIndex],6)&gt;0,SUMIFS(T_StockCount[CountedQty],T_StockCount[Part Name],$A29,T_StockCount[WeekIndex],6),IF(('T_SelfStock'!G33&lt;&gt;""),'T_SelfStock'!G33,F29-'Grid_Requirement'!G29+'Grid_TTAFOutgoing'!G29))</f>
        <v/>
      </c>
      <c r="H29">
        <f>IF(COUNTIFS(T_StockCount[Part Name],$A29,T_StockCount[WeekIndex],7)&gt;0,SUMIFS(T_StockCount[CountedQty],T_StockCount[Part Name],$A29,T_StockCount[WeekIndex],7),IF(('T_SelfStock'!H33&lt;&gt;""),'T_SelfStock'!H33,G29-'Grid_Requirement'!H29+'Grid_TTAFOutgoing'!H29))</f>
        <v/>
      </c>
      <c r="I29">
        <f>IF(COUNTIFS(T_StockCount[Part Name],$A29,T_StockCount[WeekIndex],8)&gt;0,SUMIFS(T_StockCount[CountedQty],T_StockCount[Part Name],$A29,T_StockCount[WeekIndex],8),IF(('T_SelfStock'!I33&lt;&gt;""),'T_SelfStock'!I33,H29-'Grid_Requirement'!I29+'Grid_TTAFOutgoing'!I29))</f>
        <v/>
      </c>
      <c r="J29">
        <f>IF(COUNTIFS(T_StockCount[Part Name],$A29,T_StockCount[WeekIndex],9)&gt;0,SUMIFS(T_StockCount[CountedQty],T_StockCount[Part Name],$A29,T_StockCount[WeekIndex],9),IF(('T_SelfStock'!J33&lt;&gt;""),'T_SelfStock'!J33,I29-'Grid_Requirement'!J29+'Grid_TTAFOutgoing'!J29))</f>
        <v/>
      </c>
      <c r="K29">
        <f>IF(COUNTIFS(T_StockCount[Part Name],$A29,T_StockCount[WeekIndex],10)&gt;0,SUMIFS(T_StockCount[CountedQty],T_StockCount[Part Name],$A29,T_StockCount[WeekIndex],10),IF(('T_SelfStock'!K33&lt;&gt;""),'T_SelfStock'!K33,J29-'Grid_Requirement'!K29+'Grid_TTAFOutgoing'!K29))</f>
        <v/>
      </c>
      <c r="L29">
        <f>IF(COUNTIFS(T_StockCount[Part Name],$A29,T_StockCount[WeekIndex],11)&gt;0,SUMIFS(T_StockCount[CountedQty],T_StockCount[Part Name],$A29,T_StockCount[WeekIndex],11),IF(('T_SelfStock'!L33&lt;&gt;""),'T_SelfStock'!L33,K29-'Grid_Requirement'!L29+'Grid_TTAFOutgoing'!L29))</f>
        <v/>
      </c>
      <c r="M29">
        <f>IF(COUNTIFS(T_StockCount[Part Name],$A29,T_StockCount[WeekIndex],12)&gt;0,SUMIFS(T_StockCount[CountedQty],T_StockCount[Part Name],$A29,T_StockCount[WeekIndex],12),IF(('T_SelfStock'!M33&lt;&gt;""),'T_SelfStock'!M33,L29-'Grid_Requirement'!M29+'Grid_TTAFOutgoing'!M29))</f>
        <v/>
      </c>
      <c r="N29">
        <f>IF(COUNTIFS(T_StockCount[Part Name],$A29,T_StockCount[WeekIndex],13)&gt;0,SUMIFS(T_StockCount[CountedQty],T_StockCount[Part Name],$A29,T_StockCount[WeekIndex],13),IF(('T_SelfStock'!N33&lt;&gt;""),'T_SelfStock'!N33,M29-'Grid_Requirement'!N29+'Grid_TTAFOutgoing'!N29))</f>
        <v/>
      </c>
      <c r="O29">
        <f>IF(COUNTIFS(T_StockCount[Part Name],$A29,T_StockCount[WeekIndex],14)&gt;0,SUMIFS(T_StockCount[CountedQty],T_StockCount[Part Name],$A29,T_StockCount[WeekIndex],14),IF(('T_SelfStock'!O33&lt;&gt;""),'T_SelfStock'!O33,N29-'Grid_Requirement'!O29+'Grid_TTAFOutgoing'!O29))</f>
        <v/>
      </c>
      <c r="P29">
        <f>IF(COUNTIFS(T_StockCount[Part Name],$A29,T_StockCount[WeekIndex],15)&gt;0,SUMIFS(T_StockCount[CountedQty],T_StockCount[Part Name],$A29,T_StockCount[WeekIndex],15),IF(('T_SelfStock'!P33&lt;&gt;""),'T_SelfStock'!P33,O29-'Grid_Requirement'!P29+'Grid_TTAFOutgoing'!P29))</f>
        <v/>
      </c>
      <c r="Q29">
        <f>IF(COUNTIFS(T_StockCount[Part Name],$A29,T_StockCount[WeekIndex],16)&gt;0,SUMIFS(T_StockCount[CountedQty],T_StockCount[Part Name],$A29,T_StockCount[WeekIndex],16),IF(('T_SelfStock'!Q33&lt;&gt;""),'T_SelfStock'!Q33,P29-'Grid_Requirement'!Q29+'Grid_TTAFOutgoing'!Q29))</f>
        <v/>
      </c>
      <c r="R29">
        <f>IF(COUNTIFS(T_StockCount[Part Name],$A29,T_StockCount[WeekIndex],17)&gt;0,SUMIFS(T_StockCount[CountedQty],T_StockCount[Part Name],$A29,T_StockCount[WeekIndex],17),IF(('T_SelfStock'!R33&lt;&gt;""),'T_SelfStock'!R33,Q29-'Grid_Requirement'!R29+'Grid_TTAFOutgoing'!R29))</f>
        <v/>
      </c>
      <c r="S29">
        <f>IF(COUNTIFS(T_StockCount[Part Name],$A29,T_StockCount[WeekIndex],18)&gt;0,SUMIFS(T_StockCount[CountedQty],T_StockCount[Part Name],$A29,T_StockCount[WeekIndex],18),IF(('T_SelfStock'!S33&lt;&gt;""),'T_SelfStock'!S33,R29-'Grid_Requirement'!S29+'Grid_TTAFOutgoing'!S29))</f>
        <v/>
      </c>
      <c r="T29">
        <f>IF(COUNTIFS(T_StockCount[Part Name],$A29,T_StockCount[WeekIndex],19)&gt;0,SUMIFS(T_StockCount[CountedQty],T_StockCount[Part Name],$A29,T_StockCount[WeekIndex],19),IF(('T_SelfStock'!T33&lt;&gt;""),'T_SelfStock'!T33,S29-'Grid_Requirement'!T29+'Grid_TTAFOutgoing'!T29))</f>
        <v/>
      </c>
      <c r="U29">
        <f>IF(COUNTIFS(T_StockCount[Part Name],$A29,T_StockCount[WeekIndex],20)&gt;0,SUMIFS(T_StockCount[CountedQty],T_StockCount[Part Name],$A29,T_StockCount[WeekIndex],20),IF(('T_SelfStock'!U33&lt;&gt;""),'T_SelfStock'!U33,T29-'Grid_Requirement'!U29+'Grid_TTAFOutgoing'!U29))</f>
        <v/>
      </c>
      <c r="V29">
        <f>IF(COUNTIFS(T_StockCount[Part Name],$A29,T_StockCount[WeekIndex],21)&gt;0,SUMIFS(T_StockCount[CountedQty],T_StockCount[Part Name],$A29,T_StockCount[WeekIndex],21),IF(('T_SelfStock'!V33&lt;&gt;""),'T_SelfStock'!V33,U29-'Grid_Requirement'!V29+'Grid_TTAFOutgoing'!V29))</f>
        <v/>
      </c>
      <c r="W29">
        <f>IF(COUNTIFS(T_StockCount[Part Name],$A29,T_StockCount[WeekIndex],22)&gt;0,SUMIFS(T_StockCount[CountedQty],T_StockCount[Part Name],$A29,T_StockCount[WeekIndex],22),IF(('T_SelfStock'!W33&lt;&gt;""),'T_SelfStock'!W33,V29-'Grid_Requirement'!W29+'Grid_TTAFOutgoing'!W29))</f>
        <v/>
      </c>
      <c r="X29">
        <f>IF(COUNTIFS(T_StockCount[Part Name],$A29,T_StockCount[WeekIndex],23)&gt;0,SUMIFS(T_StockCount[CountedQty],T_StockCount[Part Name],$A29,T_StockCount[WeekIndex],23),IF(('T_SelfStock'!X33&lt;&gt;""),'T_SelfStock'!X33,W29-'Grid_Requirement'!X29+'Grid_TTAFOutgoing'!X29))</f>
        <v/>
      </c>
      <c r="Y29">
        <f>IF(COUNTIFS(T_StockCount[Part Name],$A29,T_StockCount[WeekIndex],24)&gt;0,SUMIFS(T_StockCount[CountedQty],T_StockCount[Part Name],$A29,T_StockCount[WeekIndex],24),IF(('T_SelfStock'!Y33&lt;&gt;""),'T_SelfStock'!Y33,X29-'Grid_Requirement'!Y29+'Grid_TTAFOutgoing'!Y29))</f>
        <v/>
      </c>
      <c r="Z29">
        <f>IF(COUNTIFS(T_StockCount[Part Name],$A29,T_StockCount[WeekIndex],25)&gt;0,SUMIFS(T_StockCount[CountedQty],T_StockCount[Part Name],$A29,T_StockCount[WeekIndex],25),IF(('T_SelfStock'!Z33&lt;&gt;""),'T_SelfStock'!Z33,Y29-'Grid_Requirement'!Z29+'Grid_TTAFOutgoing'!Z29))</f>
        <v/>
      </c>
      <c r="AA29">
        <f>IF(COUNTIFS(T_StockCount[Part Name],$A29,T_StockCount[WeekIndex],26)&gt;0,SUMIFS(T_StockCount[CountedQty],T_StockCount[Part Name],$A29,T_StockCount[WeekIndex],26),IF(('T_SelfStock'!AA33&lt;&gt;""),'T_SelfStock'!AA33,Z29-'Grid_Requirement'!AA29+'Grid_TTAFOutgoing'!AA29))</f>
        <v/>
      </c>
      <c r="AB29">
        <f>IF(COUNTIFS(T_StockCount[Part Name],$A29,T_StockCount[WeekIndex],27)&gt;0,SUMIFS(T_StockCount[CountedQty],T_StockCount[Part Name],$A29,T_StockCount[WeekIndex],27),IF(('T_SelfStock'!AB33&lt;&gt;""),'T_SelfStock'!AB33,AA29-'Grid_Requirement'!AB29+'Grid_TTAFOutgoing'!AB29))</f>
        <v/>
      </c>
      <c r="AC29">
        <f>IF(COUNTIFS(T_StockCount[Part Name],$A29,T_StockCount[WeekIndex],28)&gt;0,SUMIFS(T_StockCount[CountedQty],T_StockCount[Part Name],$A29,T_StockCount[WeekIndex],28),IF(('T_SelfStock'!AC33&lt;&gt;""),'T_SelfStock'!AC33,AB29-'Grid_Requirement'!AC29+'Grid_TTAFOutgoing'!AC29))</f>
        <v/>
      </c>
      <c r="AD29">
        <f>IF(COUNTIFS(T_StockCount[Part Name],$A29,T_StockCount[WeekIndex],29)&gt;0,SUMIFS(T_StockCount[CountedQty],T_StockCount[Part Name],$A29,T_StockCount[WeekIndex],29),IF(('T_SelfStock'!AD33&lt;&gt;""),'T_SelfStock'!AD33,AC29-'Grid_Requirement'!AD29+'Grid_TTAFOutgoing'!AD29))</f>
        <v/>
      </c>
      <c r="AE29">
        <f>IF(COUNTIFS(T_StockCount[Part Name],$A29,T_StockCount[WeekIndex],30)&gt;0,SUMIFS(T_StockCount[CountedQty],T_StockCount[Part Name],$A29,T_StockCount[WeekIndex],30),IF(('T_SelfStock'!AE33&lt;&gt;""),'T_SelfStock'!AE33,AD29-'Grid_Requirement'!AE29+'Grid_TTAFOutgoing'!AE29))</f>
        <v/>
      </c>
      <c r="AF29">
        <f>IF(COUNTIFS(T_StockCount[Part Name],$A29,T_StockCount[WeekIndex],31)&gt;0,SUMIFS(T_StockCount[CountedQty],T_StockCount[Part Name],$A29,T_StockCount[WeekIndex],31),IF(('T_SelfStock'!AF33&lt;&gt;""),'T_SelfStock'!AF33,AE29-'Grid_Requirement'!AF29+'Grid_TTAFOutgoing'!AF29))</f>
        <v/>
      </c>
      <c r="AG29">
        <f>IF(COUNTIFS(T_StockCount[Part Name],$A29,T_StockCount[WeekIndex],32)&gt;0,SUMIFS(T_StockCount[CountedQty],T_StockCount[Part Name],$A29,T_StockCount[WeekIndex],32),IF(('T_SelfStock'!AG33&lt;&gt;""),'T_SelfStock'!AG33,AF29-'Grid_Requirement'!AG29+'Grid_TTAFOutgoing'!AG29))</f>
        <v/>
      </c>
      <c r="AH29">
        <f>IF(COUNTIFS(T_StockCount[Part Name],$A29,T_StockCount[WeekIndex],33)&gt;0,SUMIFS(T_StockCount[CountedQty],T_StockCount[Part Name],$A29,T_StockCount[WeekIndex],33),IF(('T_SelfStock'!AH33&lt;&gt;""),'T_SelfStock'!AH33,AG29-'Grid_Requirement'!AH29+'Grid_TTAFOutgoing'!AH29))</f>
        <v/>
      </c>
      <c r="AI29">
        <f>IF(COUNTIFS(T_StockCount[Part Name],$A29,T_StockCount[WeekIndex],34)&gt;0,SUMIFS(T_StockCount[CountedQty],T_StockCount[Part Name],$A29,T_StockCount[WeekIndex],34),IF(('T_SelfStock'!AI33&lt;&gt;""),'T_SelfStock'!AI33,AH29-'Grid_Requirement'!AI29+'Grid_TTAFOutgoing'!AI29))</f>
        <v/>
      </c>
      <c r="AJ29">
        <f>IF(COUNTIFS(T_StockCount[Part Name],$A29,T_StockCount[WeekIndex],35)&gt;0,SUMIFS(T_StockCount[CountedQty],T_StockCount[Part Name],$A29,T_StockCount[WeekIndex],35),IF(('T_SelfStock'!AJ33&lt;&gt;""),'T_SelfStock'!AJ33,AI29-'Grid_Requirement'!AJ29+'Grid_TTAFOutgoing'!AJ29))</f>
        <v/>
      </c>
      <c r="AK29">
        <f>IF(COUNTIFS(T_StockCount[Part Name],$A29,T_StockCount[WeekIndex],36)&gt;0,SUMIFS(T_StockCount[CountedQty],T_StockCount[Part Name],$A29,T_StockCount[WeekIndex],36),IF(('T_SelfStock'!AK33&lt;&gt;""),'T_SelfStock'!AK33,AJ29-'Grid_Requirement'!AK29+'Grid_TTAFOutgoing'!AK29))</f>
        <v/>
      </c>
      <c r="AL29">
        <f>IF(COUNTIFS(T_StockCount[Part Name],$A29,T_StockCount[WeekIndex],37)&gt;0,SUMIFS(T_StockCount[CountedQty],T_StockCount[Part Name],$A29,T_StockCount[WeekIndex],37),IF(('T_SelfStock'!AL33&lt;&gt;""),'T_SelfStock'!AL33,AK29-'Grid_Requirement'!AL29+'Grid_TTAFOutgoing'!AL29))</f>
        <v/>
      </c>
      <c r="AM29">
        <f>IF(COUNTIFS(T_StockCount[Part Name],$A29,T_StockCount[WeekIndex],38)&gt;0,SUMIFS(T_StockCount[CountedQty],T_StockCount[Part Name],$A29,T_StockCount[WeekIndex],38),IF(('T_SelfStock'!AM33&lt;&gt;""),'T_SelfStock'!AM33,AL29-'Grid_Requirement'!AM29+'Grid_TTAFOutgoing'!AM29))</f>
        <v/>
      </c>
      <c r="AN29">
        <f>IF(COUNTIFS(T_StockCount[Part Name],$A29,T_StockCount[WeekIndex],39)&gt;0,SUMIFS(T_StockCount[CountedQty],T_StockCount[Part Name],$A29,T_StockCount[WeekIndex],39),IF(('T_SelfStock'!AN33&lt;&gt;""),'T_SelfStock'!AN33,AM29-'Grid_Requirement'!AN29+'Grid_TTAFOutgoing'!AN29))</f>
        <v/>
      </c>
      <c r="AO29">
        <f>IF(COUNTIFS(T_StockCount[Part Name],$A29,T_StockCount[WeekIndex],40)&gt;0,SUMIFS(T_StockCount[CountedQty],T_StockCount[Part Name],$A29,T_StockCount[WeekIndex],40),IF(('T_SelfStock'!AO33&lt;&gt;""),'T_SelfStock'!AO33,AN29-'Grid_Requirement'!AO29+'Grid_TTAFOutgoing'!AO29))</f>
        <v/>
      </c>
      <c r="AP29">
        <f>IF(COUNTIFS(T_StockCount[Part Name],$A29,T_StockCount[WeekIndex],41)&gt;0,SUMIFS(T_StockCount[CountedQty],T_StockCount[Part Name],$A29,T_StockCount[WeekIndex],41),IF(('T_SelfStock'!AP33&lt;&gt;""),'T_SelfStock'!AP33,AO29-'Grid_Requirement'!AP29+'Grid_TTAFOutgoing'!AP29))</f>
        <v/>
      </c>
      <c r="AQ29">
        <f>IF(COUNTIFS(T_StockCount[Part Name],$A29,T_StockCount[WeekIndex],42)&gt;0,SUMIFS(T_StockCount[CountedQty],T_StockCount[Part Name],$A29,T_StockCount[WeekIndex],42),IF(('T_SelfStock'!AQ33&lt;&gt;""),'T_SelfStock'!AQ33,AP29-'Grid_Requirement'!AQ29+'Grid_TTAFOutgoing'!AQ29))</f>
        <v/>
      </c>
      <c r="AR29">
        <f>IF(COUNTIFS(T_StockCount[Part Name],$A29,T_StockCount[WeekIndex],43)&gt;0,SUMIFS(T_StockCount[CountedQty],T_StockCount[Part Name],$A29,T_StockCount[WeekIndex],43),IF(('T_SelfStock'!AR33&lt;&gt;""),'T_SelfStock'!AR33,AQ29-'Grid_Requirement'!AR29+'Grid_TTAFOutgoing'!AR29))</f>
        <v/>
      </c>
      <c r="AS29">
        <f>IF(COUNTIFS(T_StockCount[Part Name],$A29,T_StockCount[WeekIndex],44)&gt;0,SUMIFS(T_StockCount[CountedQty],T_StockCount[Part Name],$A29,T_StockCount[WeekIndex],44),IF(('T_SelfStock'!AS33&lt;&gt;""),'T_SelfStock'!AS33,AR29-'Grid_Requirement'!AS29+'Grid_TTAFOutgoing'!AS29))</f>
        <v/>
      </c>
      <c r="AT29">
        <f>IF(COUNTIFS(T_StockCount[Part Name],$A29,T_StockCount[WeekIndex],45)&gt;0,SUMIFS(T_StockCount[CountedQty],T_StockCount[Part Name],$A29,T_StockCount[WeekIndex],45),IF(('T_SelfStock'!AT33&lt;&gt;""),'T_SelfStock'!AT33,AS29-'Grid_Requirement'!AT29+'Grid_TTAFOutgoing'!AT29))</f>
        <v/>
      </c>
      <c r="AU29">
        <f>IF(COUNTIFS(T_StockCount[Part Name],$A29,T_StockCount[WeekIndex],46)&gt;0,SUMIFS(T_StockCount[CountedQty],T_StockCount[Part Name],$A29,T_StockCount[WeekIndex],46),IF(('T_SelfStock'!AU33&lt;&gt;""),'T_SelfStock'!AU33,AT29-'Grid_Requirement'!AU29+'Grid_TTAFOutgoing'!AU29))</f>
        <v/>
      </c>
      <c r="AV29">
        <f>IF(COUNTIFS(T_StockCount[Part Name],$A29,T_StockCount[WeekIndex],47)&gt;0,SUMIFS(T_StockCount[CountedQty],T_StockCount[Part Name],$A29,T_StockCount[WeekIndex],47),IF(('T_SelfStock'!AV33&lt;&gt;""),'T_SelfStock'!AV33,AU29-'Grid_Requirement'!AV29+'Grid_TTAFOutgoing'!AV29))</f>
        <v/>
      </c>
      <c r="AW29">
        <f>IF(COUNTIFS(T_StockCount[Part Name],$A29,T_StockCount[WeekIndex],48)&gt;0,SUMIFS(T_StockCount[CountedQty],T_StockCount[Part Name],$A29,T_StockCount[WeekIndex],48),IF(('T_SelfStock'!AW33&lt;&gt;""),'T_SelfStock'!AW33,AV29-'Grid_Requirement'!AW29+'Grid_TTAFOutgoing'!AW29))</f>
        <v/>
      </c>
      <c r="AX29">
        <f>IF(COUNTIFS(T_StockCount[Part Name],$A29,T_StockCount[WeekIndex],49)&gt;0,SUMIFS(T_StockCount[CountedQty],T_StockCount[Part Name],$A29,T_StockCount[WeekIndex],49),IF(('T_SelfStock'!AX33&lt;&gt;""),'T_SelfStock'!AX33,AW29-'Grid_Requirement'!AX29+'Grid_TTAFOutgoing'!AX29))</f>
        <v/>
      </c>
      <c r="AY29">
        <f>IF(COUNTIFS(T_StockCount[Part Name],$A29,T_StockCount[WeekIndex],50)&gt;0,SUMIFS(T_StockCount[CountedQty],T_StockCount[Part Name],$A29,T_StockCount[WeekIndex],50),IF(('T_SelfStock'!AY33&lt;&gt;""),'T_SelfStock'!AY33,AX29-'Grid_Requirement'!AY29+'Grid_TTAFOutgoing'!AY29))</f>
        <v/>
      </c>
      <c r="AZ29">
        <f>IF(COUNTIFS(T_StockCount[Part Name],$A29,T_StockCount[WeekIndex],51)&gt;0,SUMIFS(T_StockCount[CountedQty],T_StockCount[Part Name],$A29,T_StockCount[WeekIndex],51),IF(('T_SelfStock'!AZ33&lt;&gt;""),'T_SelfStock'!AZ33,AY29-'Grid_Requirement'!AZ29+'Grid_TTAFOutgoing'!AZ29))</f>
        <v/>
      </c>
      <c r="BA29">
        <f>IF(COUNTIFS(T_StockCount[Part Name],$A29,T_StockCount[WeekIndex],52)&gt;0,SUMIFS(T_StockCount[CountedQty],T_StockCount[Part Name],$A29,T_StockCount[WeekIndex],52),IF(('T_SelfStock'!BA33&lt;&gt;""),'T_SelfStock'!BA33,AZ29-'Grid_Requirement'!BA29+'Grid_TTAFOutgoing'!BA29))</f>
        <v/>
      </c>
      <c r="BB29">
        <f>IF(COUNTIFS(T_StockCount[Part Name],$A29,T_StockCount[WeekIndex],53)&gt;0,SUMIFS(T_StockCount[CountedQty],T_StockCount[Part Name],$A29,T_StockCount[WeekIndex],53),IF(('T_SelfStock'!BB33&lt;&gt;""),'T_SelfStock'!BB33,BA29-'Grid_Requirement'!BB29+'Grid_TTAFOutgoing'!BB29))</f>
        <v/>
      </c>
      <c r="BC29">
        <f>IF(COUNTIFS(T_StockCount[Part Name],$A29,T_StockCount[WeekIndex],54)&gt;0,SUMIFS(T_StockCount[CountedQty],T_StockCount[Part Name],$A29,T_StockCount[WeekIndex],54),IF(('T_SelfStock'!BC33&lt;&gt;""),'T_SelfStock'!BC33,BB29-'Grid_Requirement'!BC29+'Grid_TTAFOutgoing'!BC29))</f>
        <v/>
      </c>
      <c r="BD29">
        <f>IF(COUNTIFS(T_StockCount[Part Name],$A29,T_StockCount[WeekIndex],55)&gt;0,SUMIFS(T_StockCount[CountedQty],T_StockCount[Part Name],$A29,T_StockCount[WeekIndex],55),IF(('T_SelfStock'!BD33&lt;&gt;""),'T_SelfStock'!BD33,BC29-'Grid_Requirement'!BD29+'Grid_TTAFOutgoing'!BD29))</f>
        <v/>
      </c>
      <c r="BE29">
        <f>IF(COUNTIFS(T_StockCount[Part Name],$A29,T_StockCount[WeekIndex],56)&gt;0,SUMIFS(T_StockCount[CountedQty],T_StockCount[Part Name],$A29,T_StockCount[WeekIndex],56),IF(('T_SelfStock'!BE33&lt;&gt;""),'T_SelfStock'!BE33,BD29-'Grid_Requirement'!BE29+'Grid_TTAFOutgoing'!BE29))</f>
        <v/>
      </c>
      <c r="BF29">
        <f>IF(COUNTIFS(T_StockCount[Part Name],$A29,T_StockCount[WeekIndex],57)&gt;0,SUMIFS(T_StockCount[CountedQty],T_StockCount[Part Name],$A29,T_StockCount[WeekIndex],57),IF(('T_SelfStock'!BF33&lt;&gt;""),'T_SelfStock'!BF33,BE29-'Grid_Requirement'!BF29+'Grid_TTAFOutgoing'!BF29))</f>
        <v/>
      </c>
      <c r="BG29">
        <f>IF(COUNTIFS(T_StockCount[Part Name],$A29,T_StockCount[WeekIndex],58)&gt;0,SUMIFS(T_StockCount[CountedQty],T_StockCount[Part Name],$A29,T_StockCount[WeekIndex],58),IF(('T_SelfStock'!BG33&lt;&gt;""),'T_SelfStock'!BG33,BF29-'Grid_Requirement'!BG29+'Grid_TTAFOutgoing'!BG29))</f>
        <v/>
      </c>
      <c r="BH29">
        <f>IF(COUNTIFS(T_StockCount[Part Name],$A29,T_StockCount[WeekIndex],59)&gt;0,SUMIFS(T_StockCount[CountedQty],T_StockCount[Part Name],$A29,T_StockCount[WeekIndex],59),IF(('T_SelfStock'!BH33&lt;&gt;""),'T_SelfStock'!BH33,BG29-'Grid_Requirement'!BH29+'Grid_TTAFOutgoing'!BH29))</f>
        <v/>
      </c>
      <c r="BI29">
        <f>IF(COUNTIFS(T_StockCount[Part Name],$A29,T_StockCount[WeekIndex],60)&gt;0,SUMIFS(T_StockCount[CountedQty],T_StockCount[Part Name],$A29,T_StockCount[WeekIndex],60),IF(('T_SelfStock'!BI33&lt;&gt;""),'T_SelfStock'!BI33,BH29-'Grid_Requirement'!BI29+'Grid_TTAFOutgoing'!BI29))</f>
        <v/>
      </c>
      <c r="BJ29">
        <f>IF(COUNTIFS(T_StockCount[Part Name],$A29,T_StockCount[WeekIndex],61)&gt;0,SUMIFS(T_StockCount[CountedQty],T_StockCount[Part Name],$A29,T_StockCount[WeekIndex],61),IF(('T_SelfStock'!BJ33&lt;&gt;""),'T_SelfStock'!BJ33,BI29-'Grid_Requirement'!BJ29+'Grid_TTAFOutgoing'!BJ29))</f>
        <v/>
      </c>
      <c r="BK29">
        <f>IF(COUNTIFS(T_StockCount[Part Name],$A29,T_StockCount[WeekIndex],62)&gt;0,SUMIFS(T_StockCount[CountedQty],T_StockCount[Part Name],$A29,T_StockCount[WeekIndex],62),IF(('T_SelfStock'!BK33&lt;&gt;""),'T_SelfStock'!BK33,BJ29-'Grid_Requirement'!BK29+'Grid_TTAFOutgoing'!BK29))</f>
        <v/>
      </c>
      <c r="BL29">
        <f>IF(COUNTIFS(T_StockCount[Part Name],$A29,T_StockCount[WeekIndex],63)&gt;0,SUMIFS(T_StockCount[CountedQty],T_StockCount[Part Name],$A29,T_StockCount[WeekIndex],63),IF(('T_SelfStock'!BL33&lt;&gt;""),'T_SelfStock'!BL33,BK29-'Grid_Requirement'!BL29+'Grid_TTAFOutgoing'!BL29))</f>
        <v/>
      </c>
      <c r="BM29">
        <f>IF(COUNTIFS(T_StockCount[Part Name],$A29,T_StockCount[WeekIndex],64)&gt;0,SUMIFS(T_StockCount[CountedQty],T_StockCount[Part Name],$A29,T_StockCount[WeekIndex],64),IF(('T_SelfStock'!BM33&lt;&gt;""),'T_SelfStock'!BM33,BL29-'Grid_Requirement'!BM29+'Grid_TTAFOutgoing'!BM29))</f>
        <v/>
      </c>
      <c r="BN29">
        <f>IF(COUNTIFS(T_StockCount[Part Name],$A29,T_StockCount[WeekIndex],65)&gt;0,SUMIFS(T_StockCount[CountedQty],T_StockCount[Part Name],$A29,T_StockCount[WeekIndex],65),IF(('T_SelfStock'!BN33&lt;&gt;""),'T_SelfStock'!BN33,BM29-'Grid_Requirement'!BN29+'Grid_TTAFOutgoing'!BN29))</f>
        <v/>
      </c>
      <c r="BO29">
        <f>IF(COUNTIFS(T_StockCount[Part Name],$A29,T_StockCount[WeekIndex],66)&gt;0,SUMIFS(T_StockCount[CountedQty],T_StockCount[Part Name],$A29,T_StockCount[WeekIndex],66),IF(('T_SelfStock'!BO33&lt;&gt;""),'T_SelfStock'!BO33,BN29-'Grid_Requirement'!BO29+'Grid_TTAFOutgoing'!BO29))</f>
        <v/>
      </c>
      <c r="BP29">
        <f>IF(COUNTIFS(T_StockCount[Part Name],$A29,T_StockCount[WeekIndex],67)&gt;0,SUMIFS(T_StockCount[CountedQty],T_StockCount[Part Name],$A29,T_StockCount[WeekIndex],67),IF(('T_SelfStock'!BP33&lt;&gt;""),'T_SelfStock'!BP33,BO29-'Grid_Requirement'!BP29+'Grid_TTAFOutgoing'!BP29))</f>
        <v/>
      </c>
      <c r="BQ29">
        <f>IF(COUNTIFS(T_StockCount[Part Name],$A29,T_StockCount[WeekIndex],68)&gt;0,SUMIFS(T_StockCount[CountedQty],T_StockCount[Part Name],$A29,T_StockCount[WeekIndex],68),IF(('T_SelfStock'!BQ33&lt;&gt;""),'T_SelfStock'!BQ33,BP29-'Grid_Requirement'!BQ29+'Grid_TTAFOutgoing'!BQ29))</f>
        <v/>
      </c>
      <c r="BR29">
        <f>IF(COUNTIFS(T_StockCount[Part Name],$A29,T_StockCount[WeekIndex],69)&gt;0,SUMIFS(T_StockCount[CountedQty],T_StockCount[Part Name],$A29,T_StockCount[WeekIndex],69),IF(('T_SelfStock'!BR33&lt;&gt;""),'T_SelfStock'!BR33,BQ29-'Grid_Requirement'!BR29+'Grid_TTAFOutgoing'!BR29))</f>
        <v/>
      </c>
      <c r="BS29">
        <f>IF(COUNTIFS(T_StockCount[Part Name],$A29,T_StockCount[WeekIndex],70)&gt;0,SUMIFS(T_StockCount[CountedQty],T_StockCount[Part Name],$A29,T_StockCount[WeekIndex],70),IF(('T_SelfStock'!BS33&lt;&gt;""),'T_SelfStock'!BS33,BR29-'Grid_Requirement'!BS29+'Grid_TTAFOutgoing'!BS29))</f>
        <v/>
      </c>
      <c r="BT29">
        <f>IF(COUNTIFS(T_StockCount[Part Name],$A29,T_StockCount[WeekIndex],71)&gt;0,SUMIFS(T_StockCount[CountedQty],T_StockCount[Part Name],$A29,T_StockCount[WeekIndex],71),IF(('T_SelfStock'!BT33&lt;&gt;""),'T_SelfStock'!BT33,BS29-'Grid_Requirement'!BT29+'Grid_TTAFOutgoing'!BT29))</f>
        <v/>
      </c>
      <c r="BU29">
        <f>IF(COUNTIFS(T_StockCount[Part Name],$A29,T_StockCount[WeekIndex],72)&gt;0,SUMIFS(T_StockCount[CountedQty],T_StockCount[Part Name],$A29,T_StockCount[WeekIndex],72),IF(('T_SelfStock'!BU33&lt;&gt;""),'T_SelfStock'!BU33,BT29-'Grid_Requirement'!BU29+'Grid_TTAFOutgoing'!BU29))</f>
        <v/>
      </c>
      <c r="BV29">
        <f>IF(COUNTIFS(T_StockCount[Part Name],$A29,T_StockCount[WeekIndex],73)&gt;0,SUMIFS(T_StockCount[CountedQty],T_StockCount[Part Name],$A29,T_StockCount[WeekIndex],73),IF(('T_SelfStock'!BV33&lt;&gt;""),'T_SelfStock'!BV33,BU29-'Grid_Requirement'!BV29+'Grid_TTAFOutgoing'!BV29))</f>
        <v/>
      </c>
      <c r="BW29">
        <f>IF(COUNTIFS(T_StockCount[Part Name],$A29,T_StockCount[WeekIndex],74)&gt;0,SUMIFS(T_StockCount[CountedQty],T_StockCount[Part Name],$A29,T_StockCount[WeekIndex],74),IF(('T_SelfStock'!BW33&lt;&gt;""),'T_SelfStock'!BW33,BV29-'Grid_Requirement'!BW29+'Grid_TTAFOutgoing'!BW29))</f>
        <v/>
      </c>
      <c r="BX29">
        <f>IF(COUNTIFS(T_StockCount[Part Name],$A29,T_StockCount[WeekIndex],75)&gt;0,SUMIFS(T_StockCount[CountedQty],T_StockCount[Part Name],$A29,T_StockCount[WeekIndex],75),IF(('T_SelfStock'!BX33&lt;&gt;""),'T_SelfStock'!BX33,BW29-'Grid_Requirement'!BX29+'Grid_TTAFOutgoing'!BX29))</f>
        <v/>
      </c>
      <c r="BY29">
        <f>IF(COUNTIFS(T_StockCount[Part Name],$A29,T_StockCount[WeekIndex],76)&gt;0,SUMIFS(T_StockCount[CountedQty],T_StockCount[Part Name],$A29,T_StockCount[WeekIndex],76),IF(('T_SelfStock'!BY33&lt;&gt;""),'T_SelfStock'!BY33,BX29-'Grid_Requirement'!BY29+'Grid_TTAFOutgoing'!BY29))</f>
        <v/>
      </c>
      <c r="BZ29">
        <f>IF(COUNTIFS(T_StockCount[Part Name],$A29,T_StockCount[WeekIndex],77)&gt;0,SUMIFS(T_StockCount[CountedQty],T_StockCount[Part Name],$A29,T_StockCount[WeekIndex],77),IF(('T_SelfStock'!BZ33&lt;&gt;""),'T_SelfStock'!BZ33,BY29-'Grid_Requirement'!BZ29+'Grid_TTAFOutgoing'!BZ29))</f>
        <v/>
      </c>
      <c r="CA29">
        <f>IF(COUNTIFS(T_StockCount[Part Name],$A29,T_StockCount[WeekIndex],78)&gt;0,SUMIFS(T_StockCount[CountedQty],T_StockCount[Part Name],$A29,T_StockCount[WeekIndex],78),IF(('T_SelfStock'!CA33&lt;&gt;""),'T_SelfStock'!CA33,BZ29-'Grid_Requirement'!CA29+'Grid_TTAFOutgoing'!CA29))</f>
        <v/>
      </c>
      <c r="CB29">
        <f>IF(COUNTIFS(T_StockCount[Part Name],$A29,T_StockCount[WeekIndex],79)&gt;0,SUMIFS(T_StockCount[CountedQty],T_StockCount[Part Name],$A29,T_StockCount[WeekIndex],79),IF(('T_SelfStock'!CB33&lt;&gt;""),'T_SelfStock'!CB33,CA29-'Grid_Requirement'!CB29+'Grid_TTAFOutgoing'!CB29))</f>
        <v/>
      </c>
      <c r="CC29">
        <f>IF(COUNTIFS(T_StockCount[Part Name],$A29,T_StockCount[WeekIndex],80)&gt;0,SUMIFS(T_StockCount[CountedQty],T_StockCount[Part Name],$A29,T_StockCount[WeekIndex],80),IF(('T_SelfStock'!CC33&lt;&gt;""),'T_SelfStock'!CC33,CB29-'Grid_Requirement'!CC29+'Grid_TTAFOutgoing'!CC29))</f>
        <v/>
      </c>
      <c r="CD29">
        <f>IF(COUNTIFS(T_StockCount[Part Name],$A29,T_StockCount[WeekIndex],81)&gt;0,SUMIFS(T_StockCount[CountedQty],T_StockCount[Part Name],$A29,T_StockCount[WeekIndex],81),IF(('T_SelfStock'!CD33&lt;&gt;""),'T_SelfStock'!CD33,CC29-'Grid_Requirement'!CD29+'Grid_TTAFOutgoing'!CD29))</f>
        <v/>
      </c>
      <c r="CE29">
        <f>IF(COUNTIFS(T_StockCount[Part Name],$A29,T_StockCount[WeekIndex],82)&gt;0,SUMIFS(T_StockCount[CountedQty],T_StockCount[Part Name],$A29,T_StockCount[WeekIndex],82),IF(('T_SelfStock'!CE33&lt;&gt;""),'T_SelfStock'!CE33,CD29-'Grid_Requirement'!CE29+'Grid_TTAFOutgoing'!CE29))</f>
        <v/>
      </c>
      <c r="CF29">
        <f>IF(COUNTIFS(T_StockCount[Part Name],$A29,T_StockCount[WeekIndex],83)&gt;0,SUMIFS(T_StockCount[CountedQty],T_StockCount[Part Name],$A29,T_StockCount[WeekIndex],83),IF(('T_SelfStock'!CF33&lt;&gt;""),'T_SelfStock'!CF33,CE29-'Grid_Requirement'!CF29+'Grid_TTAFOutgoing'!CF29))</f>
        <v/>
      </c>
      <c r="CG29">
        <f>IF(COUNTIFS(T_StockCount[Part Name],$A29,T_StockCount[WeekIndex],84)&gt;0,SUMIFS(T_StockCount[CountedQty],T_StockCount[Part Name],$A29,T_StockCount[WeekIndex],84),IF(('T_SelfStock'!CG33&lt;&gt;""),'T_SelfStock'!CG33,CF29-'Grid_Requirement'!CG29+'Grid_TTAFOutgoing'!CG29))</f>
        <v/>
      </c>
      <c r="CH29">
        <f>IF(COUNTIFS(T_StockCount[Part Name],$A29,T_StockCount[WeekIndex],85)&gt;0,SUMIFS(T_StockCount[CountedQty],T_StockCount[Part Name],$A29,T_StockCount[WeekIndex],85),IF(('T_SelfStock'!CH33&lt;&gt;""),'T_SelfStock'!CH33,CG29-'Grid_Requirement'!CH29+'Grid_TTAFOutgoing'!CH29))</f>
        <v/>
      </c>
      <c r="CI29">
        <f>IF(COUNTIFS(T_StockCount[Part Name],$A29,T_StockCount[WeekIndex],86)&gt;0,SUMIFS(T_StockCount[CountedQty],T_StockCount[Part Name],$A29,T_StockCount[WeekIndex],86),IF(('T_SelfStock'!CI33&lt;&gt;""),'T_SelfStock'!CI33,CH29-'Grid_Requirement'!CI29+'Grid_TTAFOutgoing'!CI29))</f>
        <v/>
      </c>
      <c r="CJ29">
        <f>IF(COUNTIFS(T_StockCount[Part Name],$A29,T_StockCount[WeekIndex],87)&gt;0,SUMIFS(T_StockCount[CountedQty],T_StockCount[Part Name],$A29,T_StockCount[WeekIndex],87),IF(('T_SelfStock'!CJ33&lt;&gt;""),'T_SelfStock'!CJ33,CI29-'Grid_Requirement'!CJ29+'Grid_TTAFOutgoing'!CJ29))</f>
        <v/>
      </c>
      <c r="CK29">
        <f>IF(COUNTIFS(T_StockCount[Part Name],$A29,T_StockCount[WeekIndex],88)&gt;0,SUMIFS(T_StockCount[CountedQty],T_StockCount[Part Name],$A29,T_StockCount[WeekIndex],88),IF(('T_SelfStock'!CK33&lt;&gt;""),'T_SelfStock'!CK33,CJ29-'Grid_Requirement'!CK29+'Grid_TTAFOutgoing'!CK29))</f>
        <v/>
      </c>
      <c r="CL29">
        <f>IF(COUNTIFS(T_StockCount[Part Name],$A29,T_StockCount[WeekIndex],89)&gt;0,SUMIFS(T_StockCount[CountedQty],T_StockCount[Part Name],$A29,T_StockCount[WeekIndex],89),IF(('T_SelfStock'!CL33&lt;&gt;""),'T_SelfStock'!CL33,CK29-'Grid_Requirement'!CL29+'Grid_TTAFOutgoing'!CL29))</f>
        <v/>
      </c>
      <c r="CM29">
        <f>IF(COUNTIFS(T_StockCount[Part Name],$A29,T_StockCount[WeekIndex],90)&gt;0,SUMIFS(T_StockCount[CountedQty],T_StockCount[Part Name],$A29,T_StockCount[WeekIndex],90),IF(('T_SelfStock'!CM33&lt;&gt;""),'T_SelfStock'!CM33,CL29-'Grid_Requirement'!CM29+'Grid_TTAFOutgoing'!CM29))</f>
        <v/>
      </c>
      <c r="CN29">
        <f>IF(COUNTIFS(T_StockCount[Part Name],$A29,T_StockCount[WeekIndex],91)&gt;0,SUMIFS(T_StockCount[CountedQty],T_StockCount[Part Name],$A29,T_StockCount[WeekIndex],91),IF(('T_SelfStock'!CN33&lt;&gt;""),'T_SelfStock'!CN33,CM29-'Grid_Requirement'!CN29+'Grid_TTAFOutgoing'!CN29))</f>
        <v/>
      </c>
      <c r="CO29">
        <f>IF(COUNTIFS(T_StockCount[Part Name],$A29,T_StockCount[WeekIndex],92)&gt;0,SUMIFS(T_StockCount[CountedQty],T_StockCount[Part Name],$A29,T_StockCount[WeekIndex],92),IF(('T_SelfStock'!CO33&lt;&gt;""),'T_SelfStock'!CO33,CN29-'Grid_Requirement'!CO29+'Grid_TTAFOutgoing'!CO29))</f>
        <v/>
      </c>
      <c r="CP29">
        <f>IF(COUNTIFS(T_StockCount[Part Name],$A29,T_StockCount[WeekIndex],93)&gt;0,SUMIFS(T_StockCount[CountedQty],T_StockCount[Part Name],$A29,T_StockCount[WeekIndex],93),IF(('T_SelfStock'!CP33&lt;&gt;""),'T_SelfStock'!CP33,CO29-'Grid_Requirement'!CP29+'Grid_TTAFOutgoing'!CP29))</f>
        <v/>
      </c>
      <c r="CQ29">
        <f>IF(COUNTIFS(T_StockCount[Part Name],$A29,T_StockCount[WeekIndex],94)&gt;0,SUMIFS(T_StockCount[CountedQty],T_StockCount[Part Name],$A29,T_StockCount[WeekIndex],94),IF(('T_SelfStock'!CQ33&lt;&gt;""),'T_SelfStock'!CQ33,CP29-'Grid_Requirement'!CQ29+'Grid_TTAFOutgoing'!CQ29))</f>
        <v/>
      </c>
      <c r="CR29">
        <f>IF(COUNTIFS(T_StockCount[Part Name],$A29,T_StockCount[WeekIndex],95)&gt;0,SUMIFS(T_StockCount[CountedQty],T_StockCount[Part Name],$A29,T_StockCount[WeekIndex],95),IF(('T_SelfStock'!CR33&lt;&gt;""),'T_SelfStock'!CR33,CQ29-'Grid_Requirement'!CR29+'Grid_TTAFOutgoing'!CR29))</f>
        <v/>
      </c>
      <c r="CS29">
        <f>IF(COUNTIFS(T_StockCount[Part Name],$A29,T_StockCount[WeekIndex],96)&gt;0,SUMIFS(T_StockCount[CountedQty],T_StockCount[Part Name],$A29,T_StockCount[WeekIndex],96),IF(('T_SelfStock'!CS33&lt;&gt;""),'T_SelfStock'!CS33,CR29-'Grid_Requirement'!CS29+'Grid_TTAFOutgoing'!CS29))</f>
        <v/>
      </c>
      <c r="CT29">
        <f>IF(COUNTIFS(T_StockCount[Part Name],$A29,T_StockCount[WeekIndex],97)&gt;0,SUMIFS(T_StockCount[CountedQty],T_StockCount[Part Name],$A29,T_StockCount[WeekIndex],97),IF(('T_SelfStock'!CT33&lt;&gt;""),'T_SelfStock'!CT33,CS29-'Grid_Requirement'!CT29+'Grid_TTAFOutgoing'!CT29))</f>
        <v/>
      </c>
      <c r="CU29">
        <f>IF(COUNTIFS(T_StockCount[Part Name],$A29,T_StockCount[WeekIndex],98)&gt;0,SUMIFS(T_StockCount[CountedQty],T_StockCount[Part Name],$A29,T_StockCount[WeekIndex],98),IF(('T_SelfStock'!CU33&lt;&gt;""),'T_SelfStock'!CU33,CT29-'Grid_Requirement'!CU29+'Grid_TTAFOutgoing'!CU29))</f>
        <v/>
      </c>
      <c r="CV29">
        <f>IF(COUNTIFS(T_StockCount[Part Name],$A29,T_StockCount[WeekIndex],99)&gt;0,SUMIFS(T_StockCount[CountedQty],T_StockCount[Part Name],$A29,T_StockCount[WeekIndex],99),IF(('T_SelfStock'!CV33&lt;&gt;""),'T_SelfStock'!CV33,CU29-'Grid_Requirement'!CV29+'Grid_TTAFOutgoing'!CV29))</f>
        <v/>
      </c>
      <c r="CW29">
        <f>IF(COUNTIFS(T_StockCount[Part Name],$A29,T_StockCount[WeekIndex],100)&gt;0,SUMIFS(T_StockCount[CountedQty],T_StockCount[Part Name],$A29,T_StockCount[WeekIndex],100),IF(('T_SelfStock'!CW33&lt;&gt;""),'T_SelfStock'!CW33,CV29-'Grid_Requirement'!CW29+'Grid_TTAFOutgoing'!CW29))</f>
        <v/>
      </c>
      <c r="CX29">
        <f>IF(COUNTIFS(T_StockCount[Part Name],$A29,T_StockCount[WeekIndex],101)&gt;0,SUMIFS(T_StockCount[CountedQty],T_StockCount[Part Name],$A29,T_StockCount[WeekIndex],101),IF(('T_SelfStock'!CX33&lt;&gt;""),'T_SelfStock'!CX33,CW29-'Grid_Requirement'!CX29+'Grid_TTAFOutgoing'!CX29))</f>
        <v/>
      </c>
      <c r="CY29">
        <f>IF(COUNTIFS(T_StockCount[Part Name],$A29,T_StockCount[WeekIndex],102)&gt;0,SUMIFS(T_StockCount[CountedQty],T_StockCount[Part Name],$A29,T_StockCount[WeekIndex],102),IF(('T_SelfStock'!CY33&lt;&gt;""),'T_SelfStock'!CY33,CX29-'Grid_Requirement'!CY29+'Grid_TTAFOutgoing'!CY29))</f>
        <v/>
      </c>
      <c r="CZ29">
        <f>IF(COUNTIFS(T_StockCount[Part Name],$A29,T_StockCount[WeekIndex],103)&gt;0,SUMIFS(T_StockCount[CountedQty],T_StockCount[Part Name],$A29,T_StockCount[WeekIndex],103),IF(('T_SelfStock'!CZ33&lt;&gt;""),'T_SelfStock'!CZ33,CY29-'Grid_Requirement'!CZ29+'Grid_TTAFOutgoing'!CZ29))</f>
        <v/>
      </c>
      <c r="DA29">
        <f>IF(COUNTIFS(T_StockCount[Part Name],$A29,T_StockCount[WeekIndex],104)&gt;0,SUMIFS(T_StockCount[CountedQty],T_StockCount[Part Name],$A29,T_StockCount[WeekIndex],104),IF(('T_SelfStock'!DA33&lt;&gt;""),'T_SelfStock'!DA33,CZ29-'Grid_Requirement'!DA29+'Grid_TTAFOutgoing'!DA29))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Name],$A30,T_StockCount[WeekIndex],1),IF(('T_SelfStock'!B34&lt;&gt;""),'T_SelfStock'!B34,IFERROR(INDEX(T_OpeningStock[Opening_Qty],MATCH($A30,T_OpeningStock[Part Name],0)),0)-'Grid_Requirement'!B30+'Grid_TTAFOutgoing'!B30))</f>
        <v/>
      </c>
      <c r="C30">
        <f>IF(COUNTIFS(T_StockCount[Part Name],$A30,T_StockCount[WeekIndex],2)&gt;0,SUMIFS(T_StockCount[CountedQty],T_StockCount[Part Name],$A30,T_StockCount[WeekIndex],2),IF(('T_SelfStock'!C34&lt;&gt;""),'T_SelfStock'!C34,B30-'Grid_Requirement'!C30+'Grid_TTAFOutgoing'!C30))</f>
        <v/>
      </c>
      <c r="D30">
        <f>IF(COUNTIFS(T_StockCount[Part Name],$A30,T_StockCount[WeekIndex],3)&gt;0,SUMIFS(T_StockCount[CountedQty],T_StockCount[Part Name],$A30,T_StockCount[WeekIndex],3),IF(('T_SelfStock'!D34&lt;&gt;""),'T_SelfStock'!D34,C30-'Grid_Requirement'!D30+'Grid_TTAFOutgoing'!D30))</f>
        <v/>
      </c>
      <c r="E30">
        <f>IF(COUNTIFS(T_StockCount[Part Name],$A30,T_StockCount[WeekIndex],4)&gt;0,SUMIFS(T_StockCount[CountedQty],T_StockCount[Part Name],$A30,T_StockCount[WeekIndex],4),IF(('T_SelfStock'!E34&lt;&gt;""),'T_SelfStock'!E34,D30-'Grid_Requirement'!E30+'Grid_TTAFOutgoing'!E30))</f>
        <v/>
      </c>
      <c r="F30">
        <f>IF(COUNTIFS(T_StockCount[Part Name],$A30,T_StockCount[WeekIndex],5)&gt;0,SUMIFS(T_StockCount[CountedQty],T_StockCount[Part Name],$A30,T_StockCount[WeekIndex],5),IF(('T_SelfStock'!F34&lt;&gt;""),'T_SelfStock'!F34,E30-'Grid_Requirement'!F30+'Grid_TTAFOutgoing'!F30))</f>
        <v/>
      </c>
      <c r="G30">
        <f>IF(COUNTIFS(T_StockCount[Part Name],$A30,T_StockCount[WeekIndex],6)&gt;0,SUMIFS(T_StockCount[CountedQty],T_StockCount[Part Name],$A30,T_StockCount[WeekIndex],6),IF(('T_SelfStock'!G34&lt;&gt;""),'T_SelfStock'!G34,F30-'Grid_Requirement'!G30+'Grid_TTAFOutgoing'!G30))</f>
        <v/>
      </c>
      <c r="H30">
        <f>IF(COUNTIFS(T_StockCount[Part Name],$A30,T_StockCount[WeekIndex],7)&gt;0,SUMIFS(T_StockCount[CountedQty],T_StockCount[Part Name],$A30,T_StockCount[WeekIndex],7),IF(('T_SelfStock'!H34&lt;&gt;""),'T_SelfStock'!H34,G30-'Grid_Requirement'!H30+'Grid_TTAFOutgoing'!H30))</f>
        <v/>
      </c>
      <c r="I30">
        <f>IF(COUNTIFS(T_StockCount[Part Name],$A30,T_StockCount[WeekIndex],8)&gt;0,SUMIFS(T_StockCount[CountedQty],T_StockCount[Part Name],$A30,T_StockCount[WeekIndex],8),IF(('T_SelfStock'!I34&lt;&gt;""),'T_SelfStock'!I34,H30-'Grid_Requirement'!I30+'Grid_TTAFOutgoing'!I30))</f>
        <v/>
      </c>
      <c r="J30">
        <f>IF(COUNTIFS(T_StockCount[Part Name],$A30,T_StockCount[WeekIndex],9)&gt;0,SUMIFS(T_StockCount[CountedQty],T_StockCount[Part Name],$A30,T_StockCount[WeekIndex],9),IF(('T_SelfStock'!J34&lt;&gt;""),'T_SelfStock'!J34,I30-'Grid_Requirement'!J30+'Grid_TTAFOutgoing'!J30))</f>
        <v/>
      </c>
      <c r="K30">
        <f>IF(COUNTIFS(T_StockCount[Part Name],$A30,T_StockCount[WeekIndex],10)&gt;0,SUMIFS(T_StockCount[CountedQty],T_StockCount[Part Name],$A30,T_StockCount[WeekIndex],10),IF(('T_SelfStock'!K34&lt;&gt;""),'T_SelfStock'!K34,J30-'Grid_Requirement'!K30+'Grid_TTAFOutgoing'!K30))</f>
        <v/>
      </c>
      <c r="L30">
        <f>IF(COUNTIFS(T_StockCount[Part Name],$A30,T_StockCount[WeekIndex],11)&gt;0,SUMIFS(T_StockCount[CountedQty],T_StockCount[Part Name],$A30,T_StockCount[WeekIndex],11),IF(('T_SelfStock'!L34&lt;&gt;""),'T_SelfStock'!L34,K30-'Grid_Requirement'!L30+'Grid_TTAFOutgoing'!L30))</f>
        <v/>
      </c>
      <c r="M30">
        <f>IF(COUNTIFS(T_StockCount[Part Name],$A30,T_StockCount[WeekIndex],12)&gt;0,SUMIFS(T_StockCount[CountedQty],T_StockCount[Part Name],$A30,T_StockCount[WeekIndex],12),IF(('T_SelfStock'!M34&lt;&gt;""),'T_SelfStock'!M34,L30-'Grid_Requirement'!M30+'Grid_TTAFOutgoing'!M30))</f>
        <v/>
      </c>
      <c r="N30">
        <f>IF(COUNTIFS(T_StockCount[Part Name],$A30,T_StockCount[WeekIndex],13)&gt;0,SUMIFS(T_StockCount[CountedQty],T_StockCount[Part Name],$A30,T_StockCount[WeekIndex],13),IF(('T_SelfStock'!N34&lt;&gt;""),'T_SelfStock'!N34,M30-'Grid_Requirement'!N30+'Grid_TTAFOutgoing'!N30))</f>
        <v/>
      </c>
      <c r="O30">
        <f>IF(COUNTIFS(T_StockCount[Part Name],$A30,T_StockCount[WeekIndex],14)&gt;0,SUMIFS(T_StockCount[CountedQty],T_StockCount[Part Name],$A30,T_StockCount[WeekIndex],14),IF(('T_SelfStock'!O34&lt;&gt;""),'T_SelfStock'!O34,N30-'Grid_Requirement'!O30+'Grid_TTAFOutgoing'!O30))</f>
        <v/>
      </c>
      <c r="P30">
        <f>IF(COUNTIFS(T_StockCount[Part Name],$A30,T_StockCount[WeekIndex],15)&gt;0,SUMIFS(T_StockCount[CountedQty],T_StockCount[Part Name],$A30,T_StockCount[WeekIndex],15),IF(('T_SelfStock'!P34&lt;&gt;""),'T_SelfStock'!P34,O30-'Grid_Requirement'!P30+'Grid_TTAFOutgoing'!P30))</f>
        <v/>
      </c>
      <c r="Q30">
        <f>IF(COUNTIFS(T_StockCount[Part Name],$A30,T_StockCount[WeekIndex],16)&gt;0,SUMIFS(T_StockCount[CountedQty],T_StockCount[Part Name],$A30,T_StockCount[WeekIndex],16),IF(('T_SelfStock'!Q34&lt;&gt;""),'T_SelfStock'!Q34,P30-'Grid_Requirement'!Q30+'Grid_TTAFOutgoing'!Q30))</f>
        <v/>
      </c>
      <c r="R30">
        <f>IF(COUNTIFS(T_StockCount[Part Name],$A30,T_StockCount[WeekIndex],17)&gt;0,SUMIFS(T_StockCount[CountedQty],T_StockCount[Part Name],$A30,T_StockCount[WeekIndex],17),IF(('T_SelfStock'!R34&lt;&gt;""),'T_SelfStock'!R34,Q30-'Grid_Requirement'!R30+'Grid_TTAFOutgoing'!R30))</f>
        <v/>
      </c>
      <c r="S30">
        <f>IF(COUNTIFS(T_StockCount[Part Name],$A30,T_StockCount[WeekIndex],18)&gt;0,SUMIFS(T_StockCount[CountedQty],T_StockCount[Part Name],$A30,T_StockCount[WeekIndex],18),IF(('T_SelfStock'!S34&lt;&gt;""),'T_SelfStock'!S34,R30-'Grid_Requirement'!S30+'Grid_TTAFOutgoing'!S30))</f>
        <v/>
      </c>
      <c r="T30">
        <f>IF(COUNTIFS(T_StockCount[Part Name],$A30,T_StockCount[WeekIndex],19)&gt;0,SUMIFS(T_StockCount[CountedQty],T_StockCount[Part Name],$A30,T_StockCount[WeekIndex],19),IF(('T_SelfStock'!T34&lt;&gt;""),'T_SelfStock'!T34,S30-'Grid_Requirement'!T30+'Grid_TTAFOutgoing'!T30))</f>
        <v/>
      </c>
      <c r="U30">
        <f>IF(COUNTIFS(T_StockCount[Part Name],$A30,T_StockCount[WeekIndex],20)&gt;0,SUMIFS(T_StockCount[CountedQty],T_StockCount[Part Name],$A30,T_StockCount[WeekIndex],20),IF(('T_SelfStock'!U34&lt;&gt;""),'T_SelfStock'!U34,T30-'Grid_Requirement'!U30+'Grid_TTAFOutgoing'!U30))</f>
        <v/>
      </c>
      <c r="V30">
        <f>IF(COUNTIFS(T_StockCount[Part Name],$A30,T_StockCount[WeekIndex],21)&gt;0,SUMIFS(T_StockCount[CountedQty],T_StockCount[Part Name],$A30,T_StockCount[WeekIndex],21),IF(('T_SelfStock'!V34&lt;&gt;""),'T_SelfStock'!V34,U30-'Grid_Requirement'!V30+'Grid_TTAFOutgoing'!V30))</f>
        <v/>
      </c>
      <c r="W30">
        <f>IF(COUNTIFS(T_StockCount[Part Name],$A30,T_StockCount[WeekIndex],22)&gt;0,SUMIFS(T_StockCount[CountedQty],T_StockCount[Part Name],$A30,T_StockCount[WeekIndex],22),IF(('T_SelfStock'!W34&lt;&gt;""),'T_SelfStock'!W34,V30-'Grid_Requirement'!W30+'Grid_TTAFOutgoing'!W30))</f>
        <v/>
      </c>
      <c r="X30">
        <f>IF(COUNTIFS(T_StockCount[Part Name],$A30,T_StockCount[WeekIndex],23)&gt;0,SUMIFS(T_StockCount[CountedQty],T_StockCount[Part Name],$A30,T_StockCount[WeekIndex],23),IF(('T_SelfStock'!X34&lt;&gt;""),'T_SelfStock'!X34,W30-'Grid_Requirement'!X30+'Grid_TTAFOutgoing'!X30))</f>
        <v/>
      </c>
      <c r="Y30">
        <f>IF(COUNTIFS(T_StockCount[Part Name],$A30,T_StockCount[WeekIndex],24)&gt;0,SUMIFS(T_StockCount[CountedQty],T_StockCount[Part Name],$A30,T_StockCount[WeekIndex],24),IF(('T_SelfStock'!Y34&lt;&gt;""),'T_SelfStock'!Y34,X30-'Grid_Requirement'!Y30+'Grid_TTAFOutgoing'!Y30))</f>
        <v/>
      </c>
      <c r="Z30">
        <f>IF(COUNTIFS(T_StockCount[Part Name],$A30,T_StockCount[WeekIndex],25)&gt;0,SUMIFS(T_StockCount[CountedQty],T_StockCount[Part Name],$A30,T_StockCount[WeekIndex],25),IF(('T_SelfStock'!Z34&lt;&gt;""),'T_SelfStock'!Z34,Y30-'Grid_Requirement'!Z30+'Grid_TTAFOutgoing'!Z30))</f>
        <v/>
      </c>
      <c r="AA30">
        <f>IF(COUNTIFS(T_StockCount[Part Name],$A30,T_StockCount[WeekIndex],26)&gt;0,SUMIFS(T_StockCount[CountedQty],T_StockCount[Part Name],$A30,T_StockCount[WeekIndex],26),IF(('T_SelfStock'!AA34&lt;&gt;""),'T_SelfStock'!AA34,Z30-'Grid_Requirement'!AA30+'Grid_TTAFOutgoing'!AA30))</f>
        <v/>
      </c>
      <c r="AB30">
        <f>IF(COUNTIFS(T_StockCount[Part Name],$A30,T_StockCount[WeekIndex],27)&gt;0,SUMIFS(T_StockCount[CountedQty],T_StockCount[Part Name],$A30,T_StockCount[WeekIndex],27),IF(('T_SelfStock'!AB34&lt;&gt;""),'T_SelfStock'!AB34,AA30-'Grid_Requirement'!AB30+'Grid_TTAFOutgoing'!AB30))</f>
        <v/>
      </c>
      <c r="AC30">
        <f>IF(COUNTIFS(T_StockCount[Part Name],$A30,T_StockCount[WeekIndex],28)&gt;0,SUMIFS(T_StockCount[CountedQty],T_StockCount[Part Name],$A30,T_StockCount[WeekIndex],28),IF(('T_SelfStock'!AC34&lt;&gt;""),'T_SelfStock'!AC34,AB30-'Grid_Requirement'!AC30+'Grid_TTAFOutgoing'!AC30))</f>
        <v/>
      </c>
      <c r="AD30">
        <f>IF(COUNTIFS(T_StockCount[Part Name],$A30,T_StockCount[WeekIndex],29)&gt;0,SUMIFS(T_StockCount[CountedQty],T_StockCount[Part Name],$A30,T_StockCount[WeekIndex],29),IF(('T_SelfStock'!AD34&lt;&gt;""),'T_SelfStock'!AD34,AC30-'Grid_Requirement'!AD30+'Grid_TTAFOutgoing'!AD30))</f>
        <v/>
      </c>
      <c r="AE30">
        <f>IF(COUNTIFS(T_StockCount[Part Name],$A30,T_StockCount[WeekIndex],30)&gt;0,SUMIFS(T_StockCount[CountedQty],T_StockCount[Part Name],$A30,T_StockCount[WeekIndex],30),IF(('T_SelfStock'!AE34&lt;&gt;""),'T_SelfStock'!AE34,AD30-'Grid_Requirement'!AE30+'Grid_TTAFOutgoing'!AE30))</f>
        <v/>
      </c>
      <c r="AF30">
        <f>IF(COUNTIFS(T_StockCount[Part Name],$A30,T_StockCount[WeekIndex],31)&gt;0,SUMIFS(T_StockCount[CountedQty],T_StockCount[Part Name],$A30,T_StockCount[WeekIndex],31),IF(('T_SelfStock'!AF34&lt;&gt;""),'T_SelfStock'!AF34,AE30-'Grid_Requirement'!AF30+'Grid_TTAFOutgoing'!AF30))</f>
        <v/>
      </c>
      <c r="AG30">
        <f>IF(COUNTIFS(T_StockCount[Part Name],$A30,T_StockCount[WeekIndex],32)&gt;0,SUMIFS(T_StockCount[CountedQty],T_StockCount[Part Name],$A30,T_StockCount[WeekIndex],32),IF(('T_SelfStock'!AG34&lt;&gt;""),'T_SelfStock'!AG34,AF30-'Grid_Requirement'!AG30+'Grid_TTAFOutgoing'!AG30))</f>
        <v/>
      </c>
      <c r="AH30">
        <f>IF(COUNTIFS(T_StockCount[Part Name],$A30,T_StockCount[WeekIndex],33)&gt;0,SUMIFS(T_StockCount[CountedQty],T_StockCount[Part Name],$A30,T_StockCount[WeekIndex],33),IF(('T_SelfStock'!AH34&lt;&gt;""),'T_SelfStock'!AH34,AG30-'Grid_Requirement'!AH30+'Grid_TTAFOutgoing'!AH30))</f>
        <v/>
      </c>
      <c r="AI30">
        <f>IF(COUNTIFS(T_StockCount[Part Name],$A30,T_StockCount[WeekIndex],34)&gt;0,SUMIFS(T_StockCount[CountedQty],T_StockCount[Part Name],$A30,T_StockCount[WeekIndex],34),IF(('T_SelfStock'!AI34&lt;&gt;""),'T_SelfStock'!AI34,AH30-'Grid_Requirement'!AI30+'Grid_TTAFOutgoing'!AI30))</f>
        <v/>
      </c>
      <c r="AJ30">
        <f>IF(COUNTIFS(T_StockCount[Part Name],$A30,T_StockCount[WeekIndex],35)&gt;0,SUMIFS(T_StockCount[CountedQty],T_StockCount[Part Name],$A30,T_StockCount[WeekIndex],35),IF(('T_SelfStock'!AJ34&lt;&gt;""),'T_SelfStock'!AJ34,AI30-'Grid_Requirement'!AJ30+'Grid_TTAFOutgoing'!AJ30))</f>
        <v/>
      </c>
      <c r="AK30">
        <f>IF(COUNTIFS(T_StockCount[Part Name],$A30,T_StockCount[WeekIndex],36)&gt;0,SUMIFS(T_StockCount[CountedQty],T_StockCount[Part Name],$A30,T_StockCount[WeekIndex],36),IF(('T_SelfStock'!AK34&lt;&gt;""),'T_SelfStock'!AK34,AJ30-'Grid_Requirement'!AK30+'Grid_TTAFOutgoing'!AK30))</f>
        <v/>
      </c>
      <c r="AL30">
        <f>IF(COUNTIFS(T_StockCount[Part Name],$A30,T_StockCount[WeekIndex],37)&gt;0,SUMIFS(T_StockCount[CountedQty],T_StockCount[Part Name],$A30,T_StockCount[WeekIndex],37),IF(('T_SelfStock'!AL34&lt;&gt;""),'T_SelfStock'!AL34,AK30-'Grid_Requirement'!AL30+'Grid_TTAFOutgoing'!AL30))</f>
        <v/>
      </c>
      <c r="AM30">
        <f>IF(COUNTIFS(T_StockCount[Part Name],$A30,T_StockCount[WeekIndex],38)&gt;0,SUMIFS(T_StockCount[CountedQty],T_StockCount[Part Name],$A30,T_StockCount[WeekIndex],38),IF(('T_SelfStock'!AM34&lt;&gt;""),'T_SelfStock'!AM34,AL30-'Grid_Requirement'!AM30+'Grid_TTAFOutgoing'!AM30))</f>
        <v/>
      </c>
      <c r="AN30">
        <f>IF(COUNTIFS(T_StockCount[Part Name],$A30,T_StockCount[WeekIndex],39)&gt;0,SUMIFS(T_StockCount[CountedQty],T_StockCount[Part Name],$A30,T_StockCount[WeekIndex],39),IF(('T_SelfStock'!AN34&lt;&gt;""),'T_SelfStock'!AN34,AM30-'Grid_Requirement'!AN30+'Grid_TTAFOutgoing'!AN30))</f>
        <v/>
      </c>
      <c r="AO30">
        <f>IF(COUNTIFS(T_StockCount[Part Name],$A30,T_StockCount[WeekIndex],40)&gt;0,SUMIFS(T_StockCount[CountedQty],T_StockCount[Part Name],$A30,T_StockCount[WeekIndex],40),IF(('T_SelfStock'!AO34&lt;&gt;""),'T_SelfStock'!AO34,AN30-'Grid_Requirement'!AO30+'Grid_TTAFOutgoing'!AO30))</f>
        <v/>
      </c>
      <c r="AP30">
        <f>IF(COUNTIFS(T_StockCount[Part Name],$A30,T_StockCount[WeekIndex],41)&gt;0,SUMIFS(T_StockCount[CountedQty],T_StockCount[Part Name],$A30,T_StockCount[WeekIndex],41),IF(('T_SelfStock'!AP34&lt;&gt;""),'T_SelfStock'!AP34,AO30-'Grid_Requirement'!AP30+'Grid_TTAFOutgoing'!AP30))</f>
        <v/>
      </c>
      <c r="AQ30">
        <f>IF(COUNTIFS(T_StockCount[Part Name],$A30,T_StockCount[WeekIndex],42)&gt;0,SUMIFS(T_StockCount[CountedQty],T_StockCount[Part Name],$A30,T_StockCount[WeekIndex],42),IF(('T_SelfStock'!AQ34&lt;&gt;""),'T_SelfStock'!AQ34,AP30-'Grid_Requirement'!AQ30+'Grid_TTAFOutgoing'!AQ30))</f>
        <v/>
      </c>
      <c r="AR30">
        <f>IF(COUNTIFS(T_StockCount[Part Name],$A30,T_StockCount[WeekIndex],43)&gt;0,SUMIFS(T_StockCount[CountedQty],T_StockCount[Part Name],$A30,T_StockCount[WeekIndex],43),IF(('T_SelfStock'!AR34&lt;&gt;""),'T_SelfStock'!AR34,AQ30-'Grid_Requirement'!AR30+'Grid_TTAFOutgoing'!AR30))</f>
        <v/>
      </c>
      <c r="AS30">
        <f>IF(COUNTIFS(T_StockCount[Part Name],$A30,T_StockCount[WeekIndex],44)&gt;0,SUMIFS(T_StockCount[CountedQty],T_StockCount[Part Name],$A30,T_StockCount[WeekIndex],44),IF(('T_SelfStock'!AS34&lt;&gt;""),'T_SelfStock'!AS34,AR30-'Grid_Requirement'!AS30+'Grid_TTAFOutgoing'!AS30))</f>
        <v/>
      </c>
      <c r="AT30">
        <f>IF(COUNTIFS(T_StockCount[Part Name],$A30,T_StockCount[WeekIndex],45)&gt;0,SUMIFS(T_StockCount[CountedQty],T_StockCount[Part Name],$A30,T_StockCount[WeekIndex],45),IF(('T_SelfStock'!AT34&lt;&gt;""),'T_SelfStock'!AT34,AS30-'Grid_Requirement'!AT30+'Grid_TTAFOutgoing'!AT30))</f>
        <v/>
      </c>
      <c r="AU30">
        <f>IF(COUNTIFS(T_StockCount[Part Name],$A30,T_StockCount[WeekIndex],46)&gt;0,SUMIFS(T_StockCount[CountedQty],T_StockCount[Part Name],$A30,T_StockCount[WeekIndex],46),IF(('T_SelfStock'!AU34&lt;&gt;""),'T_SelfStock'!AU34,AT30-'Grid_Requirement'!AU30+'Grid_TTAFOutgoing'!AU30))</f>
        <v/>
      </c>
      <c r="AV30">
        <f>IF(COUNTIFS(T_StockCount[Part Name],$A30,T_StockCount[WeekIndex],47)&gt;0,SUMIFS(T_StockCount[CountedQty],T_StockCount[Part Name],$A30,T_StockCount[WeekIndex],47),IF(('T_SelfStock'!AV34&lt;&gt;""),'T_SelfStock'!AV34,AU30-'Grid_Requirement'!AV30+'Grid_TTAFOutgoing'!AV30))</f>
        <v/>
      </c>
      <c r="AW30">
        <f>IF(COUNTIFS(T_StockCount[Part Name],$A30,T_StockCount[WeekIndex],48)&gt;0,SUMIFS(T_StockCount[CountedQty],T_StockCount[Part Name],$A30,T_StockCount[WeekIndex],48),IF(('T_SelfStock'!AW34&lt;&gt;""),'T_SelfStock'!AW34,AV30-'Grid_Requirement'!AW30+'Grid_TTAFOutgoing'!AW30))</f>
        <v/>
      </c>
      <c r="AX30">
        <f>IF(COUNTIFS(T_StockCount[Part Name],$A30,T_StockCount[WeekIndex],49)&gt;0,SUMIFS(T_StockCount[CountedQty],T_StockCount[Part Name],$A30,T_StockCount[WeekIndex],49),IF(('T_SelfStock'!AX34&lt;&gt;""),'T_SelfStock'!AX34,AW30-'Grid_Requirement'!AX30+'Grid_TTAFOutgoing'!AX30))</f>
        <v/>
      </c>
      <c r="AY30">
        <f>IF(COUNTIFS(T_StockCount[Part Name],$A30,T_StockCount[WeekIndex],50)&gt;0,SUMIFS(T_StockCount[CountedQty],T_StockCount[Part Name],$A30,T_StockCount[WeekIndex],50),IF(('T_SelfStock'!AY34&lt;&gt;""),'T_SelfStock'!AY34,AX30-'Grid_Requirement'!AY30+'Grid_TTAFOutgoing'!AY30))</f>
        <v/>
      </c>
      <c r="AZ30">
        <f>IF(COUNTIFS(T_StockCount[Part Name],$A30,T_StockCount[WeekIndex],51)&gt;0,SUMIFS(T_StockCount[CountedQty],T_StockCount[Part Name],$A30,T_StockCount[WeekIndex],51),IF(('T_SelfStock'!AZ34&lt;&gt;""),'T_SelfStock'!AZ34,AY30-'Grid_Requirement'!AZ30+'Grid_TTAFOutgoing'!AZ30))</f>
        <v/>
      </c>
      <c r="BA30">
        <f>IF(COUNTIFS(T_StockCount[Part Name],$A30,T_StockCount[WeekIndex],52)&gt;0,SUMIFS(T_StockCount[CountedQty],T_StockCount[Part Name],$A30,T_StockCount[WeekIndex],52),IF(('T_SelfStock'!BA34&lt;&gt;""),'T_SelfStock'!BA34,AZ30-'Grid_Requirement'!BA30+'Grid_TTAFOutgoing'!BA30))</f>
        <v/>
      </c>
      <c r="BB30">
        <f>IF(COUNTIFS(T_StockCount[Part Name],$A30,T_StockCount[WeekIndex],53)&gt;0,SUMIFS(T_StockCount[CountedQty],T_StockCount[Part Name],$A30,T_StockCount[WeekIndex],53),IF(('T_SelfStock'!BB34&lt;&gt;""),'T_SelfStock'!BB34,BA30-'Grid_Requirement'!BB30+'Grid_TTAFOutgoing'!BB30))</f>
        <v/>
      </c>
      <c r="BC30">
        <f>IF(COUNTIFS(T_StockCount[Part Name],$A30,T_StockCount[WeekIndex],54)&gt;0,SUMIFS(T_StockCount[CountedQty],T_StockCount[Part Name],$A30,T_StockCount[WeekIndex],54),IF(('T_SelfStock'!BC34&lt;&gt;""),'T_SelfStock'!BC34,BB30-'Grid_Requirement'!BC30+'Grid_TTAFOutgoing'!BC30))</f>
        <v/>
      </c>
      <c r="BD30">
        <f>IF(COUNTIFS(T_StockCount[Part Name],$A30,T_StockCount[WeekIndex],55)&gt;0,SUMIFS(T_StockCount[CountedQty],T_StockCount[Part Name],$A30,T_StockCount[WeekIndex],55),IF(('T_SelfStock'!BD34&lt;&gt;""),'T_SelfStock'!BD34,BC30-'Grid_Requirement'!BD30+'Grid_TTAFOutgoing'!BD30))</f>
        <v/>
      </c>
      <c r="BE30">
        <f>IF(COUNTIFS(T_StockCount[Part Name],$A30,T_StockCount[WeekIndex],56)&gt;0,SUMIFS(T_StockCount[CountedQty],T_StockCount[Part Name],$A30,T_StockCount[WeekIndex],56),IF(('T_SelfStock'!BE34&lt;&gt;""),'T_SelfStock'!BE34,BD30-'Grid_Requirement'!BE30+'Grid_TTAFOutgoing'!BE30))</f>
        <v/>
      </c>
      <c r="BF30">
        <f>IF(COUNTIFS(T_StockCount[Part Name],$A30,T_StockCount[WeekIndex],57)&gt;0,SUMIFS(T_StockCount[CountedQty],T_StockCount[Part Name],$A30,T_StockCount[WeekIndex],57),IF(('T_SelfStock'!BF34&lt;&gt;""),'T_SelfStock'!BF34,BE30-'Grid_Requirement'!BF30+'Grid_TTAFOutgoing'!BF30))</f>
        <v/>
      </c>
      <c r="BG30">
        <f>IF(COUNTIFS(T_StockCount[Part Name],$A30,T_StockCount[WeekIndex],58)&gt;0,SUMIFS(T_StockCount[CountedQty],T_StockCount[Part Name],$A30,T_StockCount[WeekIndex],58),IF(('T_SelfStock'!BG34&lt;&gt;""),'T_SelfStock'!BG34,BF30-'Grid_Requirement'!BG30+'Grid_TTAFOutgoing'!BG30))</f>
        <v/>
      </c>
      <c r="BH30">
        <f>IF(COUNTIFS(T_StockCount[Part Name],$A30,T_StockCount[WeekIndex],59)&gt;0,SUMIFS(T_StockCount[CountedQty],T_StockCount[Part Name],$A30,T_StockCount[WeekIndex],59),IF(('T_SelfStock'!BH34&lt;&gt;""),'T_SelfStock'!BH34,BG30-'Grid_Requirement'!BH30+'Grid_TTAFOutgoing'!BH30))</f>
        <v/>
      </c>
      <c r="BI30">
        <f>IF(COUNTIFS(T_StockCount[Part Name],$A30,T_StockCount[WeekIndex],60)&gt;0,SUMIFS(T_StockCount[CountedQty],T_StockCount[Part Name],$A30,T_StockCount[WeekIndex],60),IF(('T_SelfStock'!BI34&lt;&gt;""),'T_SelfStock'!BI34,BH30-'Grid_Requirement'!BI30+'Grid_TTAFOutgoing'!BI30))</f>
        <v/>
      </c>
      <c r="BJ30">
        <f>IF(COUNTIFS(T_StockCount[Part Name],$A30,T_StockCount[WeekIndex],61)&gt;0,SUMIFS(T_StockCount[CountedQty],T_StockCount[Part Name],$A30,T_StockCount[WeekIndex],61),IF(('T_SelfStock'!BJ34&lt;&gt;""),'T_SelfStock'!BJ34,BI30-'Grid_Requirement'!BJ30+'Grid_TTAFOutgoing'!BJ30))</f>
        <v/>
      </c>
      <c r="BK30">
        <f>IF(COUNTIFS(T_StockCount[Part Name],$A30,T_StockCount[WeekIndex],62)&gt;0,SUMIFS(T_StockCount[CountedQty],T_StockCount[Part Name],$A30,T_StockCount[WeekIndex],62),IF(('T_SelfStock'!BK34&lt;&gt;""),'T_SelfStock'!BK34,BJ30-'Grid_Requirement'!BK30+'Grid_TTAFOutgoing'!BK30))</f>
        <v/>
      </c>
      <c r="BL30">
        <f>IF(COUNTIFS(T_StockCount[Part Name],$A30,T_StockCount[WeekIndex],63)&gt;0,SUMIFS(T_StockCount[CountedQty],T_StockCount[Part Name],$A30,T_StockCount[WeekIndex],63),IF(('T_SelfStock'!BL34&lt;&gt;""),'T_SelfStock'!BL34,BK30-'Grid_Requirement'!BL30+'Grid_TTAFOutgoing'!BL30))</f>
        <v/>
      </c>
      <c r="BM30">
        <f>IF(COUNTIFS(T_StockCount[Part Name],$A30,T_StockCount[WeekIndex],64)&gt;0,SUMIFS(T_StockCount[CountedQty],T_StockCount[Part Name],$A30,T_StockCount[WeekIndex],64),IF(('T_SelfStock'!BM34&lt;&gt;""),'T_SelfStock'!BM34,BL30-'Grid_Requirement'!BM30+'Grid_TTAFOutgoing'!BM30))</f>
        <v/>
      </c>
      <c r="BN30">
        <f>IF(COUNTIFS(T_StockCount[Part Name],$A30,T_StockCount[WeekIndex],65)&gt;0,SUMIFS(T_StockCount[CountedQty],T_StockCount[Part Name],$A30,T_StockCount[WeekIndex],65),IF(('T_SelfStock'!BN34&lt;&gt;""),'T_SelfStock'!BN34,BM30-'Grid_Requirement'!BN30+'Grid_TTAFOutgoing'!BN30))</f>
        <v/>
      </c>
      <c r="BO30">
        <f>IF(COUNTIFS(T_StockCount[Part Name],$A30,T_StockCount[WeekIndex],66)&gt;0,SUMIFS(T_StockCount[CountedQty],T_StockCount[Part Name],$A30,T_StockCount[WeekIndex],66),IF(('T_SelfStock'!BO34&lt;&gt;""),'T_SelfStock'!BO34,BN30-'Grid_Requirement'!BO30+'Grid_TTAFOutgoing'!BO30))</f>
        <v/>
      </c>
      <c r="BP30">
        <f>IF(COUNTIFS(T_StockCount[Part Name],$A30,T_StockCount[WeekIndex],67)&gt;0,SUMIFS(T_StockCount[CountedQty],T_StockCount[Part Name],$A30,T_StockCount[WeekIndex],67),IF(('T_SelfStock'!BP34&lt;&gt;""),'T_SelfStock'!BP34,BO30-'Grid_Requirement'!BP30+'Grid_TTAFOutgoing'!BP30))</f>
        <v/>
      </c>
      <c r="BQ30">
        <f>IF(COUNTIFS(T_StockCount[Part Name],$A30,T_StockCount[WeekIndex],68)&gt;0,SUMIFS(T_StockCount[CountedQty],T_StockCount[Part Name],$A30,T_StockCount[WeekIndex],68),IF(('T_SelfStock'!BQ34&lt;&gt;""),'T_SelfStock'!BQ34,BP30-'Grid_Requirement'!BQ30+'Grid_TTAFOutgoing'!BQ30))</f>
        <v/>
      </c>
      <c r="BR30">
        <f>IF(COUNTIFS(T_StockCount[Part Name],$A30,T_StockCount[WeekIndex],69)&gt;0,SUMIFS(T_StockCount[CountedQty],T_StockCount[Part Name],$A30,T_StockCount[WeekIndex],69),IF(('T_SelfStock'!BR34&lt;&gt;""),'T_SelfStock'!BR34,BQ30-'Grid_Requirement'!BR30+'Grid_TTAFOutgoing'!BR30))</f>
        <v/>
      </c>
      <c r="BS30">
        <f>IF(COUNTIFS(T_StockCount[Part Name],$A30,T_StockCount[WeekIndex],70)&gt;0,SUMIFS(T_StockCount[CountedQty],T_StockCount[Part Name],$A30,T_StockCount[WeekIndex],70),IF(('T_SelfStock'!BS34&lt;&gt;""),'T_SelfStock'!BS34,BR30-'Grid_Requirement'!BS30+'Grid_TTAFOutgoing'!BS30))</f>
        <v/>
      </c>
      <c r="BT30">
        <f>IF(COUNTIFS(T_StockCount[Part Name],$A30,T_StockCount[WeekIndex],71)&gt;0,SUMIFS(T_StockCount[CountedQty],T_StockCount[Part Name],$A30,T_StockCount[WeekIndex],71),IF(('T_SelfStock'!BT34&lt;&gt;""),'T_SelfStock'!BT34,BS30-'Grid_Requirement'!BT30+'Grid_TTAFOutgoing'!BT30))</f>
        <v/>
      </c>
      <c r="BU30">
        <f>IF(COUNTIFS(T_StockCount[Part Name],$A30,T_StockCount[WeekIndex],72)&gt;0,SUMIFS(T_StockCount[CountedQty],T_StockCount[Part Name],$A30,T_StockCount[WeekIndex],72),IF(('T_SelfStock'!BU34&lt;&gt;""),'T_SelfStock'!BU34,BT30-'Grid_Requirement'!BU30+'Grid_TTAFOutgoing'!BU30))</f>
        <v/>
      </c>
      <c r="BV30">
        <f>IF(COUNTIFS(T_StockCount[Part Name],$A30,T_StockCount[WeekIndex],73)&gt;0,SUMIFS(T_StockCount[CountedQty],T_StockCount[Part Name],$A30,T_StockCount[WeekIndex],73),IF(('T_SelfStock'!BV34&lt;&gt;""),'T_SelfStock'!BV34,BU30-'Grid_Requirement'!BV30+'Grid_TTAFOutgoing'!BV30))</f>
        <v/>
      </c>
      <c r="BW30">
        <f>IF(COUNTIFS(T_StockCount[Part Name],$A30,T_StockCount[WeekIndex],74)&gt;0,SUMIFS(T_StockCount[CountedQty],T_StockCount[Part Name],$A30,T_StockCount[WeekIndex],74),IF(('T_SelfStock'!BW34&lt;&gt;""),'T_SelfStock'!BW34,BV30-'Grid_Requirement'!BW30+'Grid_TTAFOutgoing'!BW30))</f>
        <v/>
      </c>
      <c r="BX30">
        <f>IF(COUNTIFS(T_StockCount[Part Name],$A30,T_StockCount[WeekIndex],75)&gt;0,SUMIFS(T_StockCount[CountedQty],T_StockCount[Part Name],$A30,T_StockCount[WeekIndex],75),IF(('T_SelfStock'!BX34&lt;&gt;""),'T_SelfStock'!BX34,BW30-'Grid_Requirement'!BX30+'Grid_TTAFOutgoing'!BX30))</f>
        <v/>
      </c>
      <c r="BY30">
        <f>IF(COUNTIFS(T_StockCount[Part Name],$A30,T_StockCount[WeekIndex],76)&gt;0,SUMIFS(T_StockCount[CountedQty],T_StockCount[Part Name],$A30,T_StockCount[WeekIndex],76),IF(('T_SelfStock'!BY34&lt;&gt;""),'T_SelfStock'!BY34,BX30-'Grid_Requirement'!BY30+'Grid_TTAFOutgoing'!BY30))</f>
        <v/>
      </c>
      <c r="BZ30">
        <f>IF(COUNTIFS(T_StockCount[Part Name],$A30,T_StockCount[WeekIndex],77)&gt;0,SUMIFS(T_StockCount[CountedQty],T_StockCount[Part Name],$A30,T_StockCount[WeekIndex],77),IF(('T_SelfStock'!BZ34&lt;&gt;""),'T_SelfStock'!BZ34,BY30-'Grid_Requirement'!BZ30+'Grid_TTAFOutgoing'!BZ30))</f>
        <v/>
      </c>
      <c r="CA30">
        <f>IF(COUNTIFS(T_StockCount[Part Name],$A30,T_StockCount[WeekIndex],78)&gt;0,SUMIFS(T_StockCount[CountedQty],T_StockCount[Part Name],$A30,T_StockCount[WeekIndex],78),IF(('T_SelfStock'!CA34&lt;&gt;""),'T_SelfStock'!CA34,BZ30-'Grid_Requirement'!CA30+'Grid_TTAFOutgoing'!CA30))</f>
        <v/>
      </c>
      <c r="CB30">
        <f>IF(COUNTIFS(T_StockCount[Part Name],$A30,T_StockCount[WeekIndex],79)&gt;0,SUMIFS(T_StockCount[CountedQty],T_StockCount[Part Name],$A30,T_StockCount[WeekIndex],79),IF(('T_SelfStock'!CB34&lt;&gt;""),'T_SelfStock'!CB34,CA30-'Grid_Requirement'!CB30+'Grid_TTAFOutgoing'!CB30))</f>
        <v/>
      </c>
      <c r="CC30">
        <f>IF(COUNTIFS(T_StockCount[Part Name],$A30,T_StockCount[WeekIndex],80)&gt;0,SUMIFS(T_StockCount[CountedQty],T_StockCount[Part Name],$A30,T_StockCount[WeekIndex],80),IF(('T_SelfStock'!CC34&lt;&gt;""),'T_SelfStock'!CC34,CB30-'Grid_Requirement'!CC30+'Grid_TTAFOutgoing'!CC30))</f>
        <v/>
      </c>
      <c r="CD30">
        <f>IF(COUNTIFS(T_StockCount[Part Name],$A30,T_StockCount[WeekIndex],81)&gt;0,SUMIFS(T_StockCount[CountedQty],T_StockCount[Part Name],$A30,T_StockCount[WeekIndex],81),IF(('T_SelfStock'!CD34&lt;&gt;""),'T_SelfStock'!CD34,CC30-'Grid_Requirement'!CD30+'Grid_TTAFOutgoing'!CD30))</f>
        <v/>
      </c>
      <c r="CE30">
        <f>IF(COUNTIFS(T_StockCount[Part Name],$A30,T_StockCount[WeekIndex],82)&gt;0,SUMIFS(T_StockCount[CountedQty],T_StockCount[Part Name],$A30,T_StockCount[WeekIndex],82),IF(('T_SelfStock'!CE34&lt;&gt;""),'T_SelfStock'!CE34,CD30-'Grid_Requirement'!CE30+'Grid_TTAFOutgoing'!CE30))</f>
        <v/>
      </c>
      <c r="CF30">
        <f>IF(COUNTIFS(T_StockCount[Part Name],$A30,T_StockCount[WeekIndex],83)&gt;0,SUMIFS(T_StockCount[CountedQty],T_StockCount[Part Name],$A30,T_StockCount[WeekIndex],83),IF(('T_SelfStock'!CF34&lt;&gt;""),'T_SelfStock'!CF34,CE30-'Grid_Requirement'!CF30+'Grid_TTAFOutgoing'!CF30))</f>
        <v/>
      </c>
      <c r="CG30">
        <f>IF(COUNTIFS(T_StockCount[Part Name],$A30,T_StockCount[WeekIndex],84)&gt;0,SUMIFS(T_StockCount[CountedQty],T_StockCount[Part Name],$A30,T_StockCount[WeekIndex],84),IF(('T_SelfStock'!CG34&lt;&gt;""),'T_SelfStock'!CG34,CF30-'Grid_Requirement'!CG30+'Grid_TTAFOutgoing'!CG30))</f>
        <v/>
      </c>
      <c r="CH30">
        <f>IF(COUNTIFS(T_StockCount[Part Name],$A30,T_StockCount[WeekIndex],85)&gt;0,SUMIFS(T_StockCount[CountedQty],T_StockCount[Part Name],$A30,T_StockCount[WeekIndex],85),IF(('T_SelfStock'!CH34&lt;&gt;""),'T_SelfStock'!CH34,CG30-'Grid_Requirement'!CH30+'Grid_TTAFOutgoing'!CH30))</f>
        <v/>
      </c>
      <c r="CI30">
        <f>IF(COUNTIFS(T_StockCount[Part Name],$A30,T_StockCount[WeekIndex],86)&gt;0,SUMIFS(T_StockCount[CountedQty],T_StockCount[Part Name],$A30,T_StockCount[WeekIndex],86),IF(('T_SelfStock'!CI34&lt;&gt;""),'T_SelfStock'!CI34,CH30-'Grid_Requirement'!CI30+'Grid_TTAFOutgoing'!CI30))</f>
        <v/>
      </c>
      <c r="CJ30">
        <f>IF(COUNTIFS(T_StockCount[Part Name],$A30,T_StockCount[WeekIndex],87)&gt;0,SUMIFS(T_StockCount[CountedQty],T_StockCount[Part Name],$A30,T_StockCount[WeekIndex],87),IF(('T_SelfStock'!CJ34&lt;&gt;""),'T_SelfStock'!CJ34,CI30-'Grid_Requirement'!CJ30+'Grid_TTAFOutgoing'!CJ30))</f>
        <v/>
      </c>
      <c r="CK30">
        <f>IF(COUNTIFS(T_StockCount[Part Name],$A30,T_StockCount[WeekIndex],88)&gt;0,SUMIFS(T_StockCount[CountedQty],T_StockCount[Part Name],$A30,T_StockCount[WeekIndex],88),IF(('T_SelfStock'!CK34&lt;&gt;""),'T_SelfStock'!CK34,CJ30-'Grid_Requirement'!CK30+'Grid_TTAFOutgoing'!CK30))</f>
        <v/>
      </c>
      <c r="CL30">
        <f>IF(COUNTIFS(T_StockCount[Part Name],$A30,T_StockCount[WeekIndex],89)&gt;0,SUMIFS(T_StockCount[CountedQty],T_StockCount[Part Name],$A30,T_StockCount[WeekIndex],89),IF(('T_SelfStock'!CL34&lt;&gt;""),'T_SelfStock'!CL34,CK30-'Grid_Requirement'!CL30+'Grid_TTAFOutgoing'!CL30))</f>
        <v/>
      </c>
      <c r="CM30">
        <f>IF(COUNTIFS(T_StockCount[Part Name],$A30,T_StockCount[WeekIndex],90)&gt;0,SUMIFS(T_StockCount[CountedQty],T_StockCount[Part Name],$A30,T_StockCount[WeekIndex],90),IF(('T_SelfStock'!CM34&lt;&gt;""),'T_SelfStock'!CM34,CL30-'Grid_Requirement'!CM30+'Grid_TTAFOutgoing'!CM30))</f>
        <v/>
      </c>
      <c r="CN30">
        <f>IF(COUNTIFS(T_StockCount[Part Name],$A30,T_StockCount[WeekIndex],91)&gt;0,SUMIFS(T_StockCount[CountedQty],T_StockCount[Part Name],$A30,T_StockCount[WeekIndex],91),IF(('T_SelfStock'!CN34&lt;&gt;""),'T_SelfStock'!CN34,CM30-'Grid_Requirement'!CN30+'Grid_TTAFOutgoing'!CN30))</f>
        <v/>
      </c>
      <c r="CO30">
        <f>IF(COUNTIFS(T_StockCount[Part Name],$A30,T_StockCount[WeekIndex],92)&gt;0,SUMIFS(T_StockCount[CountedQty],T_StockCount[Part Name],$A30,T_StockCount[WeekIndex],92),IF(('T_SelfStock'!CO34&lt;&gt;""),'T_SelfStock'!CO34,CN30-'Grid_Requirement'!CO30+'Grid_TTAFOutgoing'!CO30))</f>
        <v/>
      </c>
      <c r="CP30">
        <f>IF(COUNTIFS(T_StockCount[Part Name],$A30,T_StockCount[WeekIndex],93)&gt;0,SUMIFS(T_StockCount[CountedQty],T_StockCount[Part Name],$A30,T_StockCount[WeekIndex],93),IF(('T_SelfStock'!CP34&lt;&gt;""),'T_SelfStock'!CP34,CO30-'Grid_Requirement'!CP30+'Grid_TTAFOutgoing'!CP30))</f>
        <v/>
      </c>
      <c r="CQ30">
        <f>IF(COUNTIFS(T_StockCount[Part Name],$A30,T_StockCount[WeekIndex],94)&gt;0,SUMIFS(T_StockCount[CountedQty],T_StockCount[Part Name],$A30,T_StockCount[WeekIndex],94),IF(('T_SelfStock'!CQ34&lt;&gt;""),'T_SelfStock'!CQ34,CP30-'Grid_Requirement'!CQ30+'Grid_TTAFOutgoing'!CQ30))</f>
        <v/>
      </c>
      <c r="CR30">
        <f>IF(COUNTIFS(T_StockCount[Part Name],$A30,T_StockCount[WeekIndex],95)&gt;0,SUMIFS(T_StockCount[CountedQty],T_StockCount[Part Name],$A30,T_StockCount[WeekIndex],95),IF(('T_SelfStock'!CR34&lt;&gt;""),'T_SelfStock'!CR34,CQ30-'Grid_Requirement'!CR30+'Grid_TTAFOutgoing'!CR30))</f>
        <v/>
      </c>
      <c r="CS30">
        <f>IF(COUNTIFS(T_StockCount[Part Name],$A30,T_StockCount[WeekIndex],96)&gt;0,SUMIFS(T_StockCount[CountedQty],T_StockCount[Part Name],$A30,T_StockCount[WeekIndex],96),IF(('T_SelfStock'!CS34&lt;&gt;""),'T_SelfStock'!CS34,CR30-'Grid_Requirement'!CS30+'Grid_TTAFOutgoing'!CS30))</f>
        <v/>
      </c>
      <c r="CT30">
        <f>IF(COUNTIFS(T_StockCount[Part Name],$A30,T_StockCount[WeekIndex],97)&gt;0,SUMIFS(T_StockCount[CountedQty],T_StockCount[Part Name],$A30,T_StockCount[WeekIndex],97),IF(('T_SelfStock'!CT34&lt;&gt;""),'T_SelfStock'!CT34,CS30-'Grid_Requirement'!CT30+'Grid_TTAFOutgoing'!CT30))</f>
        <v/>
      </c>
      <c r="CU30">
        <f>IF(COUNTIFS(T_StockCount[Part Name],$A30,T_StockCount[WeekIndex],98)&gt;0,SUMIFS(T_StockCount[CountedQty],T_StockCount[Part Name],$A30,T_StockCount[WeekIndex],98),IF(('T_SelfStock'!CU34&lt;&gt;""),'T_SelfStock'!CU34,CT30-'Grid_Requirement'!CU30+'Grid_TTAFOutgoing'!CU30))</f>
        <v/>
      </c>
      <c r="CV30">
        <f>IF(COUNTIFS(T_StockCount[Part Name],$A30,T_StockCount[WeekIndex],99)&gt;0,SUMIFS(T_StockCount[CountedQty],T_StockCount[Part Name],$A30,T_StockCount[WeekIndex],99),IF(('T_SelfStock'!CV34&lt;&gt;""),'T_SelfStock'!CV34,CU30-'Grid_Requirement'!CV30+'Grid_TTAFOutgoing'!CV30))</f>
        <v/>
      </c>
      <c r="CW30">
        <f>IF(COUNTIFS(T_StockCount[Part Name],$A30,T_StockCount[WeekIndex],100)&gt;0,SUMIFS(T_StockCount[CountedQty],T_StockCount[Part Name],$A30,T_StockCount[WeekIndex],100),IF(('T_SelfStock'!CW34&lt;&gt;""),'T_SelfStock'!CW34,CV30-'Grid_Requirement'!CW30+'Grid_TTAFOutgoing'!CW30))</f>
        <v/>
      </c>
      <c r="CX30">
        <f>IF(COUNTIFS(T_StockCount[Part Name],$A30,T_StockCount[WeekIndex],101)&gt;0,SUMIFS(T_StockCount[CountedQty],T_StockCount[Part Name],$A30,T_StockCount[WeekIndex],101),IF(('T_SelfStock'!CX34&lt;&gt;""),'T_SelfStock'!CX34,CW30-'Grid_Requirement'!CX30+'Grid_TTAFOutgoing'!CX30))</f>
        <v/>
      </c>
      <c r="CY30">
        <f>IF(COUNTIFS(T_StockCount[Part Name],$A30,T_StockCount[WeekIndex],102)&gt;0,SUMIFS(T_StockCount[CountedQty],T_StockCount[Part Name],$A30,T_StockCount[WeekIndex],102),IF(('T_SelfStock'!CY34&lt;&gt;""),'T_SelfStock'!CY34,CX30-'Grid_Requirement'!CY30+'Grid_TTAFOutgoing'!CY30))</f>
        <v/>
      </c>
      <c r="CZ30">
        <f>IF(COUNTIFS(T_StockCount[Part Name],$A30,T_StockCount[WeekIndex],103)&gt;0,SUMIFS(T_StockCount[CountedQty],T_StockCount[Part Name],$A30,T_StockCount[WeekIndex],103),IF(('T_SelfStock'!CZ34&lt;&gt;""),'T_SelfStock'!CZ34,CY30-'Grid_Requirement'!CZ30+'Grid_TTAFOutgoing'!CZ30))</f>
        <v/>
      </c>
      <c r="DA30">
        <f>IF(COUNTIFS(T_StockCount[Part Name],$A30,T_StockCount[WeekIndex],104)&gt;0,SUMIFS(T_StockCount[CountedQty],T_StockCount[Part Name],$A30,T_StockCount[WeekIndex],104),IF(('T_SelfStock'!DA34&lt;&gt;""),'T_SelfStock'!DA34,CZ30-'Grid_Requirement'!DA30+'Grid_TTAFOutgoing'!DA30))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Name],$A31,T_StockCount[WeekIndex],1),IF(('T_SelfStock'!B35&lt;&gt;""),'T_SelfStock'!B35,IFERROR(INDEX(T_OpeningStock[Opening_Qty],MATCH($A31,T_OpeningStock[Part Name],0)),0)-'Grid_Requirement'!B31+'Grid_TTAFOutgoing'!B31))</f>
        <v/>
      </c>
      <c r="C31">
        <f>IF(COUNTIFS(T_StockCount[Part Name],$A31,T_StockCount[WeekIndex],2)&gt;0,SUMIFS(T_StockCount[CountedQty],T_StockCount[Part Name],$A31,T_StockCount[WeekIndex],2),IF(('T_SelfStock'!C35&lt;&gt;""),'T_SelfStock'!C35,B31-'Grid_Requirement'!C31+'Grid_TTAFOutgoing'!C31))</f>
        <v/>
      </c>
      <c r="D31">
        <f>IF(COUNTIFS(T_StockCount[Part Name],$A31,T_StockCount[WeekIndex],3)&gt;0,SUMIFS(T_StockCount[CountedQty],T_StockCount[Part Name],$A31,T_StockCount[WeekIndex],3),IF(('T_SelfStock'!D35&lt;&gt;""),'T_SelfStock'!D35,C31-'Grid_Requirement'!D31+'Grid_TTAFOutgoing'!D31))</f>
        <v/>
      </c>
      <c r="E31">
        <f>IF(COUNTIFS(T_StockCount[Part Name],$A31,T_StockCount[WeekIndex],4)&gt;0,SUMIFS(T_StockCount[CountedQty],T_StockCount[Part Name],$A31,T_StockCount[WeekIndex],4),IF(('T_SelfStock'!E35&lt;&gt;""),'T_SelfStock'!E35,D31-'Grid_Requirement'!E31+'Grid_TTAFOutgoing'!E31))</f>
        <v/>
      </c>
      <c r="F31">
        <f>IF(COUNTIFS(T_StockCount[Part Name],$A31,T_StockCount[WeekIndex],5)&gt;0,SUMIFS(T_StockCount[CountedQty],T_StockCount[Part Name],$A31,T_StockCount[WeekIndex],5),IF(('T_SelfStock'!F35&lt;&gt;""),'T_SelfStock'!F35,E31-'Grid_Requirement'!F31+'Grid_TTAFOutgoing'!F31))</f>
        <v/>
      </c>
      <c r="G31">
        <f>IF(COUNTIFS(T_StockCount[Part Name],$A31,T_StockCount[WeekIndex],6)&gt;0,SUMIFS(T_StockCount[CountedQty],T_StockCount[Part Name],$A31,T_StockCount[WeekIndex],6),IF(('T_SelfStock'!G35&lt;&gt;""),'T_SelfStock'!G35,F31-'Grid_Requirement'!G31+'Grid_TTAFOutgoing'!G31))</f>
        <v/>
      </c>
      <c r="H31">
        <f>IF(COUNTIFS(T_StockCount[Part Name],$A31,T_StockCount[WeekIndex],7)&gt;0,SUMIFS(T_StockCount[CountedQty],T_StockCount[Part Name],$A31,T_StockCount[WeekIndex],7),IF(('T_SelfStock'!H35&lt;&gt;""),'T_SelfStock'!H35,G31-'Grid_Requirement'!H31+'Grid_TTAFOutgoing'!H31))</f>
        <v/>
      </c>
      <c r="I31">
        <f>IF(COUNTIFS(T_StockCount[Part Name],$A31,T_StockCount[WeekIndex],8)&gt;0,SUMIFS(T_StockCount[CountedQty],T_StockCount[Part Name],$A31,T_StockCount[WeekIndex],8),IF(('T_SelfStock'!I35&lt;&gt;""),'T_SelfStock'!I35,H31-'Grid_Requirement'!I31+'Grid_TTAFOutgoing'!I31))</f>
        <v/>
      </c>
      <c r="J31">
        <f>IF(COUNTIFS(T_StockCount[Part Name],$A31,T_StockCount[WeekIndex],9)&gt;0,SUMIFS(T_StockCount[CountedQty],T_StockCount[Part Name],$A31,T_StockCount[WeekIndex],9),IF(('T_SelfStock'!J35&lt;&gt;""),'T_SelfStock'!J35,I31-'Grid_Requirement'!J31+'Grid_TTAFOutgoing'!J31))</f>
        <v/>
      </c>
      <c r="K31">
        <f>IF(COUNTIFS(T_StockCount[Part Name],$A31,T_StockCount[WeekIndex],10)&gt;0,SUMIFS(T_StockCount[CountedQty],T_StockCount[Part Name],$A31,T_StockCount[WeekIndex],10),IF(('T_SelfStock'!K35&lt;&gt;""),'T_SelfStock'!K35,J31-'Grid_Requirement'!K31+'Grid_TTAFOutgoing'!K31))</f>
        <v/>
      </c>
      <c r="L31">
        <f>IF(COUNTIFS(T_StockCount[Part Name],$A31,T_StockCount[WeekIndex],11)&gt;0,SUMIFS(T_StockCount[CountedQty],T_StockCount[Part Name],$A31,T_StockCount[WeekIndex],11),IF(('T_SelfStock'!L35&lt;&gt;""),'T_SelfStock'!L35,K31-'Grid_Requirement'!L31+'Grid_TTAFOutgoing'!L31))</f>
        <v/>
      </c>
      <c r="M31">
        <f>IF(COUNTIFS(T_StockCount[Part Name],$A31,T_StockCount[WeekIndex],12)&gt;0,SUMIFS(T_StockCount[CountedQty],T_StockCount[Part Name],$A31,T_StockCount[WeekIndex],12),IF(('T_SelfStock'!M35&lt;&gt;""),'T_SelfStock'!M35,L31-'Grid_Requirement'!M31+'Grid_TTAFOutgoing'!M31))</f>
        <v/>
      </c>
      <c r="N31">
        <f>IF(COUNTIFS(T_StockCount[Part Name],$A31,T_StockCount[WeekIndex],13)&gt;0,SUMIFS(T_StockCount[CountedQty],T_StockCount[Part Name],$A31,T_StockCount[WeekIndex],13),IF(('T_SelfStock'!N35&lt;&gt;""),'T_SelfStock'!N35,M31-'Grid_Requirement'!N31+'Grid_TTAFOutgoing'!N31))</f>
        <v/>
      </c>
      <c r="O31">
        <f>IF(COUNTIFS(T_StockCount[Part Name],$A31,T_StockCount[WeekIndex],14)&gt;0,SUMIFS(T_StockCount[CountedQty],T_StockCount[Part Name],$A31,T_StockCount[WeekIndex],14),IF(('T_SelfStock'!O35&lt;&gt;""),'T_SelfStock'!O35,N31-'Grid_Requirement'!O31+'Grid_TTAFOutgoing'!O31))</f>
        <v/>
      </c>
      <c r="P31">
        <f>IF(COUNTIFS(T_StockCount[Part Name],$A31,T_StockCount[WeekIndex],15)&gt;0,SUMIFS(T_StockCount[CountedQty],T_StockCount[Part Name],$A31,T_StockCount[WeekIndex],15),IF(('T_SelfStock'!P35&lt;&gt;""),'T_SelfStock'!P35,O31-'Grid_Requirement'!P31+'Grid_TTAFOutgoing'!P31))</f>
        <v/>
      </c>
      <c r="Q31">
        <f>IF(COUNTIFS(T_StockCount[Part Name],$A31,T_StockCount[WeekIndex],16)&gt;0,SUMIFS(T_StockCount[CountedQty],T_StockCount[Part Name],$A31,T_StockCount[WeekIndex],16),IF(('T_SelfStock'!Q35&lt;&gt;""),'T_SelfStock'!Q35,P31-'Grid_Requirement'!Q31+'Grid_TTAFOutgoing'!Q31))</f>
        <v/>
      </c>
      <c r="R31">
        <f>IF(COUNTIFS(T_StockCount[Part Name],$A31,T_StockCount[WeekIndex],17)&gt;0,SUMIFS(T_StockCount[CountedQty],T_StockCount[Part Name],$A31,T_StockCount[WeekIndex],17),IF(('T_SelfStock'!R35&lt;&gt;""),'T_SelfStock'!R35,Q31-'Grid_Requirement'!R31+'Grid_TTAFOutgoing'!R31))</f>
        <v/>
      </c>
      <c r="S31">
        <f>IF(COUNTIFS(T_StockCount[Part Name],$A31,T_StockCount[WeekIndex],18)&gt;0,SUMIFS(T_StockCount[CountedQty],T_StockCount[Part Name],$A31,T_StockCount[WeekIndex],18),IF(('T_SelfStock'!S35&lt;&gt;""),'T_SelfStock'!S35,R31-'Grid_Requirement'!S31+'Grid_TTAFOutgoing'!S31))</f>
        <v/>
      </c>
      <c r="T31">
        <f>IF(COUNTIFS(T_StockCount[Part Name],$A31,T_StockCount[WeekIndex],19)&gt;0,SUMIFS(T_StockCount[CountedQty],T_StockCount[Part Name],$A31,T_StockCount[WeekIndex],19),IF(('T_SelfStock'!T35&lt;&gt;""),'T_SelfStock'!T35,S31-'Grid_Requirement'!T31+'Grid_TTAFOutgoing'!T31))</f>
        <v/>
      </c>
      <c r="U31">
        <f>IF(COUNTIFS(T_StockCount[Part Name],$A31,T_StockCount[WeekIndex],20)&gt;0,SUMIFS(T_StockCount[CountedQty],T_StockCount[Part Name],$A31,T_StockCount[WeekIndex],20),IF(('T_SelfStock'!U35&lt;&gt;""),'T_SelfStock'!U35,T31-'Grid_Requirement'!U31+'Grid_TTAFOutgoing'!U31))</f>
        <v/>
      </c>
      <c r="V31">
        <f>IF(COUNTIFS(T_StockCount[Part Name],$A31,T_StockCount[WeekIndex],21)&gt;0,SUMIFS(T_StockCount[CountedQty],T_StockCount[Part Name],$A31,T_StockCount[WeekIndex],21),IF(('T_SelfStock'!V35&lt;&gt;""),'T_SelfStock'!V35,U31-'Grid_Requirement'!V31+'Grid_TTAFOutgoing'!V31))</f>
        <v/>
      </c>
      <c r="W31">
        <f>IF(COUNTIFS(T_StockCount[Part Name],$A31,T_StockCount[WeekIndex],22)&gt;0,SUMIFS(T_StockCount[CountedQty],T_StockCount[Part Name],$A31,T_StockCount[WeekIndex],22),IF(('T_SelfStock'!W35&lt;&gt;""),'T_SelfStock'!W35,V31-'Grid_Requirement'!W31+'Grid_TTAFOutgoing'!W31))</f>
        <v/>
      </c>
      <c r="X31">
        <f>IF(COUNTIFS(T_StockCount[Part Name],$A31,T_StockCount[WeekIndex],23)&gt;0,SUMIFS(T_StockCount[CountedQty],T_StockCount[Part Name],$A31,T_StockCount[WeekIndex],23),IF(('T_SelfStock'!X35&lt;&gt;""),'T_SelfStock'!X35,W31-'Grid_Requirement'!X31+'Grid_TTAFOutgoing'!X31))</f>
        <v/>
      </c>
      <c r="Y31">
        <f>IF(COUNTIFS(T_StockCount[Part Name],$A31,T_StockCount[WeekIndex],24)&gt;0,SUMIFS(T_StockCount[CountedQty],T_StockCount[Part Name],$A31,T_StockCount[WeekIndex],24),IF(('T_SelfStock'!Y35&lt;&gt;""),'T_SelfStock'!Y35,X31-'Grid_Requirement'!Y31+'Grid_TTAFOutgoing'!Y31))</f>
        <v/>
      </c>
      <c r="Z31">
        <f>IF(COUNTIFS(T_StockCount[Part Name],$A31,T_StockCount[WeekIndex],25)&gt;0,SUMIFS(T_StockCount[CountedQty],T_StockCount[Part Name],$A31,T_StockCount[WeekIndex],25),IF(('T_SelfStock'!Z35&lt;&gt;""),'T_SelfStock'!Z35,Y31-'Grid_Requirement'!Z31+'Grid_TTAFOutgoing'!Z31))</f>
        <v/>
      </c>
      <c r="AA31">
        <f>IF(COUNTIFS(T_StockCount[Part Name],$A31,T_StockCount[WeekIndex],26)&gt;0,SUMIFS(T_StockCount[CountedQty],T_StockCount[Part Name],$A31,T_StockCount[WeekIndex],26),IF(('T_SelfStock'!AA35&lt;&gt;""),'T_SelfStock'!AA35,Z31-'Grid_Requirement'!AA31+'Grid_TTAFOutgoing'!AA31))</f>
        <v/>
      </c>
      <c r="AB31">
        <f>IF(COUNTIFS(T_StockCount[Part Name],$A31,T_StockCount[WeekIndex],27)&gt;0,SUMIFS(T_StockCount[CountedQty],T_StockCount[Part Name],$A31,T_StockCount[WeekIndex],27),IF(('T_SelfStock'!AB35&lt;&gt;""),'T_SelfStock'!AB35,AA31-'Grid_Requirement'!AB31+'Grid_TTAFOutgoing'!AB31))</f>
        <v/>
      </c>
      <c r="AC31">
        <f>IF(COUNTIFS(T_StockCount[Part Name],$A31,T_StockCount[WeekIndex],28)&gt;0,SUMIFS(T_StockCount[CountedQty],T_StockCount[Part Name],$A31,T_StockCount[WeekIndex],28),IF(('T_SelfStock'!AC35&lt;&gt;""),'T_SelfStock'!AC35,AB31-'Grid_Requirement'!AC31+'Grid_TTAFOutgoing'!AC31))</f>
        <v/>
      </c>
      <c r="AD31">
        <f>IF(COUNTIFS(T_StockCount[Part Name],$A31,T_StockCount[WeekIndex],29)&gt;0,SUMIFS(T_StockCount[CountedQty],T_StockCount[Part Name],$A31,T_StockCount[WeekIndex],29),IF(('T_SelfStock'!AD35&lt;&gt;""),'T_SelfStock'!AD35,AC31-'Grid_Requirement'!AD31+'Grid_TTAFOutgoing'!AD31))</f>
        <v/>
      </c>
      <c r="AE31">
        <f>IF(COUNTIFS(T_StockCount[Part Name],$A31,T_StockCount[WeekIndex],30)&gt;0,SUMIFS(T_StockCount[CountedQty],T_StockCount[Part Name],$A31,T_StockCount[WeekIndex],30),IF(('T_SelfStock'!AE35&lt;&gt;""),'T_SelfStock'!AE35,AD31-'Grid_Requirement'!AE31+'Grid_TTAFOutgoing'!AE31))</f>
        <v/>
      </c>
      <c r="AF31">
        <f>IF(COUNTIFS(T_StockCount[Part Name],$A31,T_StockCount[WeekIndex],31)&gt;0,SUMIFS(T_StockCount[CountedQty],T_StockCount[Part Name],$A31,T_StockCount[WeekIndex],31),IF(('T_SelfStock'!AF35&lt;&gt;""),'T_SelfStock'!AF35,AE31-'Grid_Requirement'!AF31+'Grid_TTAFOutgoing'!AF31))</f>
        <v/>
      </c>
      <c r="AG31">
        <f>IF(COUNTIFS(T_StockCount[Part Name],$A31,T_StockCount[WeekIndex],32)&gt;0,SUMIFS(T_StockCount[CountedQty],T_StockCount[Part Name],$A31,T_StockCount[WeekIndex],32),IF(('T_SelfStock'!AG35&lt;&gt;""),'T_SelfStock'!AG35,AF31-'Grid_Requirement'!AG31+'Grid_TTAFOutgoing'!AG31))</f>
        <v/>
      </c>
      <c r="AH31">
        <f>IF(COUNTIFS(T_StockCount[Part Name],$A31,T_StockCount[WeekIndex],33)&gt;0,SUMIFS(T_StockCount[CountedQty],T_StockCount[Part Name],$A31,T_StockCount[WeekIndex],33),IF(('T_SelfStock'!AH35&lt;&gt;""),'T_SelfStock'!AH35,AG31-'Grid_Requirement'!AH31+'Grid_TTAFOutgoing'!AH31))</f>
        <v/>
      </c>
      <c r="AI31">
        <f>IF(COUNTIFS(T_StockCount[Part Name],$A31,T_StockCount[WeekIndex],34)&gt;0,SUMIFS(T_StockCount[CountedQty],T_StockCount[Part Name],$A31,T_StockCount[WeekIndex],34),IF(('T_SelfStock'!AI35&lt;&gt;""),'T_SelfStock'!AI35,AH31-'Grid_Requirement'!AI31+'Grid_TTAFOutgoing'!AI31))</f>
        <v/>
      </c>
      <c r="AJ31">
        <f>IF(COUNTIFS(T_StockCount[Part Name],$A31,T_StockCount[WeekIndex],35)&gt;0,SUMIFS(T_StockCount[CountedQty],T_StockCount[Part Name],$A31,T_StockCount[WeekIndex],35),IF(('T_SelfStock'!AJ35&lt;&gt;""),'T_SelfStock'!AJ35,AI31-'Grid_Requirement'!AJ31+'Grid_TTAFOutgoing'!AJ31))</f>
        <v/>
      </c>
      <c r="AK31">
        <f>IF(COUNTIFS(T_StockCount[Part Name],$A31,T_StockCount[WeekIndex],36)&gt;0,SUMIFS(T_StockCount[CountedQty],T_StockCount[Part Name],$A31,T_StockCount[WeekIndex],36),IF(('T_SelfStock'!AK35&lt;&gt;""),'T_SelfStock'!AK35,AJ31-'Grid_Requirement'!AK31+'Grid_TTAFOutgoing'!AK31))</f>
        <v/>
      </c>
      <c r="AL31">
        <f>IF(COUNTIFS(T_StockCount[Part Name],$A31,T_StockCount[WeekIndex],37)&gt;0,SUMIFS(T_StockCount[CountedQty],T_StockCount[Part Name],$A31,T_StockCount[WeekIndex],37),IF(('T_SelfStock'!AL35&lt;&gt;""),'T_SelfStock'!AL35,AK31-'Grid_Requirement'!AL31+'Grid_TTAFOutgoing'!AL31))</f>
        <v/>
      </c>
      <c r="AM31">
        <f>IF(COUNTIFS(T_StockCount[Part Name],$A31,T_StockCount[WeekIndex],38)&gt;0,SUMIFS(T_StockCount[CountedQty],T_StockCount[Part Name],$A31,T_StockCount[WeekIndex],38),IF(('T_SelfStock'!AM35&lt;&gt;""),'T_SelfStock'!AM35,AL31-'Grid_Requirement'!AM31+'Grid_TTAFOutgoing'!AM31))</f>
        <v/>
      </c>
      <c r="AN31">
        <f>IF(COUNTIFS(T_StockCount[Part Name],$A31,T_StockCount[WeekIndex],39)&gt;0,SUMIFS(T_StockCount[CountedQty],T_StockCount[Part Name],$A31,T_StockCount[WeekIndex],39),IF(('T_SelfStock'!AN35&lt;&gt;""),'T_SelfStock'!AN35,AM31-'Grid_Requirement'!AN31+'Grid_TTAFOutgoing'!AN31))</f>
        <v/>
      </c>
      <c r="AO31">
        <f>IF(COUNTIFS(T_StockCount[Part Name],$A31,T_StockCount[WeekIndex],40)&gt;0,SUMIFS(T_StockCount[CountedQty],T_StockCount[Part Name],$A31,T_StockCount[WeekIndex],40),IF(('T_SelfStock'!AO35&lt;&gt;""),'T_SelfStock'!AO35,AN31-'Grid_Requirement'!AO31+'Grid_TTAFOutgoing'!AO31))</f>
        <v/>
      </c>
      <c r="AP31">
        <f>IF(COUNTIFS(T_StockCount[Part Name],$A31,T_StockCount[WeekIndex],41)&gt;0,SUMIFS(T_StockCount[CountedQty],T_StockCount[Part Name],$A31,T_StockCount[WeekIndex],41),IF(('T_SelfStock'!AP35&lt;&gt;""),'T_SelfStock'!AP35,AO31-'Grid_Requirement'!AP31+'Grid_TTAFOutgoing'!AP31))</f>
        <v/>
      </c>
      <c r="AQ31">
        <f>IF(COUNTIFS(T_StockCount[Part Name],$A31,T_StockCount[WeekIndex],42)&gt;0,SUMIFS(T_StockCount[CountedQty],T_StockCount[Part Name],$A31,T_StockCount[WeekIndex],42),IF(('T_SelfStock'!AQ35&lt;&gt;""),'T_SelfStock'!AQ35,AP31-'Grid_Requirement'!AQ31+'Grid_TTAFOutgoing'!AQ31))</f>
        <v/>
      </c>
      <c r="AR31">
        <f>IF(COUNTIFS(T_StockCount[Part Name],$A31,T_StockCount[WeekIndex],43)&gt;0,SUMIFS(T_StockCount[CountedQty],T_StockCount[Part Name],$A31,T_StockCount[WeekIndex],43),IF(('T_SelfStock'!AR35&lt;&gt;""),'T_SelfStock'!AR35,AQ31-'Grid_Requirement'!AR31+'Grid_TTAFOutgoing'!AR31))</f>
        <v/>
      </c>
      <c r="AS31">
        <f>IF(COUNTIFS(T_StockCount[Part Name],$A31,T_StockCount[WeekIndex],44)&gt;0,SUMIFS(T_StockCount[CountedQty],T_StockCount[Part Name],$A31,T_StockCount[WeekIndex],44),IF(('T_SelfStock'!AS35&lt;&gt;""),'T_SelfStock'!AS35,AR31-'Grid_Requirement'!AS31+'Grid_TTAFOutgoing'!AS31))</f>
        <v/>
      </c>
      <c r="AT31">
        <f>IF(COUNTIFS(T_StockCount[Part Name],$A31,T_StockCount[WeekIndex],45)&gt;0,SUMIFS(T_StockCount[CountedQty],T_StockCount[Part Name],$A31,T_StockCount[WeekIndex],45),IF(('T_SelfStock'!AT35&lt;&gt;""),'T_SelfStock'!AT35,AS31-'Grid_Requirement'!AT31+'Grid_TTAFOutgoing'!AT31))</f>
        <v/>
      </c>
      <c r="AU31">
        <f>IF(COUNTIFS(T_StockCount[Part Name],$A31,T_StockCount[WeekIndex],46)&gt;0,SUMIFS(T_StockCount[CountedQty],T_StockCount[Part Name],$A31,T_StockCount[WeekIndex],46),IF(('T_SelfStock'!AU35&lt;&gt;""),'T_SelfStock'!AU35,AT31-'Grid_Requirement'!AU31+'Grid_TTAFOutgoing'!AU31))</f>
        <v/>
      </c>
      <c r="AV31">
        <f>IF(COUNTIFS(T_StockCount[Part Name],$A31,T_StockCount[WeekIndex],47)&gt;0,SUMIFS(T_StockCount[CountedQty],T_StockCount[Part Name],$A31,T_StockCount[WeekIndex],47),IF(('T_SelfStock'!AV35&lt;&gt;""),'T_SelfStock'!AV35,AU31-'Grid_Requirement'!AV31+'Grid_TTAFOutgoing'!AV31))</f>
        <v/>
      </c>
      <c r="AW31">
        <f>IF(COUNTIFS(T_StockCount[Part Name],$A31,T_StockCount[WeekIndex],48)&gt;0,SUMIFS(T_StockCount[CountedQty],T_StockCount[Part Name],$A31,T_StockCount[WeekIndex],48),IF(('T_SelfStock'!AW35&lt;&gt;""),'T_SelfStock'!AW35,AV31-'Grid_Requirement'!AW31+'Grid_TTAFOutgoing'!AW31))</f>
        <v/>
      </c>
      <c r="AX31">
        <f>IF(COUNTIFS(T_StockCount[Part Name],$A31,T_StockCount[WeekIndex],49)&gt;0,SUMIFS(T_StockCount[CountedQty],T_StockCount[Part Name],$A31,T_StockCount[WeekIndex],49),IF(('T_SelfStock'!AX35&lt;&gt;""),'T_SelfStock'!AX35,AW31-'Grid_Requirement'!AX31+'Grid_TTAFOutgoing'!AX31))</f>
        <v/>
      </c>
      <c r="AY31">
        <f>IF(COUNTIFS(T_StockCount[Part Name],$A31,T_StockCount[WeekIndex],50)&gt;0,SUMIFS(T_StockCount[CountedQty],T_StockCount[Part Name],$A31,T_StockCount[WeekIndex],50),IF(('T_SelfStock'!AY35&lt;&gt;""),'T_SelfStock'!AY35,AX31-'Grid_Requirement'!AY31+'Grid_TTAFOutgoing'!AY31))</f>
        <v/>
      </c>
      <c r="AZ31">
        <f>IF(COUNTIFS(T_StockCount[Part Name],$A31,T_StockCount[WeekIndex],51)&gt;0,SUMIFS(T_StockCount[CountedQty],T_StockCount[Part Name],$A31,T_StockCount[WeekIndex],51),IF(('T_SelfStock'!AZ35&lt;&gt;""),'T_SelfStock'!AZ35,AY31-'Grid_Requirement'!AZ31+'Grid_TTAFOutgoing'!AZ31))</f>
        <v/>
      </c>
      <c r="BA31">
        <f>IF(COUNTIFS(T_StockCount[Part Name],$A31,T_StockCount[WeekIndex],52)&gt;0,SUMIFS(T_StockCount[CountedQty],T_StockCount[Part Name],$A31,T_StockCount[WeekIndex],52),IF(('T_SelfStock'!BA35&lt;&gt;""),'T_SelfStock'!BA35,AZ31-'Grid_Requirement'!BA31+'Grid_TTAFOutgoing'!BA31))</f>
        <v/>
      </c>
      <c r="BB31">
        <f>IF(COUNTIFS(T_StockCount[Part Name],$A31,T_StockCount[WeekIndex],53)&gt;0,SUMIFS(T_StockCount[CountedQty],T_StockCount[Part Name],$A31,T_StockCount[WeekIndex],53),IF(('T_SelfStock'!BB35&lt;&gt;""),'T_SelfStock'!BB35,BA31-'Grid_Requirement'!BB31+'Grid_TTAFOutgoing'!BB31))</f>
        <v/>
      </c>
      <c r="BC31">
        <f>IF(COUNTIFS(T_StockCount[Part Name],$A31,T_StockCount[WeekIndex],54)&gt;0,SUMIFS(T_StockCount[CountedQty],T_StockCount[Part Name],$A31,T_StockCount[WeekIndex],54),IF(('T_SelfStock'!BC35&lt;&gt;""),'T_SelfStock'!BC35,BB31-'Grid_Requirement'!BC31+'Grid_TTAFOutgoing'!BC31))</f>
        <v/>
      </c>
      <c r="BD31">
        <f>IF(COUNTIFS(T_StockCount[Part Name],$A31,T_StockCount[WeekIndex],55)&gt;0,SUMIFS(T_StockCount[CountedQty],T_StockCount[Part Name],$A31,T_StockCount[WeekIndex],55),IF(('T_SelfStock'!BD35&lt;&gt;""),'T_SelfStock'!BD35,BC31-'Grid_Requirement'!BD31+'Grid_TTAFOutgoing'!BD31))</f>
        <v/>
      </c>
      <c r="BE31">
        <f>IF(COUNTIFS(T_StockCount[Part Name],$A31,T_StockCount[WeekIndex],56)&gt;0,SUMIFS(T_StockCount[CountedQty],T_StockCount[Part Name],$A31,T_StockCount[WeekIndex],56),IF(('T_SelfStock'!BE35&lt;&gt;""),'T_SelfStock'!BE35,BD31-'Grid_Requirement'!BE31+'Grid_TTAFOutgoing'!BE31))</f>
        <v/>
      </c>
      <c r="BF31">
        <f>IF(COUNTIFS(T_StockCount[Part Name],$A31,T_StockCount[WeekIndex],57)&gt;0,SUMIFS(T_StockCount[CountedQty],T_StockCount[Part Name],$A31,T_StockCount[WeekIndex],57),IF(('T_SelfStock'!BF35&lt;&gt;""),'T_SelfStock'!BF35,BE31-'Grid_Requirement'!BF31+'Grid_TTAFOutgoing'!BF31))</f>
        <v/>
      </c>
      <c r="BG31">
        <f>IF(COUNTIFS(T_StockCount[Part Name],$A31,T_StockCount[WeekIndex],58)&gt;0,SUMIFS(T_StockCount[CountedQty],T_StockCount[Part Name],$A31,T_StockCount[WeekIndex],58),IF(('T_SelfStock'!BG35&lt;&gt;""),'T_SelfStock'!BG35,BF31-'Grid_Requirement'!BG31+'Grid_TTAFOutgoing'!BG31))</f>
        <v/>
      </c>
      <c r="BH31">
        <f>IF(COUNTIFS(T_StockCount[Part Name],$A31,T_StockCount[WeekIndex],59)&gt;0,SUMIFS(T_StockCount[CountedQty],T_StockCount[Part Name],$A31,T_StockCount[WeekIndex],59),IF(('T_SelfStock'!BH35&lt;&gt;""),'T_SelfStock'!BH35,BG31-'Grid_Requirement'!BH31+'Grid_TTAFOutgoing'!BH31))</f>
        <v/>
      </c>
      <c r="BI31">
        <f>IF(COUNTIFS(T_StockCount[Part Name],$A31,T_StockCount[WeekIndex],60)&gt;0,SUMIFS(T_StockCount[CountedQty],T_StockCount[Part Name],$A31,T_StockCount[WeekIndex],60),IF(('T_SelfStock'!BI35&lt;&gt;""),'T_SelfStock'!BI35,BH31-'Grid_Requirement'!BI31+'Grid_TTAFOutgoing'!BI31))</f>
        <v/>
      </c>
      <c r="BJ31">
        <f>IF(COUNTIFS(T_StockCount[Part Name],$A31,T_StockCount[WeekIndex],61)&gt;0,SUMIFS(T_StockCount[CountedQty],T_StockCount[Part Name],$A31,T_StockCount[WeekIndex],61),IF(('T_SelfStock'!BJ35&lt;&gt;""),'T_SelfStock'!BJ35,BI31-'Grid_Requirement'!BJ31+'Grid_TTAFOutgoing'!BJ31))</f>
        <v/>
      </c>
      <c r="BK31">
        <f>IF(COUNTIFS(T_StockCount[Part Name],$A31,T_StockCount[WeekIndex],62)&gt;0,SUMIFS(T_StockCount[CountedQty],T_StockCount[Part Name],$A31,T_StockCount[WeekIndex],62),IF(('T_SelfStock'!BK35&lt;&gt;""),'T_SelfStock'!BK35,BJ31-'Grid_Requirement'!BK31+'Grid_TTAFOutgoing'!BK31))</f>
        <v/>
      </c>
      <c r="BL31">
        <f>IF(COUNTIFS(T_StockCount[Part Name],$A31,T_StockCount[WeekIndex],63)&gt;0,SUMIFS(T_StockCount[CountedQty],T_StockCount[Part Name],$A31,T_StockCount[WeekIndex],63),IF(('T_SelfStock'!BL35&lt;&gt;""),'T_SelfStock'!BL35,BK31-'Grid_Requirement'!BL31+'Grid_TTAFOutgoing'!BL31))</f>
        <v/>
      </c>
      <c r="BM31">
        <f>IF(COUNTIFS(T_StockCount[Part Name],$A31,T_StockCount[WeekIndex],64)&gt;0,SUMIFS(T_StockCount[CountedQty],T_StockCount[Part Name],$A31,T_StockCount[WeekIndex],64),IF(('T_SelfStock'!BM35&lt;&gt;""),'T_SelfStock'!BM35,BL31-'Grid_Requirement'!BM31+'Grid_TTAFOutgoing'!BM31))</f>
        <v/>
      </c>
      <c r="BN31">
        <f>IF(COUNTIFS(T_StockCount[Part Name],$A31,T_StockCount[WeekIndex],65)&gt;0,SUMIFS(T_StockCount[CountedQty],T_StockCount[Part Name],$A31,T_StockCount[WeekIndex],65),IF(('T_SelfStock'!BN35&lt;&gt;""),'T_SelfStock'!BN35,BM31-'Grid_Requirement'!BN31+'Grid_TTAFOutgoing'!BN31))</f>
        <v/>
      </c>
      <c r="BO31">
        <f>IF(COUNTIFS(T_StockCount[Part Name],$A31,T_StockCount[WeekIndex],66)&gt;0,SUMIFS(T_StockCount[CountedQty],T_StockCount[Part Name],$A31,T_StockCount[WeekIndex],66),IF(('T_SelfStock'!BO35&lt;&gt;""),'T_SelfStock'!BO35,BN31-'Grid_Requirement'!BO31+'Grid_TTAFOutgoing'!BO31))</f>
        <v/>
      </c>
      <c r="BP31">
        <f>IF(COUNTIFS(T_StockCount[Part Name],$A31,T_StockCount[WeekIndex],67)&gt;0,SUMIFS(T_StockCount[CountedQty],T_StockCount[Part Name],$A31,T_StockCount[WeekIndex],67),IF(('T_SelfStock'!BP35&lt;&gt;""),'T_SelfStock'!BP35,BO31-'Grid_Requirement'!BP31+'Grid_TTAFOutgoing'!BP31))</f>
        <v/>
      </c>
      <c r="BQ31">
        <f>IF(COUNTIFS(T_StockCount[Part Name],$A31,T_StockCount[WeekIndex],68)&gt;0,SUMIFS(T_StockCount[CountedQty],T_StockCount[Part Name],$A31,T_StockCount[WeekIndex],68),IF(('T_SelfStock'!BQ35&lt;&gt;""),'T_SelfStock'!BQ35,BP31-'Grid_Requirement'!BQ31+'Grid_TTAFOutgoing'!BQ31))</f>
        <v/>
      </c>
      <c r="BR31">
        <f>IF(COUNTIFS(T_StockCount[Part Name],$A31,T_StockCount[WeekIndex],69)&gt;0,SUMIFS(T_StockCount[CountedQty],T_StockCount[Part Name],$A31,T_StockCount[WeekIndex],69),IF(('T_SelfStock'!BR35&lt;&gt;""),'T_SelfStock'!BR35,BQ31-'Grid_Requirement'!BR31+'Grid_TTAFOutgoing'!BR31))</f>
        <v/>
      </c>
      <c r="BS31">
        <f>IF(COUNTIFS(T_StockCount[Part Name],$A31,T_StockCount[WeekIndex],70)&gt;0,SUMIFS(T_StockCount[CountedQty],T_StockCount[Part Name],$A31,T_StockCount[WeekIndex],70),IF(('T_SelfStock'!BS35&lt;&gt;""),'T_SelfStock'!BS35,BR31-'Grid_Requirement'!BS31+'Grid_TTAFOutgoing'!BS31))</f>
        <v/>
      </c>
      <c r="BT31">
        <f>IF(COUNTIFS(T_StockCount[Part Name],$A31,T_StockCount[WeekIndex],71)&gt;0,SUMIFS(T_StockCount[CountedQty],T_StockCount[Part Name],$A31,T_StockCount[WeekIndex],71),IF(('T_SelfStock'!BT35&lt;&gt;""),'T_SelfStock'!BT35,BS31-'Grid_Requirement'!BT31+'Grid_TTAFOutgoing'!BT31))</f>
        <v/>
      </c>
      <c r="BU31">
        <f>IF(COUNTIFS(T_StockCount[Part Name],$A31,T_StockCount[WeekIndex],72)&gt;0,SUMIFS(T_StockCount[CountedQty],T_StockCount[Part Name],$A31,T_StockCount[WeekIndex],72),IF(('T_SelfStock'!BU35&lt;&gt;""),'T_SelfStock'!BU35,BT31-'Grid_Requirement'!BU31+'Grid_TTAFOutgoing'!BU31))</f>
        <v/>
      </c>
      <c r="BV31">
        <f>IF(COUNTIFS(T_StockCount[Part Name],$A31,T_StockCount[WeekIndex],73)&gt;0,SUMIFS(T_StockCount[CountedQty],T_StockCount[Part Name],$A31,T_StockCount[WeekIndex],73),IF(('T_SelfStock'!BV35&lt;&gt;""),'T_SelfStock'!BV35,BU31-'Grid_Requirement'!BV31+'Grid_TTAFOutgoing'!BV31))</f>
        <v/>
      </c>
      <c r="BW31">
        <f>IF(COUNTIFS(T_StockCount[Part Name],$A31,T_StockCount[WeekIndex],74)&gt;0,SUMIFS(T_StockCount[CountedQty],T_StockCount[Part Name],$A31,T_StockCount[WeekIndex],74),IF(('T_SelfStock'!BW35&lt;&gt;""),'T_SelfStock'!BW35,BV31-'Grid_Requirement'!BW31+'Grid_TTAFOutgoing'!BW31))</f>
        <v/>
      </c>
      <c r="BX31">
        <f>IF(COUNTIFS(T_StockCount[Part Name],$A31,T_StockCount[WeekIndex],75)&gt;0,SUMIFS(T_StockCount[CountedQty],T_StockCount[Part Name],$A31,T_StockCount[WeekIndex],75),IF(('T_SelfStock'!BX35&lt;&gt;""),'T_SelfStock'!BX35,BW31-'Grid_Requirement'!BX31+'Grid_TTAFOutgoing'!BX31))</f>
        <v/>
      </c>
      <c r="BY31">
        <f>IF(COUNTIFS(T_StockCount[Part Name],$A31,T_StockCount[WeekIndex],76)&gt;0,SUMIFS(T_StockCount[CountedQty],T_StockCount[Part Name],$A31,T_StockCount[WeekIndex],76),IF(('T_SelfStock'!BY35&lt;&gt;""),'T_SelfStock'!BY35,BX31-'Grid_Requirement'!BY31+'Grid_TTAFOutgoing'!BY31))</f>
        <v/>
      </c>
      <c r="BZ31">
        <f>IF(COUNTIFS(T_StockCount[Part Name],$A31,T_StockCount[WeekIndex],77)&gt;0,SUMIFS(T_StockCount[CountedQty],T_StockCount[Part Name],$A31,T_StockCount[WeekIndex],77),IF(('T_SelfStock'!BZ35&lt;&gt;""),'T_SelfStock'!BZ35,BY31-'Grid_Requirement'!BZ31+'Grid_TTAFOutgoing'!BZ31))</f>
        <v/>
      </c>
      <c r="CA31">
        <f>IF(COUNTIFS(T_StockCount[Part Name],$A31,T_StockCount[WeekIndex],78)&gt;0,SUMIFS(T_StockCount[CountedQty],T_StockCount[Part Name],$A31,T_StockCount[WeekIndex],78),IF(('T_SelfStock'!CA35&lt;&gt;""),'T_SelfStock'!CA35,BZ31-'Grid_Requirement'!CA31+'Grid_TTAFOutgoing'!CA31))</f>
        <v/>
      </c>
      <c r="CB31">
        <f>IF(COUNTIFS(T_StockCount[Part Name],$A31,T_StockCount[WeekIndex],79)&gt;0,SUMIFS(T_StockCount[CountedQty],T_StockCount[Part Name],$A31,T_StockCount[WeekIndex],79),IF(('T_SelfStock'!CB35&lt;&gt;""),'T_SelfStock'!CB35,CA31-'Grid_Requirement'!CB31+'Grid_TTAFOutgoing'!CB31))</f>
        <v/>
      </c>
      <c r="CC31">
        <f>IF(COUNTIFS(T_StockCount[Part Name],$A31,T_StockCount[WeekIndex],80)&gt;0,SUMIFS(T_StockCount[CountedQty],T_StockCount[Part Name],$A31,T_StockCount[WeekIndex],80),IF(('T_SelfStock'!CC35&lt;&gt;""),'T_SelfStock'!CC35,CB31-'Grid_Requirement'!CC31+'Grid_TTAFOutgoing'!CC31))</f>
        <v/>
      </c>
      <c r="CD31">
        <f>IF(COUNTIFS(T_StockCount[Part Name],$A31,T_StockCount[WeekIndex],81)&gt;0,SUMIFS(T_StockCount[CountedQty],T_StockCount[Part Name],$A31,T_StockCount[WeekIndex],81),IF(('T_SelfStock'!CD35&lt;&gt;""),'T_SelfStock'!CD35,CC31-'Grid_Requirement'!CD31+'Grid_TTAFOutgoing'!CD31))</f>
        <v/>
      </c>
      <c r="CE31">
        <f>IF(COUNTIFS(T_StockCount[Part Name],$A31,T_StockCount[WeekIndex],82)&gt;0,SUMIFS(T_StockCount[CountedQty],T_StockCount[Part Name],$A31,T_StockCount[WeekIndex],82),IF(('T_SelfStock'!CE35&lt;&gt;""),'T_SelfStock'!CE35,CD31-'Grid_Requirement'!CE31+'Grid_TTAFOutgoing'!CE31))</f>
        <v/>
      </c>
      <c r="CF31">
        <f>IF(COUNTIFS(T_StockCount[Part Name],$A31,T_StockCount[WeekIndex],83)&gt;0,SUMIFS(T_StockCount[CountedQty],T_StockCount[Part Name],$A31,T_StockCount[WeekIndex],83),IF(('T_SelfStock'!CF35&lt;&gt;""),'T_SelfStock'!CF35,CE31-'Grid_Requirement'!CF31+'Grid_TTAFOutgoing'!CF31))</f>
        <v/>
      </c>
      <c r="CG31">
        <f>IF(COUNTIFS(T_StockCount[Part Name],$A31,T_StockCount[WeekIndex],84)&gt;0,SUMIFS(T_StockCount[CountedQty],T_StockCount[Part Name],$A31,T_StockCount[WeekIndex],84),IF(('T_SelfStock'!CG35&lt;&gt;""),'T_SelfStock'!CG35,CF31-'Grid_Requirement'!CG31+'Grid_TTAFOutgoing'!CG31))</f>
        <v/>
      </c>
      <c r="CH31">
        <f>IF(COUNTIFS(T_StockCount[Part Name],$A31,T_StockCount[WeekIndex],85)&gt;0,SUMIFS(T_StockCount[CountedQty],T_StockCount[Part Name],$A31,T_StockCount[WeekIndex],85),IF(('T_SelfStock'!CH35&lt;&gt;""),'T_SelfStock'!CH35,CG31-'Grid_Requirement'!CH31+'Grid_TTAFOutgoing'!CH31))</f>
        <v/>
      </c>
      <c r="CI31">
        <f>IF(COUNTIFS(T_StockCount[Part Name],$A31,T_StockCount[WeekIndex],86)&gt;0,SUMIFS(T_StockCount[CountedQty],T_StockCount[Part Name],$A31,T_StockCount[WeekIndex],86),IF(('T_SelfStock'!CI35&lt;&gt;""),'T_SelfStock'!CI35,CH31-'Grid_Requirement'!CI31+'Grid_TTAFOutgoing'!CI31))</f>
        <v/>
      </c>
      <c r="CJ31">
        <f>IF(COUNTIFS(T_StockCount[Part Name],$A31,T_StockCount[WeekIndex],87)&gt;0,SUMIFS(T_StockCount[CountedQty],T_StockCount[Part Name],$A31,T_StockCount[WeekIndex],87),IF(('T_SelfStock'!CJ35&lt;&gt;""),'T_SelfStock'!CJ35,CI31-'Grid_Requirement'!CJ31+'Grid_TTAFOutgoing'!CJ31))</f>
        <v/>
      </c>
      <c r="CK31">
        <f>IF(COUNTIFS(T_StockCount[Part Name],$A31,T_StockCount[WeekIndex],88)&gt;0,SUMIFS(T_StockCount[CountedQty],T_StockCount[Part Name],$A31,T_StockCount[WeekIndex],88),IF(('T_SelfStock'!CK35&lt;&gt;""),'T_SelfStock'!CK35,CJ31-'Grid_Requirement'!CK31+'Grid_TTAFOutgoing'!CK31))</f>
        <v/>
      </c>
      <c r="CL31">
        <f>IF(COUNTIFS(T_StockCount[Part Name],$A31,T_StockCount[WeekIndex],89)&gt;0,SUMIFS(T_StockCount[CountedQty],T_StockCount[Part Name],$A31,T_StockCount[WeekIndex],89),IF(('T_SelfStock'!CL35&lt;&gt;""),'T_SelfStock'!CL35,CK31-'Grid_Requirement'!CL31+'Grid_TTAFOutgoing'!CL31))</f>
        <v/>
      </c>
      <c r="CM31">
        <f>IF(COUNTIFS(T_StockCount[Part Name],$A31,T_StockCount[WeekIndex],90)&gt;0,SUMIFS(T_StockCount[CountedQty],T_StockCount[Part Name],$A31,T_StockCount[WeekIndex],90),IF(('T_SelfStock'!CM35&lt;&gt;""),'T_SelfStock'!CM35,CL31-'Grid_Requirement'!CM31+'Grid_TTAFOutgoing'!CM31))</f>
        <v/>
      </c>
      <c r="CN31">
        <f>IF(COUNTIFS(T_StockCount[Part Name],$A31,T_StockCount[WeekIndex],91)&gt;0,SUMIFS(T_StockCount[CountedQty],T_StockCount[Part Name],$A31,T_StockCount[WeekIndex],91),IF(('T_SelfStock'!CN35&lt;&gt;""),'T_SelfStock'!CN35,CM31-'Grid_Requirement'!CN31+'Grid_TTAFOutgoing'!CN31))</f>
        <v/>
      </c>
      <c r="CO31">
        <f>IF(COUNTIFS(T_StockCount[Part Name],$A31,T_StockCount[WeekIndex],92)&gt;0,SUMIFS(T_StockCount[CountedQty],T_StockCount[Part Name],$A31,T_StockCount[WeekIndex],92),IF(('T_SelfStock'!CO35&lt;&gt;""),'T_SelfStock'!CO35,CN31-'Grid_Requirement'!CO31+'Grid_TTAFOutgoing'!CO31))</f>
        <v/>
      </c>
      <c r="CP31">
        <f>IF(COUNTIFS(T_StockCount[Part Name],$A31,T_StockCount[WeekIndex],93)&gt;0,SUMIFS(T_StockCount[CountedQty],T_StockCount[Part Name],$A31,T_StockCount[WeekIndex],93),IF(('T_SelfStock'!CP35&lt;&gt;""),'T_SelfStock'!CP35,CO31-'Grid_Requirement'!CP31+'Grid_TTAFOutgoing'!CP31))</f>
        <v/>
      </c>
      <c r="CQ31">
        <f>IF(COUNTIFS(T_StockCount[Part Name],$A31,T_StockCount[WeekIndex],94)&gt;0,SUMIFS(T_StockCount[CountedQty],T_StockCount[Part Name],$A31,T_StockCount[WeekIndex],94),IF(('T_SelfStock'!CQ35&lt;&gt;""),'T_SelfStock'!CQ35,CP31-'Grid_Requirement'!CQ31+'Grid_TTAFOutgoing'!CQ31))</f>
        <v/>
      </c>
      <c r="CR31">
        <f>IF(COUNTIFS(T_StockCount[Part Name],$A31,T_StockCount[WeekIndex],95)&gt;0,SUMIFS(T_StockCount[CountedQty],T_StockCount[Part Name],$A31,T_StockCount[WeekIndex],95),IF(('T_SelfStock'!CR35&lt;&gt;""),'T_SelfStock'!CR35,CQ31-'Grid_Requirement'!CR31+'Grid_TTAFOutgoing'!CR31))</f>
        <v/>
      </c>
      <c r="CS31">
        <f>IF(COUNTIFS(T_StockCount[Part Name],$A31,T_StockCount[WeekIndex],96)&gt;0,SUMIFS(T_StockCount[CountedQty],T_StockCount[Part Name],$A31,T_StockCount[WeekIndex],96),IF(('T_SelfStock'!CS35&lt;&gt;""),'T_SelfStock'!CS35,CR31-'Grid_Requirement'!CS31+'Grid_TTAFOutgoing'!CS31))</f>
        <v/>
      </c>
      <c r="CT31">
        <f>IF(COUNTIFS(T_StockCount[Part Name],$A31,T_StockCount[WeekIndex],97)&gt;0,SUMIFS(T_StockCount[CountedQty],T_StockCount[Part Name],$A31,T_StockCount[WeekIndex],97),IF(('T_SelfStock'!CT35&lt;&gt;""),'T_SelfStock'!CT35,CS31-'Grid_Requirement'!CT31+'Grid_TTAFOutgoing'!CT31))</f>
        <v/>
      </c>
      <c r="CU31">
        <f>IF(COUNTIFS(T_StockCount[Part Name],$A31,T_StockCount[WeekIndex],98)&gt;0,SUMIFS(T_StockCount[CountedQty],T_StockCount[Part Name],$A31,T_StockCount[WeekIndex],98),IF(('T_SelfStock'!CU35&lt;&gt;""),'T_SelfStock'!CU35,CT31-'Grid_Requirement'!CU31+'Grid_TTAFOutgoing'!CU31))</f>
        <v/>
      </c>
      <c r="CV31">
        <f>IF(COUNTIFS(T_StockCount[Part Name],$A31,T_StockCount[WeekIndex],99)&gt;0,SUMIFS(T_StockCount[CountedQty],T_StockCount[Part Name],$A31,T_StockCount[WeekIndex],99),IF(('T_SelfStock'!CV35&lt;&gt;""),'T_SelfStock'!CV35,CU31-'Grid_Requirement'!CV31+'Grid_TTAFOutgoing'!CV31))</f>
        <v/>
      </c>
      <c r="CW31">
        <f>IF(COUNTIFS(T_StockCount[Part Name],$A31,T_StockCount[WeekIndex],100)&gt;0,SUMIFS(T_StockCount[CountedQty],T_StockCount[Part Name],$A31,T_StockCount[WeekIndex],100),IF(('T_SelfStock'!CW35&lt;&gt;""),'T_SelfStock'!CW35,CV31-'Grid_Requirement'!CW31+'Grid_TTAFOutgoing'!CW31))</f>
        <v/>
      </c>
      <c r="CX31">
        <f>IF(COUNTIFS(T_StockCount[Part Name],$A31,T_StockCount[WeekIndex],101)&gt;0,SUMIFS(T_StockCount[CountedQty],T_StockCount[Part Name],$A31,T_StockCount[WeekIndex],101),IF(('T_SelfStock'!CX35&lt;&gt;""),'T_SelfStock'!CX35,CW31-'Grid_Requirement'!CX31+'Grid_TTAFOutgoing'!CX31))</f>
        <v/>
      </c>
      <c r="CY31">
        <f>IF(COUNTIFS(T_StockCount[Part Name],$A31,T_StockCount[WeekIndex],102)&gt;0,SUMIFS(T_StockCount[CountedQty],T_StockCount[Part Name],$A31,T_StockCount[WeekIndex],102),IF(('T_SelfStock'!CY35&lt;&gt;""),'T_SelfStock'!CY35,CX31-'Grid_Requirement'!CY31+'Grid_TTAFOutgoing'!CY31))</f>
        <v/>
      </c>
      <c r="CZ31">
        <f>IF(COUNTIFS(T_StockCount[Part Name],$A31,T_StockCount[WeekIndex],103)&gt;0,SUMIFS(T_StockCount[CountedQty],T_StockCount[Part Name],$A31,T_StockCount[WeekIndex],103),IF(('T_SelfStock'!CZ35&lt;&gt;""),'T_SelfStock'!CZ35,CY31-'Grid_Requirement'!CZ31+'Grid_TTAFOutgoing'!CZ31))</f>
        <v/>
      </c>
      <c r="DA31">
        <f>IF(COUNTIFS(T_StockCount[Part Name],$A31,T_StockCount[WeekIndex],104)&gt;0,SUMIFS(T_StockCount[CountedQty],T_StockCount[Part Name],$A31,T_StockCount[WeekIndex],104),IF(('T_SelfStock'!DA35&lt;&gt;""),'T_SelfStock'!DA35,CZ31-'Grid_Requirement'!DA31+'Grid_TTAFOutgoing'!DA31))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Name],$A32,T_StockCount[WeekIndex],1),IF(('T_SelfStock'!B36&lt;&gt;""),'T_SelfStock'!B36,IFERROR(INDEX(T_OpeningStock[Opening_Qty],MATCH($A32,T_OpeningStock[Part Name],0)),0)-'Grid_Requirement'!B32+'Grid_TTAFOutgoing'!B32))</f>
        <v/>
      </c>
      <c r="C32">
        <f>IF(COUNTIFS(T_StockCount[Part Name],$A32,T_StockCount[WeekIndex],2)&gt;0,SUMIFS(T_StockCount[CountedQty],T_StockCount[Part Name],$A32,T_StockCount[WeekIndex],2),IF(('T_SelfStock'!C36&lt;&gt;""),'T_SelfStock'!C36,B32-'Grid_Requirement'!C32+'Grid_TTAFOutgoing'!C32))</f>
        <v/>
      </c>
      <c r="D32">
        <f>IF(COUNTIFS(T_StockCount[Part Name],$A32,T_StockCount[WeekIndex],3)&gt;0,SUMIFS(T_StockCount[CountedQty],T_StockCount[Part Name],$A32,T_StockCount[WeekIndex],3),IF(('T_SelfStock'!D36&lt;&gt;""),'T_SelfStock'!D36,C32-'Grid_Requirement'!D32+'Grid_TTAFOutgoing'!D32))</f>
        <v/>
      </c>
      <c r="E32">
        <f>IF(COUNTIFS(T_StockCount[Part Name],$A32,T_StockCount[WeekIndex],4)&gt;0,SUMIFS(T_StockCount[CountedQty],T_StockCount[Part Name],$A32,T_StockCount[WeekIndex],4),IF(('T_SelfStock'!E36&lt;&gt;""),'T_SelfStock'!E36,D32-'Grid_Requirement'!E32+'Grid_TTAFOutgoing'!E32))</f>
        <v/>
      </c>
      <c r="F32">
        <f>IF(COUNTIFS(T_StockCount[Part Name],$A32,T_StockCount[WeekIndex],5)&gt;0,SUMIFS(T_StockCount[CountedQty],T_StockCount[Part Name],$A32,T_StockCount[WeekIndex],5),IF(('T_SelfStock'!F36&lt;&gt;""),'T_SelfStock'!F36,E32-'Grid_Requirement'!F32+'Grid_TTAFOutgoing'!F32))</f>
        <v/>
      </c>
      <c r="G32">
        <f>IF(COUNTIFS(T_StockCount[Part Name],$A32,T_StockCount[WeekIndex],6)&gt;0,SUMIFS(T_StockCount[CountedQty],T_StockCount[Part Name],$A32,T_StockCount[WeekIndex],6),IF(('T_SelfStock'!G36&lt;&gt;""),'T_SelfStock'!G36,F32-'Grid_Requirement'!G32+'Grid_TTAFOutgoing'!G32))</f>
        <v/>
      </c>
      <c r="H32">
        <f>IF(COUNTIFS(T_StockCount[Part Name],$A32,T_StockCount[WeekIndex],7)&gt;0,SUMIFS(T_StockCount[CountedQty],T_StockCount[Part Name],$A32,T_StockCount[WeekIndex],7),IF(('T_SelfStock'!H36&lt;&gt;""),'T_SelfStock'!H36,G32-'Grid_Requirement'!H32+'Grid_TTAFOutgoing'!H32))</f>
        <v/>
      </c>
      <c r="I32">
        <f>IF(COUNTIFS(T_StockCount[Part Name],$A32,T_StockCount[WeekIndex],8)&gt;0,SUMIFS(T_StockCount[CountedQty],T_StockCount[Part Name],$A32,T_StockCount[WeekIndex],8),IF(('T_SelfStock'!I36&lt;&gt;""),'T_SelfStock'!I36,H32-'Grid_Requirement'!I32+'Grid_TTAFOutgoing'!I32))</f>
        <v/>
      </c>
      <c r="J32">
        <f>IF(COUNTIFS(T_StockCount[Part Name],$A32,T_StockCount[WeekIndex],9)&gt;0,SUMIFS(T_StockCount[CountedQty],T_StockCount[Part Name],$A32,T_StockCount[WeekIndex],9),IF(('T_SelfStock'!J36&lt;&gt;""),'T_SelfStock'!J36,I32-'Grid_Requirement'!J32+'Grid_TTAFOutgoing'!J32))</f>
        <v/>
      </c>
      <c r="K32">
        <f>IF(COUNTIFS(T_StockCount[Part Name],$A32,T_StockCount[WeekIndex],10)&gt;0,SUMIFS(T_StockCount[CountedQty],T_StockCount[Part Name],$A32,T_StockCount[WeekIndex],10),IF(('T_SelfStock'!K36&lt;&gt;""),'T_SelfStock'!K36,J32-'Grid_Requirement'!K32+'Grid_TTAFOutgoing'!K32))</f>
        <v/>
      </c>
      <c r="L32">
        <f>IF(COUNTIFS(T_StockCount[Part Name],$A32,T_StockCount[WeekIndex],11)&gt;0,SUMIFS(T_StockCount[CountedQty],T_StockCount[Part Name],$A32,T_StockCount[WeekIndex],11),IF(('T_SelfStock'!L36&lt;&gt;""),'T_SelfStock'!L36,K32-'Grid_Requirement'!L32+'Grid_TTAFOutgoing'!L32))</f>
        <v/>
      </c>
      <c r="M32">
        <f>IF(COUNTIFS(T_StockCount[Part Name],$A32,T_StockCount[WeekIndex],12)&gt;0,SUMIFS(T_StockCount[CountedQty],T_StockCount[Part Name],$A32,T_StockCount[WeekIndex],12),IF(('T_SelfStock'!M36&lt;&gt;""),'T_SelfStock'!M36,L32-'Grid_Requirement'!M32+'Grid_TTAFOutgoing'!M32))</f>
        <v/>
      </c>
      <c r="N32">
        <f>IF(COUNTIFS(T_StockCount[Part Name],$A32,T_StockCount[WeekIndex],13)&gt;0,SUMIFS(T_StockCount[CountedQty],T_StockCount[Part Name],$A32,T_StockCount[WeekIndex],13),IF(('T_SelfStock'!N36&lt;&gt;""),'T_SelfStock'!N36,M32-'Grid_Requirement'!N32+'Grid_TTAFOutgoing'!N32))</f>
        <v/>
      </c>
      <c r="O32">
        <f>IF(COUNTIFS(T_StockCount[Part Name],$A32,T_StockCount[WeekIndex],14)&gt;0,SUMIFS(T_StockCount[CountedQty],T_StockCount[Part Name],$A32,T_StockCount[WeekIndex],14),IF(('T_SelfStock'!O36&lt;&gt;""),'T_SelfStock'!O36,N32-'Grid_Requirement'!O32+'Grid_TTAFOutgoing'!O32))</f>
        <v/>
      </c>
      <c r="P32">
        <f>IF(COUNTIFS(T_StockCount[Part Name],$A32,T_StockCount[WeekIndex],15)&gt;0,SUMIFS(T_StockCount[CountedQty],T_StockCount[Part Name],$A32,T_StockCount[WeekIndex],15),IF(('T_SelfStock'!P36&lt;&gt;""),'T_SelfStock'!P36,O32-'Grid_Requirement'!P32+'Grid_TTAFOutgoing'!P32))</f>
        <v/>
      </c>
      <c r="Q32">
        <f>IF(COUNTIFS(T_StockCount[Part Name],$A32,T_StockCount[WeekIndex],16)&gt;0,SUMIFS(T_StockCount[CountedQty],T_StockCount[Part Name],$A32,T_StockCount[WeekIndex],16),IF(('T_SelfStock'!Q36&lt;&gt;""),'T_SelfStock'!Q36,P32-'Grid_Requirement'!Q32+'Grid_TTAFOutgoing'!Q32))</f>
        <v/>
      </c>
      <c r="R32">
        <f>IF(COUNTIFS(T_StockCount[Part Name],$A32,T_StockCount[WeekIndex],17)&gt;0,SUMIFS(T_StockCount[CountedQty],T_StockCount[Part Name],$A32,T_StockCount[WeekIndex],17),IF(('T_SelfStock'!R36&lt;&gt;""),'T_SelfStock'!R36,Q32-'Grid_Requirement'!R32+'Grid_TTAFOutgoing'!R32))</f>
        <v/>
      </c>
      <c r="S32">
        <f>IF(COUNTIFS(T_StockCount[Part Name],$A32,T_StockCount[WeekIndex],18)&gt;0,SUMIFS(T_StockCount[CountedQty],T_StockCount[Part Name],$A32,T_StockCount[WeekIndex],18),IF(('T_SelfStock'!S36&lt;&gt;""),'T_SelfStock'!S36,R32-'Grid_Requirement'!S32+'Grid_TTAFOutgoing'!S32))</f>
        <v/>
      </c>
      <c r="T32">
        <f>IF(COUNTIFS(T_StockCount[Part Name],$A32,T_StockCount[WeekIndex],19)&gt;0,SUMIFS(T_StockCount[CountedQty],T_StockCount[Part Name],$A32,T_StockCount[WeekIndex],19),IF(('T_SelfStock'!T36&lt;&gt;""),'T_SelfStock'!T36,S32-'Grid_Requirement'!T32+'Grid_TTAFOutgoing'!T32))</f>
        <v/>
      </c>
      <c r="U32">
        <f>IF(COUNTIFS(T_StockCount[Part Name],$A32,T_StockCount[WeekIndex],20)&gt;0,SUMIFS(T_StockCount[CountedQty],T_StockCount[Part Name],$A32,T_StockCount[WeekIndex],20),IF(('T_SelfStock'!U36&lt;&gt;""),'T_SelfStock'!U36,T32-'Grid_Requirement'!U32+'Grid_TTAFOutgoing'!U32))</f>
        <v/>
      </c>
      <c r="V32">
        <f>IF(COUNTIFS(T_StockCount[Part Name],$A32,T_StockCount[WeekIndex],21)&gt;0,SUMIFS(T_StockCount[CountedQty],T_StockCount[Part Name],$A32,T_StockCount[WeekIndex],21),IF(('T_SelfStock'!V36&lt;&gt;""),'T_SelfStock'!V36,U32-'Grid_Requirement'!V32+'Grid_TTAFOutgoing'!V32))</f>
        <v/>
      </c>
      <c r="W32">
        <f>IF(COUNTIFS(T_StockCount[Part Name],$A32,T_StockCount[WeekIndex],22)&gt;0,SUMIFS(T_StockCount[CountedQty],T_StockCount[Part Name],$A32,T_StockCount[WeekIndex],22),IF(('T_SelfStock'!W36&lt;&gt;""),'T_SelfStock'!W36,V32-'Grid_Requirement'!W32+'Grid_TTAFOutgoing'!W32))</f>
        <v/>
      </c>
      <c r="X32">
        <f>IF(COUNTIFS(T_StockCount[Part Name],$A32,T_StockCount[WeekIndex],23)&gt;0,SUMIFS(T_StockCount[CountedQty],T_StockCount[Part Name],$A32,T_StockCount[WeekIndex],23),IF(('T_SelfStock'!X36&lt;&gt;""),'T_SelfStock'!X36,W32-'Grid_Requirement'!X32+'Grid_TTAFOutgoing'!X32))</f>
        <v/>
      </c>
      <c r="Y32">
        <f>IF(COUNTIFS(T_StockCount[Part Name],$A32,T_StockCount[WeekIndex],24)&gt;0,SUMIFS(T_StockCount[CountedQty],T_StockCount[Part Name],$A32,T_StockCount[WeekIndex],24),IF(('T_SelfStock'!Y36&lt;&gt;""),'T_SelfStock'!Y36,X32-'Grid_Requirement'!Y32+'Grid_TTAFOutgoing'!Y32))</f>
        <v/>
      </c>
      <c r="Z32">
        <f>IF(COUNTIFS(T_StockCount[Part Name],$A32,T_StockCount[WeekIndex],25)&gt;0,SUMIFS(T_StockCount[CountedQty],T_StockCount[Part Name],$A32,T_StockCount[WeekIndex],25),IF(('T_SelfStock'!Z36&lt;&gt;""),'T_SelfStock'!Z36,Y32-'Grid_Requirement'!Z32+'Grid_TTAFOutgoing'!Z32))</f>
        <v/>
      </c>
      <c r="AA32">
        <f>IF(COUNTIFS(T_StockCount[Part Name],$A32,T_StockCount[WeekIndex],26)&gt;0,SUMIFS(T_StockCount[CountedQty],T_StockCount[Part Name],$A32,T_StockCount[WeekIndex],26),IF(('T_SelfStock'!AA36&lt;&gt;""),'T_SelfStock'!AA36,Z32-'Grid_Requirement'!AA32+'Grid_TTAFOutgoing'!AA32))</f>
        <v/>
      </c>
      <c r="AB32">
        <f>IF(COUNTIFS(T_StockCount[Part Name],$A32,T_StockCount[WeekIndex],27)&gt;0,SUMIFS(T_StockCount[CountedQty],T_StockCount[Part Name],$A32,T_StockCount[WeekIndex],27),IF(('T_SelfStock'!AB36&lt;&gt;""),'T_SelfStock'!AB36,AA32-'Grid_Requirement'!AB32+'Grid_TTAFOutgoing'!AB32))</f>
        <v/>
      </c>
      <c r="AC32">
        <f>IF(COUNTIFS(T_StockCount[Part Name],$A32,T_StockCount[WeekIndex],28)&gt;0,SUMIFS(T_StockCount[CountedQty],T_StockCount[Part Name],$A32,T_StockCount[WeekIndex],28),IF(('T_SelfStock'!AC36&lt;&gt;""),'T_SelfStock'!AC36,AB32-'Grid_Requirement'!AC32+'Grid_TTAFOutgoing'!AC32))</f>
        <v/>
      </c>
      <c r="AD32">
        <f>IF(COUNTIFS(T_StockCount[Part Name],$A32,T_StockCount[WeekIndex],29)&gt;0,SUMIFS(T_StockCount[CountedQty],T_StockCount[Part Name],$A32,T_StockCount[WeekIndex],29),IF(('T_SelfStock'!AD36&lt;&gt;""),'T_SelfStock'!AD36,AC32-'Grid_Requirement'!AD32+'Grid_TTAFOutgoing'!AD32))</f>
        <v/>
      </c>
      <c r="AE32">
        <f>IF(COUNTIFS(T_StockCount[Part Name],$A32,T_StockCount[WeekIndex],30)&gt;0,SUMIFS(T_StockCount[CountedQty],T_StockCount[Part Name],$A32,T_StockCount[WeekIndex],30),IF(('T_SelfStock'!AE36&lt;&gt;""),'T_SelfStock'!AE36,AD32-'Grid_Requirement'!AE32+'Grid_TTAFOutgoing'!AE32))</f>
        <v/>
      </c>
      <c r="AF32">
        <f>IF(COUNTIFS(T_StockCount[Part Name],$A32,T_StockCount[WeekIndex],31)&gt;0,SUMIFS(T_StockCount[CountedQty],T_StockCount[Part Name],$A32,T_StockCount[WeekIndex],31),IF(('T_SelfStock'!AF36&lt;&gt;""),'T_SelfStock'!AF36,AE32-'Grid_Requirement'!AF32+'Grid_TTAFOutgoing'!AF32))</f>
        <v/>
      </c>
      <c r="AG32">
        <f>IF(COUNTIFS(T_StockCount[Part Name],$A32,T_StockCount[WeekIndex],32)&gt;0,SUMIFS(T_StockCount[CountedQty],T_StockCount[Part Name],$A32,T_StockCount[WeekIndex],32),IF(('T_SelfStock'!AG36&lt;&gt;""),'T_SelfStock'!AG36,AF32-'Grid_Requirement'!AG32+'Grid_TTAFOutgoing'!AG32))</f>
        <v/>
      </c>
      <c r="AH32">
        <f>IF(COUNTIFS(T_StockCount[Part Name],$A32,T_StockCount[WeekIndex],33)&gt;0,SUMIFS(T_StockCount[CountedQty],T_StockCount[Part Name],$A32,T_StockCount[WeekIndex],33),IF(('T_SelfStock'!AH36&lt;&gt;""),'T_SelfStock'!AH36,AG32-'Grid_Requirement'!AH32+'Grid_TTAFOutgoing'!AH32))</f>
        <v/>
      </c>
      <c r="AI32">
        <f>IF(COUNTIFS(T_StockCount[Part Name],$A32,T_StockCount[WeekIndex],34)&gt;0,SUMIFS(T_StockCount[CountedQty],T_StockCount[Part Name],$A32,T_StockCount[WeekIndex],34),IF(('T_SelfStock'!AI36&lt;&gt;""),'T_SelfStock'!AI36,AH32-'Grid_Requirement'!AI32+'Grid_TTAFOutgoing'!AI32))</f>
        <v/>
      </c>
      <c r="AJ32">
        <f>IF(COUNTIFS(T_StockCount[Part Name],$A32,T_StockCount[WeekIndex],35)&gt;0,SUMIFS(T_StockCount[CountedQty],T_StockCount[Part Name],$A32,T_StockCount[WeekIndex],35),IF(('T_SelfStock'!AJ36&lt;&gt;""),'T_SelfStock'!AJ36,AI32-'Grid_Requirement'!AJ32+'Grid_TTAFOutgoing'!AJ32))</f>
        <v/>
      </c>
      <c r="AK32">
        <f>IF(COUNTIFS(T_StockCount[Part Name],$A32,T_StockCount[WeekIndex],36)&gt;0,SUMIFS(T_StockCount[CountedQty],T_StockCount[Part Name],$A32,T_StockCount[WeekIndex],36),IF(('T_SelfStock'!AK36&lt;&gt;""),'T_SelfStock'!AK36,AJ32-'Grid_Requirement'!AK32+'Grid_TTAFOutgoing'!AK32))</f>
        <v/>
      </c>
      <c r="AL32">
        <f>IF(COUNTIFS(T_StockCount[Part Name],$A32,T_StockCount[WeekIndex],37)&gt;0,SUMIFS(T_StockCount[CountedQty],T_StockCount[Part Name],$A32,T_StockCount[WeekIndex],37),IF(('T_SelfStock'!AL36&lt;&gt;""),'T_SelfStock'!AL36,AK32-'Grid_Requirement'!AL32+'Grid_TTAFOutgoing'!AL32))</f>
        <v/>
      </c>
      <c r="AM32">
        <f>IF(COUNTIFS(T_StockCount[Part Name],$A32,T_StockCount[WeekIndex],38)&gt;0,SUMIFS(T_StockCount[CountedQty],T_StockCount[Part Name],$A32,T_StockCount[WeekIndex],38),IF(('T_SelfStock'!AM36&lt;&gt;""),'T_SelfStock'!AM36,AL32-'Grid_Requirement'!AM32+'Grid_TTAFOutgoing'!AM32))</f>
        <v/>
      </c>
      <c r="AN32">
        <f>IF(COUNTIFS(T_StockCount[Part Name],$A32,T_StockCount[WeekIndex],39)&gt;0,SUMIFS(T_StockCount[CountedQty],T_StockCount[Part Name],$A32,T_StockCount[WeekIndex],39),IF(('T_SelfStock'!AN36&lt;&gt;""),'T_SelfStock'!AN36,AM32-'Grid_Requirement'!AN32+'Grid_TTAFOutgoing'!AN32))</f>
        <v/>
      </c>
      <c r="AO32">
        <f>IF(COUNTIFS(T_StockCount[Part Name],$A32,T_StockCount[WeekIndex],40)&gt;0,SUMIFS(T_StockCount[CountedQty],T_StockCount[Part Name],$A32,T_StockCount[WeekIndex],40),IF(('T_SelfStock'!AO36&lt;&gt;""),'T_SelfStock'!AO36,AN32-'Grid_Requirement'!AO32+'Grid_TTAFOutgoing'!AO32))</f>
        <v/>
      </c>
      <c r="AP32">
        <f>IF(COUNTIFS(T_StockCount[Part Name],$A32,T_StockCount[WeekIndex],41)&gt;0,SUMIFS(T_StockCount[CountedQty],T_StockCount[Part Name],$A32,T_StockCount[WeekIndex],41),IF(('T_SelfStock'!AP36&lt;&gt;""),'T_SelfStock'!AP36,AO32-'Grid_Requirement'!AP32+'Grid_TTAFOutgoing'!AP32))</f>
        <v/>
      </c>
      <c r="AQ32">
        <f>IF(COUNTIFS(T_StockCount[Part Name],$A32,T_StockCount[WeekIndex],42)&gt;0,SUMIFS(T_StockCount[CountedQty],T_StockCount[Part Name],$A32,T_StockCount[WeekIndex],42),IF(('T_SelfStock'!AQ36&lt;&gt;""),'T_SelfStock'!AQ36,AP32-'Grid_Requirement'!AQ32+'Grid_TTAFOutgoing'!AQ32))</f>
        <v/>
      </c>
      <c r="AR32">
        <f>IF(COUNTIFS(T_StockCount[Part Name],$A32,T_StockCount[WeekIndex],43)&gt;0,SUMIFS(T_StockCount[CountedQty],T_StockCount[Part Name],$A32,T_StockCount[WeekIndex],43),IF(('T_SelfStock'!AR36&lt;&gt;""),'T_SelfStock'!AR36,AQ32-'Grid_Requirement'!AR32+'Grid_TTAFOutgoing'!AR32))</f>
        <v/>
      </c>
      <c r="AS32">
        <f>IF(COUNTIFS(T_StockCount[Part Name],$A32,T_StockCount[WeekIndex],44)&gt;0,SUMIFS(T_StockCount[CountedQty],T_StockCount[Part Name],$A32,T_StockCount[WeekIndex],44),IF(('T_SelfStock'!AS36&lt;&gt;""),'T_SelfStock'!AS36,AR32-'Grid_Requirement'!AS32+'Grid_TTAFOutgoing'!AS32))</f>
        <v/>
      </c>
      <c r="AT32">
        <f>IF(COUNTIFS(T_StockCount[Part Name],$A32,T_StockCount[WeekIndex],45)&gt;0,SUMIFS(T_StockCount[CountedQty],T_StockCount[Part Name],$A32,T_StockCount[WeekIndex],45),IF(('T_SelfStock'!AT36&lt;&gt;""),'T_SelfStock'!AT36,AS32-'Grid_Requirement'!AT32+'Grid_TTAFOutgoing'!AT32))</f>
        <v/>
      </c>
      <c r="AU32">
        <f>IF(COUNTIFS(T_StockCount[Part Name],$A32,T_StockCount[WeekIndex],46)&gt;0,SUMIFS(T_StockCount[CountedQty],T_StockCount[Part Name],$A32,T_StockCount[WeekIndex],46),IF(('T_SelfStock'!AU36&lt;&gt;""),'T_SelfStock'!AU36,AT32-'Grid_Requirement'!AU32+'Grid_TTAFOutgoing'!AU32))</f>
        <v/>
      </c>
      <c r="AV32">
        <f>IF(COUNTIFS(T_StockCount[Part Name],$A32,T_StockCount[WeekIndex],47)&gt;0,SUMIFS(T_StockCount[CountedQty],T_StockCount[Part Name],$A32,T_StockCount[WeekIndex],47),IF(('T_SelfStock'!AV36&lt;&gt;""),'T_SelfStock'!AV36,AU32-'Grid_Requirement'!AV32+'Grid_TTAFOutgoing'!AV32))</f>
        <v/>
      </c>
      <c r="AW32">
        <f>IF(COUNTIFS(T_StockCount[Part Name],$A32,T_StockCount[WeekIndex],48)&gt;0,SUMIFS(T_StockCount[CountedQty],T_StockCount[Part Name],$A32,T_StockCount[WeekIndex],48),IF(('T_SelfStock'!AW36&lt;&gt;""),'T_SelfStock'!AW36,AV32-'Grid_Requirement'!AW32+'Grid_TTAFOutgoing'!AW32))</f>
        <v/>
      </c>
      <c r="AX32">
        <f>IF(COUNTIFS(T_StockCount[Part Name],$A32,T_StockCount[WeekIndex],49)&gt;0,SUMIFS(T_StockCount[CountedQty],T_StockCount[Part Name],$A32,T_StockCount[WeekIndex],49),IF(('T_SelfStock'!AX36&lt;&gt;""),'T_SelfStock'!AX36,AW32-'Grid_Requirement'!AX32+'Grid_TTAFOutgoing'!AX32))</f>
        <v/>
      </c>
      <c r="AY32">
        <f>IF(COUNTIFS(T_StockCount[Part Name],$A32,T_StockCount[WeekIndex],50)&gt;0,SUMIFS(T_StockCount[CountedQty],T_StockCount[Part Name],$A32,T_StockCount[WeekIndex],50),IF(('T_SelfStock'!AY36&lt;&gt;""),'T_SelfStock'!AY36,AX32-'Grid_Requirement'!AY32+'Grid_TTAFOutgoing'!AY32))</f>
        <v/>
      </c>
      <c r="AZ32">
        <f>IF(COUNTIFS(T_StockCount[Part Name],$A32,T_StockCount[WeekIndex],51)&gt;0,SUMIFS(T_StockCount[CountedQty],T_StockCount[Part Name],$A32,T_StockCount[WeekIndex],51),IF(('T_SelfStock'!AZ36&lt;&gt;""),'T_SelfStock'!AZ36,AY32-'Grid_Requirement'!AZ32+'Grid_TTAFOutgoing'!AZ32))</f>
        <v/>
      </c>
      <c r="BA32">
        <f>IF(COUNTIFS(T_StockCount[Part Name],$A32,T_StockCount[WeekIndex],52)&gt;0,SUMIFS(T_StockCount[CountedQty],T_StockCount[Part Name],$A32,T_StockCount[WeekIndex],52),IF(('T_SelfStock'!BA36&lt;&gt;""),'T_SelfStock'!BA36,AZ32-'Grid_Requirement'!BA32+'Grid_TTAFOutgoing'!BA32))</f>
        <v/>
      </c>
      <c r="BB32">
        <f>IF(COUNTIFS(T_StockCount[Part Name],$A32,T_StockCount[WeekIndex],53)&gt;0,SUMIFS(T_StockCount[CountedQty],T_StockCount[Part Name],$A32,T_StockCount[WeekIndex],53),IF(('T_SelfStock'!BB36&lt;&gt;""),'T_SelfStock'!BB36,BA32-'Grid_Requirement'!BB32+'Grid_TTAFOutgoing'!BB32))</f>
        <v/>
      </c>
      <c r="BC32">
        <f>IF(COUNTIFS(T_StockCount[Part Name],$A32,T_StockCount[WeekIndex],54)&gt;0,SUMIFS(T_StockCount[CountedQty],T_StockCount[Part Name],$A32,T_StockCount[WeekIndex],54),IF(('T_SelfStock'!BC36&lt;&gt;""),'T_SelfStock'!BC36,BB32-'Grid_Requirement'!BC32+'Grid_TTAFOutgoing'!BC32))</f>
        <v/>
      </c>
      <c r="BD32">
        <f>IF(COUNTIFS(T_StockCount[Part Name],$A32,T_StockCount[WeekIndex],55)&gt;0,SUMIFS(T_StockCount[CountedQty],T_StockCount[Part Name],$A32,T_StockCount[WeekIndex],55),IF(('T_SelfStock'!BD36&lt;&gt;""),'T_SelfStock'!BD36,BC32-'Grid_Requirement'!BD32+'Grid_TTAFOutgoing'!BD32))</f>
        <v/>
      </c>
      <c r="BE32">
        <f>IF(COUNTIFS(T_StockCount[Part Name],$A32,T_StockCount[WeekIndex],56)&gt;0,SUMIFS(T_StockCount[CountedQty],T_StockCount[Part Name],$A32,T_StockCount[WeekIndex],56),IF(('T_SelfStock'!BE36&lt;&gt;""),'T_SelfStock'!BE36,BD32-'Grid_Requirement'!BE32+'Grid_TTAFOutgoing'!BE32))</f>
        <v/>
      </c>
      <c r="BF32">
        <f>IF(COUNTIFS(T_StockCount[Part Name],$A32,T_StockCount[WeekIndex],57)&gt;0,SUMIFS(T_StockCount[CountedQty],T_StockCount[Part Name],$A32,T_StockCount[WeekIndex],57),IF(('T_SelfStock'!BF36&lt;&gt;""),'T_SelfStock'!BF36,BE32-'Grid_Requirement'!BF32+'Grid_TTAFOutgoing'!BF32))</f>
        <v/>
      </c>
      <c r="BG32">
        <f>IF(COUNTIFS(T_StockCount[Part Name],$A32,T_StockCount[WeekIndex],58)&gt;0,SUMIFS(T_StockCount[CountedQty],T_StockCount[Part Name],$A32,T_StockCount[WeekIndex],58),IF(('T_SelfStock'!BG36&lt;&gt;""),'T_SelfStock'!BG36,BF32-'Grid_Requirement'!BG32+'Grid_TTAFOutgoing'!BG32))</f>
        <v/>
      </c>
      <c r="BH32">
        <f>IF(COUNTIFS(T_StockCount[Part Name],$A32,T_StockCount[WeekIndex],59)&gt;0,SUMIFS(T_StockCount[CountedQty],T_StockCount[Part Name],$A32,T_StockCount[WeekIndex],59),IF(('T_SelfStock'!BH36&lt;&gt;""),'T_SelfStock'!BH36,BG32-'Grid_Requirement'!BH32+'Grid_TTAFOutgoing'!BH32))</f>
        <v/>
      </c>
      <c r="BI32">
        <f>IF(COUNTIFS(T_StockCount[Part Name],$A32,T_StockCount[WeekIndex],60)&gt;0,SUMIFS(T_StockCount[CountedQty],T_StockCount[Part Name],$A32,T_StockCount[WeekIndex],60),IF(('T_SelfStock'!BI36&lt;&gt;""),'T_SelfStock'!BI36,BH32-'Grid_Requirement'!BI32+'Grid_TTAFOutgoing'!BI32))</f>
        <v/>
      </c>
      <c r="BJ32">
        <f>IF(COUNTIFS(T_StockCount[Part Name],$A32,T_StockCount[WeekIndex],61)&gt;0,SUMIFS(T_StockCount[CountedQty],T_StockCount[Part Name],$A32,T_StockCount[WeekIndex],61),IF(('T_SelfStock'!BJ36&lt;&gt;""),'T_SelfStock'!BJ36,BI32-'Grid_Requirement'!BJ32+'Grid_TTAFOutgoing'!BJ32))</f>
        <v/>
      </c>
      <c r="BK32">
        <f>IF(COUNTIFS(T_StockCount[Part Name],$A32,T_StockCount[WeekIndex],62)&gt;0,SUMIFS(T_StockCount[CountedQty],T_StockCount[Part Name],$A32,T_StockCount[WeekIndex],62),IF(('T_SelfStock'!BK36&lt;&gt;""),'T_SelfStock'!BK36,BJ32-'Grid_Requirement'!BK32+'Grid_TTAFOutgoing'!BK32))</f>
        <v/>
      </c>
      <c r="BL32">
        <f>IF(COUNTIFS(T_StockCount[Part Name],$A32,T_StockCount[WeekIndex],63)&gt;0,SUMIFS(T_StockCount[CountedQty],T_StockCount[Part Name],$A32,T_StockCount[WeekIndex],63),IF(('T_SelfStock'!BL36&lt;&gt;""),'T_SelfStock'!BL36,BK32-'Grid_Requirement'!BL32+'Grid_TTAFOutgoing'!BL32))</f>
        <v/>
      </c>
      <c r="BM32">
        <f>IF(COUNTIFS(T_StockCount[Part Name],$A32,T_StockCount[WeekIndex],64)&gt;0,SUMIFS(T_StockCount[CountedQty],T_StockCount[Part Name],$A32,T_StockCount[WeekIndex],64),IF(('T_SelfStock'!BM36&lt;&gt;""),'T_SelfStock'!BM36,BL32-'Grid_Requirement'!BM32+'Grid_TTAFOutgoing'!BM32))</f>
        <v/>
      </c>
      <c r="BN32">
        <f>IF(COUNTIFS(T_StockCount[Part Name],$A32,T_StockCount[WeekIndex],65)&gt;0,SUMIFS(T_StockCount[CountedQty],T_StockCount[Part Name],$A32,T_StockCount[WeekIndex],65),IF(('T_SelfStock'!BN36&lt;&gt;""),'T_SelfStock'!BN36,BM32-'Grid_Requirement'!BN32+'Grid_TTAFOutgoing'!BN32))</f>
        <v/>
      </c>
      <c r="BO32">
        <f>IF(COUNTIFS(T_StockCount[Part Name],$A32,T_StockCount[WeekIndex],66)&gt;0,SUMIFS(T_StockCount[CountedQty],T_StockCount[Part Name],$A32,T_StockCount[WeekIndex],66),IF(('T_SelfStock'!BO36&lt;&gt;""),'T_SelfStock'!BO36,BN32-'Grid_Requirement'!BO32+'Grid_TTAFOutgoing'!BO32))</f>
        <v/>
      </c>
      <c r="BP32">
        <f>IF(COUNTIFS(T_StockCount[Part Name],$A32,T_StockCount[WeekIndex],67)&gt;0,SUMIFS(T_StockCount[CountedQty],T_StockCount[Part Name],$A32,T_StockCount[WeekIndex],67),IF(('T_SelfStock'!BP36&lt;&gt;""),'T_SelfStock'!BP36,BO32-'Grid_Requirement'!BP32+'Grid_TTAFOutgoing'!BP32))</f>
        <v/>
      </c>
      <c r="BQ32">
        <f>IF(COUNTIFS(T_StockCount[Part Name],$A32,T_StockCount[WeekIndex],68)&gt;0,SUMIFS(T_StockCount[CountedQty],T_StockCount[Part Name],$A32,T_StockCount[WeekIndex],68),IF(('T_SelfStock'!BQ36&lt;&gt;""),'T_SelfStock'!BQ36,BP32-'Grid_Requirement'!BQ32+'Grid_TTAFOutgoing'!BQ32))</f>
        <v/>
      </c>
      <c r="BR32">
        <f>IF(COUNTIFS(T_StockCount[Part Name],$A32,T_StockCount[WeekIndex],69)&gt;0,SUMIFS(T_StockCount[CountedQty],T_StockCount[Part Name],$A32,T_StockCount[WeekIndex],69),IF(('T_SelfStock'!BR36&lt;&gt;""),'T_SelfStock'!BR36,BQ32-'Grid_Requirement'!BR32+'Grid_TTAFOutgoing'!BR32))</f>
        <v/>
      </c>
      <c r="BS32">
        <f>IF(COUNTIFS(T_StockCount[Part Name],$A32,T_StockCount[WeekIndex],70)&gt;0,SUMIFS(T_StockCount[CountedQty],T_StockCount[Part Name],$A32,T_StockCount[WeekIndex],70),IF(('T_SelfStock'!BS36&lt;&gt;""),'T_SelfStock'!BS36,BR32-'Grid_Requirement'!BS32+'Grid_TTAFOutgoing'!BS32))</f>
        <v/>
      </c>
      <c r="BT32">
        <f>IF(COUNTIFS(T_StockCount[Part Name],$A32,T_StockCount[WeekIndex],71)&gt;0,SUMIFS(T_StockCount[CountedQty],T_StockCount[Part Name],$A32,T_StockCount[WeekIndex],71),IF(('T_SelfStock'!BT36&lt;&gt;""),'T_SelfStock'!BT36,BS32-'Grid_Requirement'!BT32+'Grid_TTAFOutgoing'!BT32))</f>
        <v/>
      </c>
      <c r="BU32">
        <f>IF(COUNTIFS(T_StockCount[Part Name],$A32,T_StockCount[WeekIndex],72)&gt;0,SUMIFS(T_StockCount[CountedQty],T_StockCount[Part Name],$A32,T_StockCount[WeekIndex],72),IF(('T_SelfStock'!BU36&lt;&gt;""),'T_SelfStock'!BU36,BT32-'Grid_Requirement'!BU32+'Grid_TTAFOutgoing'!BU32))</f>
        <v/>
      </c>
      <c r="BV32">
        <f>IF(COUNTIFS(T_StockCount[Part Name],$A32,T_StockCount[WeekIndex],73)&gt;0,SUMIFS(T_StockCount[CountedQty],T_StockCount[Part Name],$A32,T_StockCount[WeekIndex],73),IF(('T_SelfStock'!BV36&lt;&gt;""),'T_SelfStock'!BV36,BU32-'Grid_Requirement'!BV32+'Grid_TTAFOutgoing'!BV32))</f>
        <v/>
      </c>
      <c r="BW32">
        <f>IF(COUNTIFS(T_StockCount[Part Name],$A32,T_StockCount[WeekIndex],74)&gt;0,SUMIFS(T_StockCount[CountedQty],T_StockCount[Part Name],$A32,T_StockCount[WeekIndex],74),IF(('T_SelfStock'!BW36&lt;&gt;""),'T_SelfStock'!BW36,BV32-'Grid_Requirement'!BW32+'Grid_TTAFOutgoing'!BW32))</f>
        <v/>
      </c>
      <c r="BX32">
        <f>IF(COUNTIFS(T_StockCount[Part Name],$A32,T_StockCount[WeekIndex],75)&gt;0,SUMIFS(T_StockCount[CountedQty],T_StockCount[Part Name],$A32,T_StockCount[WeekIndex],75),IF(('T_SelfStock'!BX36&lt;&gt;""),'T_SelfStock'!BX36,BW32-'Grid_Requirement'!BX32+'Grid_TTAFOutgoing'!BX32))</f>
        <v/>
      </c>
      <c r="BY32">
        <f>IF(COUNTIFS(T_StockCount[Part Name],$A32,T_StockCount[WeekIndex],76)&gt;0,SUMIFS(T_StockCount[CountedQty],T_StockCount[Part Name],$A32,T_StockCount[WeekIndex],76),IF(('T_SelfStock'!BY36&lt;&gt;""),'T_SelfStock'!BY36,BX32-'Grid_Requirement'!BY32+'Grid_TTAFOutgoing'!BY32))</f>
        <v/>
      </c>
      <c r="BZ32">
        <f>IF(COUNTIFS(T_StockCount[Part Name],$A32,T_StockCount[WeekIndex],77)&gt;0,SUMIFS(T_StockCount[CountedQty],T_StockCount[Part Name],$A32,T_StockCount[WeekIndex],77),IF(('T_SelfStock'!BZ36&lt;&gt;""),'T_SelfStock'!BZ36,BY32-'Grid_Requirement'!BZ32+'Grid_TTAFOutgoing'!BZ32))</f>
        <v/>
      </c>
      <c r="CA32">
        <f>IF(COUNTIFS(T_StockCount[Part Name],$A32,T_StockCount[WeekIndex],78)&gt;0,SUMIFS(T_StockCount[CountedQty],T_StockCount[Part Name],$A32,T_StockCount[WeekIndex],78),IF(('T_SelfStock'!CA36&lt;&gt;""),'T_SelfStock'!CA36,BZ32-'Grid_Requirement'!CA32+'Grid_TTAFOutgoing'!CA32))</f>
        <v/>
      </c>
      <c r="CB32">
        <f>IF(COUNTIFS(T_StockCount[Part Name],$A32,T_StockCount[WeekIndex],79)&gt;0,SUMIFS(T_StockCount[CountedQty],T_StockCount[Part Name],$A32,T_StockCount[WeekIndex],79),IF(('T_SelfStock'!CB36&lt;&gt;""),'T_SelfStock'!CB36,CA32-'Grid_Requirement'!CB32+'Grid_TTAFOutgoing'!CB32))</f>
        <v/>
      </c>
      <c r="CC32">
        <f>IF(COUNTIFS(T_StockCount[Part Name],$A32,T_StockCount[WeekIndex],80)&gt;0,SUMIFS(T_StockCount[CountedQty],T_StockCount[Part Name],$A32,T_StockCount[WeekIndex],80),IF(('T_SelfStock'!CC36&lt;&gt;""),'T_SelfStock'!CC36,CB32-'Grid_Requirement'!CC32+'Grid_TTAFOutgoing'!CC32))</f>
        <v/>
      </c>
      <c r="CD32">
        <f>IF(COUNTIFS(T_StockCount[Part Name],$A32,T_StockCount[WeekIndex],81)&gt;0,SUMIFS(T_StockCount[CountedQty],T_StockCount[Part Name],$A32,T_StockCount[WeekIndex],81),IF(('T_SelfStock'!CD36&lt;&gt;""),'T_SelfStock'!CD36,CC32-'Grid_Requirement'!CD32+'Grid_TTAFOutgoing'!CD32))</f>
        <v/>
      </c>
      <c r="CE32">
        <f>IF(COUNTIFS(T_StockCount[Part Name],$A32,T_StockCount[WeekIndex],82)&gt;0,SUMIFS(T_StockCount[CountedQty],T_StockCount[Part Name],$A32,T_StockCount[WeekIndex],82),IF(('T_SelfStock'!CE36&lt;&gt;""),'T_SelfStock'!CE36,CD32-'Grid_Requirement'!CE32+'Grid_TTAFOutgoing'!CE32))</f>
        <v/>
      </c>
      <c r="CF32">
        <f>IF(COUNTIFS(T_StockCount[Part Name],$A32,T_StockCount[WeekIndex],83)&gt;0,SUMIFS(T_StockCount[CountedQty],T_StockCount[Part Name],$A32,T_StockCount[WeekIndex],83),IF(('T_SelfStock'!CF36&lt;&gt;""),'T_SelfStock'!CF36,CE32-'Grid_Requirement'!CF32+'Grid_TTAFOutgoing'!CF32))</f>
        <v/>
      </c>
      <c r="CG32">
        <f>IF(COUNTIFS(T_StockCount[Part Name],$A32,T_StockCount[WeekIndex],84)&gt;0,SUMIFS(T_StockCount[CountedQty],T_StockCount[Part Name],$A32,T_StockCount[WeekIndex],84),IF(('T_SelfStock'!CG36&lt;&gt;""),'T_SelfStock'!CG36,CF32-'Grid_Requirement'!CG32+'Grid_TTAFOutgoing'!CG32))</f>
        <v/>
      </c>
      <c r="CH32">
        <f>IF(COUNTIFS(T_StockCount[Part Name],$A32,T_StockCount[WeekIndex],85)&gt;0,SUMIFS(T_StockCount[CountedQty],T_StockCount[Part Name],$A32,T_StockCount[WeekIndex],85),IF(('T_SelfStock'!CH36&lt;&gt;""),'T_SelfStock'!CH36,CG32-'Grid_Requirement'!CH32+'Grid_TTAFOutgoing'!CH32))</f>
        <v/>
      </c>
      <c r="CI32">
        <f>IF(COUNTIFS(T_StockCount[Part Name],$A32,T_StockCount[WeekIndex],86)&gt;0,SUMIFS(T_StockCount[CountedQty],T_StockCount[Part Name],$A32,T_StockCount[WeekIndex],86),IF(('T_SelfStock'!CI36&lt;&gt;""),'T_SelfStock'!CI36,CH32-'Grid_Requirement'!CI32+'Grid_TTAFOutgoing'!CI32))</f>
        <v/>
      </c>
      <c r="CJ32">
        <f>IF(COUNTIFS(T_StockCount[Part Name],$A32,T_StockCount[WeekIndex],87)&gt;0,SUMIFS(T_StockCount[CountedQty],T_StockCount[Part Name],$A32,T_StockCount[WeekIndex],87),IF(('T_SelfStock'!CJ36&lt;&gt;""),'T_SelfStock'!CJ36,CI32-'Grid_Requirement'!CJ32+'Grid_TTAFOutgoing'!CJ32))</f>
        <v/>
      </c>
      <c r="CK32">
        <f>IF(COUNTIFS(T_StockCount[Part Name],$A32,T_StockCount[WeekIndex],88)&gt;0,SUMIFS(T_StockCount[CountedQty],T_StockCount[Part Name],$A32,T_StockCount[WeekIndex],88),IF(('T_SelfStock'!CK36&lt;&gt;""),'T_SelfStock'!CK36,CJ32-'Grid_Requirement'!CK32+'Grid_TTAFOutgoing'!CK32))</f>
        <v/>
      </c>
      <c r="CL32">
        <f>IF(COUNTIFS(T_StockCount[Part Name],$A32,T_StockCount[WeekIndex],89)&gt;0,SUMIFS(T_StockCount[CountedQty],T_StockCount[Part Name],$A32,T_StockCount[WeekIndex],89),IF(('T_SelfStock'!CL36&lt;&gt;""),'T_SelfStock'!CL36,CK32-'Grid_Requirement'!CL32+'Grid_TTAFOutgoing'!CL32))</f>
        <v/>
      </c>
      <c r="CM32">
        <f>IF(COUNTIFS(T_StockCount[Part Name],$A32,T_StockCount[WeekIndex],90)&gt;0,SUMIFS(T_StockCount[CountedQty],T_StockCount[Part Name],$A32,T_StockCount[WeekIndex],90),IF(('T_SelfStock'!CM36&lt;&gt;""),'T_SelfStock'!CM36,CL32-'Grid_Requirement'!CM32+'Grid_TTAFOutgoing'!CM32))</f>
        <v/>
      </c>
      <c r="CN32">
        <f>IF(COUNTIFS(T_StockCount[Part Name],$A32,T_StockCount[WeekIndex],91)&gt;0,SUMIFS(T_StockCount[CountedQty],T_StockCount[Part Name],$A32,T_StockCount[WeekIndex],91),IF(('T_SelfStock'!CN36&lt;&gt;""),'T_SelfStock'!CN36,CM32-'Grid_Requirement'!CN32+'Grid_TTAFOutgoing'!CN32))</f>
        <v/>
      </c>
      <c r="CO32">
        <f>IF(COUNTIFS(T_StockCount[Part Name],$A32,T_StockCount[WeekIndex],92)&gt;0,SUMIFS(T_StockCount[CountedQty],T_StockCount[Part Name],$A32,T_StockCount[WeekIndex],92),IF(('T_SelfStock'!CO36&lt;&gt;""),'T_SelfStock'!CO36,CN32-'Grid_Requirement'!CO32+'Grid_TTAFOutgoing'!CO32))</f>
        <v/>
      </c>
      <c r="CP32">
        <f>IF(COUNTIFS(T_StockCount[Part Name],$A32,T_StockCount[WeekIndex],93)&gt;0,SUMIFS(T_StockCount[CountedQty],T_StockCount[Part Name],$A32,T_StockCount[WeekIndex],93),IF(('T_SelfStock'!CP36&lt;&gt;""),'T_SelfStock'!CP36,CO32-'Grid_Requirement'!CP32+'Grid_TTAFOutgoing'!CP32))</f>
        <v/>
      </c>
      <c r="CQ32">
        <f>IF(COUNTIFS(T_StockCount[Part Name],$A32,T_StockCount[WeekIndex],94)&gt;0,SUMIFS(T_StockCount[CountedQty],T_StockCount[Part Name],$A32,T_StockCount[WeekIndex],94),IF(('T_SelfStock'!CQ36&lt;&gt;""),'T_SelfStock'!CQ36,CP32-'Grid_Requirement'!CQ32+'Grid_TTAFOutgoing'!CQ32))</f>
        <v/>
      </c>
      <c r="CR32">
        <f>IF(COUNTIFS(T_StockCount[Part Name],$A32,T_StockCount[WeekIndex],95)&gt;0,SUMIFS(T_StockCount[CountedQty],T_StockCount[Part Name],$A32,T_StockCount[WeekIndex],95),IF(('T_SelfStock'!CR36&lt;&gt;""),'T_SelfStock'!CR36,CQ32-'Grid_Requirement'!CR32+'Grid_TTAFOutgoing'!CR32))</f>
        <v/>
      </c>
      <c r="CS32">
        <f>IF(COUNTIFS(T_StockCount[Part Name],$A32,T_StockCount[WeekIndex],96)&gt;0,SUMIFS(T_StockCount[CountedQty],T_StockCount[Part Name],$A32,T_StockCount[WeekIndex],96),IF(('T_SelfStock'!CS36&lt;&gt;""),'T_SelfStock'!CS36,CR32-'Grid_Requirement'!CS32+'Grid_TTAFOutgoing'!CS32))</f>
        <v/>
      </c>
      <c r="CT32">
        <f>IF(COUNTIFS(T_StockCount[Part Name],$A32,T_StockCount[WeekIndex],97)&gt;0,SUMIFS(T_StockCount[CountedQty],T_StockCount[Part Name],$A32,T_StockCount[WeekIndex],97),IF(('T_SelfStock'!CT36&lt;&gt;""),'T_SelfStock'!CT36,CS32-'Grid_Requirement'!CT32+'Grid_TTAFOutgoing'!CT32))</f>
        <v/>
      </c>
      <c r="CU32">
        <f>IF(COUNTIFS(T_StockCount[Part Name],$A32,T_StockCount[WeekIndex],98)&gt;0,SUMIFS(T_StockCount[CountedQty],T_StockCount[Part Name],$A32,T_StockCount[WeekIndex],98),IF(('T_SelfStock'!CU36&lt;&gt;""),'T_SelfStock'!CU36,CT32-'Grid_Requirement'!CU32+'Grid_TTAFOutgoing'!CU32))</f>
        <v/>
      </c>
      <c r="CV32">
        <f>IF(COUNTIFS(T_StockCount[Part Name],$A32,T_StockCount[WeekIndex],99)&gt;0,SUMIFS(T_StockCount[CountedQty],T_StockCount[Part Name],$A32,T_StockCount[WeekIndex],99),IF(('T_SelfStock'!CV36&lt;&gt;""),'T_SelfStock'!CV36,CU32-'Grid_Requirement'!CV32+'Grid_TTAFOutgoing'!CV32))</f>
        <v/>
      </c>
      <c r="CW32">
        <f>IF(COUNTIFS(T_StockCount[Part Name],$A32,T_StockCount[WeekIndex],100)&gt;0,SUMIFS(T_StockCount[CountedQty],T_StockCount[Part Name],$A32,T_StockCount[WeekIndex],100),IF(('T_SelfStock'!CW36&lt;&gt;""),'T_SelfStock'!CW36,CV32-'Grid_Requirement'!CW32+'Grid_TTAFOutgoing'!CW32))</f>
        <v/>
      </c>
      <c r="CX32">
        <f>IF(COUNTIFS(T_StockCount[Part Name],$A32,T_StockCount[WeekIndex],101)&gt;0,SUMIFS(T_StockCount[CountedQty],T_StockCount[Part Name],$A32,T_StockCount[WeekIndex],101),IF(('T_SelfStock'!CX36&lt;&gt;""),'T_SelfStock'!CX36,CW32-'Grid_Requirement'!CX32+'Grid_TTAFOutgoing'!CX32))</f>
        <v/>
      </c>
      <c r="CY32">
        <f>IF(COUNTIFS(T_StockCount[Part Name],$A32,T_StockCount[WeekIndex],102)&gt;0,SUMIFS(T_StockCount[CountedQty],T_StockCount[Part Name],$A32,T_StockCount[WeekIndex],102),IF(('T_SelfStock'!CY36&lt;&gt;""),'T_SelfStock'!CY36,CX32-'Grid_Requirement'!CY32+'Grid_TTAFOutgoing'!CY32))</f>
        <v/>
      </c>
      <c r="CZ32">
        <f>IF(COUNTIFS(T_StockCount[Part Name],$A32,T_StockCount[WeekIndex],103)&gt;0,SUMIFS(T_StockCount[CountedQty],T_StockCount[Part Name],$A32,T_StockCount[WeekIndex],103),IF(('T_SelfStock'!CZ36&lt;&gt;""),'T_SelfStock'!CZ36,CY32-'Grid_Requirement'!CZ32+'Grid_TTAFOutgoing'!CZ32))</f>
        <v/>
      </c>
      <c r="DA32">
        <f>IF(COUNTIFS(T_StockCount[Part Name],$A32,T_StockCount[WeekIndex],104)&gt;0,SUMIFS(T_StockCount[CountedQty],T_StockCount[Part Name],$A32,T_StockCount[WeekIndex],104),IF(('T_SelfStock'!DA36&lt;&gt;""),'T_SelfStock'!DA36,CZ32-'Grid_Requirement'!DA32+'Grid_TTAFOutgoing'!DA32))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Name],$A33,T_StockCount[WeekIndex],1),IF(('T_SelfStock'!B37&lt;&gt;""),'T_SelfStock'!B37,IFERROR(INDEX(T_OpeningStock[Opening_Qty],MATCH($A33,T_OpeningStock[Part Name],0)),0)-'Grid_Requirement'!B33+'Grid_TTAFOutgoing'!B33))</f>
        <v/>
      </c>
      <c r="C33">
        <f>IF(COUNTIFS(T_StockCount[Part Name],$A33,T_StockCount[WeekIndex],2)&gt;0,SUMIFS(T_StockCount[CountedQty],T_StockCount[Part Name],$A33,T_StockCount[WeekIndex],2),IF(('T_SelfStock'!C37&lt;&gt;""),'T_SelfStock'!C37,B33-'Grid_Requirement'!C33+'Grid_TTAFOutgoing'!C33))</f>
        <v/>
      </c>
      <c r="D33">
        <f>IF(COUNTIFS(T_StockCount[Part Name],$A33,T_StockCount[WeekIndex],3)&gt;0,SUMIFS(T_StockCount[CountedQty],T_StockCount[Part Name],$A33,T_StockCount[WeekIndex],3),IF(('T_SelfStock'!D37&lt;&gt;""),'T_SelfStock'!D37,C33-'Grid_Requirement'!D33+'Grid_TTAFOutgoing'!D33))</f>
        <v/>
      </c>
      <c r="E33">
        <f>IF(COUNTIFS(T_StockCount[Part Name],$A33,T_StockCount[WeekIndex],4)&gt;0,SUMIFS(T_StockCount[CountedQty],T_StockCount[Part Name],$A33,T_StockCount[WeekIndex],4),IF(('T_SelfStock'!E37&lt;&gt;""),'T_SelfStock'!E37,D33-'Grid_Requirement'!E33+'Grid_TTAFOutgoing'!E33))</f>
        <v/>
      </c>
      <c r="F33">
        <f>IF(COUNTIFS(T_StockCount[Part Name],$A33,T_StockCount[WeekIndex],5)&gt;0,SUMIFS(T_StockCount[CountedQty],T_StockCount[Part Name],$A33,T_StockCount[WeekIndex],5),IF(('T_SelfStock'!F37&lt;&gt;""),'T_SelfStock'!F37,E33-'Grid_Requirement'!F33+'Grid_TTAFOutgoing'!F33))</f>
        <v/>
      </c>
      <c r="G33">
        <f>IF(COUNTIFS(T_StockCount[Part Name],$A33,T_StockCount[WeekIndex],6)&gt;0,SUMIFS(T_StockCount[CountedQty],T_StockCount[Part Name],$A33,T_StockCount[WeekIndex],6),IF(('T_SelfStock'!G37&lt;&gt;""),'T_SelfStock'!G37,F33-'Grid_Requirement'!G33+'Grid_TTAFOutgoing'!G33))</f>
        <v/>
      </c>
      <c r="H33">
        <f>IF(COUNTIFS(T_StockCount[Part Name],$A33,T_StockCount[WeekIndex],7)&gt;0,SUMIFS(T_StockCount[CountedQty],T_StockCount[Part Name],$A33,T_StockCount[WeekIndex],7),IF(('T_SelfStock'!H37&lt;&gt;""),'T_SelfStock'!H37,G33-'Grid_Requirement'!H33+'Grid_TTAFOutgoing'!H33))</f>
        <v/>
      </c>
      <c r="I33">
        <f>IF(COUNTIFS(T_StockCount[Part Name],$A33,T_StockCount[WeekIndex],8)&gt;0,SUMIFS(T_StockCount[CountedQty],T_StockCount[Part Name],$A33,T_StockCount[WeekIndex],8),IF(('T_SelfStock'!I37&lt;&gt;""),'T_SelfStock'!I37,H33-'Grid_Requirement'!I33+'Grid_TTAFOutgoing'!I33))</f>
        <v/>
      </c>
      <c r="J33">
        <f>IF(COUNTIFS(T_StockCount[Part Name],$A33,T_StockCount[WeekIndex],9)&gt;0,SUMIFS(T_StockCount[CountedQty],T_StockCount[Part Name],$A33,T_StockCount[WeekIndex],9),IF(('T_SelfStock'!J37&lt;&gt;""),'T_SelfStock'!J37,I33-'Grid_Requirement'!J33+'Grid_TTAFOutgoing'!J33))</f>
        <v/>
      </c>
      <c r="K33">
        <f>IF(COUNTIFS(T_StockCount[Part Name],$A33,T_StockCount[WeekIndex],10)&gt;0,SUMIFS(T_StockCount[CountedQty],T_StockCount[Part Name],$A33,T_StockCount[WeekIndex],10),IF(('T_SelfStock'!K37&lt;&gt;""),'T_SelfStock'!K37,J33-'Grid_Requirement'!K33+'Grid_TTAFOutgoing'!K33))</f>
        <v/>
      </c>
      <c r="L33">
        <f>IF(COUNTIFS(T_StockCount[Part Name],$A33,T_StockCount[WeekIndex],11)&gt;0,SUMIFS(T_StockCount[CountedQty],T_StockCount[Part Name],$A33,T_StockCount[WeekIndex],11),IF(('T_SelfStock'!L37&lt;&gt;""),'T_SelfStock'!L37,K33-'Grid_Requirement'!L33+'Grid_TTAFOutgoing'!L33))</f>
        <v/>
      </c>
      <c r="M33">
        <f>IF(COUNTIFS(T_StockCount[Part Name],$A33,T_StockCount[WeekIndex],12)&gt;0,SUMIFS(T_StockCount[CountedQty],T_StockCount[Part Name],$A33,T_StockCount[WeekIndex],12),IF(('T_SelfStock'!M37&lt;&gt;""),'T_SelfStock'!M37,L33-'Grid_Requirement'!M33+'Grid_TTAFOutgoing'!M33))</f>
        <v/>
      </c>
      <c r="N33">
        <f>IF(COUNTIFS(T_StockCount[Part Name],$A33,T_StockCount[WeekIndex],13)&gt;0,SUMIFS(T_StockCount[CountedQty],T_StockCount[Part Name],$A33,T_StockCount[WeekIndex],13),IF(('T_SelfStock'!N37&lt;&gt;""),'T_SelfStock'!N37,M33-'Grid_Requirement'!N33+'Grid_TTAFOutgoing'!N33))</f>
        <v/>
      </c>
      <c r="O33">
        <f>IF(COUNTIFS(T_StockCount[Part Name],$A33,T_StockCount[WeekIndex],14)&gt;0,SUMIFS(T_StockCount[CountedQty],T_StockCount[Part Name],$A33,T_StockCount[WeekIndex],14),IF(('T_SelfStock'!O37&lt;&gt;""),'T_SelfStock'!O37,N33-'Grid_Requirement'!O33+'Grid_TTAFOutgoing'!O33))</f>
        <v/>
      </c>
      <c r="P33">
        <f>IF(COUNTIFS(T_StockCount[Part Name],$A33,T_StockCount[WeekIndex],15)&gt;0,SUMIFS(T_StockCount[CountedQty],T_StockCount[Part Name],$A33,T_StockCount[WeekIndex],15),IF(('T_SelfStock'!P37&lt;&gt;""),'T_SelfStock'!P37,O33-'Grid_Requirement'!P33+'Grid_TTAFOutgoing'!P33))</f>
        <v/>
      </c>
      <c r="Q33">
        <f>IF(COUNTIFS(T_StockCount[Part Name],$A33,T_StockCount[WeekIndex],16)&gt;0,SUMIFS(T_StockCount[CountedQty],T_StockCount[Part Name],$A33,T_StockCount[WeekIndex],16),IF(('T_SelfStock'!Q37&lt;&gt;""),'T_SelfStock'!Q37,P33-'Grid_Requirement'!Q33+'Grid_TTAFOutgoing'!Q33))</f>
        <v/>
      </c>
      <c r="R33">
        <f>IF(COUNTIFS(T_StockCount[Part Name],$A33,T_StockCount[WeekIndex],17)&gt;0,SUMIFS(T_StockCount[CountedQty],T_StockCount[Part Name],$A33,T_StockCount[WeekIndex],17),IF(('T_SelfStock'!R37&lt;&gt;""),'T_SelfStock'!R37,Q33-'Grid_Requirement'!R33+'Grid_TTAFOutgoing'!R33))</f>
        <v/>
      </c>
      <c r="S33">
        <f>IF(COUNTIFS(T_StockCount[Part Name],$A33,T_StockCount[WeekIndex],18)&gt;0,SUMIFS(T_StockCount[CountedQty],T_StockCount[Part Name],$A33,T_StockCount[WeekIndex],18),IF(('T_SelfStock'!S37&lt;&gt;""),'T_SelfStock'!S37,R33-'Grid_Requirement'!S33+'Grid_TTAFOutgoing'!S33))</f>
        <v/>
      </c>
      <c r="T33">
        <f>IF(COUNTIFS(T_StockCount[Part Name],$A33,T_StockCount[WeekIndex],19)&gt;0,SUMIFS(T_StockCount[CountedQty],T_StockCount[Part Name],$A33,T_StockCount[WeekIndex],19),IF(('T_SelfStock'!T37&lt;&gt;""),'T_SelfStock'!T37,S33-'Grid_Requirement'!T33+'Grid_TTAFOutgoing'!T33))</f>
        <v/>
      </c>
      <c r="U33">
        <f>IF(COUNTIFS(T_StockCount[Part Name],$A33,T_StockCount[WeekIndex],20)&gt;0,SUMIFS(T_StockCount[CountedQty],T_StockCount[Part Name],$A33,T_StockCount[WeekIndex],20),IF(('T_SelfStock'!U37&lt;&gt;""),'T_SelfStock'!U37,T33-'Grid_Requirement'!U33+'Grid_TTAFOutgoing'!U33))</f>
        <v/>
      </c>
      <c r="V33">
        <f>IF(COUNTIFS(T_StockCount[Part Name],$A33,T_StockCount[WeekIndex],21)&gt;0,SUMIFS(T_StockCount[CountedQty],T_StockCount[Part Name],$A33,T_StockCount[WeekIndex],21),IF(('T_SelfStock'!V37&lt;&gt;""),'T_SelfStock'!V37,U33-'Grid_Requirement'!V33+'Grid_TTAFOutgoing'!V33))</f>
        <v/>
      </c>
      <c r="W33">
        <f>IF(COUNTIFS(T_StockCount[Part Name],$A33,T_StockCount[WeekIndex],22)&gt;0,SUMIFS(T_StockCount[CountedQty],T_StockCount[Part Name],$A33,T_StockCount[WeekIndex],22),IF(('T_SelfStock'!W37&lt;&gt;""),'T_SelfStock'!W37,V33-'Grid_Requirement'!W33+'Grid_TTAFOutgoing'!W33))</f>
        <v/>
      </c>
      <c r="X33">
        <f>IF(COUNTIFS(T_StockCount[Part Name],$A33,T_StockCount[WeekIndex],23)&gt;0,SUMIFS(T_StockCount[CountedQty],T_StockCount[Part Name],$A33,T_StockCount[WeekIndex],23),IF(('T_SelfStock'!X37&lt;&gt;""),'T_SelfStock'!X37,W33-'Grid_Requirement'!X33+'Grid_TTAFOutgoing'!X33))</f>
        <v/>
      </c>
      <c r="Y33">
        <f>IF(COUNTIFS(T_StockCount[Part Name],$A33,T_StockCount[WeekIndex],24)&gt;0,SUMIFS(T_StockCount[CountedQty],T_StockCount[Part Name],$A33,T_StockCount[WeekIndex],24),IF(('T_SelfStock'!Y37&lt;&gt;""),'T_SelfStock'!Y37,X33-'Grid_Requirement'!Y33+'Grid_TTAFOutgoing'!Y33))</f>
        <v/>
      </c>
      <c r="Z33">
        <f>IF(COUNTIFS(T_StockCount[Part Name],$A33,T_StockCount[WeekIndex],25)&gt;0,SUMIFS(T_StockCount[CountedQty],T_StockCount[Part Name],$A33,T_StockCount[WeekIndex],25),IF(('T_SelfStock'!Z37&lt;&gt;""),'T_SelfStock'!Z37,Y33-'Grid_Requirement'!Z33+'Grid_TTAFOutgoing'!Z33))</f>
        <v/>
      </c>
      <c r="AA33">
        <f>IF(COUNTIFS(T_StockCount[Part Name],$A33,T_StockCount[WeekIndex],26)&gt;0,SUMIFS(T_StockCount[CountedQty],T_StockCount[Part Name],$A33,T_StockCount[WeekIndex],26),IF(('T_SelfStock'!AA37&lt;&gt;""),'T_SelfStock'!AA37,Z33-'Grid_Requirement'!AA33+'Grid_TTAFOutgoing'!AA33))</f>
        <v/>
      </c>
      <c r="AB33">
        <f>IF(COUNTIFS(T_StockCount[Part Name],$A33,T_StockCount[WeekIndex],27)&gt;0,SUMIFS(T_StockCount[CountedQty],T_StockCount[Part Name],$A33,T_StockCount[WeekIndex],27),IF(('T_SelfStock'!AB37&lt;&gt;""),'T_SelfStock'!AB37,AA33-'Grid_Requirement'!AB33+'Grid_TTAFOutgoing'!AB33))</f>
        <v/>
      </c>
      <c r="AC33">
        <f>IF(COUNTIFS(T_StockCount[Part Name],$A33,T_StockCount[WeekIndex],28)&gt;0,SUMIFS(T_StockCount[CountedQty],T_StockCount[Part Name],$A33,T_StockCount[WeekIndex],28),IF(('T_SelfStock'!AC37&lt;&gt;""),'T_SelfStock'!AC37,AB33-'Grid_Requirement'!AC33+'Grid_TTAFOutgoing'!AC33))</f>
        <v/>
      </c>
      <c r="AD33">
        <f>IF(COUNTIFS(T_StockCount[Part Name],$A33,T_StockCount[WeekIndex],29)&gt;0,SUMIFS(T_StockCount[CountedQty],T_StockCount[Part Name],$A33,T_StockCount[WeekIndex],29),IF(('T_SelfStock'!AD37&lt;&gt;""),'T_SelfStock'!AD37,AC33-'Grid_Requirement'!AD33+'Grid_TTAFOutgoing'!AD33))</f>
        <v/>
      </c>
      <c r="AE33">
        <f>IF(COUNTIFS(T_StockCount[Part Name],$A33,T_StockCount[WeekIndex],30)&gt;0,SUMIFS(T_StockCount[CountedQty],T_StockCount[Part Name],$A33,T_StockCount[WeekIndex],30),IF(('T_SelfStock'!AE37&lt;&gt;""),'T_SelfStock'!AE37,AD33-'Grid_Requirement'!AE33+'Grid_TTAFOutgoing'!AE33))</f>
        <v/>
      </c>
      <c r="AF33">
        <f>IF(COUNTIFS(T_StockCount[Part Name],$A33,T_StockCount[WeekIndex],31)&gt;0,SUMIFS(T_StockCount[CountedQty],T_StockCount[Part Name],$A33,T_StockCount[WeekIndex],31),IF(('T_SelfStock'!AF37&lt;&gt;""),'T_SelfStock'!AF37,AE33-'Grid_Requirement'!AF33+'Grid_TTAFOutgoing'!AF33))</f>
        <v/>
      </c>
      <c r="AG33">
        <f>IF(COUNTIFS(T_StockCount[Part Name],$A33,T_StockCount[WeekIndex],32)&gt;0,SUMIFS(T_StockCount[CountedQty],T_StockCount[Part Name],$A33,T_StockCount[WeekIndex],32),IF(('T_SelfStock'!AG37&lt;&gt;""),'T_SelfStock'!AG37,AF33-'Grid_Requirement'!AG33+'Grid_TTAFOutgoing'!AG33))</f>
        <v/>
      </c>
      <c r="AH33">
        <f>IF(COUNTIFS(T_StockCount[Part Name],$A33,T_StockCount[WeekIndex],33)&gt;0,SUMIFS(T_StockCount[CountedQty],T_StockCount[Part Name],$A33,T_StockCount[WeekIndex],33),IF(('T_SelfStock'!AH37&lt;&gt;""),'T_SelfStock'!AH37,AG33-'Grid_Requirement'!AH33+'Grid_TTAFOutgoing'!AH33))</f>
        <v/>
      </c>
      <c r="AI33">
        <f>IF(COUNTIFS(T_StockCount[Part Name],$A33,T_StockCount[WeekIndex],34)&gt;0,SUMIFS(T_StockCount[CountedQty],T_StockCount[Part Name],$A33,T_StockCount[WeekIndex],34),IF(('T_SelfStock'!AI37&lt;&gt;""),'T_SelfStock'!AI37,AH33-'Grid_Requirement'!AI33+'Grid_TTAFOutgoing'!AI33))</f>
        <v/>
      </c>
      <c r="AJ33">
        <f>IF(COUNTIFS(T_StockCount[Part Name],$A33,T_StockCount[WeekIndex],35)&gt;0,SUMIFS(T_StockCount[CountedQty],T_StockCount[Part Name],$A33,T_StockCount[WeekIndex],35),IF(('T_SelfStock'!AJ37&lt;&gt;""),'T_SelfStock'!AJ37,AI33-'Grid_Requirement'!AJ33+'Grid_TTAFOutgoing'!AJ33))</f>
        <v/>
      </c>
      <c r="AK33">
        <f>IF(COUNTIFS(T_StockCount[Part Name],$A33,T_StockCount[WeekIndex],36)&gt;0,SUMIFS(T_StockCount[CountedQty],T_StockCount[Part Name],$A33,T_StockCount[WeekIndex],36),IF(('T_SelfStock'!AK37&lt;&gt;""),'T_SelfStock'!AK37,AJ33-'Grid_Requirement'!AK33+'Grid_TTAFOutgoing'!AK33))</f>
        <v/>
      </c>
      <c r="AL33">
        <f>IF(COUNTIFS(T_StockCount[Part Name],$A33,T_StockCount[WeekIndex],37)&gt;0,SUMIFS(T_StockCount[CountedQty],T_StockCount[Part Name],$A33,T_StockCount[WeekIndex],37),IF(('T_SelfStock'!AL37&lt;&gt;""),'T_SelfStock'!AL37,AK33-'Grid_Requirement'!AL33+'Grid_TTAFOutgoing'!AL33))</f>
        <v/>
      </c>
      <c r="AM33">
        <f>IF(COUNTIFS(T_StockCount[Part Name],$A33,T_StockCount[WeekIndex],38)&gt;0,SUMIFS(T_StockCount[CountedQty],T_StockCount[Part Name],$A33,T_StockCount[WeekIndex],38),IF(('T_SelfStock'!AM37&lt;&gt;""),'T_SelfStock'!AM37,AL33-'Grid_Requirement'!AM33+'Grid_TTAFOutgoing'!AM33))</f>
        <v/>
      </c>
      <c r="AN33">
        <f>IF(COUNTIFS(T_StockCount[Part Name],$A33,T_StockCount[WeekIndex],39)&gt;0,SUMIFS(T_StockCount[CountedQty],T_StockCount[Part Name],$A33,T_StockCount[WeekIndex],39),IF(('T_SelfStock'!AN37&lt;&gt;""),'T_SelfStock'!AN37,AM33-'Grid_Requirement'!AN33+'Grid_TTAFOutgoing'!AN33))</f>
        <v/>
      </c>
      <c r="AO33">
        <f>IF(COUNTIFS(T_StockCount[Part Name],$A33,T_StockCount[WeekIndex],40)&gt;0,SUMIFS(T_StockCount[CountedQty],T_StockCount[Part Name],$A33,T_StockCount[WeekIndex],40),IF(('T_SelfStock'!AO37&lt;&gt;""),'T_SelfStock'!AO37,AN33-'Grid_Requirement'!AO33+'Grid_TTAFOutgoing'!AO33))</f>
        <v/>
      </c>
      <c r="AP33">
        <f>IF(COUNTIFS(T_StockCount[Part Name],$A33,T_StockCount[WeekIndex],41)&gt;0,SUMIFS(T_StockCount[CountedQty],T_StockCount[Part Name],$A33,T_StockCount[WeekIndex],41),IF(('T_SelfStock'!AP37&lt;&gt;""),'T_SelfStock'!AP37,AO33-'Grid_Requirement'!AP33+'Grid_TTAFOutgoing'!AP33))</f>
        <v/>
      </c>
      <c r="AQ33">
        <f>IF(COUNTIFS(T_StockCount[Part Name],$A33,T_StockCount[WeekIndex],42)&gt;0,SUMIFS(T_StockCount[CountedQty],T_StockCount[Part Name],$A33,T_StockCount[WeekIndex],42),IF(('T_SelfStock'!AQ37&lt;&gt;""),'T_SelfStock'!AQ37,AP33-'Grid_Requirement'!AQ33+'Grid_TTAFOutgoing'!AQ33))</f>
        <v/>
      </c>
      <c r="AR33">
        <f>IF(COUNTIFS(T_StockCount[Part Name],$A33,T_StockCount[WeekIndex],43)&gt;0,SUMIFS(T_StockCount[CountedQty],T_StockCount[Part Name],$A33,T_StockCount[WeekIndex],43),IF(('T_SelfStock'!AR37&lt;&gt;""),'T_SelfStock'!AR37,AQ33-'Grid_Requirement'!AR33+'Grid_TTAFOutgoing'!AR33))</f>
        <v/>
      </c>
      <c r="AS33">
        <f>IF(COUNTIFS(T_StockCount[Part Name],$A33,T_StockCount[WeekIndex],44)&gt;0,SUMIFS(T_StockCount[CountedQty],T_StockCount[Part Name],$A33,T_StockCount[WeekIndex],44),IF(('T_SelfStock'!AS37&lt;&gt;""),'T_SelfStock'!AS37,AR33-'Grid_Requirement'!AS33+'Grid_TTAFOutgoing'!AS33))</f>
        <v/>
      </c>
      <c r="AT33">
        <f>IF(COUNTIFS(T_StockCount[Part Name],$A33,T_StockCount[WeekIndex],45)&gt;0,SUMIFS(T_StockCount[CountedQty],T_StockCount[Part Name],$A33,T_StockCount[WeekIndex],45),IF(('T_SelfStock'!AT37&lt;&gt;""),'T_SelfStock'!AT37,AS33-'Grid_Requirement'!AT33+'Grid_TTAFOutgoing'!AT33))</f>
        <v/>
      </c>
      <c r="AU33">
        <f>IF(COUNTIFS(T_StockCount[Part Name],$A33,T_StockCount[WeekIndex],46)&gt;0,SUMIFS(T_StockCount[CountedQty],T_StockCount[Part Name],$A33,T_StockCount[WeekIndex],46),IF(('T_SelfStock'!AU37&lt;&gt;""),'T_SelfStock'!AU37,AT33-'Grid_Requirement'!AU33+'Grid_TTAFOutgoing'!AU33))</f>
        <v/>
      </c>
      <c r="AV33">
        <f>IF(COUNTIFS(T_StockCount[Part Name],$A33,T_StockCount[WeekIndex],47)&gt;0,SUMIFS(T_StockCount[CountedQty],T_StockCount[Part Name],$A33,T_StockCount[WeekIndex],47),IF(('T_SelfStock'!AV37&lt;&gt;""),'T_SelfStock'!AV37,AU33-'Grid_Requirement'!AV33+'Grid_TTAFOutgoing'!AV33))</f>
        <v/>
      </c>
      <c r="AW33">
        <f>IF(COUNTIFS(T_StockCount[Part Name],$A33,T_StockCount[WeekIndex],48)&gt;0,SUMIFS(T_StockCount[CountedQty],T_StockCount[Part Name],$A33,T_StockCount[WeekIndex],48),IF(('T_SelfStock'!AW37&lt;&gt;""),'T_SelfStock'!AW37,AV33-'Grid_Requirement'!AW33+'Grid_TTAFOutgoing'!AW33))</f>
        <v/>
      </c>
      <c r="AX33">
        <f>IF(COUNTIFS(T_StockCount[Part Name],$A33,T_StockCount[WeekIndex],49)&gt;0,SUMIFS(T_StockCount[CountedQty],T_StockCount[Part Name],$A33,T_StockCount[WeekIndex],49),IF(('T_SelfStock'!AX37&lt;&gt;""),'T_SelfStock'!AX37,AW33-'Grid_Requirement'!AX33+'Grid_TTAFOutgoing'!AX33))</f>
        <v/>
      </c>
      <c r="AY33">
        <f>IF(COUNTIFS(T_StockCount[Part Name],$A33,T_StockCount[WeekIndex],50)&gt;0,SUMIFS(T_StockCount[CountedQty],T_StockCount[Part Name],$A33,T_StockCount[WeekIndex],50),IF(('T_SelfStock'!AY37&lt;&gt;""),'T_SelfStock'!AY37,AX33-'Grid_Requirement'!AY33+'Grid_TTAFOutgoing'!AY33))</f>
        <v/>
      </c>
      <c r="AZ33">
        <f>IF(COUNTIFS(T_StockCount[Part Name],$A33,T_StockCount[WeekIndex],51)&gt;0,SUMIFS(T_StockCount[CountedQty],T_StockCount[Part Name],$A33,T_StockCount[WeekIndex],51),IF(('T_SelfStock'!AZ37&lt;&gt;""),'T_SelfStock'!AZ37,AY33-'Grid_Requirement'!AZ33+'Grid_TTAFOutgoing'!AZ33))</f>
        <v/>
      </c>
      <c r="BA33">
        <f>IF(COUNTIFS(T_StockCount[Part Name],$A33,T_StockCount[WeekIndex],52)&gt;0,SUMIFS(T_StockCount[CountedQty],T_StockCount[Part Name],$A33,T_StockCount[WeekIndex],52),IF(('T_SelfStock'!BA37&lt;&gt;""),'T_SelfStock'!BA37,AZ33-'Grid_Requirement'!BA33+'Grid_TTAFOutgoing'!BA33))</f>
        <v/>
      </c>
      <c r="BB33">
        <f>IF(COUNTIFS(T_StockCount[Part Name],$A33,T_StockCount[WeekIndex],53)&gt;0,SUMIFS(T_StockCount[CountedQty],T_StockCount[Part Name],$A33,T_StockCount[WeekIndex],53),IF(('T_SelfStock'!BB37&lt;&gt;""),'T_SelfStock'!BB37,BA33-'Grid_Requirement'!BB33+'Grid_TTAFOutgoing'!BB33))</f>
        <v/>
      </c>
      <c r="BC33">
        <f>IF(COUNTIFS(T_StockCount[Part Name],$A33,T_StockCount[WeekIndex],54)&gt;0,SUMIFS(T_StockCount[CountedQty],T_StockCount[Part Name],$A33,T_StockCount[WeekIndex],54),IF(('T_SelfStock'!BC37&lt;&gt;""),'T_SelfStock'!BC37,BB33-'Grid_Requirement'!BC33+'Grid_TTAFOutgoing'!BC33))</f>
        <v/>
      </c>
      <c r="BD33">
        <f>IF(COUNTIFS(T_StockCount[Part Name],$A33,T_StockCount[WeekIndex],55)&gt;0,SUMIFS(T_StockCount[CountedQty],T_StockCount[Part Name],$A33,T_StockCount[WeekIndex],55),IF(('T_SelfStock'!BD37&lt;&gt;""),'T_SelfStock'!BD37,BC33-'Grid_Requirement'!BD33+'Grid_TTAFOutgoing'!BD33))</f>
        <v/>
      </c>
      <c r="BE33">
        <f>IF(COUNTIFS(T_StockCount[Part Name],$A33,T_StockCount[WeekIndex],56)&gt;0,SUMIFS(T_StockCount[CountedQty],T_StockCount[Part Name],$A33,T_StockCount[WeekIndex],56),IF(('T_SelfStock'!BE37&lt;&gt;""),'T_SelfStock'!BE37,BD33-'Grid_Requirement'!BE33+'Grid_TTAFOutgoing'!BE33))</f>
        <v/>
      </c>
      <c r="BF33">
        <f>IF(COUNTIFS(T_StockCount[Part Name],$A33,T_StockCount[WeekIndex],57)&gt;0,SUMIFS(T_StockCount[CountedQty],T_StockCount[Part Name],$A33,T_StockCount[WeekIndex],57),IF(('T_SelfStock'!BF37&lt;&gt;""),'T_SelfStock'!BF37,BE33-'Grid_Requirement'!BF33+'Grid_TTAFOutgoing'!BF33))</f>
        <v/>
      </c>
      <c r="BG33">
        <f>IF(COUNTIFS(T_StockCount[Part Name],$A33,T_StockCount[WeekIndex],58)&gt;0,SUMIFS(T_StockCount[CountedQty],T_StockCount[Part Name],$A33,T_StockCount[WeekIndex],58),IF(('T_SelfStock'!BG37&lt;&gt;""),'T_SelfStock'!BG37,BF33-'Grid_Requirement'!BG33+'Grid_TTAFOutgoing'!BG33))</f>
        <v/>
      </c>
      <c r="BH33">
        <f>IF(COUNTIFS(T_StockCount[Part Name],$A33,T_StockCount[WeekIndex],59)&gt;0,SUMIFS(T_StockCount[CountedQty],T_StockCount[Part Name],$A33,T_StockCount[WeekIndex],59),IF(('T_SelfStock'!BH37&lt;&gt;""),'T_SelfStock'!BH37,BG33-'Grid_Requirement'!BH33+'Grid_TTAFOutgoing'!BH33))</f>
        <v/>
      </c>
      <c r="BI33">
        <f>IF(COUNTIFS(T_StockCount[Part Name],$A33,T_StockCount[WeekIndex],60)&gt;0,SUMIFS(T_StockCount[CountedQty],T_StockCount[Part Name],$A33,T_StockCount[WeekIndex],60),IF(('T_SelfStock'!BI37&lt;&gt;""),'T_SelfStock'!BI37,BH33-'Grid_Requirement'!BI33+'Grid_TTAFOutgoing'!BI33))</f>
        <v/>
      </c>
      <c r="BJ33">
        <f>IF(COUNTIFS(T_StockCount[Part Name],$A33,T_StockCount[WeekIndex],61)&gt;0,SUMIFS(T_StockCount[CountedQty],T_StockCount[Part Name],$A33,T_StockCount[WeekIndex],61),IF(('T_SelfStock'!BJ37&lt;&gt;""),'T_SelfStock'!BJ37,BI33-'Grid_Requirement'!BJ33+'Grid_TTAFOutgoing'!BJ33))</f>
        <v/>
      </c>
      <c r="BK33">
        <f>IF(COUNTIFS(T_StockCount[Part Name],$A33,T_StockCount[WeekIndex],62)&gt;0,SUMIFS(T_StockCount[CountedQty],T_StockCount[Part Name],$A33,T_StockCount[WeekIndex],62),IF(('T_SelfStock'!BK37&lt;&gt;""),'T_SelfStock'!BK37,BJ33-'Grid_Requirement'!BK33+'Grid_TTAFOutgoing'!BK33))</f>
        <v/>
      </c>
      <c r="BL33">
        <f>IF(COUNTIFS(T_StockCount[Part Name],$A33,T_StockCount[WeekIndex],63)&gt;0,SUMIFS(T_StockCount[CountedQty],T_StockCount[Part Name],$A33,T_StockCount[WeekIndex],63),IF(('T_SelfStock'!BL37&lt;&gt;""),'T_SelfStock'!BL37,BK33-'Grid_Requirement'!BL33+'Grid_TTAFOutgoing'!BL33))</f>
        <v/>
      </c>
      <c r="BM33">
        <f>IF(COUNTIFS(T_StockCount[Part Name],$A33,T_StockCount[WeekIndex],64)&gt;0,SUMIFS(T_StockCount[CountedQty],T_StockCount[Part Name],$A33,T_StockCount[WeekIndex],64),IF(('T_SelfStock'!BM37&lt;&gt;""),'T_SelfStock'!BM37,BL33-'Grid_Requirement'!BM33+'Grid_TTAFOutgoing'!BM33))</f>
        <v/>
      </c>
      <c r="BN33">
        <f>IF(COUNTIFS(T_StockCount[Part Name],$A33,T_StockCount[WeekIndex],65)&gt;0,SUMIFS(T_StockCount[CountedQty],T_StockCount[Part Name],$A33,T_StockCount[WeekIndex],65),IF(('T_SelfStock'!BN37&lt;&gt;""),'T_SelfStock'!BN37,BM33-'Grid_Requirement'!BN33+'Grid_TTAFOutgoing'!BN33))</f>
        <v/>
      </c>
      <c r="BO33">
        <f>IF(COUNTIFS(T_StockCount[Part Name],$A33,T_StockCount[WeekIndex],66)&gt;0,SUMIFS(T_StockCount[CountedQty],T_StockCount[Part Name],$A33,T_StockCount[WeekIndex],66),IF(('T_SelfStock'!BO37&lt;&gt;""),'T_SelfStock'!BO37,BN33-'Grid_Requirement'!BO33+'Grid_TTAFOutgoing'!BO33))</f>
        <v/>
      </c>
      <c r="BP33">
        <f>IF(COUNTIFS(T_StockCount[Part Name],$A33,T_StockCount[WeekIndex],67)&gt;0,SUMIFS(T_StockCount[CountedQty],T_StockCount[Part Name],$A33,T_StockCount[WeekIndex],67),IF(('T_SelfStock'!BP37&lt;&gt;""),'T_SelfStock'!BP37,BO33-'Grid_Requirement'!BP33+'Grid_TTAFOutgoing'!BP33))</f>
        <v/>
      </c>
      <c r="BQ33">
        <f>IF(COUNTIFS(T_StockCount[Part Name],$A33,T_StockCount[WeekIndex],68)&gt;0,SUMIFS(T_StockCount[CountedQty],T_StockCount[Part Name],$A33,T_StockCount[WeekIndex],68),IF(('T_SelfStock'!BQ37&lt;&gt;""),'T_SelfStock'!BQ37,BP33-'Grid_Requirement'!BQ33+'Grid_TTAFOutgoing'!BQ33))</f>
        <v/>
      </c>
      <c r="BR33">
        <f>IF(COUNTIFS(T_StockCount[Part Name],$A33,T_StockCount[WeekIndex],69)&gt;0,SUMIFS(T_StockCount[CountedQty],T_StockCount[Part Name],$A33,T_StockCount[WeekIndex],69),IF(('T_SelfStock'!BR37&lt;&gt;""),'T_SelfStock'!BR37,BQ33-'Grid_Requirement'!BR33+'Grid_TTAFOutgoing'!BR33))</f>
        <v/>
      </c>
      <c r="BS33">
        <f>IF(COUNTIFS(T_StockCount[Part Name],$A33,T_StockCount[WeekIndex],70)&gt;0,SUMIFS(T_StockCount[CountedQty],T_StockCount[Part Name],$A33,T_StockCount[WeekIndex],70),IF(('T_SelfStock'!BS37&lt;&gt;""),'T_SelfStock'!BS37,BR33-'Grid_Requirement'!BS33+'Grid_TTAFOutgoing'!BS33))</f>
        <v/>
      </c>
      <c r="BT33">
        <f>IF(COUNTIFS(T_StockCount[Part Name],$A33,T_StockCount[WeekIndex],71)&gt;0,SUMIFS(T_StockCount[CountedQty],T_StockCount[Part Name],$A33,T_StockCount[WeekIndex],71),IF(('T_SelfStock'!BT37&lt;&gt;""),'T_SelfStock'!BT37,BS33-'Grid_Requirement'!BT33+'Grid_TTAFOutgoing'!BT33))</f>
        <v/>
      </c>
      <c r="BU33">
        <f>IF(COUNTIFS(T_StockCount[Part Name],$A33,T_StockCount[WeekIndex],72)&gt;0,SUMIFS(T_StockCount[CountedQty],T_StockCount[Part Name],$A33,T_StockCount[WeekIndex],72),IF(('T_SelfStock'!BU37&lt;&gt;""),'T_SelfStock'!BU37,BT33-'Grid_Requirement'!BU33+'Grid_TTAFOutgoing'!BU33))</f>
        <v/>
      </c>
      <c r="BV33">
        <f>IF(COUNTIFS(T_StockCount[Part Name],$A33,T_StockCount[WeekIndex],73)&gt;0,SUMIFS(T_StockCount[CountedQty],T_StockCount[Part Name],$A33,T_StockCount[WeekIndex],73),IF(('T_SelfStock'!BV37&lt;&gt;""),'T_SelfStock'!BV37,BU33-'Grid_Requirement'!BV33+'Grid_TTAFOutgoing'!BV33))</f>
        <v/>
      </c>
      <c r="BW33">
        <f>IF(COUNTIFS(T_StockCount[Part Name],$A33,T_StockCount[WeekIndex],74)&gt;0,SUMIFS(T_StockCount[CountedQty],T_StockCount[Part Name],$A33,T_StockCount[WeekIndex],74),IF(('T_SelfStock'!BW37&lt;&gt;""),'T_SelfStock'!BW37,BV33-'Grid_Requirement'!BW33+'Grid_TTAFOutgoing'!BW33))</f>
        <v/>
      </c>
      <c r="BX33">
        <f>IF(COUNTIFS(T_StockCount[Part Name],$A33,T_StockCount[WeekIndex],75)&gt;0,SUMIFS(T_StockCount[CountedQty],T_StockCount[Part Name],$A33,T_StockCount[WeekIndex],75),IF(('T_SelfStock'!BX37&lt;&gt;""),'T_SelfStock'!BX37,BW33-'Grid_Requirement'!BX33+'Grid_TTAFOutgoing'!BX33))</f>
        <v/>
      </c>
      <c r="BY33">
        <f>IF(COUNTIFS(T_StockCount[Part Name],$A33,T_StockCount[WeekIndex],76)&gt;0,SUMIFS(T_StockCount[CountedQty],T_StockCount[Part Name],$A33,T_StockCount[WeekIndex],76),IF(('T_SelfStock'!BY37&lt;&gt;""),'T_SelfStock'!BY37,BX33-'Grid_Requirement'!BY33+'Grid_TTAFOutgoing'!BY33))</f>
        <v/>
      </c>
      <c r="BZ33">
        <f>IF(COUNTIFS(T_StockCount[Part Name],$A33,T_StockCount[WeekIndex],77)&gt;0,SUMIFS(T_StockCount[CountedQty],T_StockCount[Part Name],$A33,T_StockCount[WeekIndex],77),IF(('T_SelfStock'!BZ37&lt;&gt;""),'T_SelfStock'!BZ37,BY33-'Grid_Requirement'!BZ33+'Grid_TTAFOutgoing'!BZ33))</f>
        <v/>
      </c>
      <c r="CA33">
        <f>IF(COUNTIFS(T_StockCount[Part Name],$A33,T_StockCount[WeekIndex],78)&gt;0,SUMIFS(T_StockCount[CountedQty],T_StockCount[Part Name],$A33,T_StockCount[WeekIndex],78),IF(('T_SelfStock'!CA37&lt;&gt;""),'T_SelfStock'!CA37,BZ33-'Grid_Requirement'!CA33+'Grid_TTAFOutgoing'!CA33))</f>
        <v/>
      </c>
      <c r="CB33">
        <f>IF(COUNTIFS(T_StockCount[Part Name],$A33,T_StockCount[WeekIndex],79)&gt;0,SUMIFS(T_StockCount[CountedQty],T_StockCount[Part Name],$A33,T_StockCount[WeekIndex],79),IF(('T_SelfStock'!CB37&lt;&gt;""),'T_SelfStock'!CB37,CA33-'Grid_Requirement'!CB33+'Grid_TTAFOutgoing'!CB33))</f>
        <v/>
      </c>
      <c r="CC33">
        <f>IF(COUNTIFS(T_StockCount[Part Name],$A33,T_StockCount[WeekIndex],80)&gt;0,SUMIFS(T_StockCount[CountedQty],T_StockCount[Part Name],$A33,T_StockCount[WeekIndex],80),IF(('T_SelfStock'!CC37&lt;&gt;""),'T_SelfStock'!CC37,CB33-'Grid_Requirement'!CC33+'Grid_TTAFOutgoing'!CC33))</f>
        <v/>
      </c>
      <c r="CD33">
        <f>IF(COUNTIFS(T_StockCount[Part Name],$A33,T_StockCount[WeekIndex],81)&gt;0,SUMIFS(T_StockCount[CountedQty],T_StockCount[Part Name],$A33,T_StockCount[WeekIndex],81),IF(('T_SelfStock'!CD37&lt;&gt;""),'T_SelfStock'!CD37,CC33-'Grid_Requirement'!CD33+'Grid_TTAFOutgoing'!CD33))</f>
        <v/>
      </c>
      <c r="CE33">
        <f>IF(COUNTIFS(T_StockCount[Part Name],$A33,T_StockCount[WeekIndex],82)&gt;0,SUMIFS(T_StockCount[CountedQty],T_StockCount[Part Name],$A33,T_StockCount[WeekIndex],82),IF(('T_SelfStock'!CE37&lt;&gt;""),'T_SelfStock'!CE37,CD33-'Grid_Requirement'!CE33+'Grid_TTAFOutgoing'!CE33))</f>
        <v/>
      </c>
      <c r="CF33">
        <f>IF(COUNTIFS(T_StockCount[Part Name],$A33,T_StockCount[WeekIndex],83)&gt;0,SUMIFS(T_StockCount[CountedQty],T_StockCount[Part Name],$A33,T_StockCount[WeekIndex],83),IF(('T_SelfStock'!CF37&lt;&gt;""),'T_SelfStock'!CF37,CE33-'Grid_Requirement'!CF33+'Grid_TTAFOutgoing'!CF33))</f>
        <v/>
      </c>
      <c r="CG33">
        <f>IF(COUNTIFS(T_StockCount[Part Name],$A33,T_StockCount[WeekIndex],84)&gt;0,SUMIFS(T_StockCount[CountedQty],T_StockCount[Part Name],$A33,T_StockCount[WeekIndex],84),IF(('T_SelfStock'!CG37&lt;&gt;""),'T_SelfStock'!CG37,CF33-'Grid_Requirement'!CG33+'Grid_TTAFOutgoing'!CG33))</f>
        <v/>
      </c>
      <c r="CH33">
        <f>IF(COUNTIFS(T_StockCount[Part Name],$A33,T_StockCount[WeekIndex],85)&gt;0,SUMIFS(T_StockCount[CountedQty],T_StockCount[Part Name],$A33,T_StockCount[WeekIndex],85),IF(('T_SelfStock'!CH37&lt;&gt;""),'T_SelfStock'!CH37,CG33-'Grid_Requirement'!CH33+'Grid_TTAFOutgoing'!CH33))</f>
        <v/>
      </c>
      <c r="CI33">
        <f>IF(COUNTIFS(T_StockCount[Part Name],$A33,T_StockCount[WeekIndex],86)&gt;0,SUMIFS(T_StockCount[CountedQty],T_StockCount[Part Name],$A33,T_StockCount[WeekIndex],86),IF(('T_SelfStock'!CI37&lt;&gt;""),'T_SelfStock'!CI37,CH33-'Grid_Requirement'!CI33+'Grid_TTAFOutgoing'!CI33))</f>
        <v/>
      </c>
      <c r="CJ33">
        <f>IF(COUNTIFS(T_StockCount[Part Name],$A33,T_StockCount[WeekIndex],87)&gt;0,SUMIFS(T_StockCount[CountedQty],T_StockCount[Part Name],$A33,T_StockCount[WeekIndex],87),IF(('T_SelfStock'!CJ37&lt;&gt;""),'T_SelfStock'!CJ37,CI33-'Grid_Requirement'!CJ33+'Grid_TTAFOutgoing'!CJ33))</f>
        <v/>
      </c>
      <c r="CK33">
        <f>IF(COUNTIFS(T_StockCount[Part Name],$A33,T_StockCount[WeekIndex],88)&gt;0,SUMIFS(T_StockCount[CountedQty],T_StockCount[Part Name],$A33,T_StockCount[WeekIndex],88),IF(('T_SelfStock'!CK37&lt;&gt;""),'T_SelfStock'!CK37,CJ33-'Grid_Requirement'!CK33+'Grid_TTAFOutgoing'!CK33))</f>
        <v/>
      </c>
      <c r="CL33">
        <f>IF(COUNTIFS(T_StockCount[Part Name],$A33,T_StockCount[WeekIndex],89)&gt;0,SUMIFS(T_StockCount[CountedQty],T_StockCount[Part Name],$A33,T_StockCount[WeekIndex],89),IF(('T_SelfStock'!CL37&lt;&gt;""),'T_SelfStock'!CL37,CK33-'Grid_Requirement'!CL33+'Grid_TTAFOutgoing'!CL33))</f>
        <v/>
      </c>
      <c r="CM33">
        <f>IF(COUNTIFS(T_StockCount[Part Name],$A33,T_StockCount[WeekIndex],90)&gt;0,SUMIFS(T_StockCount[CountedQty],T_StockCount[Part Name],$A33,T_StockCount[WeekIndex],90),IF(('T_SelfStock'!CM37&lt;&gt;""),'T_SelfStock'!CM37,CL33-'Grid_Requirement'!CM33+'Grid_TTAFOutgoing'!CM33))</f>
        <v/>
      </c>
      <c r="CN33">
        <f>IF(COUNTIFS(T_StockCount[Part Name],$A33,T_StockCount[WeekIndex],91)&gt;0,SUMIFS(T_StockCount[CountedQty],T_StockCount[Part Name],$A33,T_StockCount[WeekIndex],91),IF(('T_SelfStock'!CN37&lt;&gt;""),'T_SelfStock'!CN37,CM33-'Grid_Requirement'!CN33+'Grid_TTAFOutgoing'!CN33))</f>
        <v/>
      </c>
      <c r="CO33">
        <f>IF(COUNTIFS(T_StockCount[Part Name],$A33,T_StockCount[WeekIndex],92)&gt;0,SUMIFS(T_StockCount[CountedQty],T_StockCount[Part Name],$A33,T_StockCount[WeekIndex],92),IF(('T_SelfStock'!CO37&lt;&gt;""),'T_SelfStock'!CO37,CN33-'Grid_Requirement'!CO33+'Grid_TTAFOutgoing'!CO33))</f>
        <v/>
      </c>
      <c r="CP33">
        <f>IF(COUNTIFS(T_StockCount[Part Name],$A33,T_StockCount[WeekIndex],93)&gt;0,SUMIFS(T_StockCount[CountedQty],T_StockCount[Part Name],$A33,T_StockCount[WeekIndex],93),IF(('T_SelfStock'!CP37&lt;&gt;""),'T_SelfStock'!CP37,CO33-'Grid_Requirement'!CP33+'Grid_TTAFOutgoing'!CP33))</f>
        <v/>
      </c>
      <c r="CQ33">
        <f>IF(COUNTIFS(T_StockCount[Part Name],$A33,T_StockCount[WeekIndex],94)&gt;0,SUMIFS(T_StockCount[CountedQty],T_StockCount[Part Name],$A33,T_StockCount[WeekIndex],94),IF(('T_SelfStock'!CQ37&lt;&gt;""),'T_SelfStock'!CQ37,CP33-'Grid_Requirement'!CQ33+'Grid_TTAFOutgoing'!CQ33))</f>
        <v/>
      </c>
      <c r="CR33">
        <f>IF(COUNTIFS(T_StockCount[Part Name],$A33,T_StockCount[WeekIndex],95)&gt;0,SUMIFS(T_StockCount[CountedQty],T_StockCount[Part Name],$A33,T_StockCount[WeekIndex],95),IF(('T_SelfStock'!CR37&lt;&gt;""),'T_SelfStock'!CR37,CQ33-'Grid_Requirement'!CR33+'Grid_TTAFOutgoing'!CR33))</f>
        <v/>
      </c>
      <c r="CS33">
        <f>IF(COUNTIFS(T_StockCount[Part Name],$A33,T_StockCount[WeekIndex],96)&gt;0,SUMIFS(T_StockCount[CountedQty],T_StockCount[Part Name],$A33,T_StockCount[WeekIndex],96),IF(('T_SelfStock'!CS37&lt;&gt;""),'T_SelfStock'!CS37,CR33-'Grid_Requirement'!CS33+'Grid_TTAFOutgoing'!CS33))</f>
        <v/>
      </c>
      <c r="CT33">
        <f>IF(COUNTIFS(T_StockCount[Part Name],$A33,T_StockCount[WeekIndex],97)&gt;0,SUMIFS(T_StockCount[CountedQty],T_StockCount[Part Name],$A33,T_StockCount[WeekIndex],97),IF(('T_SelfStock'!CT37&lt;&gt;""),'T_SelfStock'!CT37,CS33-'Grid_Requirement'!CT33+'Grid_TTAFOutgoing'!CT33))</f>
        <v/>
      </c>
      <c r="CU33">
        <f>IF(COUNTIFS(T_StockCount[Part Name],$A33,T_StockCount[WeekIndex],98)&gt;0,SUMIFS(T_StockCount[CountedQty],T_StockCount[Part Name],$A33,T_StockCount[WeekIndex],98),IF(('T_SelfStock'!CU37&lt;&gt;""),'T_SelfStock'!CU37,CT33-'Grid_Requirement'!CU33+'Grid_TTAFOutgoing'!CU33))</f>
        <v/>
      </c>
      <c r="CV33">
        <f>IF(COUNTIFS(T_StockCount[Part Name],$A33,T_StockCount[WeekIndex],99)&gt;0,SUMIFS(T_StockCount[CountedQty],T_StockCount[Part Name],$A33,T_StockCount[WeekIndex],99),IF(('T_SelfStock'!CV37&lt;&gt;""),'T_SelfStock'!CV37,CU33-'Grid_Requirement'!CV33+'Grid_TTAFOutgoing'!CV33))</f>
        <v/>
      </c>
      <c r="CW33">
        <f>IF(COUNTIFS(T_StockCount[Part Name],$A33,T_StockCount[WeekIndex],100)&gt;0,SUMIFS(T_StockCount[CountedQty],T_StockCount[Part Name],$A33,T_StockCount[WeekIndex],100),IF(('T_SelfStock'!CW37&lt;&gt;""),'T_SelfStock'!CW37,CV33-'Grid_Requirement'!CW33+'Grid_TTAFOutgoing'!CW33))</f>
        <v/>
      </c>
      <c r="CX33">
        <f>IF(COUNTIFS(T_StockCount[Part Name],$A33,T_StockCount[WeekIndex],101)&gt;0,SUMIFS(T_StockCount[CountedQty],T_StockCount[Part Name],$A33,T_StockCount[WeekIndex],101),IF(('T_SelfStock'!CX37&lt;&gt;""),'T_SelfStock'!CX37,CW33-'Grid_Requirement'!CX33+'Grid_TTAFOutgoing'!CX33))</f>
        <v/>
      </c>
      <c r="CY33">
        <f>IF(COUNTIFS(T_StockCount[Part Name],$A33,T_StockCount[WeekIndex],102)&gt;0,SUMIFS(T_StockCount[CountedQty],T_StockCount[Part Name],$A33,T_StockCount[WeekIndex],102),IF(('T_SelfStock'!CY37&lt;&gt;""),'T_SelfStock'!CY37,CX33-'Grid_Requirement'!CY33+'Grid_TTAFOutgoing'!CY33))</f>
        <v/>
      </c>
      <c r="CZ33">
        <f>IF(COUNTIFS(T_StockCount[Part Name],$A33,T_StockCount[WeekIndex],103)&gt;0,SUMIFS(T_StockCount[CountedQty],T_StockCount[Part Name],$A33,T_StockCount[WeekIndex],103),IF(('T_SelfStock'!CZ37&lt;&gt;""),'T_SelfStock'!CZ37,CY33-'Grid_Requirement'!CZ33+'Grid_TTAFOutgoing'!CZ33))</f>
        <v/>
      </c>
      <c r="DA33">
        <f>IF(COUNTIFS(T_StockCount[Part Name],$A33,T_StockCount[WeekIndex],104)&gt;0,SUMIFS(T_StockCount[CountedQty],T_StockCount[Part Name],$A33,T_StockCount[WeekIndex],104),IF(('T_SelfStock'!DA37&lt;&gt;""),'T_SelfStock'!DA37,CZ33-'Grid_Requirement'!DA33+'Grid_TTAFOutgoing'!DA33))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Name],$A34,T_StockCount[WeekIndex],1),IF(('T_SelfStock'!B38&lt;&gt;""),'T_SelfStock'!B38,IFERROR(INDEX(T_OpeningStock[Opening_Qty],MATCH($A34,T_OpeningStock[Part Name],0)),0)-'Grid_Requirement'!B34+'Grid_TTAFOutgoing'!B34))</f>
        <v/>
      </c>
      <c r="C34">
        <f>IF(COUNTIFS(T_StockCount[Part Name],$A34,T_StockCount[WeekIndex],2)&gt;0,SUMIFS(T_StockCount[CountedQty],T_StockCount[Part Name],$A34,T_StockCount[WeekIndex],2),IF(('T_SelfStock'!C38&lt;&gt;""),'T_SelfStock'!C38,B34-'Grid_Requirement'!C34+'Grid_TTAFOutgoing'!C34))</f>
        <v/>
      </c>
      <c r="D34">
        <f>IF(COUNTIFS(T_StockCount[Part Name],$A34,T_StockCount[WeekIndex],3)&gt;0,SUMIFS(T_StockCount[CountedQty],T_StockCount[Part Name],$A34,T_StockCount[WeekIndex],3),IF(('T_SelfStock'!D38&lt;&gt;""),'T_SelfStock'!D38,C34-'Grid_Requirement'!D34+'Grid_TTAFOutgoing'!D34))</f>
        <v/>
      </c>
      <c r="E34">
        <f>IF(COUNTIFS(T_StockCount[Part Name],$A34,T_StockCount[WeekIndex],4)&gt;0,SUMIFS(T_StockCount[CountedQty],T_StockCount[Part Name],$A34,T_StockCount[WeekIndex],4),IF(('T_SelfStock'!E38&lt;&gt;""),'T_SelfStock'!E38,D34-'Grid_Requirement'!E34+'Grid_TTAFOutgoing'!E34))</f>
        <v/>
      </c>
      <c r="F34">
        <f>IF(COUNTIFS(T_StockCount[Part Name],$A34,T_StockCount[WeekIndex],5)&gt;0,SUMIFS(T_StockCount[CountedQty],T_StockCount[Part Name],$A34,T_StockCount[WeekIndex],5),IF(('T_SelfStock'!F38&lt;&gt;""),'T_SelfStock'!F38,E34-'Grid_Requirement'!F34+'Grid_TTAFOutgoing'!F34))</f>
        <v/>
      </c>
      <c r="G34">
        <f>IF(COUNTIFS(T_StockCount[Part Name],$A34,T_StockCount[WeekIndex],6)&gt;0,SUMIFS(T_StockCount[CountedQty],T_StockCount[Part Name],$A34,T_StockCount[WeekIndex],6),IF(('T_SelfStock'!G38&lt;&gt;""),'T_SelfStock'!G38,F34-'Grid_Requirement'!G34+'Grid_TTAFOutgoing'!G34))</f>
        <v/>
      </c>
      <c r="H34">
        <f>IF(COUNTIFS(T_StockCount[Part Name],$A34,T_StockCount[WeekIndex],7)&gt;0,SUMIFS(T_StockCount[CountedQty],T_StockCount[Part Name],$A34,T_StockCount[WeekIndex],7),IF(('T_SelfStock'!H38&lt;&gt;""),'T_SelfStock'!H38,G34-'Grid_Requirement'!H34+'Grid_TTAFOutgoing'!H34))</f>
        <v/>
      </c>
      <c r="I34">
        <f>IF(COUNTIFS(T_StockCount[Part Name],$A34,T_StockCount[WeekIndex],8)&gt;0,SUMIFS(T_StockCount[CountedQty],T_StockCount[Part Name],$A34,T_StockCount[WeekIndex],8),IF(('T_SelfStock'!I38&lt;&gt;""),'T_SelfStock'!I38,H34-'Grid_Requirement'!I34+'Grid_TTAFOutgoing'!I34))</f>
        <v/>
      </c>
      <c r="J34">
        <f>IF(COUNTIFS(T_StockCount[Part Name],$A34,T_StockCount[WeekIndex],9)&gt;0,SUMIFS(T_StockCount[CountedQty],T_StockCount[Part Name],$A34,T_StockCount[WeekIndex],9),IF(('T_SelfStock'!J38&lt;&gt;""),'T_SelfStock'!J38,I34-'Grid_Requirement'!J34+'Grid_TTAFOutgoing'!J34))</f>
        <v/>
      </c>
      <c r="K34">
        <f>IF(COUNTIFS(T_StockCount[Part Name],$A34,T_StockCount[WeekIndex],10)&gt;0,SUMIFS(T_StockCount[CountedQty],T_StockCount[Part Name],$A34,T_StockCount[WeekIndex],10),IF(('T_SelfStock'!K38&lt;&gt;""),'T_SelfStock'!K38,J34-'Grid_Requirement'!K34+'Grid_TTAFOutgoing'!K34))</f>
        <v/>
      </c>
      <c r="L34">
        <f>IF(COUNTIFS(T_StockCount[Part Name],$A34,T_StockCount[WeekIndex],11)&gt;0,SUMIFS(T_StockCount[CountedQty],T_StockCount[Part Name],$A34,T_StockCount[WeekIndex],11),IF(('T_SelfStock'!L38&lt;&gt;""),'T_SelfStock'!L38,K34-'Grid_Requirement'!L34+'Grid_TTAFOutgoing'!L34))</f>
        <v/>
      </c>
      <c r="M34">
        <f>IF(COUNTIFS(T_StockCount[Part Name],$A34,T_StockCount[WeekIndex],12)&gt;0,SUMIFS(T_StockCount[CountedQty],T_StockCount[Part Name],$A34,T_StockCount[WeekIndex],12),IF(('T_SelfStock'!M38&lt;&gt;""),'T_SelfStock'!M38,L34-'Grid_Requirement'!M34+'Grid_TTAFOutgoing'!M34))</f>
        <v/>
      </c>
      <c r="N34">
        <f>IF(COUNTIFS(T_StockCount[Part Name],$A34,T_StockCount[WeekIndex],13)&gt;0,SUMIFS(T_StockCount[CountedQty],T_StockCount[Part Name],$A34,T_StockCount[WeekIndex],13),IF(('T_SelfStock'!N38&lt;&gt;""),'T_SelfStock'!N38,M34-'Grid_Requirement'!N34+'Grid_TTAFOutgoing'!N34))</f>
        <v/>
      </c>
      <c r="O34">
        <f>IF(COUNTIFS(T_StockCount[Part Name],$A34,T_StockCount[WeekIndex],14)&gt;0,SUMIFS(T_StockCount[CountedQty],T_StockCount[Part Name],$A34,T_StockCount[WeekIndex],14),IF(('T_SelfStock'!O38&lt;&gt;""),'T_SelfStock'!O38,N34-'Grid_Requirement'!O34+'Grid_TTAFOutgoing'!O34))</f>
        <v/>
      </c>
      <c r="P34">
        <f>IF(COUNTIFS(T_StockCount[Part Name],$A34,T_StockCount[WeekIndex],15)&gt;0,SUMIFS(T_StockCount[CountedQty],T_StockCount[Part Name],$A34,T_StockCount[WeekIndex],15),IF(('T_SelfStock'!P38&lt;&gt;""),'T_SelfStock'!P38,O34-'Grid_Requirement'!P34+'Grid_TTAFOutgoing'!P34))</f>
        <v/>
      </c>
      <c r="Q34">
        <f>IF(COUNTIFS(T_StockCount[Part Name],$A34,T_StockCount[WeekIndex],16)&gt;0,SUMIFS(T_StockCount[CountedQty],T_StockCount[Part Name],$A34,T_StockCount[WeekIndex],16),IF(('T_SelfStock'!Q38&lt;&gt;""),'T_SelfStock'!Q38,P34-'Grid_Requirement'!Q34+'Grid_TTAFOutgoing'!Q34))</f>
        <v/>
      </c>
      <c r="R34">
        <f>IF(COUNTIFS(T_StockCount[Part Name],$A34,T_StockCount[WeekIndex],17)&gt;0,SUMIFS(T_StockCount[CountedQty],T_StockCount[Part Name],$A34,T_StockCount[WeekIndex],17),IF(('T_SelfStock'!R38&lt;&gt;""),'T_SelfStock'!R38,Q34-'Grid_Requirement'!R34+'Grid_TTAFOutgoing'!R34))</f>
        <v/>
      </c>
      <c r="S34">
        <f>IF(COUNTIFS(T_StockCount[Part Name],$A34,T_StockCount[WeekIndex],18)&gt;0,SUMIFS(T_StockCount[CountedQty],T_StockCount[Part Name],$A34,T_StockCount[WeekIndex],18),IF(('T_SelfStock'!S38&lt;&gt;""),'T_SelfStock'!S38,R34-'Grid_Requirement'!S34+'Grid_TTAFOutgoing'!S34))</f>
        <v/>
      </c>
      <c r="T34">
        <f>IF(COUNTIFS(T_StockCount[Part Name],$A34,T_StockCount[WeekIndex],19)&gt;0,SUMIFS(T_StockCount[CountedQty],T_StockCount[Part Name],$A34,T_StockCount[WeekIndex],19),IF(('T_SelfStock'!T38&lt;&gt;""),'T_SelfStock'!T38,S34-'Grid_Requirement'!T34+'Grid_TTAFOutgoing'!T34))</f>
        <v/>
      </c>
      <c r="U34">
        <f>IF(COUNTIFS(T_StockCount[Part Name],$A34,T_StockCount[WeekIndex],20)&gt;0,SUMIFS(T_StockCount[CountedQty],T_StockCount[Part Name],$A34,T_StockCount[WeekIndex],20),IF(('T_SelfStock'!U38&lt;&gt;""),'T_SelfStock'!U38,T34-'Grid_Requirement'!U34+'Grid_TTAFOutgoing'!U34))</f>
        <v/>
      </c>
      <c r="V34">
        <f>IF(COUNTIFS(T_StockCount[Part Name],$A34,T_StockCount[WeekIndex],21)&gt;0,SUMIFS(T_StockCount[CountedQty],T_StockCount[Part Name],$A34,T_StockCount[WeekIndex],21),IF(('T_SelfStock'!V38&lt;&gt;""),'T_SelfStock'!V38,U34-'Grid_Requirement'!V34+'Grid_TTAFOutgoing'!V34))</f>
        <v/>
      </c>
      <c r="W34">
        <f>IF(COUNTIFS(T_StockCount[Part Name],$A34,T_StockCount[WeekIndex],22)&gt;0,SUMIFS(T_StockCount[CountedQty],T_StockCount[Part Name],$A34,T_StockCount[WeekIndex],22),IF(('T_SelfStock'!W38&lt;&gt;""),'T_SelfStock'!W38,V34-'Grid_Requirement'!W34+'Grid_TTAFOutgoing'!W34))</f>
        <v/>
      </c>
      <c r="X34">
        <f>IF(COUNTIFS(T_StockCount[Part Name],$A34,T_StockCount[WeekIndex],23)&gt;0,SUMIFS(T_StockCount[CountedQty],T_StockCount[Part Name],$A34,T_StockCount[WeekIndex],23),IF(('T_SelfStock'!X38&lt;&gt;""),'T_SelfStock'!X38,W34-'Grid_Requirement'!X34+'Grid_TTAFOutgoing'!X34))</f>
        <v/>
      </c>
      <c r="Y34">
        <f>IF(COUNTIFS(T_StockCount[Part Name],$A34,T_StockCount[WeekIndex],24)&gt;0,SUMIFS(T_StockCount[CountedQty],T_StockCount[Part Name],$A34,T_StockCount[WeekIndex],24),IF(('T_SelfStock'!Y38&lt;&gt;""),'T_SelfStock'!Y38,X34-'Grid_Requirement'!Y34+'Grid_TTAFOutgoing'!Y34))</f>
        <v/>
      </c>
      <c r="Z34">
        <f>IF(COUNTIFS(T_StockCount[Part Name],$A34,T_StockCount[WeekIndex],25)&gt;0,SUMIFS(T_StockCount[CountedQty],T_StockCount[Part Name],$A34,T_StockCount[WeekIndex],25),IF(('T_SelfStock'!Z38&lt;&gt;""),'T_SelfStock'!Z38,Y34-'Grid_Requirement'!Z34+'Grid_TTAFOutgoing'!Z34))</f>
        <v/>
      </c>
      <c r="AA34">
        <f>IF(COUNTIFS(T_StockCount[Part Name],$A34,T_StockCount[WeekIndex],26)&gt;0,SUMIFS(T_StockCount[CountedQty],T_StockCount[Part Name],$A34,T_StockCount[WeekIndex],26),IF(('T_SelfStock'!AA38&lt;&gt;""),'T_SelfStock'!AA38,Z34-'Grid_Requirement'!AA34+'Grid_TTAFOutgoing'!AA34))</f>
        <v/>
      </c>
      <c r="AB34">
        <f>IF(COUNTIFS(T_StockCount[Part Name],$A34,T_StockCount[WeekIndex],27)&gt;0,SUMIFS(T_StockCount[CountedQty],T_StockCount[Part Name],$A34,T_StockCount[WeekIndex],27),IF(('T_SelfStock'!AB38&lt;&gt;""),'T_SelfStock'!AB38,AA34-'Grid_Requirement'!AB34+'Grid_TTAFOutgoing'!AB34))</f>
        <v/>
      </c>
      <c r="AC34">
        <f>IF(COUNTIFS(T_StockCount[Part Name],$A34,T_StockCount[WeekIndex],28)&gt;0,SUMIFS(T_StockCount[CountedQty],T_StockCount[Part Name],$A34,T_StockCount[WeekIndex],28),IF(('T_SelfStock'!AC38&lt;&gt;""),'T_SelfStock'!AC38,AB34-'Grid_Requirement'!AC34+'Grid_TTAFOutgoing'!AC34))</f>
        <v/>
      </c>
      <c r="AD34">
        <f>IF(COUNTIFS(T_StockCount[Part Name],$A34,T_StockCount[WeekIndex],29)&gt;0,SUMIFS(T_StockCount[CountedQty],T_StockCount[Part Name],$A34,T_StockCount[WeekIndex],29),IF(('T_SelfStock'!AD38&lt;&gt;""),'T_SelfStock'!AD38,AC34-'Grid_Requirement'!AD34+'Grid_TTAFOutgoing'!AD34))</f>
        <v/>
      </c>
      <c r="AE34">
        <f>IF(COUNTIFS(T_StockCount[Part Name],$A34,T_StockCount[WeekIndex],30)&gt;0,SUMIFS(T_StockCount[CountedQty],T_StockCount[Part Name],$A34,T_StockCount[WeekIndex],30),IF(('T_SelfStock'!AE38&lt;&gt;""),'T_SelfStock'!AE38,AD34-'Grid_Requirement'!AE34+'Grid_TTAFOutgoing'!AE34))</f>
        <v/>
      </c>
      <c r="AF34">
        <f>IF(COUNTIFS(T_StockCount[Part Name],$A34,T_StockCount[WeekIndex],31)&gt;0,SUMIFS(T_StockCount[CountedQty],T_StockCount[Part Name],$A34,T_StockCount[WeekIndex],31),IF(('T_SelfStock'!AF38&lt;&gt;""),'T_SelfStock'!AF38,AE34-'Grid_Requirement'!AF34+'Grid_TTAFOutgoing'!AF34))</f>
        <v/>
      </c>
      <c r="AG34">
        <f>IF(COUNTIFS(T_StockCount[Part Name],$A34,T_StockCount[WeekIndex],32)&gt;0,SUMIFS(T_StockCount[CountedQty],T_StockCount[Part Name],$A34,T_StockCount[WeekIndex],32),IF(('T_SelfStock'!AG38&lt;&gt;""),'T_SelfStock'!AG38,AF34-'Grid_Requirement'!AG34+'Grid_TTAFOutgoing'!AG34))</f>
        <v/>
      </c>
      <c r="AH34">
        <f>IF(COUNTIFS(T_StockCount[Part Name],$A34,T_StockCount[WeekIndex],33)&gt;0,SUMIFS(T_StockCount[CountedQty],T_StockCount[Part Name],$A34,T_StockCount[WeekIndex],33),IF(('T_SelfStock'!AH38&lt;&gt;""),'T_SelfStock'!AH38,AG34-'Grid_Requirement'!AH34+'Grid_TTAFOutgoing'!AH34))</f>
        <v/>
      </c>
      <c r="AI34">
        <f>IF(COUNTIFS(T_StockCount[Part Name],$A34,T_StockCount[WeekIndex],34)&gt;0,SUMIFS(T_StockCount[CountedQty],T_StockCount[Part Name],$A34,T_StockCount[WeekIndex],34),IF(('T_SelfStock'!AI38&lt;&gt;""),'T_SelfStock'!AI38,AH34-'Grid_Requirement'!AI34+'Grid_TTAFOutgoing'!AI34))</f>
        <v/>
      </c>
      <c r="AJ34">
        <f>IF(COUNTIFS(T_StockCount[Part Name],$A34,T_StockCount[WeekIndex],35)&gt;0,SUMIFS(T_StockCount[CountedQty],T_StockCount[Part Name],$A34,T_StockCount[WeekIndex],35),IF(('T_SelfStock'!AJ38&lt;&gt;""),'T_SelfStock'!AJ38,AI34-'Grid_Requirement'!AJ34+'Grid_TTAFOutgoing'!AJ34))</f>
        <v/>
      </c>
      <c r="AK34">
        <f>IF(COUNTIFS(T_StockCount[Part Name],$A34,T_StockCount[WeekIndex],36)&gt;0,SUMIFS(T_StockCount[CountedQty],T_StockCount[Part Name],$A34,T_StockCount[WeekIndex],36),IF(('T_SelfStock'!AK38&lt;&gt;""),'T_SelfStock'!AK38,AJ34-'Grid_Requirement'!AK34+'Grid_TTAFOutgoing'!AK34))</f>
        <v/>
      </c>
      <c r="AL34">
        <f>IF(COUNTIFS(T_StockCount[Part Name],$A34,T_StockCount[WeekIndex],37)&gt;0,SUMIFS(T_StockCount[CountedQty],T_StockCount[Part Name],$A34,T_StockCount[WeekIndex],37),IF(('T_SelfStock'!AL38&lt;&gt;""),'T_SelfStock'!AL38,AK34-'Grid_Requirement'!AL34+'Grid_TTAFOutgoing'!AL34))</f>
        <v/>
      </c>
      <c r="AM34">
        <f>IF(COUNTIFS(T_StockCount[Part Name],$A34,T_StockCount[WeekIndex],38)&gt;0,SUMIFS(T_StockCount[CountedQty],T_StockCount[Part Name],$A34,T_StockCount[WeekIndex],38),IF(('T_SelfStock'!AM38&lt;&gt;""),'T_SelfStock'!AM38,AL34-'Grid_Requirement'!AM34+'Grid_TTAFOutgoing'!AM34))</f>
        <v/>
      </c>
      <c r="AN34">
        <f>IF(COUNTIFS(T_StockCount[Part Name],$A34,T_StockCount[WeekIndex],39)&gt;0,SUMIFS(T_StockCount[CountedQty],T_StockCount[Part Name],$A34,T_StockCount[WeekIndex],39),IF(('T_SelfStock'!AN38&lt;&gt;""),'T_SelfStock'!AN38,AM34-'Grid_Requirement'!AN34+'Grid_TTAFOutgoing'!AN34))</f>
        <v/>
      </c>
      <c r="AO34">
        <f>IF(COUNTIFS(T_StockCount[Part Name],$A34,T_StockCount[WeekIndex],40)&gt;0,SUMIFS(T_StockCount[CountedQty],T_StockCount[Part Name],$A34,T_StockCount[WeekIndex],40),IF(('T_SelfStock'!AO38&lt;&gt;""),'T_SelfStock'!AO38,AN34-'Grid_Requirement'!AO34+'Grid_TTAFOutgoing'!AO34))</f>
        <v/>
      </c>
      <c r="AP34">
        <f>IF(COUNTIFS(T_StockCount[Part Name],$A34,T_StockCount[WeekIndex],41)&gt;0,SUMIFS(T_StockCount[CountedQty],T_StockCount[Part Name],$A34,T_StockCount[WeekIndex],41),IF(('T_SelfStock'!AP38&lt;&gt;""),'T_SelfStock'!AP38,AO34-'Grid_Requirement'!AP34+'Grid_TTAFOutgoing'!AP34))</f>
        <v/>
      </c>
      <c r="AQ34">
        <f>IF(COUNTIFS(T_StockCount[Part Name],$A34,T_StockCount[WeekIndex],42)&gt;0,SUMIFS(T_StockCount[CountedQty],T_StockCount[Part Name],$A34,T_StockCount[WeekIndex],42),IF(('T_SelfStock'!AQ38&lt;&gt;""),'T_SelfStock'!AQ38,AP34-'Grid_Requirement'!AQ34+'Grid_TTAFOutgoing'!AQ34))</f>
        <v/>
      </c>
      <c r="AR34">
        <f>IF(COUNTIFS(T_StockCount[Part Name],$A34,T_StockCount[WeekIndex],43)&gt;0,SUMIFS(T_StockCount[CountedQty],T_StockCount[Part Name],$A34,T_StockCount[WeekIndex],43),IF(('T_SelfStock'!AR38&lt;&gt;""),'T_SelfStock'!AR38,AQ34-'Grid_Requirement'!AR34+'Grid_TTAFOutgoing'!AR34))</f>
        <v/>
      </c>
      <c r="AS34">
        <f>IF(COUNTIFS(T_StockCount[Part Name],$A34,T_StockCount[WeekIndex],44)&gt;0,SUMIFS(T_StockCount[CountedQty],T_StockCount[Part Name],$A34,T_StockCount[WeekIndex],44),IF(('T_SelfStock'!AS38&lt;&gt;""),'T_SelfStock'!AS38,AR34-'Grid_Requirement'!AS34+'Grid_TTAFOutgoing'!AS34))</f>
        <v/>
      </c>
      <c r="AT34">
        <f>IF(COUNTIFS(T_StockCount[Part Name],$A34,T_StockCount[WeekIndex],45)&gt;0,SUMIFS(T_StockCount[CountedQty],T_StockCount[Part Name],$A34,T_StockCount[WeekIndex],45),IF(('T_SelfStock'!AT38&lt;&gt;""),'T_SelfStock'!AT38,AS34-'Grid_Requirement'!AT34+'Grid_TTAFOutgoing'!AT34))</f>
        <v/>
      </c>
      <c r="AU34">
        <f>IF(COUNTIFS(T_StockCount[Part Name],$A34,T_StockCount[WeekIndex],46)&gt;0,SUMIFS(T_StockCount[CountedQty],T_StockCount[Part Name],$A34,T_StockCount[WeekIndex],46),IF(('T_SelfStock'!AU38&lt;&gt;""),'T_SelfStock'!AU38,AT34-'Grid_Requirement'!AU34+'Grid_TTAFOutgoing'!AU34))</f>
        <v/>
      </c>
      <c r="AV34">
        <f>IF(COUNTIFS(T_StockCount[Part Name],$A34,T_StockCount[WeekIndex],47)&gt;0,SUMIFS(T_StockCount[CountedQty],T_StockCount[Part Name],$A34,T_StockCount[WeekIndex],47),IF(('T_SelfStock'!AV38&lt;&gt;""),'T_SelfStock'!AV38,AU34-'Grid_Requirement'!AV34+'Grid_TTAFOutgoing'!AV34))</f>
        <v/>
      </c>
      <c r="AW34">
        <f>IF(COUNTIFS(T_StockCount[Part Name],$A34,T_StockCount[WeekIndex],48)&gt;0,SUMIFS(T_StockCount[CountedQty],T_StockCount[Part Name],$A34,T_StockCount[WeekIndex],48),IF(('T_SelfStock'!AW38&lt;&gt;""),'T_SelfStock'!AW38,AV34-'Grid_Requirement'!AW34+'Grid_TTAFOutgoing'!AW34))</f>
        <v/>
      </c>
      <c r="AX34">
        <f>IF(COUNTIFS(T_StockCount[Part Name],$A34,T_StockCount[WeekIndex],49)&gt;0,SUMIFS(T_StockCount[CountedQty],T_StockCount[Part Name],$A34,T_StockCount[WeekIndex],49),IF(('T_SelfStock'!AX38&lt;&gt;""),'T_SelfStock'!AX38,AW34-'Grid_Requirement'!AX34+'Grid_TTAFOutgoing'!AX34))</f>
        <v/>
      </c>
      <c r="AY34">
        <f>IF(COUNTIFS(T_StockCount[Part Name],$A34,T_StockCount[WeekIndex],50)&gt;0,SUMIFS(T_StockCount[CountedQty],T_StockCount[Part Name],$A34,T_StockCount[WeekIndex],50),IF(('T_SelfStock'!AY38&lt;&gt;""),'T_SelfStock'!AY38,AX34-'Grid_Requirement'!AY34+'Grid_TTAFOutgoing'!AY34))</f>
        <v/>
      </c>
      <c r="AZ34">
        <f>IF(COUNTIFS(T_StockCount[Part Name],$A34,T_StockCount[WeekIndex],51)&gt;0,SUMIFS(T_StockCount[CountedQty],T_StockCount[Part Name],$A34,T_StockCount[WeekIndex],51),IF(('T_SelfStock'!AZ38&lt;&gt;""),'T_SelfStock'!AZ38,AY34-'Grid_Requirement'!AZ34+'Grid_TTAFOutgoing'!AZ34))</f>
        <v/>
      </c>
      <c r="BA34">
        <f>IF(COUNTIFS(T_StockCount[Part Name],$A34,T_StockCount[WeekIndex],52)&gt;0,SUMIFS(T_StockCount[CountedQty],T_StockCount[Part Name],$A34,T_StockCount[WeekIndex],52),IF(('T_SelfStock'!BA38&lt;&gt;""),'T_SelfStock'!BA38,AZ34-'Grid_Requirement'!BA34+'Grid_TTAFOutgoing'!BA34))</f>
        <v/>
      </c>
      <c r="BB34">
        <f>IF(COUNTIFS(T_StockCount[Part Name],$A34,T_StockCount[WeekIndex],53)&gt;0,SUMIFS(T_StockCount[CountedQty],T_StockCount[Part Name],$A34,T_StockCount[WeekIndex],53),IF(('T_SelfStock'!BB38&lt;&gt;""),'T_SelfStock'!BB38,BA34-'Grid_Requirement'!BB34+'Grid_TTAFOutgoing'!BB34))</f>
        <v/>
      </c>
      <c r="BC34">
        <f>IF(COUNTIFS(T_StockCount[Part Name],$A34,T_StockCount[WeekIndex],54)&gt;0,SUMIFS(T_StockCount[CountedQty],T_StockCount[Part Name],$A34,T_StockCount[WeekIndex],54),IF(('T_SelfStock'!BC38&lt;&gt;""),'T_SelfStock'!BC38,BB34-'Grid_Requirement'!BC34+'Grid_TTAFOutgoing'!BC34))</f>
        <v/>
      </c>
      <c r="BD34">
        <f>IF(COUNTIFS(T_StockCount[Part Name],$A34,T_StockCount[WeekIndex],55)&gt;0,SUMIFS(T_StockCount[CountedQty],T_StockCount[Part Name],$A34,T_StockCount[WeekIndex],55),IF(('T_SelfStock'!BD38&lt;&gt;""),'T_SelfStock'!BD38,BC34-'Grid_Requirement'!BD34+'Grid_TTAFOutgoing'!BD34))</f>
        <v/>
      </c>
      <c r="BE34">
        <f>IF(COUNTIFS(T_StockCount[Part Name],$A34,T_StockCount[WeekIndex],56)&gt;0,SUMIFS(T_StockCount[CountedQty],T_StockCount[Part Name],$A34,T_StockCount[WeekIndex],56),IF(('T_SelfStock'!BE38&lt;&gt;""),'T_SelfStock'!BE38,BD34-'Grid_Requirement'!BE34+'Grid_TTAFOutgoing'!BE34))</f>
        <v/>
      </c>
      <c r="BF34">
        <f>IF(COUNTIFS(T_StockCount[Part Name],$A34,T_StockCount[WeekIndex],57)&gt;0,SUMIFS(T_StockCount[CountedQty],T_StockCount[Part Name],$A34,T_StockCount[WeekIndex],57),IF(('T_SelfStock'!BF38&lt;&gt;""),'T_SelfStock'!BF38,BE34-'Grid_Requirement'!BF34+'Grid_TTAFOutgoing'!BF34))</f>
        <v/>
      </c>
      <c r="BG34">
        <f>IF(COUNTIFS(T_StockCount[Part Name],$A34,T_StockCount[WeekIndex],58)&gt;0,SUMIFS(T_StockCount[CountedQty],T_StockCount[Part Name],$A34,T_StockCount[WeekIndex],58),IF(('T_SelfStock'!BG38&lt;&gt;""),'T_SelfStock'!BG38,BF34-'Grid_Requirement'!BG34+'Grid_TTAFOutgoing'!BG34))</f>
        <v/>
      </c>
      <c r="BH34">
        <f>IF(COUNTIFS(T_StockCount[Part Name],$A34,T_StockCount[WeekIndex],59)&gt;0,SUMIFS(T_StockCount[CountedQty],T_StockCount[Part Name],$A34,T_StockCount[WeekIndex],59),IF(('T_SelfStock'!BH38&lt;&gt;""),'T_SelfStock'!BH38,BG34-'Grid_Requirement'!BH34+'Grid_TTAFOutgoing'!BH34))</f>
        <v/>
      </c>
      <c r="BI34">
        <f>IF(COUNTIFS(T_StockCount[Part Name],$A34,T_StockCount[WeekIndex],60)&gt;0,SUMIFS(T_StockCount[CountedQty],T_StockCount[Part Name],$A34,T_StockCount[WeekIndex],60),IF(('T_SelfStock'!BI38&lt;&gt;""),'T_SelfStock'!BI38,BH34-'Grid_Requirement'!BI34+'Grid_TTAFOutgoing'!BI34))</f>
        <v/>
      </c>
      <c r="BJ34">
        <f>IF(COUNTIFS(T_StockCount[Part Name],$A34,T_StockCount[WeekIndex],61)&gt;0,SUMIFS(T_StockCount[CountedQty],T_StockCount[Part Name],$A34,T_StockCount[WeekIndex],61),IF(('T_SelfStock'!BJ38&lt;&gt;""),'T_SelfStock'!BJ38,BI34-'Grid_Requirement'!BJ34+'Grid_TTAFOutgoing'!BJ34))</f>
        <v/>
      </c>
      <c r="BK34">
        <f>IF(COUNTIFS(T_StockCount[Part Name],$A34,T_StockCount[WeekIndex],62)&gt;0,SUMIFS(T_StockCount[CountedQty],T_StockCount[Part Name],$A34,T_StockCount[WeekIndex],62),IF(('T_SelfStock'!BK38&lt;&gt;""),'T_SelfStock'!BK38,BJ34-'Grid_Requirement'!BK34+'Grid_TTAFOutgoing'!BK34))</f>
        <v/>
      </c>
      <c r="BL34">
        <f>IF(COUNTIFS(T_StockCount[Part Name],$A34,T_StockCount[WeekIndex],63)&gt;0,SUMIFS(T_StockCount[CountedQty],T_StockCount[Part Name],$A34,T_StockCount[WeekIndex],63),IF(('T_SelfStock'!BL38&lt;&gt;""),'T_SelfStock'!BL38,BK34-'Grid_Requirement'!BL34+'Grid_TTAFOutgoing'!BL34))</f>
        <v/>
      </c>
      <c r="BM34">
        <f>IF(COUNTIFS(T_StockCount[Part Name],$A34,T_StockCount[WeekIndex],64)&gt;0,SUMIFS(T_StockCount[CountedQty],T_StockCount[Part Name],$A34,T_StockCount[WeekIndex],64),IF(('T_SelfStock'!BM38&lt;&gt;""),'T_SelfStock'!BM38,BL34-'Grid_Requirement'!BM34+'Grid_TTAFOutgoing'!BM34))</f>
        <v/>
      </c>
      <c r="BN34">
        <f>IF(COUNTIFS(T_StockCount[Part Name],$A34,T_StockCount[WeekIndex],65)&gt;0,SUMIFS(T_StockCount[CountedQty],T_StockCount[Part Name],$A34,T_StockCount[WeekIndex],65),IF(('T_SelfStock'!BN38&lt;&gt;""),'T_SelfStock'!BN38,BM34-'Grid_Requirement'!BN34+'Grid_TTAFOutgoing'!BN34))</f>
        <v/>
      </c>
      <c r="BO34">
        <f>IF(COUNTIFS(T_StockCount[Part Name],$A34,T_StockCount[WeekIndex],66)&gt;0,SUMIFS(T_StockCount[CountedQty],T_StockCount[Part Name],$A34,T_StockCount[WeekIndex],66),IF(('T_SelfStock'!BO38&lt;&gt;""),'T_SelfStock'!BO38,BN34-'Grid_Requirement'!BO34+'Grid_TTAFOutgoing'!BO34))</f>
        <v/>
      </c>
      <c r="BP34">
        <f>IF(COUNTIFS(T_StockCount[Part Name],$A34,T_StockCount[WeekIndex],67)&gt;0,SUMIFS(T_StockCount[CountedQty],T_StockCount[Part Name],$A34,T_StockCount[WeekIndex],67),IF(('T_SelfStock'!BP38&lt;&gt;""),'T_SelfStock'!BP38,BO34-'Grid_Requirement'!BP34+'Grid_TTAFOutgoing'!BP34))</f>
        <v/>
      </c>
      <c r="BQ34">
        <f>IF(COUNTIFS(T_StockCount[Part Name],$A34,T_StockCount[WeekIndex],68)&gt;0,SUMIFS(T_StockCount[CountedQty],T_StockCount[Part Name],$A34,T_StockCount[WeekIndex],68),IF(('T_SelfStock'!BQ38&lt;&gt;""),'T_SelfStock'!BQ38,BP34-'Grid_Requirement'!BQ34+'Grid_TTAFOutgoing'!BQ34))</f>
        <v/>
      </c>
      <c r="BR34">
        <f>IF(COUNTIFS(T_StockCount[Part Name],$A34,T_StockCount[WeekIndex],69)&gt;0,SUMIFS(T_StockCount[CountedQty],T_StockCount[Part Name],$A34,T_StockCount[WeekIndex],69),IF(('T_SelfStock'!BR38&lt;&gt;""),'T_SelfStock'!BR38,BQ34-'Grid_Requirement'!BR34+'Grid_TTAFOutgoing'!BR34))</f>
        <v/>
      </c>
      <c r="BS34">
        <f>IF(COUNTIFS(T_StockCount[Part Name],$A34,T_StockCount[WeekIndex],70)&gt;0,SUMIFS(T_StockCount[CountedQty],T_StockCount[Part Name],$A34,T_StockCount[WeekIndex],70),IF(('T_SelfStock'!BS38&lt;&gt;""),'T_SelfStock'!BS38,BR34-'Grid_Requirement'!BS34+'Grid_TTAFOutgoing'!BS34))</f>
        <v/>
      </c>
      <c r="BT34">
        <f>IF(COUNTIFS(T_StockCount[Part Name],$A34,T_StockCount[WeekIndex],71)&gt;0,SUMIFS(T_StockCount[CountedQty],T_StockCount[Part Name],$A34,T_StockCount[WeekIndex],71),IF(('T_SelfStock'!BT38&lt;&gt;""),'T_SelfStock'!BT38,BS34-'Grid_Requirement'!BT34+'Grid_TTAFOutgoing'!BT34))</f>
        <v/>
      </c>
      <c r="BU34">
        <f>IF(COUNTIFS(T_StockCount[Part Name],$A34,T_StockCount[WeekIndex],72)&gt;0,SUMIFS(T_StockCount[CountedQty],T_StockCount[Part Name],$A34,T_StockCount[WeekIndex],72),IF(('T_SelfStock'!BU38&lt;&gt;""),'T_SelfStock'!BU38,BT34-'Grid_Requirement'!BU34+'Grid_TTAFOutgoing'!BU34))</f>
        <v/>
      </c>
      <c r="BV34">
        <f>IF(COUNTIFS(T_StockCount[Part Name],$A34,T_StockCount[WeekIndex],73)&gt;0,SUMIFS(T_StockCount[CountedQty],T_StockCount[Part Name],$A34,T_StockCount[WeekIndex],73),IF(('T_SelfStock'!BV38&lt;&gt;""),'T_SelfStock'!BV38,BU34-'Grid_Requirement'!BV34+'Grid_TTAFOutgoing'!BV34))</f>
        <v/>
      </c>
      <c r="BW34">
        <f>IF(COUNTIFS(T_StockCount[Part Name],$A34,T_StockCount[WeekIndex],74)&gt;0,SUMIFS(T_StockCount[CountedQty],T_StockCount[Part Name],$A34,T_StockCount[WeekIndex],74),IF(('T_SelfStock'!BW38&lt;&gt;""),'T_SelfStock'!BW38,BV34-'Grid_Requirement'!BW34+'Grid_TTAFOutgoing'!BW34))</f>
        <v/>
      </c>
      <c r="BX34">
        <f>IF(COUNTIFS(T_StockCount[Part Name],$A34,T_StockCount[WeekIndex],75)&gt;0,SUMIFS(T_StockCount[CountedQty],T_StockCount[Part Name],$A34,T_StockCount[WeekIndex],75),IF(('T_SelfStock'!BX38&lt;&gt;""),'T_SelfStock'!BX38,BW34-'Grid_Requirement'!BX34+'Grid_TTAFOutgoing'!BX34))</f>
        <v/>
      </c>
      <c r="BY34">
        <f>IF(COUNTIFS(T_StockCount[Part Name],$A34,T_StockCount[WeekIndex],76)&gt;0,SUMIFS(T_StockCount[CountedQty],T_StockCount[Part Name],$A34,T_StockCount[WeekIndex],76),IF(('T_SelfStock'!BY38&lt;&gt;""),'T_SelfStock'!BY38,BX34-'Grid_Requirement'!BY34+'Grid_TTAFOutgoing'!BY34))</f>
        <v/>
      </c>
      <c r="BZ34">
        <f>IF(COUNTIFS(T_StockCount[Part Name],$A34,T_StockCount[WeekIndex],77)&gt;0,SUMIFS(T_StockCount[CountedQty],T_StockCount[Part Name],$A34,T_StockCount[WeekIndex],77),IF(('T_SelfStock'!BZ38&lt;&gt;""),'T_SelfStock'!BZ38,BY34-'Grid_Requirement'!BZ34+'Grid_TTAFOutgoing'!BZ34))</f>
        <v/>
      </c>
      <c r="CA34">
        <f>IF(COUNTIFS(T_StockCount[Part Name],$A34,T_StockCount[WeekIndex],78)&gt;0,SUMIFS(T_StockCount[CountedQty],T_StockCount[Part Name],$A34,T_StockCount[WeekIndex],78),IF(('T_SelfStock'!CA38&lt;&gt;""),'T_SelfStock'!CA38,BZ34-'Grid_Requirement'!CA34+'Grid_TTAFOutgoing'!CA34))</f>
        <v/>
      </c>
      <c r="CB34">
        <f>IF(COUNTIFS(T_StockCount[Part Name],$A34,T_StockCount[WeekIndex],79)&gt;0,SUMIFS(T_StockCount[CountedQty],T_StockCount[Part Name],$A34,T_StockCount[WeekIndex],79),IF(('T_SelfStock'!CB38&lt;&gt;""),'T_SelfStock'!CB38,CA34-'Grid_Requirement'!CB34+'Grid_TTAFOutgoing'!CB34))</f>
        <v/>
      </c>
      <c r="CC34">
        <f>IF(COUNTIFS(T_StockCount[Part Name],$A34,T_StockCount[WeekIndex],80)&gt;0,SUMIFS(T_StockCount[CountedQty],T_StockCount[Part Name],$A34,T_StockCount[WeekIndex],80),IF(('T_SelfStock'!CC38&lt;&gt;""),'T_SelfStock'!CC38,CB34-'Grid_Requirement'!CC34+'Grid_TTAFOutgoing'!CC34))</f>
        <v/>
      </c>
      <c r="CD34">
        <f>IF(COUNTIFS(T_StockCount[Part Name],$A34,T_StockCount[WeekIndex],81)&gt;0,SUMIFS(T_StockCount[CountedQty],T_StockCount[Part Name],$A34,T_StockCount[WeekIndex],81),IF(('T_SelfStock'!CD38&lt;&gt;""),'T_SelfStock'!CD38,CC34-'Grid_Requirement'!CD34+'Grid_TTAFOutgoing'!CD34))</f>
        <v/>
      </c>
      <c r="CE34">
        <f>IF(COUNTIFS(T_StockCount[Part Name],$A34,T_StockCount[WeekIndex],82)&gt;0,SUMIFS(T_StockCount[CountedQty],T_StockCount[Part Name],$A34,T_StockCount[WeekIndex],82),IF(('T_SelfStock'!CE38&lt;&gt;""),'T_SelfStock'!CE38,CD34-'Grid_Requirement'!CE34+'Grid_TTAFOutgoing'!CE34))</f>
        <v/>
      </c>
      <c r="CF34">
        <f>IF(COUNTIFS(T_StockCount[Part Name],$A34,T_StockCount[WeekIndex],83)&gt;0,SUMIFS(T_StockCount[CountedQty],T_StockCount[Part Name],$A34,T_StockCount[WeekIndex],83),IF(('T_SelfStock'!CF38&lt;&gt;""),'T_SelfStock'!CF38,CE34-'Grid_Requirement'!CF34+'Grid_TTAFOutgoing'!CF34))</f>
        <v/>
      </c>
      <c r="CG34">
        <f>IF(COUNTIFS(T_StockCount[Part Name],$A34,T_StockCount[WeekIndex],84)&gt;0,SUMIFS(T_StockCount[CountedQty],T_StockCount[Part Name],$A34,T_StockCount[WeekIndex],84),IF(('T_SelfStock'!CG38&lt;&gt;""),'T_SelfStock'!CG38,CF34-'Grid_Requirement'!CG34+'Grid_TTAFOutgoing'!CG34))</f>
        <v/>
      </c>
      <c r="CH34">
        <f>IF(COUNTIFS(T_StockCount[Part Name],$A34,T_StockCount[WeekIndex],85)&gt;0,SUMIFS(T_StockCount[CountedQty],T_StockCount[Part Name],$A34,T_StockCount[WeekIndex],85),IF(('T_SelfStock'!CH38&lt;&gt;""),'T_SelfStock'!CH38,CG34-'Grid_Requirement'!CH34+'Grid_TTAFOutgoing'!CH34))</f>
        <v/>
      </c>
      <c r="CI34">
        <f>IF(COUNTIFS(T_StockCount[Part Name],$A34,T_StockCount[WeekIndex],86)&gt;0,SUMIFS(T_StockCount[CountedQty],T_StockCount[Part Name],$A34,T_StockCount[WeekIndex],86),IF(('T_SelfStock'!CI38&lt;&gt;""),'T_SelfStock'!CI38,CH34-'Grid_Requirement'!CI34+'Grid_TTAFOutgoing'!CI34))</f>
        <v/>
      </c>
      <c r="CJ34">
        <f>IF(COUNTIFS(T_StockCount[Part Name],$A34,T_StockCount[WeekIndex],87)&gt;0,SUMIFS(T_StockCount[CountedQty],T_StockCount[Part Name],$A34,T_StockCount[WeekIndex],87),IF(('T_SelfStock'!CJ38&lt;&gt;""),'T_SelfStock'!CJ38,CI34-'Grid_Requirement'!CJ34+'Grid_TTAFOutgoing'!CJ34))</f>
        <v/>
      </c>
      <c r="CK34">
        <f>IF(COUNTIFS(T_StockCount[Part Name],$A34,T_StockCount[WeekIndex],88)&gt;0,SUMIFS(T_StockCount[CountedQty],T_StockCount[Part Name],$A34,T_StockCount[WeekIndex],88),IF(('T_SelfStock'!CK38&lt;&gt;""),'T_SelfStock'!CK38,CJ34-'Grid_Requirement'!CK34+'Grid_TTAFOutgoing'!CK34))</f>
        <v/>
      </c>
      <c r="CL34">
        <f>IF(COUNTIFS(T_StockCount[Part Name],$A34,T_StockCount[WeekIndex],89)&gt;0,SUMIFS(T_StockCount[CountedQty],T_StockCount[Part Name],$A34,T_StockCount[WeekIndex],89),IF(('T_SelfStock'!CL38&lt;&gt;""),'T_SelfStock'!CL38,CK34-'Grid_Requirement'!CL34+'Grid_TTAFOutgoing'!CL34))</f>
        <v/>
      </c>
      <c r="CM34">
        <f>IF(COUNTIFS(T_StockCount[Part Name],$A34,T_StockCount[WeekIndex],90)&gt;0,SUMIFS(T_StockCount[CountedQty],T_StockCount[Part Name],$A34,T_StockCount[WeekIndex],90),IF(('T_SelfStock'!CM38&lt;&gt;""),'T_SelfStock'!CM38,CL34-'Grid_Requirement'!CM34+'Grid_TTAFOutgoing'!CM34))</f>
        <v/>
      </c>
      <c r="CN34">
        <f>IF(COUNTIFS(T_StockCount[Part Name],$A34,T_StockCount[WeekIndex],91)&gt;0,SUMIFS(T_StockCount[CountedQty],T_StockCount[Part Name],$A34,T_StockCount[WeekIndex],91),IF(('T_SelfStock'!CN38&lt;&gt;""),'T_SelfStock'!CN38,CM34-'Grid_Requirement'!CN34+'Grid_TTAFOutgoing'!CN34))</f>
        <v/>
      </c>
      <c r="CO34">
        <f>IF(COUNTIFS(T_StockCount[Part Name],$A34,T_StockCount[WeekIndex],92)&gt;0,SUMIFS(T_StockCount[CountedQty],T_StockCount[Part Name],$A34,T_StockCount[WeekIndex],92),IF(('T_SelfStock'!CO38&lt;&gt;""),'T_SelfStock'!CO38,CN34-'Grid_Requirement'!CO34+'Grid_TTAFOutgoing'!CO34))</f>
        <v/>
      </c>
      <c r="CP34">
        <f>IF(COUNTIFS(T_StockCount[Part Name],$A34,T_StockCount[WeekIndex],93)&gt;0,SUMIFS(T_StockCount[CountedQty],T_StockCount[Part Name],$A34,T_StockCount[WeekIndex],93),IF(('T_SelfStock'!CP38&lt;&gt;""),'T_SelfStock'!CP38,CO34-'Grid_Requirement'!CP34+'Grid_TTAFOutgoing'!CP34))</f>
        <v/>
      </c>
      <c r="CQ34">
        <f>IF(COUNTIFS(T_StockCount[Part Name],$A34,T_StockCount[WeekIndex],94)&gt;0,SUMIFS(T_StockCount[CountedQty],T_StockCount[Part Name],$A34,T_StockCount[WeekIndex],94),IF(('T_SelfStock'!CQ38&lt;&gt;""),'T_SelfStock'!CQ38,CP34-'Grid_Requirement'!CQ34+'Grid_TTAFOutgoing'!CQ34))</f>
        <v/>
      </c>
      <c r="CR34">
        <f>IF(COUNTIFS(T_StockCount[Part Name],$A34,T_StockCount[WeekIndex],95)&gt;0,SUMIFS(T_StockCount[CountedQty],T_StockCount[Part Name],$A34,T_StockCount[WeekIndex],95),IF(('T_SelfStock'!CR38&lt;&gt;""),'T_SelfStock'!CR38,CQ34-'Grid_Requirement'!CR34+'Grid_TTAFOutgoing'!CR34))</f>
        <v/>
      </c>
      <c r="CS34">
        <f>IF(COUNTIFS(T_StockCount[Part Name],$A34,T_StockCount[WeekIndex],96)&gt;0,SUMIFS(T_StockCount[CountedQty],T_StockCount[Part Name],$A34,T_StockCount[WeekIndex],96),IF(('T_SelfStock'!CS38&lt;&gt;""),'T_SelfStock'!CS38,CR34-'Grid_Requirement'!CS34+'Grid_TTAFOutgoing'!CS34))</f>
        <v/>
      </c>
      <c r="CT34">
        <f>IF(COUNTIFS(T_StockCount[Part Name],$A34,T_StockCount[WeekIndex],97)&gt;0,SUMIFS(T_StockCount[CountedQty],T_StockCount[Part Name],$A34,T_StockCount[WeekIndex],97),IF(('T_SelfStock'!CT38&lt;&gt;""),'T_SelfStock'!CT38,CS34-'Grid_Requirement'!CT34+'Grid_TTAFOutgoing'!CT34))</f>
        <v/>
      </c>
      <c r="CU34">
        <f>IF(COUNTIFS(T_StockCount[Part Name],$A34,T_StockCount[WeekIndex],98)&gt;0,SUMIFS(T_StockCount[CountedQty],T_StockCount[Part Name],$A34,T_StockCount[WeekIndex],98),IF(('T_SelfStock'!CU38&lt;&gt;""),'T_SelfStock'!CU38,CT34-'Grid_Requirement'!CU34+'Grid_TTAFOutgoing'!CU34))</f>
        <v/>
      </c>
      <c r="CV34">
        <f>IF(COUNTIFS(T_StockCount[Part Name],$A34,T_StockCount[WeekIndex],99)&gt;0,SUMIFS(T_StockCount[CountedQty],T_StockCount[Part Name],$A34,T_StockCount[WeekIndex],99),IF(('T_SelfStock'!CV38&lt;&gt;""),'T_SelfStock'!CV38,CU34-'Grid_Requirement'!CV34+'Grid_TTAFOutgoing'!CV34))</f>
        <v/>
      </c>
      <c r="CW34">
        <f>IF(COUNTIFS(T_StockCount[Part Name],$A34,T_StockCount[WeekIndex],100)&gt;0,SUMIFS(T_StockCount[CountedQty],T_StockCount[Part Name],$A34,T_StockCount[WeekIndex],100),IF(('T_SelfStock'!CW38&lt;&gt;""),'T_SelfStock'!CW38,CV34-'Grid_Requirement'!CW34+'Grid_TTAFOutgoing'!CW34))</f>
        <v/>
      </c>
      <c r="CX34">
        <f>IF(COUNTIFS(T_StockCount[Part Name],$A34,T_StockCount[WeekIndex],101)&gt;0,SUMIFS(T_StockCount[CountedQty],T_StockCount[Part Name],$A34,T_StockCount[WeekIndex],101),IF(('T_SelfStock'!CX38&lt;&gt;""),'T_SelfStock'!CX38,CW34-'Grid_Requirement'!CX34+'Grid_TTAFOutgoing'!CX34))</f>
        <v/>
      </c>
      <c r="CY34">
        <f>IF(COUNTIFS(T_StockCount[Part Name],$A34,T_StockCount[WeekIndex],102)&gt;0,SUMIFS(T_StockCount[CountedQty],T_StockCount[Part Name],$A34,T_StockCount[WeekIndex],102),IF(('T_SelfStock'!CY38&lt;&gt;""),'T_SelfStock'!CY38,CX34-'Grid_Requirement'!CY34+'Grid_TTAFOutgoing'!CY34))</f>
        <v/>
      </c>
      <c r="CZ34">
        <f>IF(COUNTIFS(T_StockCount[Part Name],$A34,T_StockCount[WeekIndex],103)&gt;0,SUMIFS(T_StockCount[CountedQty],T_StockCount[Part Name],$A34,T_StockCount[WeekIndex],103),IF(('T_SelfStock'!CZ38&lt;&gt;""),'T_SelfStock'!CZ38,CY34-'Grid_Requirement'!CZ34+'Grid_TTAFOutgoing'!CZ34))</f>
        <v/>
      </c>
      <c r="DA34">
        <f>IF(COUNTIFS(T_StockCount[Part Name],$A34,T_StockCount[WeekIndex],104)&gt;0,SUMIFS(T_StockCount[CountedQty],T_StockCount[Part Name],$A34,T_StockCount[WeekIndex],104),IF(('T_SelfStock'!DA38&lt;&gt;""),'T_SelfStock'!DA38,CZ34-'Grid_Requirement'!DA34+'Grid_TTAFOutgoing'!DA34))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Name],$A35,T_StockCount[WeekIndex],1),IF(('T_SelfStock'!B39&lt;&gt;""),'T_SelfStock'!B39,IFERROR(INDEX(T_OpeningStock[Opening_Qty],MATCH($A35,T_OpeningStock[Part Name],0)),0)-'Grid_Requirement'!B35+'Grid_TTAFOutgoing'!B35))</f>
        <v/>
      </c>
      <c r="C35">
        <f>IF(COUNTIFS(T_StockCount[Part Name],$A35,T_StockCount[WeekIndex],2)&gt;0,SUMIFS(T_StockCount[CountedQty],T_StockCount[Part Name],$A35,T_StockCount[WeekIndex],2),IF(('T_SelfStock'!C39&lt;&gt;""),'T_SelfStock'!C39,B35-'Grid_Requirement'!C35+'Grid_TTAFOutgoing'!C35))</f>
        <v/>
      </c>
      <c r="D35">
        <f>IF(COUNTIFS(T_StockCount[Part Name],$A35,T_StockCount[WeekIndex],3)&gt;0,SUMIFS(T_StockCount[CountedQty],T_StockCount[Part Name],$A35,T_StockCount[WeekIndex],3),IF(('T_SelfStock'!D39&lt;&gt;""),'T_SelfStock'!D39,C35-'Grid_Requirement'!D35+'Grid_TTAFOutgoing'!D35))</f>
        <v/>
      </c>
      <c r="E35">
        <f>IF(COUNTIFS(T_StockCount[Part Name],$A35,T_StockCount[WeekIndex],4)&gt;0,SUMIFS(T_StockCount[CountedQty],T_StockCount[Part Name],$A35,T_StockCount[WeekIndex],4),IF(('T_SelfStock'!E39&lt;&gt;""),'T_SelfStock'!E39,D35-'Grid_Requirement'!E35+'Grid_TTAFOutgoing'!E35))</f>
        <v/>
      </c>
      <c r="F35">
        <f>IF(COUNTIFS(T_StockCount[Part Name],$A35,T_StockCount[WeekIndex],5)&gt;0,SUMIFS(T_StockCount[CountedQty],T_StockCount[Part Name],$A35,T_StockCount[WeekIndex],5),IF(('T_SelfStock'!F39&lt;&gt;""),'T_SelfStock'!F39,E35-'Grid_Requirement'!F35+'Grid_TTAFOutgoing'!F35))</f>
        <v/>
      </c>
      <c r="G35">
        <f>IF(COUNTIFS(T_StockCount[Part Name],$A35,T_StockCount[WeekIndex],6)&gt;0,SUMIFS(T_StockCount[CountedQty],T_StockCount[Part Name],$A35,T_StockCount[WeekIndex],6),IF(('T_SelfStock'!G39&lt;&gt;""),'T_SelfStock'!G39,F35-'Grid_Requirement'!G35+'Grid_TTAFOutgoing'!G35))</f>
        <v/>
      </c>
      <c r="H35">
        <f>IF(COUNTIFS(T_StockCount[Part Name],$A35,T_StockCount[WeekIndex],7)&gt;0,SUMIFS(T_StockCount[CountedQty],T_StockCount[Part Name],$A35,T_StockCount[WeekIndex],7),IF(('T_SelfStock'!H39&lt;&gt;""),'T_SelfStock'!H39,G35-'Grid_Requirement'!H35+'Grid_TTAFOutgoing'!H35))</f>
        <v/>
      </c>
      <c r="I35">
        <f>IF(COUNTIFS(T_StockCount[Part Name],$A35,T_StockCount[WeekIndex],8)&gt;0,SUMIFS(T_StockCount[CountedQty],T_StockCount[Part Name],$A35,T_StockCount[WeekIndex],8),IF(('T_SelfStock'!I39&lt;&gt;""),'T_SelfStock'!I39,H35-'Grid_Requirement'!I35+'Grid_TTAFOutgoing'!I35))</f>
        <v/>
      </c>
      <c r="J35">
        <f>IF(COUNTIFS(T_StockCount[Part Name],$A35,T_StockCount[WeekIndex],9)&gt;0,SUMIFS(T_StockCount[CountedQty],T_StockCount[Part Name],$A35,T_StockCount[WeekIndex],9),IF(('T_SelfStock'!J39&lt;&gt;""),'T_SelfStock'!J39,I35-'Grid_Requirement'!J35+'Grid_TTAFOutgoing'!J35))</f>
        <v/>
      </c>
      <c r="K35">
        <f>IF(COUNTIFS(T_StockCount[Part Name],$A35,T_StockCount[WeekIndex],10)&gt;0,SUMIFS(T_StockCount[CountedQty],T_StockCount[Part Name],$A35,T_StockCount[WeekIndex],10),IF(('T_SelfStock'!K39&lt;&gt;""),'T_SelfStock'!K39,J35-'Grid_Requirement'!K35+'Grid_TTAFOutgoing'!K35))</f>
        <v/>
      </c>
      <c r="L35">
        <f>IF(COUNTIFS(T_StockCount[Part Name],$A35,T_StockCount[WeekIndex],11)&gt;0,SUMIFS(T_StockCount[CountedQty],T_StockCount[Part Name],$A35,T_StockCount[WeekIndex],11),IF(('T_SelfStock'!L39&lt;&gt;""),'T_SelfStock'!L39,K35-'Grid_Requirement'!L35+'Grid_TTAFOutgoing'!L35))</f>
        <v/>
      </c>
      <c r="M35">
        <f>IF(COUNTIFS(T_StockCount[Part Name],$A35,T_StockCount[WeekIndex],12)&gt;0,SUMIFS(T_StockCount[CountedQty],T_StockCount[Part Name],$A35,T_StockCount[WeekIndex],12),IF(('T_SelfStock'!M39&lt;&gt;""),'T_SelfStock'!M39,L35-'Grid_Requirement'!M35+'Grid_TTAFOutgoing'!M35))</f>
        <v/>
      </c>
      <c r="N35">
        <f>IF(COUNTIFS(T_StockCount[Part Name],$A35,T_StockCount[WeekIndex],13)&gt;0,SUMIFS(T_StockCount[CountedQty],T_StockCount[Part Name],$A35,T_StockCount[WeekIndex],13),IF(('T_SelfStock'!N39&lt;&gt;""),'T_SelfStock'!N39,M35-'Grid_Requirement'!N35+'Grid_TTAFOutgoing'!N35))</f>
        <v/>
      </c>
      <c r="O35">
        <f>IF(COUNTIFS(T_StockCount[Part Name],$A35,T_StockCount[WeekIndex],14)&gt;0,SUMIFS(T_StockCount[CountedQty],T_StockCount[Part Name],$A35,T_StockCount[WeekIndex],14),IF(('T_SelfStock'!O39&lt;&gt;""),'T_SelfStock'!O39,N35-'Grid_Requirement'!O35+'Grid_TTAFOutgoing'!O35))</f>
        <v/>
      </c>
      <c r="P35">
        <f>IF(COUNTIFS(T_StockCount[Part Name],$A35,T_StockCount[WeekIndex],15)&gt;0,SUMIFS(T_StockCount[CountedQty],T_StockCount[Part Name],$A35,T_StockCount[WeekIndex],15),IF(('T_SelfStock'!P39&lt;&gt;""),'T_SelfStock'!P39,O35-'Grid_Requirement'!P35+'Grid_TTAFOutgoing'!P35))</f>
        <v/>
      </c>
      <c r="Q35">
        <f>IF(COUNTIFS(T_StockCount[Part Name],$A35,T_StockCount[WeekIndex],16)&gt;0,SUMIFS(T_StockCount[CountedQty],T_StockCount[Part Name],$A35,T_StockCount[WeekIndex],16),IF(('T_SelfStock'!Q39&lt;&gt;""),'T_SelfStock'!Q39,P35-'Grid_Requirement'!Q35+'Grid_TTAFOutgoing'!Q35))</f>
        <v/>
      </c>
      <c r="R35">
        <f>IF(COUNTIFS(T_StockCount[Part Name],$A35,T_StockCount[WeekIndex],17)&gt;0,SUMIFS(T_StockCount[CountedQty],T_StockCount[Part Name],$A35,T_StockCount[WeekIndex],17),IF(('T_SelfStock'!R39&lt;&gt;""),'T_SelfStock'!R39,Q35-'Grid_Requirement'!R35+'Grid_TTAFOutgoing'!R35))</f>
        <v/>
      </c>
      <c r="S35">
        <f>IF(COUNTIFS(T_StockCount[Part Name],$A35,T_StockCount[WeekIndex],18)&gt;0,SUMIFS(T_StockCount[CountedQty],T_StockCount[Part Name],$A35,T_StockCount[WeekIndex],18),IF(('T_SelfStock'!S39&lt;&gt;""),'T_SelfStock'!S39,R35-'Grid_Requirement'!S35+'Grid_TTAFOutgoing'!S35))</f>
        <v/>
      </c>
      <c r="T35">
        <f>IF(COUNTIFS(T_StockCount[Part Name],$A35,T_StockCount[WeekIndex],19)&gt;0,SUMIFS(T_StockCount[CountedQty],T_StockCount[Part Name],$A35,T_StockCount[WeekIndex],19),IF(('T_SelfStock'!T39&lt;&gt;""),'T_SelfStock'!T39,S35-'Grid_Requirement'!T35+'Grid_TTAFOutgoing'!T35))</f>
        <v/>
      </c>
      <c r="U35">
        <f>IF(COUNTIFS(T_StockCount[Part Name],$A35,T_StockCount[WeekIndex],20)&gt;0,SUMIFS(T_StockCount[CountedQty],T_StockCount[Part Name],$A35,T_StockCount[WeekIndex],20),IF(('T_SelfStock'!U39&lt;&gt;""),'T_SelfStock'!U39,T35-'Grid_Requirement'!U35+'Grid_TTAFOutgoing'!U35))</f>
        <v/>
      </c>
      <c r="V35">
        <f>IF(COUNTIFS(T_StockCount[Part Name],$A35,T_StockCount[WeekIndex],21)&gt;0,SUMIFS(T_StockCount[CountedQty],T_StockCount[Part Name],$A35,T_StockCount[WeekIndex],21),IF(('T_SelfStock'!V39&lt;&gt;""),'T_SelfStock'!V39,U35-'Grid_Requirement'!V35+'Grid_TTAFOutgoing'!V35))</f>
        <v/>
      </c>
      <c r="W35">
        <f>IF(COUNTIFS(T_StockCount[Part Name],$A35,T_StockCount[WeekIndex],22)&gt;0,SUMIFS(T_StockCount[CountedQty],T_StockCount[Part Name],$A35,T_StockCount[WeekIndex],22),IF(('T_SelfStock'!W39&lt;&gt;""),'T_SelfStock'!W39,V35-'Grid_Requirement'!W35+'Grid_TTAFOutgoing'!W35))</f>
        <v/>
      </c>
      <c r="X35">
        <f>IF(COUNTIFS(T_StockCount[Part Name],$A35,T_StockCount[WeekIndex],23)&gt;0,SUMIFS(T_StockCount[CountedQty],T_StockCount[Part Name],$A35,T_StockCount[WeekIndex],23),IF(('T_SelfStock'!X39&lt;&gt;""),'T_SelfStock'!X39,W35-'Grid_Requirement'!X35+'Grid_TTAFOutgoing'!X35))</f>
        <v/>
      </c>
      <c r="Y35">
        <f>IF(COUNTIFS(T_StockCount[Part Name],$A35,T_StockCount[WeekIndex],24)&gt;0,SUMIFS(T_StockCount[CountedQty],T_StockCount[Part Name],$A35,T_StockCount[WeekIndex],24),IF(('T_SelfStock'!Y39&lt;&gt;""),'T_SelfStock'!Y39,X35-'Grid_Requirement'!Y35+'Grid_TTAFOutgoing'!Y35))</f>
        <v/>
      </c>
      <c r="Z35">
        <f>IF(COUNTIFS(T_StockCount[Part Name],$A35,T_StockCount[WeekIndex],25)&gt;0,SUMIFS(T_StockCount[CountedQty],T_StockCount[Part Name],$A35,T_StockCount[WeekIndex],25),IF(('T_SelfStock'!Z39&lt;&gt;""),'T_SelfStock'!Z39,Y35-'Grid_Requirement'!Z35+'Grid_TTAFOutgoing'!Z35))</f>
        <v/>
      </c>
      <c r="AA35">
        <f>IF(COUNTIFS(T_StockCount[Part Name],$A35,T_StockCount[WeekIndex],26)&gt;0,SUMIFS(T_StockCount[CountedQty],T_StockCount[Part Name],$A35,T_StockCount[WeekIndex],26),IF(('T_SelfStock'!AA39&lt;&gt;""),'T_SelfStock'!AA39,Z35-'Grid_Requirement'!AA35+'Grid_TTAFOutgoing'!AA35))</f>
        <v/>
      </c>
      <c r="AB35">
        <f>IF(COUNTIFS(T_StockCount[Part Name],$A35,T_StockCount[WeekIndex],27)&gt;0,SUMIFS(T_StockCount[CountedQty],T_StockCount[Part Name],$A35,T_StockCount[WeekIndex],27),IF(('T_SelfStock'!AB39&lt;&gt;""),'T_SelfStock'!AB39,AA35-'Grid_Requirement'!AB35+'Grid_TTAFOutgoing'!AB35))</f>
        <v/>
      </c>
      <c r="AC35">
        <f>IF(COUNTIFS(T_StockCount[Part Name],$A35,T_StockCount[WeekIndex],28)&gt;0,SUMIFS(T_StockCount[CountedQty],T_StockCount[Part Name],$A35,T_StockCount[WeekIndex],28),IF(('T_SelfStock'!AC39&lt;&gt;""),'T_SelfStock'!AC39,AB35-'Grid_Requirement'!AC35+'Grid_TTAFOutgoing'!AC35))</f>
        <v/>
      </c>
      <c r="AD35">
        <f>IF(COUNTIFS(T_StockCount[Part Name],$A35,T_StockCount[WeekIndex],29)&gt;0,SUMIFS(T_StockCount[CountedQty],T_StockCount[Part Name],$A35,T_StockCount[WeekIndex],29),IF(('T_SelfStock'!AD39&lt;&gt;""),'T_SelfStock'!AD39,AC35-'Grid_Requirement'!AD35+'Grid_TTAFOutgoing'!AD35))</f>
        <v/>
      </c>
      <c r="AE35">
        <f>IF(COUNTIFS(T_StockCount[Part Name],$A35,T_StockCount[WeekIndex],30)&gt;0,SUMIFS(T_StockCount[CountedQty],T_StockCount[Part Name],$A35,T_StockCount[WeekIndex],30),IF(('T_SelfStock'!AE39&lt;&gt;""),'T_SelfStock'!AE39,AD35-'Grid_Requirement'!AE35+'Grid_TTAFOutgoing'!AE35))</f>
        <v/>
      </c>
      <c r="AF35">
        <f>IF(COUNTIFS(T_StockCount[Part Name],$A35,T_StockCount[WeekIndex],31)&gt;0,SUMIFS(T_StockCount[CountedQty],T_StockCount[Part Name],$A35,T_StockCount[WeekIndex],31),IF(('T_SelfStock'!AF39&lt;&gt;""),'T_SelfStock'!AF39,AE35-'Grid_Requirement'!AF35+'Grid_TTAFOutgoing'!AF35))</f>
        <v/>
      </c>
      <c r="AG35">
        <f>IF(COUNTIFS(T_StockCount[Part Name],$A35,T_StockCount[WeekIndex],32)&gt;0,SUMIFS(T_StockCount[CountedQty],T_StockCount[Part Name],$A35,T_StockCount[WeekIndex],32),IF(('T_SelfStock'!AG39&lt;&gt;""),'T_SelfStock'!AG39,AF35-'Grid_Requirement'!AG35+'Grid_TTAFOutgoing'!AG35))</f>
        <v/>
      </c>
      <c r="AH35">
        <f>IF(COUNTIFS(T_StockCount[Part Name],$A35,T_StockCount[WeekIndex],33)&gt;0,SUMIFS(T_StockCount[CountedQty],T_StockCount[Part Name],$A35,T_StockCount[WeekIndex],33),IF(('T_SelfStock'!AH39&lt;&gt;""),'T_SelfStock'!AH39,AG35-'Grid_Requirement'!AH35+'Grid_TTAFOutgoing'!AH35))</f>
        <v/>
      </c>
      <c r="AI35">
        <f>IF(COUNTIFS(T_StockCount[Part Name],$A35,T_StockCount[WeekIndex],34)&gt;0,SUMIFS(T_StockCount[CountedQty],T_StockCount[Part Name],$A35,T_StockCount[WeekIndex],34),IF(('T_SelfStock'!AI39&lt;&gt;""),'T_SelfStock'!AI39,AH35-'Grid_Requirement'!AI35+'Grid_TTAFOutgoing'!AI35))</f>
        <v/>
      </c>
      <c r="AJ35">
        <f>IF(COUNTIFS(T_StockCount[Part Name],$A35,T_StockCount[WeekIndex],35)&gt;0,SUMIFS(T_StockCount[CountedQty],T_StockCount[Part Name],$A35,T_StockCount[WeekIndex],35),IF(('T_SelfStock'!AJ39&lt;&gt;""),'T_SelfStock'!AJ39,AI35-'Grid_Requirement'!AJ35+'Grid_TTAFOutgoing'!AJ35))</f>
        <v/>
      </c>
      <c r="AK35">
        <f>IF(COUNTIFS(T_StockCount[Part Name],$A35,T_StockCount[WeekIndex],36)&gt;0,SUMIFS(T_StockCount[CountedQty],T_StockCount[Part Name],$A35,T_StockCount[WeekIndex],36),IF(('T_SelfStock'!AK39&lt;&gt;""),'T_SelfStock'!AK39,AJ35-'Grid_Requirement'!AK35+'Grid_TTAFOutgoing'!AK35))</f>
        <v/>
      </c>
      <c r="AL35">
        <f>IF(COUNTIFS(T_StockCount[Part Name],$A35,T_StockCount[WeekIndex],37)&gt;0,SUMIFS(T_StockCount[CountedQty],T_StockCount[Part Name],$A35,T_StockCount[WeekIndex],37),IF(('T_SelfStock'!AL39&lt;&gt;""),'T_SelfStock'!AL39,AK35-'Grid_Requirement'!AL35+'Grid_TTAFOutgoing'!AL35))</f>
        <v/>
      </c>
      <c r="AM35">
        <f>IF(COUNTIFS(T_StockCount[Part Name],$A35,T_StockCount[WeekIndex],38)&gt;0,SUMIFS(T_StockCount[CountedQty],T_StockCount[Part Name],$A35,T_StockCount[WeekIndex],38),IF(('T_SelfStock'!AM39&lt;&gt;""),'T_SelfStock'!AM39,AL35-'Grid_Requirement'!AM35+'Grid_TTAFOutgoing'!AM35))</f>
        <v/>
      </c>
      <c r="AN35">
        <f>IF(COUNTIFS(T_StockCount[Part Name],$A35,T_StockCount[WeekIndex],39)&gt;0,SUMIFS(T_StockCount[CountedQty],T_StockCount[Part Name],$A35,T_StockCount[WeekIndex],39),IF(('T_SelfStock'!AN39&lt;&gt;""),'T_SelfStock'!AN39,AM35-'Grid_Requirement'!AN35+'Grid_TTAFOutgoing'!AN35))</f>
        <v/>
      </c>
      <c r="AO35">
        <f>IF(COUNTIFS(T_StockCount[Part Name],$A35,T_StockCount[WeekIndex],40)&gt;0,SUMIFS(T_StockCount[CountedQty],T_StockCount[Part Name],$A35,T_StockCount[WeekIndex],40),IF(('T_SelfStock'!AO39&lt;&gt;""),'T_SelfStock'!AO39,AN35-'Grid_Requirement'!AO35+'Grid_TTAFOutgoing'!AO35))</f>
        <v/>
      </c>
      <c r="AP35">
        <f>IF(COUNTIFS(T_StockCount[Part Name],$A35,T_StockCount[WeekIndex],41)&gt;0,SUMIFS(T_StockCount[CountedQty],T_StockCount[Part Name],$A35,T_StockCount[WeekIndex],41),IF(('T_SelfStock'!AP39&lt;&gt;""),'T_SelfStock'!AP39,AO35-'Grid_Requirement'!AP35+'Grid_TTAFOutgoing'!AP35))</f>
        <v/>
      </c>
      <c r="AQ35">
        <f>IF(COUNTIFS(T_StockCount[Part Name],$A35,T_StockCount[WeekIndex],42)&gt;0,SUMIFS(T_StockCount[CountedQty],T_StockCount[Part Name],$A35,T_StockCount[WeekIndex],42),IF(('T_SelfStock'!AQ39&lt;&gt;""),'T_SelfStock'!AQ39,AP35-'Grid_Requirement'!AQ35+'Grid_TTAFOutgoing'!AQ35))</f>
        <v/>
      </c>
      <c r="AR35">
        <f>IF(COUNTIFS(T_StockCount[Part Name],$A35,T_StockCount[WeekIndex],43)&gt;0,SUMIFS(T_StockCount[CountedQty],T_StockCount[Part Name],$A35,T_StockCount[WeekIndex],43),IF(('T_SelfStock'!AR39&lt;&gt;""),'T_SelfStock'!AR39,AQ35-'Grid_Requirement'!AR35+'Grid_TTAFOutgoing'!AR35))</f>
        <v/>
      </c>
      <c r="AS35">
        <f>IF(COUNTIFS(T_StockCount[Part Name],$A35,T_StockCount[WeekIndex],44)&gt;0,SUMIFS(T_StockCount[CountedQty],T_StockCount[Part Name],$A35,T_StockCount[WeekIndex],44),IF(('T_SelfStock'!AS39&lt;&gt;""),'T_SelfStock'!AS39,AR35-'Grid_Requirement'!AS35+'Grid_TTAFOutgoing'!AS35))</f>
        <v/>
      </c>
      <c r="AT35">
        <f>IF(COUNTIFS(T_StockCount[Part Name],$A35,T_StockCount[WeekIndex],45)&gt;0,SUMIFS(T_StockCount[CountedQty],T_StockCount[Part Name],$A35,T_StockCount[WeekIndex],45),IF(('T_SelfStock'!AT39&lt;&gt;""),'T_SelfStock'!AT39,AS35-'Grid_Requirement'!AT35+'Grid_TTAFOutgoing'!AT35))</f>
        <v/>
      </c>
      <c r="AU35">
        <f>IF(COUNTIFS(T_StockCount[Part Name],$A35,T_StockCount[WeekIndex],46)&gt;0,SUMIFS(T_StockCount[CountedQty],T_StockCount[Part Name],$A35,T_StockCount[WeekIndex],46),IF(('T_SelfStock'!AU39&lt;&gt;""),'T_SelfStock'!AU39,AT35-'Grid_Requirement'!AU35+'Grid_TTAFOutgoing'!AU35))</f>
        <v/>
      </c>
      <c r="AV35">
        <f>IF(COUNTIFS(T_StockCount[Part Name],$A35,T_StockCount[WeekIndex],47)&gt;0,SUMIFS(T_StockCount[CountedQty],T_StockCount[Part Name],$A35,T_StockCount[WeekIndex],47),IF(('T_SelfStock'!AV39&lt;&gt;""),'T_SelfStock'!AV39,AU35-'Grid_Requirement'!AV35+'Grid_TTAFOutgoing'!AV35))</f>
        <v/>
      </c>
      <c r="AW35">
        <f>IF(COUNTIFS(T_StockCount[Part Name],$A35,T_StockCount[WeekIndex],48)&gt;0,SUMIFS(T_StockCount[CountedQty],T_StockCount[Part Name],$A35,T_StockCount[WeekIndex],48),IF(('T_SelfStock'!AW39&lt;&gt;""),'T_SelfStock'!AW39,AV35-'Grid_Requirement'!AW35+'Grid_TTAFOutgoing'!AW35))</f>
        <v/>
      </c>
      <c r="AX35">
        <f>IF(COUNTIFS(T_StockCount[Part Name],$A35,T_StockCount[WeekIndex],49)&gt;0,SUMIFS(T_StockCount[CountedQty],T_StockCount[Part Name],$A35,T_StockCount[WeekIndex],49),IF(('T_SelfStock'!AX39&lt;&gt;""),'T_SelfStock'!AX39,AW35-'Grid_Requirement'!AX35+'Grid_TTAFOutgoing'!AX35))</f>
        <v/>
      </c>
      <c r="AY35">
        <f>IF(COUNTIFS(T_StockCount[Part Name],$A35,T_StockCount[WeekIndex],50)&gt;0,SUMIFS(T_StockCount[CountedQty],T_StockCount[Part Name],$A35,T_StockCount[WeekIndex],50),IF(('T_SelfStock'!AY39&lt;&gt;""),'T_SelfStock'!AY39,AX35-'Grid_Requirement'!AY35+'Grid_TTAFOutgoing'!AY35))</f>
        <v/>
      </c>
      <c r="AZ35">
        <f>IF(COUNTIFS(T_StockCount[Part Name],$A35,T_StockCount[WeekIndex],51)&gt;0,SUMIFS(T_StockCount[CountedQty],T_StockCount[Part Name],$A35,T_StockCount[WeekIndex],51),IF(('T_SelfStock'!AZ39&lt;&gt;""),'T_SelfStock'!AZ39,AY35-'Grid_Requirement'!AZ35+'Grid_TTAFOutgoing'!AZ35))</f>
        <v/>
      </c>
      <c r="BA35">
        <f>IF(COUNTIFS(T_StockCount[Part Name],$A35,T_StockCount[WeekIndex],52)&gt;0,SUMIFS(T_StockCount[CountedQty],T_StockCount[Part Name],$A35,T_StockCount[WeekIndex],52),IF(('T_SelfStock'!BA39&lt;&gt;""),'T_SelfStock'!BA39,AZ35-'Grid_Requirement'!BA35+'Grid_TTAFOutgoing'!BA35))</f>
        <v/>
      </c>
      <c r="BB35">
        <f>IF(COUNTIFS(T_StockCount[Part Name],$A35,T_StockCount[WeekIndex],53)&gt;0,SUMIFS(T_StockCount[CountedQty],T_StockCount[Part Name],$A35,T_StockCount[WeekIndex],53),IF(('T_SelfStock'!BB39&lt;&gt;""),'T_SelfStock'!BB39,BA35-'Grid_Requirement'!BB35+'Grid_TTAFOutgoing'!BB35))</f>
        <v/>
      </c>
      <c r="BC35">
        <f>IF(COUNTIFS(T_StockCount[Part Name],$A35,T_StockCount[WeekIndex],54)&gt;0,SUMIFS(T_StockCount[CountedQty],T_StockCount[Part Name],$A35,T_StockCount[WeekIndex],54),IF(('T_SelfStock'!BC39&lt;&gt;""),'T_SelfStock'!BC39,BB35-'Grid_Requirement'!BC35+'Grid_TTAFOutgoing'!BC35))</f>
        <v/>
      </c>
      <c r="BD35">
        <f>IF(COUNTIFS(T_StockCount[Part Name],$A35,T_StockCount[WeekIndex],55)&gt;0,SUMIFS(T_StockCount[CountedQty],T_StockCount[Part Name],$A35,T_StockCount[WeekIndex],55),IF(('T_SelfStock'!BD39&lt;&gt;""),'T_SelfStock'!BD39,BC35-'Grid_Requirement'!BD35+'Grid_TTAFOutgoing'!BD35))</f>
        <v/>
      </c>
      <c r="BE35">
        <f>IF(COUNTIFS(T_StockCount[Part Name],$A35,T_StockCount[WeekIndex],56)&gt;0,SUMIFS(T_StockCount[CountedQty],T_StockCount[Part Name],$A35,T_StockCount[WeekIndex],56),IF(('T_SelfStock'!BE39&lt;&gt;""),'T_SelfStock'!BE39,BD35-'Grid_Requirement'!BE35+'Grid_TTAFOutgoing'!BE35))</f>
        <v/>
      </c>
      <c r="BF35">
        <f>IF(COUNTIFS(T_StockCount[Part Name],$A35,T_StockCount[WeekIndex],57)&gt;0,SUMIFS(T_StockCount[CountedQty],T_StockCount[Part Name],$A35,T_StockCount[WeekIndex],57),IF(('T_SelfStock'!BF39&lt;&gt;""),'T_SelfStock'!BF39,BE35-'Grid_Requirement'!BF35+'Grid_TTAFOutgoing'!BF35))</f>
        <v/>
      </c>
      <c r="BG35">
        <f>IF(COUNTIFS(T_StockCount[Part Name],$A35,T_StockCount[WeekIndex],58)&gt;0,SUMIFS(T_StockCount[CountedQty],T_StockCount[Part Name],$A35,T_StockCount[WeekIndex],58),IF(('T_SelfStock'!BG39&lt;&gt;""),'T_SelfStock'!BG39,BF35-'Grid_Requirement'!BG35+'Grid_TTAFOutgoing'!BG35))</f>
        <v/>
      </c>
      <c r="BH35">
        <f>IF(COUNTIFS(T_StockCount[Part Name],$A35,T_StockCount[WeekIndex],59)&gt;0,SUMIFS(T_StockCount[CountedQty],T_StockCount[Part Name],$A35,T_StockCount[WeekIndex],59),IF(('T_SelfStock'!BH39&lt;&gt;""),'T_SelfStock'!BH39,BG35-'Grid_Requirement'!BH35+'Grid_TTAFOutgoing'!BH35))</f>
        <v/>
      </c>
      <c r="BI35">
        <f>IF(COUNTIFS(T_StockCount[Part Name],$A35,T_StockCount[WeekIndex],60)&gt;0,SUMIFS(T_StockCount[CountedQty],T_StockCount[Part Name],$A35,T_StockCount[WeekIndex],60),IF(('T_SelfStock'!BI39&lt;&gt;""),'T_SelfStock'!BI39,BH35-'Grid_Requirement'!BI35+'Grid_TTAFOutgoing'!BI35))</f>
        <v/>
      </c>
      <c r="BJ35">
        <f>IF(COUNTIFS(T_StockCount[Part Name],$A35,T_StockCount[WeekIndex],61)&gt;0,SUMIFS(T_StockCount[CountedQty],T_StockCount[Part Name],$A35,T_StockCount[WeekIndex],61),IF(('T_SelfStock'!BJ39&lt;&gt;""),'T_SelfStock'!BJ39,BI35-'Grid_Requirement'!BJ35+'Grid_TTAFOutgoing'!BJ35))</f>
        <v/>
      </c>
      <c r="BK35">
        <f>IF(COUNTIFS(T_StockCount[Part Name],$A35,T_StockCount[WeekIndex],62)&gt;0,SUMIFS(T_StockCount[CountedQty],T_StockCount[Part Name],$A35,T_StockCount[WeekIndex],62),IF(('T_SelfStock'!BK39&lt;&gt;""),'T_SelfStock'!BK39,BJ35-'Grid_Requirement'!BK35+'Grid_TTAFOutgoing'!BK35))</f>
        <v/>
      </c>
      <c r="BL35">
        <f>IF(COUNTIFS(T_StockCount[Part Name],$A35,T_StockCount[WeekIndex],63)&gt;0,SUMIFS(T_StockCount[CountedQty],T_StockCount[Part Name],$A35,T_StockCount[WeekIndex],63),IF(('T_SelfStock'!BL39&lt;&gt;""),'T_SelfStock'!BL39,BK35-'Grid_Requirement'!BL35+'Grid_TTAFOutgoing'!BL35))</f>
        <v/>
      </c>
      <c r="BM35">
        <f>IF(COUNTIFS(T_StockCount[Part Name],$A35,T_StockCount[WeekIndex],64)&gt;0,SUMIFS(T_StockCount[CountedQty],T_StockCount[Part Name],$A35,T_StockCount[WeekIndex],64),IF(('T_SelfStock'!BM39&lt;&gt;""),'T_SelfStock'!BM39,BL35-'Grid_Requirement'!BM35+'Grid_TTAFOutgoing'!BM35))</f>
        <v/>
      </c>
      <c r="BN35">
        <f>IF(COUNTIFS(T_StockCount[Part Name],$A35,T_StockCount[WeekIndex],65)&gt;0,SUMIFS(T_StockCount[CountedQty],T_StockCount[Part Name],$A35,T_StockCount[WeekIndex],65),IF(('T_SelfStock'!BN39&lt;&gt;""),'T_SelfStock'!BN39,BM35-'Grid_Requirement'!BN35+'Grid_TTAFOutgoing'!BN35))</f>
        <v/>
      </c>
      <c r="BO35">
        <f>IF(COUNTIFS(T_StockCount[Part Name],$A35,T_StockCount[WeekIndex],66)&gt;0,SUMIFS(T_StockCount[CountedQty],T_StockCount[Part Name],$A35,T_StockCount[WeekIndex],66),IF(('T_SelfStock'!BO39&lt;&gt;""),'T_SelfStock'!BO39,BN35-'Grid_Requirement'!BO35+'Grid_TTAFOutgoing'!BO35))</f>
        <v/>
      </c>
      <c r="BP35">
        <f>IF(COUNTIFS(T_StockCount[Part Name],$A35,T_StockCount[WeekIndex],67)&gt;0,SUMIFS(T_StockCount[CountedQty],T_StockCount[Part Name],$A35,T_StockCount[WeekIndex],67),IF(('T_SelfStock'!BP39&lt;&gt;""),'T_SelfStock'!BP39,BO35-'Grid_Requirement'!BP35+'Grid_TTAFOutgoing'!BP35))</f>
        <v/>
      </c>
      <c r="BQ35">
        <f>IF(COUNTIFS(T_StockCount[Part Name],$A35,T_StockCount[WeekIndex],68)&gt;0,SUMIFS(T_StockCount[CountedQty],T_StockCount[Part Name],$A35,T_StockCount[WeekIndex],68),IF(('T_SelfStock'!BQ39&lt;&gt;""),'T_SelfStock'!BQ39,BP35-'Grid_Requirement'!BQ35+'Grid_TTAFOutgoing'!BQ35))</f>
        <v/>
      </c>
      <c r="BR35">
        <f>IF(COUNTIFS(T_StockCount[Part Name],$A35,T_StockCount[WeekIndex],69)&gt;0,SUMIFS(T_StockCount[CountedQty],T_StockCount[Part Name],$A35,T_StockCount[WeekIndex],69),IF(('T_SelfStock'!BR39&lt;&gt;""),'T_SelfStock'!BR39,BQ35-'Grid_Requirement'!BR35+'Grid_TTAFOutgoing'!BR35))</f>
        <v/>
      </c>
      <c r="BS35">
        <f>IF(COUNTIFS(T_StockCount[Part Name],$A35,T_StockCount[WeekIndex],70)&gt;0,SUMIFS(T_StockCount[CountedQty],T_StockCount[Part Name],$A35,T_StockCount[WeekIndex],70),IF(('T_SelfStock'!BS39&lt;&gt;""),'T_SelfStock'!BS39,BR35-'Grid_Requirement'!BS35+'Grid_TTAFOutgoing'!BS35))</f>
        <v/>
      </c>
      <c r="BT35">
        <f>IF(COUNTIFS(T_StockCount[Part Name],$A35,T_StockCount[WeekIndex],71)&gt;0,SUMIFS(T_StockCount[CountedQty],T_StockCount[Part Name],$A35,T_StockCount[WeekIndex],71),IF(('T_SelfStock'!BT39&lt;&gt;""),'T_SelfStock'!BT39,BS35-'Grid_Requirement'!BT35+'Grid_TTAFOutgoing'!BT35))</f>
        <v/>
      </c>
      <c r="BU35">
        <f>IF(COUNTIFS(T_StockCount[Part Name],$A35,T_StockCount[WeekIndex],72)&gt;0,SUMIFS(T_StockCount[CountedQty],T_StockCount[Part Name],$A35,T_StockCount[WeekIndex],72),IF(('T_SelfStock'!BU39&lt;&gt;""),'T_SelfStock'!BU39,BT35-'Grid_Requirement'!BU35+'Grid_TTAFOutgoing'!BU35))</f>
        <v/>
      </c>
      <c r="BV35">
        <f>IF(COUNTIFS(T_StockCount[Part Name],$A35,T_StockCount[WeekIndex],73)&gt;0,SUMIFS(T_StockCount[CountedQty],T_StockCount[Part Name],$A35,T_StockCount[WeekIndex],73),IF(('T_SelfStock'!BV39&lt;&gt;""),'T_SelfStock'!BV39,BU35-'Grid_Requirement'!BV35+'Grid_TTAFOutgoing'!BV35))</f>
        <v/>
      </c>
      <c r="BW35">
        <f>IF(COUNTIFS(T_StockCount[Part Name],$A35,T_StockCount[WeekIndex],74)&gt;0,SUMIFS(T_StockCount[CountedQty],T_StockCount[Part Name],$A35,T_StockCount[WeekIndex],74),IF(('T_SelfStock'!BW39&lt;&gt;""),'T_SelfStock'!BW39,BV35-'Grid_Requirement'!BW35+'Grid_TTAFOutgoing'!BW35))</f>
        <v/>
      </c>
      <c r="BX35">
        <f>IF(COUNTIFS(T_StockCount[Part Name],$A35,T_StockCount[WeekIndex],75)&gt;0,SUMIFS(T_StockCount[CountedQty],T_StockCount[Part Name],$A35,T_StockCount[WeekIndex],75),IF(('T_SelfStock'!BX39&lt;&gt;""),'T_SelfStock'!BX39,BW35-'Grid_Requirement'!BX35+'Grid_TTAFOutgoing'!BX35))</f>
        <v/>
      </c>
      <c r="BY35">
        <f>IF(COUNTIFS(T_StockCount[Part Name],$A35,T_StockCount[WeekIndex],76)&gt;0,SUMIFS(T_StockCount[CountedQty],T_StockCount[Part Name],$A35,T_StockCount[WeekIndex],76),IF(('T_SelfStock'!BY39&lt;&gt;""),'T_SelfStock'!BY39,BX35-'Grid_Requirement'!BY35+'Grid_TTAFOutgoing'!BY35))</f>
        <v/>
      </c>
      <c r="BZ35">
        <f>IF(COUNTIFS(T_StockCount[Part Name],$A35,T_StockCount[WeekIndex],77)&gt;0,SUMIFS(T_StockCount[CountedQty],T_StockCount[Part Name],$A35,T_StockCount[WeekIndex],77),IF(('T_SelfStock'!BZ39&lt;&gt;""),'T_SelfStock'!BZ39,BY35-'Grid_Requirement'!BZ35+'Grid_TTAFOutgoing'!BZ35))</f>
        <v/>
      </c>
      <c r="CA35">
        <f>IF(COUNTIFS(T_StockCount[Part Name],$A35,T_StockCount[WeekIndex],78)&gt;0,SUMIFS(T_StockCount[CountedQty],T_StockCount[Part Name],$A35,T_StockCount[WeekIndex],78),IF(('T_SelfStock'!CA39&lt;&gt;""),'T_SelfStock'!CA39,BZ35-'Grid_Requirement'!CA35+'Grid_TTAFOutgoing'!CA35))</f>
        <v/>
      </c>
      <c r="CB35">
        <f>IF(COUNTIFS(T_StockCount[Part Name],$A35,T_StockCount[WeekIndex],79)&gt;0,SUMIFS(T_StockCount[CountedQty],T_StockCount[Part Name],$A35,T_StockCount[WeekIndex],79),IF(('T_SelfStock'!CB39&lt;&gt;""),'T_SelfStock'!CB39,CA35-'Grid_Requirement'!CB35+'Grid_TTAFOutgoing'!CB35))</f>
        <v/>
      </c>
      <c r="CC35">
        <f>IF(COUNTIFS(T_StockCount[Part Name],$A35,T_StockCount[WeekIndex],80)&gt;0,SUMIFS(T_StockCount[CountedQty],T_StockCount[Part Name],$A35,T_StockCount[WeekIndex],80),IF(('T_SelfStock'!CC39&lt;&gt;""),'T_SelfStock'!CC39,CB35-'Grid_Requirement'!CC35+'Grid_TTAFOutgoing'!CC35))</f>
        <v/>
      </c>
      <c r="CD35">
        <f>IF(COUNTIFS(T_StockCount[Part Name],$A35,T_StockCount[WeekIndex],81)&gt;0,SUMIFS(T_StockCount[CountedQty],T_StockCount[Part Name],$A35,T_StockCount[WeekIndex],81),IF(('T_SelfStock'!CD39&lt;&gt;""),'T_SelfStock'!CD39,CC35-'Grid_Requirement'!CD35+'Grid_TTAFOutgoing'!CD35))</f>
        <v/>
      </c>
      <c r="CE35">
        <f>IF(COUNTIFS(T_StockCount[Part Name],$A35,T_StockCount[WeekIndex],82)&gt;0,SUMIFS(T_StockCount[CountedQty],T_StockCount[Part Name],$A35,T_StockCount[WeekIndex],82),IF(('T_SelfStock'!CE39&lt;&gt;""),'T_SelfStock'!CE39,CD35-'Grid_Requirement'!CE35+'Grid_TTAFOutgoing'!CE35))</f>
        <v/>
      </c>
      <c r="CF35">
        <f>IF(COUNTIFS(T_StockCount[Part Name],$A35,T_StockCount[WeekIndex],83)&gt;0,SUMIFS(T_StockCount[CountedQty],T_StockCount[Part Name],$A35,T_StockCount[WeekIndex],83),IF(('T_SelfStock'!CF39&lt;&gt;""),'T_SelfStock'!CF39,CE35-'Grid_Requirement'!CF35+'Grid_TTAFOutgoing'!CF35))</f>
        <v/>
      </c>
      <c r="CG35">
        <f>IF(COUNTIFS(T_StockCount[Part Name],$A35,T_StockCount[WeekIndex],84)&gt;0,SUMIFS(T_StockCount[CountedQty],T_StockCount[Part Name],$A35,T_StockCount[WeekIndex],84),IF(('T_SelfStock'!CG39&lt;&gt;""),'T_SelfStock'!CG39,CF35-'Grid_Requirement'!CG35+'Grid_TTAFOutgoing'!CG35))</f>
        <v/>
      </c>
      <c r="CH35">
        <f>IF(COUNTIFS(T_StockCount[Part Name],$A35,T_StockCount[WeekIndex],85)&gt;0,SUMIFS(T_StockCount[CountedQty],T_StockCount[Part Name],$A35,T_StockCount[WeekIndex],85),IF(('T_SelfStock'!CH39&lt;&gt;""),'T_SelfStock'!CH39,CG35-'Grid_Requirement'!CH35+'Grid_TTAFOutgoing'!CH35))</f>
        <v/>
      </c>
      <c r="CI35">
        <f>IF(COUNTIFS(T_StockCount[Part Name],$A35,T_StockCount[WeekIndex],86)&gt;0,SUMIFS(T_StockCount[CountedQty],T_StockCount[Part Name],$A35,T_StockCount[WeekIndex],86),IF(('T_SelfStock'!CI39&lt;&gt;""),'T_SelfStock'!CI39,CH35-'Grid_Requirement'!CI35+'Grid_TTAFOutgoing'!CI35))</f>
        <v/>
      </c>
      <c r="CJ35">
        <f>IF(COUNTIFS(T_StockCount[Part Name],$A35,T_StockCount[WeekIndex],87)&gt;0,SUMIFS(T_StockCount[CountedQty],T_StockCount[Part Name],$A35,T_StockCount[WeekIndex],87),IF(('T_SelfStock'!CJ39&lt;&gt;""),'T_SelfStock'!CJ39,CI35-'Grid_Requirement'!CJ35+'Grid_TTAFOutgoing'!CJ35))</f>
        <v/>
      </c>
      <c r="CK35">
        <f>IF(COUNTIFS(T_StockCount[Part Name],$A35,T_StockCount[WeekIndex],88)&gt;0,SUMIFS(T_StockCount[CountedQty],T_StockCount[Part Name],$A35,T_StockCount[WeekIndex],88),IF(('T_SelfStock'!CK39&lt;&gt;""),'T_SelfStock'!CK39,CJ35-'Grid_Requirement'!CK35+'Grid_TTAFOutgoing'!CK35))</f>
        <v/>
      </c>
      <c r="CL35">
        <f>IF(COUNTIFS(T_StockCount[Part Name],$A35,T_StockCount[WeekIndex],89)&gt;0,SUMIFS(T_StockCount[CountedQty],T_StockCount[Part Name],$A35,T_StockCount[WeekIndex],89),IF(('T_SelfStock'!CL39&lt;&gt;""),'T_SelfStock'!CL39,CK35-'Grid_Requirement'!CL35+'Grid_TTAFOutgoing'!CL35))</f>
        <v/>
      </c>
      <c r="CM35">
        <f>IF(COUNTIFS(T_StockCount[Part Name],$A35,T_StockCount[WeekIndex],90)&gt;0,SUMIFS(T_StockCount[CountedQty],T_StockCount[Part Name],$A35,T_StockCount[WeekIndex],90),IF(('T_SelfStock'!CM39&lt;&gt;""),'T_SelfStock'!CM39,CL35-'Grid_Requirement'!CM35+'Grid_TTAFOutgoing'!CM35))</f>
        <v/>
      </c>
      <c r="CN35">
        <f>IF(COUNTIFS(T_StockCount[Part Name],$A35,T_StockCount[WeekIndex],91)&gt;0,SUMIFS(T_StockCount[CountedQty],T_StockCount[Part Name],$A35,T_StockCount[WeekIndex],91),IF(('T_SelfStock'!CN39&lt;&gt;""),'T_SelfStock'!CN39,CM35-'Grid_Requirement'!CN35+'Grid_TTAFOutgoing'!CN35))</f>
        <v/>
      </c>
      <c r="CO35">
        <f>IF(COUNTIFS(T_StockCount[Part Name],$A35,T_StockCount[WeekIndex],92)&gt;0,SUMIFS(T_StockCount[CountedQty],T_StockCount[Part Name],$A35,T_StockCount[WeekIndex],92),IF(('T_SelfStock'!CO39&lt;&gt;""),'T_SelfStock'!CO39,CN35-'Grid_Requirement'!CO35+'Grid_TTAFOutgoing'!CO35))</f>
        <v/>
      </c>
      <c r="CP35">
        <f>IF(COUNTIFS(T_StockCount[Part Name],$A35,T_StockCount[WeekIndex],93)&gt;0,SUMIFS(T_StockCount[CountedQty],T_StockCount[Part Name],$A35,T_StockCount[WeekIndex],93),IF(('T_SelfStock'!CP39&lt;&gt;""),'T_SelfStock'!CP39,CO35-'Grid_Requirement'!CP35+'Grid_TTAFOutgoing'!CP35))</f>
        <v/>
      </c>
      <c r="CQ35">
        <f>IF(COUNTIFS(T_StockCount[Part Name],$A35,T_StockCount[WeekIndex],94)&gt;0,SUMIFS(T_StockCount[CountedQty],T_StockCount[Part Name],$A35,T_StockCount[WeekIndex],94),IF(('T_SelfStock'!CQ39&lt;&gt;""),'T_SelfStock'!CQ39,CP35-'Grid_Requirement'!CQ35+'Grid_TTAFOutgoing'!CQ35))</f>
        <v/>
      </c>
      <c r="CR35">
        <f>IF(COUNTIFS(T_StockCount[Part Name],$A35,T_StockCount[WeekIndex],95)&gt;0,SUMIFS(T_StockCount[CountedQty],T_StockCount[Part Name],$A35,T_StockCount[WeekIndex],95),IF(('T_SelfStock'!CR39&lt;&gt;""),'T_SelfStock'!CR39,CQ35-'Grid_Requirement'!CR35+'Grid_TTAFOutgoing'!CR35))</f>
        <v/>
      </c>
      <c r="CS35">
        <f>IF(COUNTIFS(T_StockCount[Part Name],$A35,T_StockCount[WeekIndex],96)&gt;0,SUMIFS(T_StockCount[CountedQty],T_StockCount[Part Name],$A35,T_StockCount[WeekIndex],96),IF(('T_SelfStock'!CS39&lt;&gt;""),'T_SelfStock'!CS39,CR35-'Grid_Requirement'!CS35+'Grid_TTAFOutgoing'!CS35))</f>
        <v/>
      </c>
      <c r="CT35">
        <f>IF(COUNTIFS(T_StockCount[Part Name],$A35,T_StockCount[WeekIndex],97)&gt;0,SUMIFS(T_StockCount[CountedQty],T_StockCount[Part Name],$A35,T_StockCount[WeekIndex],97),IF(('T_SelfStock'!CT39&lt;&gt;""),'T_SelfStock'!CT39,CS35-'Grid_Requirement'!CT35+'Grid_TTAFOutgoing'!CT35))</f>
        <v/>
      </c>
      <c r="CU35">
        <f>IF(COUNTIFS(T_StockCount[Part Name],$A35,T_StockCount[WeekIndex],98)&gt;0,SUMIFS(T_StockCount[CountedQty],T_StockCount[Part Name],$A35,T_StockCount[WeekIndex],98),IF(('T_SelfStock'!CU39&lt;&gt;""),'T_SelfStock'!CU39,CT35-'Grid_Requirement'!CU35+'Grid_TTAFOutgoing'!CU35))</f>
        <v/>
      </c>
      <c r="CV35">
        <f>IF(COUNTIFS(T_StockCount[Part Name],$A35,T_StockCount[WeekIndex],99)&gt;0,SUMIFS(T_StockCount[CountedQty],T_StockCount[Part Name],$A35,T_StockCount[WeekIndex],99),IF(('T_SelfStock'!CV39&lt;&gt;""),'T_SelfStock'!CV39,CU35-'Grid_Requirement'!CV35+'Grid_TTAFOutgoing'!CV35))</f>
        <v/>
      </c>
      <c r="CW35">
        <f>IF(COUNTIFS(T_StockCount[Part Name],$A35,T_StockCount[WeekIndex],100)&gt;0,SUMIFS(T_StockCount[CountedQty],T_StockCount[Part Name],$A35,T_StockCount[WeekIndex],100),IF(('T_SelfStock'!CW39&lt;&gt;""),'T_SelfStock'!CW39,CV35-'Grid_Requirement'!CW35+'Grid_TTAFOutgoing'!CW35))</f>
        <v/>
      </c>
      <c r="CX35">
        <f>IF(COUNTIFS(T_StockCount[Part Name],$A35,T_StockCount[WeekIndex],101)&gt;0,SUMIFS(T_StockCount[CountedQty],T_StockCount[Part Name],$A35,T_StockCount[WeekIndex],101),IF(('T_SelfStock'!CX39&lt;&gt;""),'T_SelfStock'!CX39,CW35-'Grid_Requirement'!CX35+'Grid_TTAFOutgoing'!CX35))</f>
        <v/>
      </c>
      <c r="CY35">
        <f>IF(COUNTIFS(T_StockCount[Part Name],$A35,T_StockCount[WeekIndex],102)&gt;0,SUMIFS(T_StockCount[CountedQty],T_StockCount[Part Name],$A35,T_StockCount[WeekIndex],102),IF(('T_SelfStock'!CY39&lt;&gt;""),'T_SelfStock'!CY39,CX35-'Grid_Requirement'!CY35+'Grid_TTAFOutgoing'!CY35))</f>
        <v/>
      </c>
      <c r="CZ35">
        <f>IF(COUNTIFS(T_StockCount[Part Name],$A35,T_StockCount[WeekIndex],103)&gt;0,SUMIFS(T_StockCount[CountedQty],T_StockCount[Part Name],$A35,T_StockCount[WeekIndex],103),IF(('T_SelfStock'!CZ39&lt;&gt;""),'T_SelfStock'!CZ39,CY35-'Grid_Requirement'!CZ35+'Grid_TTAFOutgoing'!CZ35))</f>
        <v/>
      </c>
      <c r="DA35">
        <f>IF(COUNTIFS(T_StockCount[Part Name],$A35,T_StockCount[WeekIndex],104)&gt;0,SUMIFS(T_StockCount[CountedQty],T_StockCount[Part Name],$A35,T_StockCount[WeekIndex],104),IF(('T_SelfStock'!DA39&lt;&gt;""),'T_SelfStock'!DA39,CZ35-'Grid_Requirement'!DA35+'Grid_TTAFOutgoing'!DA35))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Name],$A36,T_StockCount[WeekIndex],1),IF(('T_SelfStock'!B40&lt;&gt;""),'T_SelfStock'!B40,IFERROR(INDEX(T_OpeningStock[Opening_Qty],MATCH($A36,T_OpeningStock[Part Name],0)),0)-'Grid_Requirement'!B36+'Grid_TTAFOutgoing'!B36))</f>
        <v/>
      </c>
      <c r="C36">
        <f>IF(COUNTIFS(T_StockCount[Part Name],$A36,T_StockCount[WeekIndex],2)&gt;0,SUMIFS(T_StockCount[CountedQty],T_StockCount[Part Name],$A36,T_StockCount[WeekIndex],2),IF(('T_SelfStock'!C40&lt;&gt;""),'T_SelfStock'!C40,B36-'Grid_Requirement'!C36+'Grid_TTAFOutgoing'!C36))</f>
        <v/>
      </c>
      <c r="D36">
        <f>IF(COUNTIFS(T_StockCount[Part Name],$A36,T_StockCount[WeekIndex],3)&gt;0,SUMIFS(T_StockCount[CountedQty],T_StockCount[Part Name],$A36,T_StockCount[WeekIndex],3),IF(('T_SelfStock'!D40&lt;&gt;""),'T_SelfStock'!D40,C36-'Grid_Requirement'!D36+'Grid_TTAFOutgoing'!D36))</f>
        <v/>
      </c>
      <c r="E36">
        <f>IF(COUNTIFS(T_StockCount[Part Name],$A36,T_StockCount[WeekIndex],4)&gt;0,SUMIFS(T_StockCount[CountedQty],T_StockCount[Part Name],$A36,T_StockCount[WeekIndex],4),IF(('T_SelfStock'!E40&lt;&gt;""),'T_SelfStock'!E40,D36-'Grid_Requirement'!E36+'Grid_TTAFOutgoing'!E36))</f>
        <v/>
      </c>
      <c r="F36">
        <f>IF(COUNTIFS(T_StockCount[Part Name],$A36,T_StockCount[WeekIndex],5)&gt;0,SUMIFS(T_StockCount[CountedQty],T_StockCount[Part Name],$A36,T_StockCount[WeekIndex],5),IF(('T_SelfStock'!F40&lt;&gt;""),'T_SelfStock'!F40,E36-'Grid_Requirement'!F36+'Grid_TTAFOutgoing'!F36))</f>
        <v/>
      </c>
      <c r="G36">
        <f>IF(COUNTIFS(T_StockCount[Part Name],$A36,T_StockCount[WeekIndex],6)&gt;0,SUMIFS(T_StockCount[CountedQty],T_StockCount[Part Name],$A36,T_StockCount[WeekIndex],6),IF(('T_SelfStock'!G40&lt;&gt;""),'T_SelfStock'!G40,F36-'Grid_Requirement'!G36+'Grid_TTAFOutgoing'!G36))</f>
        <v/>
      </c>
      <c r="H36">
        <f>IF(COUNTIFS(T_StockCount[Part Name],$A36,T_StockCount[WeekIndex],7)&gt;0,SUMIFS(T_StockCount[CountedQty],T_StockCount[Part Name],$A36,T_StockCount[WeekIndex],7),IF(('T_SelfStock'!H40&lt;&gt;""),'T_SelfStock'!H40,G36-'Grid_Requirement'!H36+'Grid_TTAFOutgoing'!H36))</f>
        <v/>
      </c>
      <c r="I36">
        <f>IF(COUNTIFS(T_StockCount[Part Name],$A36,T_StockCount[WeekIndex],8)&gt;0,SUMIFS(T_StockCount[CountedQty],T_StockCount[Part Name],$A36,T_StockCount[WeekIndex],8),IF(('T_SelfStock'!I40&lt;&gt;""),'T_SelfStock'!I40,H36-'Grid_Requirement'!I36+'Grid_TTAFOutgoing'!I36))</f>
        <v/>
      </c>
      <c r="J36">
        <f>IF(COUNTIFS(T_StockCount[Part Name],$A36,T_StockCount[WeekIndex],9)&gt;0,SUMIFS(T_StockCount[CountedQty],T_StockCount[Part Name],$A36,T_StockCount[WeekIndex],9),IF(('T_SelfStock'!J40&lt;&gt;""),'T_SelfStock'!J40,I36-'Grid_Requirement'!J36+'Grid_TTAFOutgoing'!J36))</f>
        <v/>
      </c>
      <c r="K36">
        <f>IF(COUNTIFS(T_StockCount[Part Name],$A36,T_StockCount[WeekIndex],10)&gt;0,SUMIFS(T_StockCount[CountedQty],T_StockCount[Part Name],$A36,T_StockCount[WeekIndex],10),IF(('T_SelfStock'!K40&lt;&gt;""),'T_SelfStock'!K40,J36-'Grid_Requirement'!K36+'Grid_TTAFOutgoing'!K36))</f>
        <v/>
      </c>
      <c r="L36">
        <f>IF(COUNTIFS(T_StockCount[Part Name],$A36,T_StockCount[WeekIndex],11)&gt;0,SUMIFS(T_StockCount[CountedQty],T_StockCount[Part Name],$A36,T_StockCount[WeekIndex],11),IF(('T_SelfStock'!L40&lt;&gt;""),'T_SelfStock'!L40,K36-'Grid_Requirement'!L36+'Grid_TTAFOutgoing'!L36))</f>
        <v/>
      </c>
      <c r="M36">
        <f>IF(COUNTIFS(T_StockCount[Part Name],$A36,T_StockCount[WeekIndex],12)&gt;0,SUMIFS(T_StockCount[CountedQty],T_StockCount[Part Name],$A36,T_StockCount[WeekIndex],12),IF(('T_SelfStock'!M40&lt;&gt;""),'T_SelfStock'!M40,L36-'Grid_Requirement'!M36+'Grid_TTAFOutgoing'!M36))</f>
        <v/>
      </c>
      <c r="N36">
        <f>IF(COUNTIFS(T_StockCount[Part Name],$A36,T_StockCount[WeekIndex],13)&gt;0,SUMIFS(T_StockCount[CountedQty],T_StockCount[Part Name],$A36,T_StockCount[WeekIndex],13),IF(('T_SelfStock'!N40&lt;&gt;""),'T_SelfStock'!N40,M36-'Grid_Requirement'!N36+'Grid_TTAFOutgoing'!N36))</f>
        <v/>
      </c>
      <c r="O36">
        <f>IF(COUNTIFS(T_StockCount[Part Name],$A36,T_StockCount[WeekIndex],14)&gt;0,SUMIFS(T_StockCount[CountedQty],T_StockCount[Part Name],$A36,T_StockCount[WeekIndex],14),IF(('T_SelfStock'!O40&lt;&gt;""),'T_SelfStock'!O40,N36-'Grid_Requirement'!O36+'Grid_TTAFOutgoing'!O36))</f>
        <v/>
      </c>
      <c r="P36">
        <f>IF(COUNTIFS(T_StockCount[Part Name],$A36,T_StockCount[WeekIndex],15)&gt;0,SUMIFS(T_StockCount[CountedQty],T_StockCount[Part Name],$A36,T_StockCount[WeekIndex],15),IF(('T_SelfStock'!P40&lt;&gt;""),'T_SelfStock'!P40,O36-'Grid_Requirement'!P36+'Grid_TTAFOutgoing'!P36))</f>
        <v/>
      </c>
      <c r="Q36">
        <f>IF(COUNTIFS(T_StockCount[Part Name],$A36,T_StockCount[WeekIndex],16)&gt;0,SUMIFS(T_StockCount[CountedQty],T_StockCount[Part Name],$A36,T_StockCount[WeekIndex],16),IF(('T_SelfStock'!Q40&lt;&gt;""),'T_SelfStock'!Q40,P36-'Grid_Requirement'!Q36+'Grid_TTAFOutgoing'!Q36))</f>
        <v/>
      </c>
      <c r="R36">
        <f>IF(COUNTIFS(T_StockCount[Part Name],$A36,T_StockCount[WeekIndex],17)&gt;0,SUMIFS(T_StockCount[CountedQty],T_StockCount[Part Name],$A36,T_StockCount[WeekIndex],17),IF(('T_SelfStock'!R40&lt;&gt;""),'T_SelfStock'!R40,Q36-'Grid_Requirement'!R36+'Grid_TTAFOutgoing'!R36))</f>
        <v/>
      </c>
      <c r="S36">
        <f>IF(COUNTIFS(T_StockCount[Part Name],$A36,T_StockCount[WeekIndex],18)&gt;0,SUMIFS(T_StockCount[CountedQty],T_StockCount[Part Name],$A36,T_StockCount[WeekIndex],18),IF(('T_SelfStock'!S40&lt;&gt;""),'T_SelfStock'!S40,R36-'Grid_Requirement'!S36+'Grid_TTAFOutgoing'!S36))</f>
        <v/>
      </c>
      <c r="T36">
        <f>IF(COUNTIFS(T_StockCount[Part Name],$A36,T_StockCount[WeekIndex],19)&gt;0,SUMIFS(T_StockCount[CountedQty],T_StockCount[Part Name],$A36,T_StockCount[WeekIndex],19),IF(('T_SelfStock'!T40&lt;&gt;""),'T_SelfStock'!T40,S36-'Grid_Requirement'!T36+'Grid_TTAFOutgoing'!T36))</f>
        <v/>
      </c>
      <c r="U36">
        <f>IF(COUNTIFS(T_StockCount[Part Name],$A36,T_StockCount[WeekIndex],20)&gt;0,SUMIFS(T_StockCount[CountedQty],T_StockCount[Part Name],$A36,T_StockCount[WeekIndex],20),IF(('T_SelfStock'!U40&lt;&gt;""),'T_SelfStock'!U40,T36-'Grid_Requirement'!U36+'Grid_TTAFOutgoing'!U36))</f>
        <v/>
      </c>
      <c r="V36">
        <f>IF(COUNTIFS(T_StockCount[Part Name],$A36,T_StockCount[WeekIndex],21)&gt;0,SUMIFS(T_StockCount[CountedQty],T_StockCount[Part Name],$A36,T_StockCount[WeekIndex],21),IF(('T_SelfStock'!V40&lt;&gt;""),'T_SelfStock'!V40,U36-'Grid_Requirement'!V36+'Grid_TTAFOutgoing'!V36))</f>
        <v/>
      </c>
      <c r="W36">
        <f>IF(COUNTIFS(T_StockCount[Part Name],$A36,T_StockCount[WeekIndex],22)&gt;0,SUMIFS(T_StockCount[CountedQty],T_StockCount[Part Name],$A36,T_StockCount[WeekIndex],22),IF(('T_SelfStock'!W40&lt;&gt;""),'T_SelfStock'!W40,V36-'Grid_Requirement'!W36+'Grid_TTAFOutgoing'!W36))</f>
        <v/>
      </c>
      <c r="X36">
        <f>IF(COUNTIFS(T_StockCount[Part Name],$A36,T_StockCount[WeekIndex],23)&gt;0,SUMIFS(T_StockCount[CountedQty],T_StockCount[Part Name],$A36,T_StockCount[WeekIndex],23),IF(('T_SelfStock'!X40&lt;&gt;""),'T_SelfStock'!X40,W36-'Grid_Requirement'!X36+'Grid_TTAFOutgoing'!X36))</f>
        <v/>
      </c>
      <c r="Y36">
        <f>IF(COUNTIFS(T_StockCount[Part Name],$A36,T_StockCount[WeekIndex],24)&gt;0,SUMIFS(T_StockCount[CountedQty],T_StockCount[Part Name],$A36,T_StockCount[WeekIndex],24),IF(('T_SelfStock'!Y40&lt;&gt;""),'T_SelfStock'!Y40,X36-'Grid_Requirement'!Y36+'Grid_TTAFOutgoing'!Y36))</f>
        <v/>
      </c>
      <c r="Z36">
        <f>IF(COUNTIFS(T_StockCount[Part Name],$A36,T_StockCount[WeekIndex],25)&gt;0,SUMIFS(T_StockCount[CountedQty],T_StockCount[Part Name],$A36,T_StockCount[WeekIndex],25),IF(('T_SelfStock'!Z40&lt;&gt;""),'T_SelfStock'!Z40,Y36-'Grid_Requirement'!Z36+'Grid_TTAFOutgoing'!Z36))</f>
        <v/>
      </c>
      <c r="AA36">
        <f>IF(COUNTIFS(T_StockCount[Part Name],$A36,T_StockCount[WeekIndex],26)&gt;0,SUMIFS(T_StockCount[CountedQty],T_StockCount[Part Name],$A36,T_StockCount[WeekIndex],26),IF(('T_SelfStock'!AA40&lt;&gt;""),'T_SelfStock'!AA40,Z36-'Grid_Requirement'!AA36+'Grid_TTAFOutgoing'!AA36))</f>
        <v/>
      </c>
      <c r="AB36">
        <f>IF(COUNTIFS(T_StockCount[Part Name],$A36,T_StockCount[WeekIndex],27)&gt;0,SUMIFS(T_StockCount[CountedQty],T_StockCount[Part Name],$A36,T_StockCount[WeekIndex],27),IF(('T_SelfStock'!AB40&lt;&gt;""),'T_SelfStock'!AB40,AA36-'Grid_Requirement'!AB36+'Grid_TTAFOutgoing'!AB36))</f>
        <v/>
      </c>
      <c r="AC36">
        <f>IF(COUNTIFS(T_StockCount[Part Name],$A36,T_StockCount[WeekIndex],28)&gt;0,SUMIFS(T_StockCount[CountedQty],T_StockCount[Part Name],$A36,T_StockCount[WeekIndex],28),IF(('T_SelfStock'!AC40&lt;&gt;""),'T_SelfStock'!AC40,AB36-'Grid_Requirement'!AC36+'Grid_TTAFOutgoing'!AC36))</f>
        <v/>
      </c>
      <c r="AD36">
        <f>IF(COUNTIFS(T_StockCount[Part Name],$A36,T_StockCount[WeekIndex],29)&gt;0,SUMIFS(T_StockCount[CountedQty],T_StockCount[Part Name],$A36,T_StockCount[WeekIndex],29),IF(('T_SelfStock'!AD40&lt;&gt;""),'T_SelfStock'!AD40,AC36-'Grid_Requirement'!AD36+'Grid_TTAFOutgoing'!AD36))</f>
        <v/>
      </c>
      <c r="AE36">
        <f>IF(COUNTIFS(T_StockCount[Part Name],$A36,T_StockCount[WeekIndex],30)&gt;0,SUMIFS(T_StockCount[CountedQty],T_StockCount[Part Name],$A36,T_StockCount[WeekIndex],30),IF(('T_SelfStock'!AE40&lt;&gt;""),'T_SelfStock'!AE40,AD36-'Grid_Requirement'!AE36+'Grid_TTAFOutgoing'!AE36))</f>
        <v/>
      </c>
      <c r="AF36">
        <f>IF(COUNTIFS(T_StockCount[Part Name],$A36,T_StockCount[WeekIndex],31)&gt;0,SUMIFS(T_StockCount[CountedQty],T_StockCount[Part Name],$A36,T_StockCount[WeekIndex],31),IF(('T_SelfStock'!AF40&lt;&gt;""),'T_SelfStock'!AF40,AE36-'Grid_Requirement'!AF36+'Grid_TTAFOutgoing'!AF36))</f>
        <v/>
      </c>
      <c r="AG36">
        <f>IF(COUNTIFS(T_StockCount[Part Name],$A36,T_StockCount[WeekIndex],32)&gt;0,SUMIFS(T_StockCount[CountedQty],T_StockCount[Part Name],$A36,T_StockCount[WeekIndex],32),IF(('T_SelfStock'!AG40&lt;&gt;""),'T_SelfStock'!AG40,AF36-'Grid_Requirement'!AG36+'Grid_TTAFOutgoing'!AG36))</f>
        <v/>
      </c>
      <c r="AH36">
        <f>IF(COUNTIFS(T_StockCount[Part Name],$A36,T_StockCount[WeekIndex],33)&gt;0,SUMIFS(T_StockCount[CountedQty],T_StockCount[Part Name],$A36,T_StockCount[WeekIndex],33),IF(('T_SelfStock'!AH40&lt;&gt;""),'T_SelfStock'!AH40,AG36-'Grid_Requirement'!AH36+'Grid_TTAFOutgoing'!AH36))</f>
        <v/>
      </c>
      <c r="AI36">
        <f>IF(COUNTIFS(T_StockCount[Part Name],$A36,T_StockCount[WeekIndex],34)&gt;0,SUMIFS(T_StockCount[CountedQty],T_StockCount[Part Name],$A36,T_StockCount[WeekIndex],34),IF(('T_SelfStock'!AI40&lt;&gt;""),'T_SelfStock'!AI40,AH36-'Grid_Requirement'!AI36+'Grid_TTAFOutgoing'!AI36))</f>
        <v/>
      </c>
      <c r="AJ36">
        <f>IF(COUNTIFS(T_StockCount[Part Name],$A36,T_StockCount[WeekIndex],35)&gt;0,SUMIFS(T_StockCount[CountedQty],T_StockCount[Part Name],$A36,T_StockCount[WeekIndex],35),IF(('T_SelfStock'!AJ40&lt;&gt;""),'T_SelfStock'!AJ40,AI36-'Grid_Requirement'!AJ36+'Grid_TTAFOutgoing'!AJ36))</f>
        <v/>
      </c>
      <c r="AK36">
        <f>IF(COUNTIFS(T_StockCount[Part Name],$A36,T_StockCount[WeekIndex],36)&gt;0,SUMIFS(T_StockCount[CountedQty],T_StockCount[Part Name],$A36,T_StockCount[WeekIndex],36),IF(('T_SelfStock'!AK40&lt;&gt;""),'T_SelfStock'!AK40,AJ36-'Grid_Requirement'!AK36+'Grid_TTAFOutgoing'!AK36))</f>
        <v/>
      </c>
      <c r="AL36">
        <f>IF(COUNTIFS(T_StockCount[Part Name],$A36,T_StockCount[WeekIndex],37)&gt;0,SUMIFS(T_StockCount[CountedQty],T_StockCount[Part Name],$A36,T_StockCount[WeekIndex],37),IF(('T_SelfStock'!AL40&lt;&gt;""),'T_SelfStock'!AL40,AK36-'Grid_Requirement'!AL36+'Grid_TTAFOutgoing'!AL36))</f>
        <v/>
      </c>
      <c r="AM36">
        <f>IF(COUNTIFS(T_StockCount[Part Name],$A36,T_StockCount[WeekIndex],38)&gt;0,SUMIFS(T_StockCount[CountedQty],T_StockCount[Part Name],$A36,T_StockCount[WeekIndex],38),IF(('T_SelfStock'!AM40&lt;&gt;""),'T_SelfStock'!AM40,AL36-'Grid_Requirement'!AM36+'Grid_TTAFOutgoing'!AM36))</f>
        <v/>
      </c>
      <c r="AN36">
        <f>IF(COUNTIFS(T_StockCount[Part Name],$A36,T_StockCount[WeekIndex],39)&gt;0,SUMIFS(T_StockCount[CountedQty],T_StockCount[Part Name],$A36,T_StockCount[WeekIndex],39),IF(('T_SelfStock'!AN40&lt;&gt;""),'T_SelfStock'!AN40,AM36-'Grid_Requirement'!AN36+'Grid_TTAFOutgoing'!AN36))</f>
        <v/>
      </c>
      <c r="AO36">
        <f>IF(COUNTIFS(T_StockCount[Part Name],$A36,T_StockCount[WeekIndex],40)&gt;0,SUMIFS(T_StockCount[CountedQty],T_StockCount[Part Name],$A36,T_StockCount[WeekIndex],40),IF(('T_SelfStock'!AO40&lt;&gt;""),'T_SelfStock'!AO40,AN36-'Grid_Requirement'!AO36+'Grid_TTAFOutgoing'!AO36))</f>
        <v/>
      </c>
      <c r="AP36">
        <f>IF(COUNTIFS(T_StockCount[Part Name],$A36,T_StockCount[WeekIndex],41)&gt;0,SUMIFS(T_StockCount[CountedQty],T_StockCount[Part Name],$A36,T_StockCount[WeekIndex],41),IF(('T_SelfStock'!AP40&lt;&gt;""),'T_SelfStock'!AP40,AO36-'Grid_Requirement'!AP36+'Grid_TTAFOutgoing'!AP36))</f>
        <v/>
      </c>
      <c r="AQ36">
        <f>IF(COUNTIFS(T_StockCount[Part Name],$A36,T_StockCount[WeekIndex],42)&gt;0,SUMIFS(T_StockCount[CountedQty],T_StockCount[Part Name],$A36,T_StockCount[WeekIndex],42),IF(('T_SelfStock'!AQ40&lt;&gt;""),'T_SelfStock'!AQ40,AP36-'Grid_Requirement'!AQ36+'Grid_TTAFOutgoing'!AQ36))</f>
        <v/>
      </c>
      <c r="AR36">
        <f>IF(COUNTIFS(T_StockCount[Part Name],$A36,T_StockCount[WeekIndex],43)&gt;0,SUMIFS(T_StockCount[CountedQty],T_StockCount[Part Name],$A36,T_StockCount[WeekIndex],43),IF(('T_SelfStock'!AR40&lt;&gt;""),'T_SelfStock'!AR40,AQ36-'Grid_Requirement'!AR36+'Grid_TTAFOutgoing'!AR36))</f>
        <v/>
      </c>
      <c r="AS36">
        <f>IF(COUNTIFS(T_StockCount[Part Name],$A36,T_StockCount[WeekIndex],44)&gt;0,SUMIFS(T_StockCount[CountedQty],T_StockCount[Part Name],$A36,T_StockCount[WeekIndex],44),IF(('T_SelfStock'!AS40&lt;&gt;""),'T_SelfStock'!AS40,AR36-'Grid_Requirement'!AS36+'Grid_TTAFOutgoing'!AS36))</f>
        <v/>
      </c>
      <c r="AT36">
        <f>IF(COUNTIFS(T_StockCount[Part Name],$A36,T_StockCount[WeekIndex],45)&gt;0,SUMIFS(T_StockCount[CountedQty],T_StockCount[Part Name],$A36,T_StockCount[WeekIndex],45),IF(('T_SelfStock'!AT40&lt;&gt;""),'T_SelfStock'!AT40,AS36-'Grid_Requirement'!AT36+'Grid_TTAFOutgoing'!AT36))</f>
        <v/>
      </c>
      <c r="AU36">
        <f>IF(COUNTIFS(T_StockCount[Part Name],$A36,T_StockCount[WeekIndex],46)&gt;0,SUMIFS(T_StockCount[CountedQty],T_StockCount[Part Name],$A36,T_StockCount[WeekIndex],46),IF(('T_SelfStock'!AU40&lt;&gt;""),'T_SelfStock'!AU40,AT36-'Grid_Requirement'!AU36+'Grid_TTAFOutgoing'!AU36))</f>
        <v/>
      </c>
      <c r="AV36">
        <f>IF(COUNTIFS(T_StockCount[Part Name],$A36,T_StockCount[WeekIndex],47)&gt;0,SUMIFS(T_StockCount[CountedQty],T_StockCount[Part Name],$A36,T_StockCount[WeekIndex],47),IF(('T_SelfStock'!AV40&lt;&gt;""),'T_SelfStock'!AV40,AU36-'Grid_Requirement'!AV36+'Grid_TTAFOutgoing'!AV36))</f>
        <v/>
      </c>
      <c r="AW36">
        <f>IF(COUNTIFS(T_StockCount[Part Name],$A36,T_StockCount[WeekIndex],48)&gt;0,SUMIFS(T_StockCount[CountedQty],T_StockCount[Part Name],$A36,T_StockCount[WeekIndex],48),IF(('T_SelfStock'!AW40&lt;&gt;""),'T_SelfStock'!AW40,AV36-'Grid_Requirement'!AW36+'Grid_TTAFOutgoing'!AW36))</f>
        <v/>
      </c>
      <c r="AX36">
        <f>IF(COUNTIFS(T_StockCount[Part Name],$A36,T_StockCount[WeekIndex],49)&gt;0,SUMIFS(T_StockCount[CountedQty],T_StockCount[Part Name],$A36,T_StockCount[WeekIndex],49),IF(('T_SelfStock'!AX40&lt;&gt;""),'T_SelfStock'!AX40,AW36-'Grid_Requirement'!AX36+'Grid_TTAFOutgoing'!AX36))</f>
        <v/>
      </c>
      <c r="AY36">
        <f>IF(COUNTIFS(T_StockCount[Part Name],$A36,T_StockCount[WeekIndex],50)&gt;0,SUMIFS(T_StockCount[CountedQty],T_StockCount[Part Name],$A36,T_StockCount[WeekIndex],50),IF(('T_SelfStock'!AY40&lt;&gt;""),'T_SelfStock'!AY40,AX36-'Grid_Requirement'!AY36+'Grid_TTAFOutgoing'!AY36))</f>
        <v/>
      </c>
      <c r="AZ36">
        <f>IF(COUNTIFS(T_StockCount[Part Name],$A36,T_StockCount[WeekIndex],51)&gt;0,SUMIFS(T_StockCount[CountedQty],T_StockCount[Part Name],$A36,T_StockCount[WeekIndex],51),IF(('T_SelfStock'!AZ40&lt;&gt;""),'T_SelfStock'!AZ40,AY36-'Grid_Requirement'!AZ36+'Grid_TTAFOutgoing'!AZ36))</f>
        <v/>
      </c>
      <c r="BA36">
        <f>IF(COUNTIFS(T_StockCount[Part Name],$A36,T_StockCount[WeekIndex],52)&gt;0,SUMIFS(T_StockCount[CountedQty],T_StockCount[Part Name],$A36,T_StockCount[WeekIndex],52),IF(('T_SelfStock'!BA40&lt;&gt;""),'T_SelfStock'!BA40,AZ36-'Grid_Requirement'!BA36+'Grid_TTAFOutgoing'!BA36))</f>
        <v/>
      </c>
      <c r="BB36">
        <f>IF(COUNTIFS(T_StockCount[Part Name],$A36,T_StockCount[WeekIndex],53)&gt;0,SUMIFS(T_StockCount[CountedQty],T_StockCount[Part Name],$A36,T_StockCount[WeekIndex],53),IF(('T_SelfStock'!BB40&lt;&gt;""),'T_SelfStock'!BB40,BA36-'Grid_Requirement'!BB36+'Grid_TTAFOutgoing'!BB36))</f>
        <v/>
      </c>
      <c r="BC36">
        <f>IF(COUNTIFS(T_StockCount[Part Name],$A36,T_StockCount[WeekIndex],54)&gt;0,SUMIFS(T_StockCount[CountedQty],T_StockCount[Part Name],$A36,T_StockCount[WeekIndex],54),IF(('T_SelfStock'!BC40&lt;&gt;""),'T_SelfStock'!BC40,BB36-'Grid_Requirement'!BC36+'Grid_TTAFOutgoing'!BC36))</f>
        <v/>
      </c>
      <c r="BD36">
        <f>IF(COUNTIFS(T_StockCount[Part Name],$A36,T_StockCount[WeekIndex],55)&gt;0,SUMIFS(T_StockCount[CountedQty],T_StockCount[Part Name],$A36,T_StockCount[WeekIndex],55),IF(('T_SelfStock'!BD40&lt;&gt;""),'T_SelfStock'!BD40,BC36-'Grid_Requirement'!BD36+'Grid_TTAFOutgoing'!BD36))</f>
        <v/>
      </c>
      <c r="BE36">
        <f>IF(COUNTIFS(T_StockCount[Part Name],$A36,T_StockCount[WeekIndex],56)&gt;0,SUMIFS(T_StockCount[CountedQty],T_StockCount[Part Name],$A36,T_StockCount[WeekIndex],56),IF(('T_SelfStock'!BE40&lt;&gt;""),'T_SelfStock'!BE40,BD36-'Grid_Requirement'!BE36+'Grid_TTAFOutgoing'!BE36))</f>
        <v/>
      </c>
      <c r="BF36">
        <f>IF(COUNTIFS(T_StockCount[Part Name],$A36,T_StockCount[WeekIndex],57)&gt;0,SUMIFS(T_StockCount[CountedQty],T_StockCount[Part Name],$A36,T_StockCount[WeekIndex],57),IF(('T_SelfStock'!BF40&lt;&gt;""),'T_SelfStock'!BF40,BE36-'Grid_Requirement'!BF36+'Grid_TTAFOutgoing'!BF36))</f>
        <v/>
      </c>
      <c r="BG36">
        <f>IF(COUNTIFS(T_StockCount[Part Name],$A36,T_StockCount[WeekIndex],58)&gt;0,SUMIFS(T_StockCount[CountedQty],T_StockCount[Part Name],$A36,T_StockCount[WeekIndex],58),IF(('T_SelfStock'!BG40&lt;&gt;""),'T_SelfStock'!BG40,BF36-'Grid_Requirement'!BG36+'Grid_TTAFOutgoing'!BG36))</f>
        <v/>
      </c>
      <c r="BH36">
        <f>IF(COUNTIFS(T_StockCount[Part Name],$A36,T_StockCount[WeekIndex],59)&gt;0,SUMIFS(T_StockCount[CountedQty],T_StockCount[Part Name],$A36,T_StockCount[WeekIndex],59),IF(('T_SelfStock'!BH40&lt;&gt;""),'T_SelfStock'!BH40,BG36-'Grid_Requirement'!BH36+'Grid_TTAFOutgoing'!BH36))</f>
        <v/>
      </c>
      <c r="BI36">
        <f>IF(COUNTIFS(T_StockCount[Part Name],$A36,T_StockCount[WeekIndex],60)&gt;0,SUMIFS(T_StockCount[CountedQty],T_StockCount[Part Name],$A36,T_StockCount[WeekIndex],60),IF(('T_SelfStock'!BI40&lt;&gt;""),'T_SelfStock'!BI40,BH36-'Grid_Requirement'!BI36+'Grid_TTAFOutgoing'!BI36))</f>
        <v/>
      </c>
      <c r="BJ36">
        <f>IF(COUNTIFS(T_StockCount[Part Name],$A36,T_StockCount[WeekIndex],61)&gt;0,SUMIFS(T_StockCount[CountedQty],T_StockCount[Part Name],$A36,T_StockCount[WeekIndex],61),IF(('T_SelfStock'!BJ40&lt;&gt;""),'T_SelfStock'!BJ40,BI36-'Grid_Requirement'!BJ36+'Grid_TTAFOutgoing'!BJ36))</f>
        <v/>
      </c>
      <c r="BK36">
        <f>IF(COUNTIFS(T_StockCount[Part Name],$A36,T_StockCount[WeekIndex],62)&gt;0,SUMIFS(T_StockCount[CountedQty],T_StockCount[Part Name],$A36,T_StockCount[WeekIndex],62),IF(('T_SelfStock'!BK40&lt;&gt;""),'T_SelfStock'!BK40,BJ36-'Grid_Requirement'!BK36+'Grid_TTAFOutgoing'!BK36))</f>
        <v/>
      </c>
      <c r="BL36">
        <f>IF(COUNTIFS(T_StockCount[Part Name],$A36,T_StockCount[WeekIndex],63)&gt;0,SUMIFS(T_StockCount[CountedQty],T_StockCount[Part Name],$A36,T_StockCount[WeekIndex],63),IF(('T_SelfStock'!BL40&lt;&gt;""),'T_SelfStock'!BL40,BK36-'Grid_Requirement'!BL36+'Grid_TTAFOutgoing'!BL36))</f>
        <v/>
      </c>
      <c r="BM36">
        <f>IF(COUNTIFS(T_StockCount[Part Name],$A36,T_StockCount[WeekIndex],64)&gt;0,SUMIFS(T_StockCount[CountedQty],T_StockCount[Part Name],$A36,T_StockCount[WeekIndex],64),IF(('T_SelfStock'!BM40&lt;&gt;""),'T_SelfStock'!BM40,BL36-'Grid_Requirement'!BM36+'Grid_TTAFOutgoing'!BM36))</f>
        <v/>
      </c>
      <c r="BN36">
        <f>IF(COUNTIFS(T_StockCount[Part Name],$A36,T_StockCount[WeekIndex],65)&gt;0,SUMIFS(T_StockCount[CountedQty],T_StockCount[Part Name],$A36,T_StockCount[WeekIndex],65),IF(('T_SelfStock'!BN40&lt;&gt;""),'T_SelfStock'!BN40,BM36-'Grid_Requirement'!BN36+'Grid_TTAFOutgoing'!BN36))</f>
        <v/>
      </c>
      <c r="BO36">
        <f>IF(COUNTIFS(T_StockCount[Part Name],$A36,T_StockCount[WeekIndex],66)&gt;0,SUMIFS(T_StockCount[CountedQty],T_StockCount[Part Name],$A36,T_StockCount[WeekIndex],66),IF(('T_SelfStock'!BO40&lt;&gt;""),'T_SelfStock'!BO40,BN36-'Grid_Requirement'!BO36+'Grid_TTAFOutgoing'!BO36))</f>
        <v/>
      </c>
      <c r="BP36">
        <f>IF(COUNTIFS(T_StockCount[Part Name],$A36,T_StockCount[WeekIndex],67)&gt;0,SUMIFS(T_StockCount[CountedQty],T_StockCount[Part Name],$A36,T_StockCount[WeekIndex],67),IF(('T_SelfStock'!BP40&lt;&gt;""),'T_SelfStock'!BP40,BO36-'Grid_Requirement'!BP36+'Grid_TTAFOutgoing'!BP36))</f>
        <v/>
      </c>
      <c r="BQ36">
        <f>IF(COUNTIFS(T_StockCount[Part Name],$A36,T_StockCount[WeekIndex],68)&gt;0,SUMIFS(T_StockCount[CountedQty],T_StockCount[Part Name],$A36,T_StockCount[WeekIndex],68),IF(('T_SelfStock'!BQ40&lt;&gt;""),'T_SelfStock'!BQ40,BP36-'Grid_Requirement'!BQ36+'Grid_TTAFOutgoing'!BQ36))</f>
        <v/>
      </c>
      <c r="BR36">
        <f>IF(COUNTIFS(T_StockCount[Part Name],$A36,T_StockCount[WeekIndex],69)&gt;0,SUMIFS(T_StockCount[CountedQty],T_StockCount[Part Name],$A36,T_StockCount[WeekIndex],69),IF(('T_SelfStock'!BR40&lt;&gt;""),'T_SelfStock'!BR40,BQ36-'Grid_Requirement'!BR36+'Grid_TTAFOutgoing'!BR36))</f>
        <v/>
      </c>
      <c r="BS36">
        <f>IF(COUNTIFS(T_StockCount[Part Name],$A36,T_StockCount[WeekIndex],70)&gt;0,SUMIFS(T_StockCount[CountedQty],T_StockCount[Part Name],$A36,T_StockCount[WeekIndex],70),IF(('T_SelfStock'!BS40&lt;&gt;""),'T_SelfStock'!BS40,BR36-'Grid_Requirement'!BS36+'Grid_TTAFOutgoing'!BS36))</f>
        <v/>
      </c>
      <c r="BT36">
        <f>IF(COUNTIFS(T_StockCount[Part Name],$A36,T_StockCount[WeekIndex],71)&gt;0,SUMIFS(T_StockCount[CountedQty],T_StockCount[Part Name],$A36,T_StockCount[WeekIndex],71),IF(('T_SelfStock'!BT40&lt;&gt;""),'T_SelfStock'!BT40,BS36-'Grid_Requirement'!BT36+'Grid_TTAFOutgoing'!BT36))</f>
        <v/>
      </c>
      <c r="BU36">
        <f>IF(COUNTIFS(T_StockCount[Part Name],$A36,T_StockCount[WeekIndex],72)&gt;0,SUMIFS(T_StockCount[CountedQty],T_StockCount[Part Name],$A36,T_StockCount[WeekIndex],72),IF(('T_SelfStock'!BU40&lt;&gt;""),'T_SelfStock'!BU40,BT36-'Grid_Requirement'!BU36+'Grid_TTAFOutgoing'!BU36))</f>
        <v/>
      </c>
      <c r="BV36">
        <f>IF(COUNTIFS(T_StockCount[Part Name],$A36,T_StockCount[WeekIndex],73)&gt;0,SUMIFS(T_StockCount[CountedQty],T_StockCount[Part Name],$A36,T_StockCount[WeekIndex],73),IF(('T_SelfStock'!BV40&lt;&gt;""),'T_SelfStock'!BV40,BU36-'Grid_Requirement'!BV36+'Grid_TTAFOutgoing'!BV36))</f>
        <v/>
      </c>
      <c r="BW36">
        <f>IF(COUNTIFS(T_StockCount[Part Name],$A36,T_StockCount[WeekIndex],74)&gt;0,SUMIFS(T_StockCount[CountedQty],T_StockCount[Part Name],$A36,T_StockCount[WeekIndex],74),IF(('T_SelfStock'!BW40&lt;&gt;""),'T_SelfStock'!BW40,BV36-'Grid_Requirement'!BW36+'Grid_TTAFOutgoing'!BW36))</f>
        <v/>
      </c>
      <c r="BX36">
        <f>IF(COUNTIFS(T_StockCount[Part Name],$A36,T_StockCount[WeekIndex],75)&gt;0,SUMIFS(T_StockCount[CountedQty],T_StockCount[Part Name],$A36,T_StockCount[WeekIndex],75),IF(('T_SelfStock'!BX40&lt;&gt;""),'T_SelfStock'!BX40,BW36-'Grid_Requirement'!BX36+'Grid_TTAFOutgoing'!BX36))</f>
        <v/>
      </c>
      <c r="BY36">
        <f>IF(COUNTIFS(T_StockCount[Part Name],$A36,T_StockCount[WeekIndex],76)&gt;0,SUMIFS(T_StockCount[CountedQty],T_StockCount[Part Name],$A36,T_StockCount[WeekIndex],76),IF(('T_SelfStock'!BY40&lt;&gt;""),'T_SelfStock'!BY40,BX36-'Grid_Requirement'!BY36+'Grid_TTAFOutgoing'!BY36))</f>
        <v/>
      </c>
      <c r="BZ36">
        <f>IF(COUNTIFS(T_StockCount[Part Name],$A36,T_StockCount[WeekIndex],77)&gt;0,SUMIFS(T_StockCount[CountedQty],T_StockCount[Part Name],$A36,T_StockCount[WeekIndex],77),IF(('T_SelfStock'!BZ40&lt;&gt;""),'T_SelfStock'!BZ40,BY36-'Grid_Requirement'!BZ36+'Grid_TTAFOutgoing'!BZ36))</f>
        <v/>
      </c>
      <c r="CA36">
        <f>IF(COUNTIFS(T_StockCount[Part Name],$A36,T_StockCount[WeekIndex],78)&gt;0,SUMIFS(T_StockCount[CountedQty],T_StockCount[Part Name],$A36,T_StockCount[WeekIndex],78),IF(('T_SelfStock'!CA40&lt;&gt;""),'T_SelfStock'!CA40,BZ36-'Grid_Requirement'!CA36+'Grid_TTAFOutgoing'!CA36))</f>
        <v/>
      </c>
      <c r="CB36">
        <f>IF(COUNTIFS(T_StockCount[Part Name],$A36,T_StockCount[WeekIndex],79)&gt;0,SUMIFS(T_StockCount[CountedQty],T_StockCount[Part Name],$A36,T_StockCount[WeekIndex],79),IF(('T_SelfStock'!CB40&lt;&gt;""),'T_SelfStock'!CB40,CA36-'Grid_Requirement'!CB36+'Grid_TTAFOutgoing'!CB36))</f>
        <v/>
      </c>
      <c r="CC36">
        <f>IF(COUNTIFS(T_StockCount[Part Name],$A36,T_StockCount[WeekIndex],80)&gt;0,SUMIFS(T_StockCount[CountedQty],T_StockCount[Part Name],$A36,T_StockCount[WeekIndex],80),IF(('T_SelfStock'!CC40&lt;&gt;""),'T_SelfStock'!CC40,CB36-'Grid_Requirement'!CC36+'Grid_TTAFOutgoing'!CC36))</f>
        <v/>
      </c>
      <c r="CD36">
        <f>IF(COUNTIFS(T_StockCount[Part Name],$A36,T_StockCount[WeekIndex],81)&gt;0,SUMIFS(T_StockCount[CountedQty],T_StockCount[Part Name],$A36,T_StockCount[WeekIndex],81),IF(('T_SelfStock'!CD40&lt;&gt;""),'T_SelfStock'!CD40,CC36-'Grid_Requirement'!CD36+'Grid_TTAFOutgoing'!CD36))</f>
        <v/>
      </c>
      <c r="CE36">
        <f>IF(COUNTIFS(T_StockCount[Part Name],$A36,T_StockCount[WeekIndex],82)&gt;0,SUMIFS(T_StockCount[CountedQty],T_StockCount[Part Name],$A36,T_StockCount[WeekIndex],82),IF(('T_SelfStock'!CE40&lt;&gt;""),'T_SelfStock'!CE40,CD36-'Grid_Requirement'!CE36+'Grid_TTAFOutgoing'!CE36))</f>
        <v/>
      </c>
      <c r="CF36">
        <f>IF(COUNTIFS(T_StockCount[Part Name],$A36,T_StockCount[WeekIndex],83)&gt;0,SUMIFS(T_StockCount[CountedQty],T_StockCount[Part Name],$A36,T_StockCount[WeekIndex],83),IF(('T_SelfStock'!CF40&lt;&gt;""),'T_SelfStock'!CF40,CE36-'Grid_Requirement'!CF36+'Grid_TTAFOutgoing'!CF36))</f>
        <v/>
      </c>
      <c r="CG36">
        <f>IF(COUNTIFS(T_StockCount[Part Name],$A36,T_StockCount[WeekIndex],84)&gt;0,SUMIFS(T_StockCount[CountedQty],T_StockCount[Part Name],$A36,T_StockCount[WeekIndex],84),IF(('T_SelfStock'!CG40&lt;&gt;""),'T_SelfStock'!CG40,CF36-'Grid_Requirement'!CG36+'Grid_TTAFOutgoing'!CG36))</f>
        <v/>
      </c>
      <c r="CH36">
        <f>IF(COUNTIFS(T_StockCount[Part Name],$A36,T_StockCount[WeekIndex],85)&gt;0,SUMIFS(T_StockCount[CountedQty],T_StockCount[Part Name],$A36,T_StockCount[WeekIndex],85),IF(('T_SelfStock'!CH40&lt;&gt;""),'T_SelfStock'!CH40,CG36-'Grid_Requirement'!CH36+'Grid_TTAFOutgoing'!CH36))</f>
        <v/>
      </c>
      <c r="CI36">
        <f>IF(COUNTIFS(T_StockCount[Part Name],$A36,T_StockCount[WeekIndex],86)&gt;0,SUMIFS(T_StockCount[CountedQty],T_StockCount[Part Name],$A36,T_StockCount[WeekIndex],86),IF(('T_SelfStock'!CI40&lt;&gt;""),'T_SelfStock'!CI40,CH36-'Grid_Requirement'!CI36+'Grid_TTAFOutgoing'!CI36))</f>
        <v/>
      </c>
      <c r="CJ36">
        <f>IF(COUNTIFS(T_StockCount[Part Name],$A36,T_StockCount[WeekIndex],87)&gt;0,SUMIFS(T_StockCount[CountedQty],T_StockCount[Part Name],$A36,T_StockCount[WeekIndex],87),IF(('T_SelfStock'!CJ40&lt;&gt;""),'T_SelfStock'!CJ40,CI36-'Grid_Requirement'!CJ36+'Grid_TTAFOutgoing'!CJ36))</f>
        <v/>
      </c>
      <c r="CK36">
        <f>IF(COUNTIFS(T_StockCount[Part Name],$A36,T_StockCount[WeekIndex],88)&gt;0,SUMIFS(T_StockCount[CountedQty],T_StockCount[Part Name],$A36,T_StockCount[WeekIndex],88),IF(('T_SelfStock'!CK40&lt;&gt;""),'T_SelfStock'!CK40,CJ36-'Grid_Requirement'!CK36+'Grid_TTAFOutgoing'!CK36))</f>
        <v/>
      </c>
      <c r="CL36">
        <f>IF(COUNTIFS(T_StockCount[Part Name],$A36,T_StockCount[WeekIndex],89)&gt;0,SUMIFS(T_StockCount[CountedQty],T_StockCount[Part Name],$A36,T_StockCount[WeekIndex],89),IF(('T_SelfStock'!CL40&lt;&gt;""),'T_SelfStock'!CL40,CK36-'Grid_Requirement'!CL36+'Grid_TTAFOutgoing'!CL36))</f>
        <v/>
      </c>
      <c r="CM36">
        <f>IF(COUNTIFS(T_StockCount[Part Name],$A36,T_StockCount[WeekIndex],90)&gt;0,SUMIFS(T_StockCount[CountedQty],T_StockCount[Part Name],$A36,T_StockCount[WeekIndex],90),IF(('T_SelfStock'!CM40&lt;&gt;""),'T_SelfStock'!CM40,CL36-'Grid_Requirement'!CM36+'Grid_TTAFOutgoing'!CM36))</f>
        <v/>
      </c>
      <c r="CN36">
        <f>IF(COUNTIFS(T_StockCount[Part Name],$A36,T_StockCount[WeekIndex],91)&gt;0,SUMIFS(T_StockCount[CountedQty],T_StockCount[Part Name],$A36,T_StockCount[WeekIndex],91),IF(('T_SelfStock'!CN40&lt;&gt;""),'T_SelfStock'!CN40,CM36-'Grid_Requirement'!CN36+'Grid_TTAFOutgoing'!CN36))</f>
        <v/>
      </c>
      <c r="CO36">
        <f>IF(COUNTIFS(T_StockCount[Part Name],$A36,T_StockCount[WeekIndex],92)&gt;0,SUMIFS(T_StockCount[CountedQty],T_StockCount[Part Name],$A36,T_StockCount[WeekIndex],92),IF(('T_SelfStock'!CO40&lt;&gt;""),'T_SelfStock'!CO40,CN36-'Grid_Requirement'!CO36+'Grid_TTAFOutgoing'!CO36))</f>
        <v/>
      </c>
      <c r="CP36">
        <f>IF(COUNTIFS(T_StockCount[Part Name],$A36,T_StockCount[WeekIndex],93)&gt;0,SUMIFS(T_StockCount[CountedQty],T_StockCount[Part Name],$A36,T_StockCount[WeekIndex],93),IF(('T_SelfStock'!CP40&lt;&gt;""),'T_SelfStock'!CP40,CO36-'Grid_Requirement'!CP36+'Grid_TTAFOutgoing'!CP36))</f>
        <v/>
      </c>
      <c r="CQ36">
        <f>IF(COUNTIFS(T_StockCount[Part Name],$A36,T_StockCount[WeekIndex],94)&gt;0,SUMIFS(T_StockCount[CountedQty],T_StockCount[Part Name],$A36,T_StockCount[WeekIndex],94),IF(('T_SelfStock'!CQ40&lt;&gt;""),'T_SelfStock'!CQ40,CP36-'Grid_Requirement'!CQ36+'Grid_TTAFOutgoing'!CQ36))</f>
        <v/>
      </c>
      <c r="CR36">
        <f>IF(COUNTIFS(T_StockCount[Part Name],$A36,T_StockCount[WeekIndex],95)&gt;0,SUMIFS(T_StockCount[CountedQty],T_StockCount[Part Name],$A36,T_StockCount[WeekIndex],95),IF(('T_SelfStock'!CR40&lt;&gt;""),'T_SelfStock'!CR40,CQ36-'Grid_Requirement'!CR36+'Grid_TTAFOutgoing'!CR36))</f>
        <v/>
      </c>
      <c r="CS36">
        <f>IF(COUNTIFS(T_StockCount[Part Name],$A36,T_StockCount[WeekIndex],96)&gt;0,SUMIFS(T_StockCount[CountedQty],T_StockCount[Part Name],$A36,T_StockCount[WeekIndex],96),IF(('T_SelfStock'!CS40&lt;&gt;""),'T_SelfStock'!CS40,CR36-'Grid_Requirement'!CS36+'Grid_TTAFOutgoing'!CS36))</f>
        <v/>
      </c>
      <c r="CT36">
        <f>IF(COUNTIFS(T_StockCount[Part Name],$A36,T_StockCount[WeekIndex],97)&gt;0,SUMIFS(T_StockCount[CountedQty],T_StockCount[Part Name],$A36,T_StockCount[WeekIndex],97),IF(('T_SelfStock'!CT40&lt;&gt;""),'T_SelfStock'!CT40,CS36-'Grid_Requirement'!CT36+'Grid_TTAFOutgoing'!CT36))</f>
        <v/>
      </c>
      <c r="CU36">
        <f>IF(COUNTIFS(T_StockCount[Part Name],$A36,T_StockCount[WeekIndex],98)&gt;0,SUMIFS(T_StockCount[CountedQty],T_StockCount[Part Name],$A36,T_StockCount[WeekIndex],98),IF(('T_SelfStock'!CU40&lt;&gt;""),'T_SelfStock'!CU40,CT36-'Grid_Requirement'!CU36+'Grid_TTAFOutgoing'!CU36))</f>
        <v/>
      </c>
      <c r="CV36">
        <f>IF(COUNTIFS(T_StockCount[Part Name],$A36,T_StockCount[WeekIndex],99)&gt;0,SUMIFS(T_StockCount[CountedQty],T_StockCount[Part Name],$A36,T_StockCount[WeekIndex],99),IF(('T_SelfStock'!CV40&lt;&gt;""),'T_SelfStock'!CV40,CU36-'Grid_Requirement'!CV36+'Grid_TTAFOutgoing'!CV36))</f>
        <v/>
      </c>
      <c r="CW36">
        <f>IF(COUNTIFS(T_StockCount[Part Name],$A36,T_StockCount[WeekIndex],100)&gt;0,SUMIFS(T_StockCount[CountedQty],T_StockCount[Part Name],$A36,T_StockCount[WeekIndex],100),IF(('T_SelfStock'!CW40&lt;&gt;""),'T_SelfStock'!CW40,CV36-'Grid_Requirement'!CW36+'Grid_TTAFOutgoing'!CW36))</f>
        <v/>
      </c>
      <c r="CX36">
        <f>IF(COUNTIFS(T_StockCount[Part Name],$A36,T_StockCount[WeekIndex],101)&gt;0,SUMIFS(T_StockCount[CountedQty],T_StockCount[Part Name],$A36,T_StockCount[WeekIndex],101),IF(('T_SelfStock'!CX40&lt;&gt;""),'T_SelfStock'!CX40,CW36-'Grid_Requirement'!CX36+'Grid_TTAFOutgoing'!CX36))</f>
        <v/>
      </c>
      <c r="CY36">
        <f>IF(COUNTIFS(T_StockCount[Part Name],$A36,T_StockCount[WeekIndex],102)&gt;0,SUMIFS(T_StockCount[CountedQty],T_StockCount[Part Name],$A36,T_StockCount[WeekIndex],102),IF(('T_SelfStock'!CY40&lt;&gt;""),'T_SelfStock'!CY40,CX36-'Grid_Requirement'!CY36+'Grid_TTAFOutgoing'!CY36))</f>
        <v/>
      </c>
      <c r="CZ36">
        <f>IF(COUNTIFS(T_StockCount[Part Name],$A36,T_StockCount[WeekIndex],103)&gt;0,SUMIFS(T_StockCount[CountedQty],T_StockCount[Part Name],$A36,T_StockCount[WeekIndex],103),IF(('T_SelfStock'!CZ40&lt;&gt;""),'T_SelfStock'!CZ40,CY36-'Grid_Requirement'!CZ36+'Grid_TTAFOutgoing'!CZ36))</f>
        <v/>
      </c>
      <c r="DA36">
        <f>IF(COUNTIFS(T_StockCount[Part Name],$A36,T_StockCount[WeekIndex],104)&gt;0,SUMIFS(T_StockCount[CountedQty],T_StockCount[Part Name],$A36,T_StockCount[WeekIndex],104),IF(('T_SelfStock'!DA40&lt;&gt;""),'T_SelfStock'!DA40,CZ36-'Grid_Requirement'!DA36+'Grid_TTAFOutgoing'!DA36))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Name],$A37,T_StockCount[WeekIndex],1),IF(('T_SelfStock'!B41&lt;&gt;""),'T_SelfStock'!B41,IFERROR(INDEX(T_OpeningStock[Opening_Qty],MATCH($A37,T_OpeningStock[Part Name],0)),0)-'Grid_Requirement'!B37+'Grid_TTAFOutgoing'!B37))</f>
        <v/>
      </c>
      <c r="C37">
        <f>IF(COUNTIFS(T_StockCount[Part Name],$A37,T_StockCount[WeekIndex],2)&gt;0,SUMIFS(T_StockCount[CountedQty],T_StockCount[Part Name],$A37,T_StockCount[WeekIndex],2),IF(('T_SelfStock'!C41&lt;&gt;""),'T_SelfStock'!C41,B37-'Grid_Requirement'!C37+'Grid_TTAFOutgoing'!C37))</f>
        <v/>
      </c>
      <c r="D37">
        <f>IF(COUNTIFS(T_StockCount[Part Name],$A37,T_StockCount[WeekIndex],3)&gt;0,SUMIFS(T_StockCount[CountedQty],T_StockCount[Part Name],$A37,T_StockCount[WeekIndex],3),IF(('T_SelfStock'!D41&lt;&gt;""),'T_SelfStock'!D41,C37-'Grid_Requirement'!D37+'Grid_TTAFOutgoing'!D37))</f>
        <v/>
      </c>
      <c r="E37">
        <f>IF(COUNTIFS(T_StockCount[Part Name],$A37,T_StockCount[WeekIndex],4)&gt;0,SUMIFS(T_StockCount[CountedQty],T_StockCount[Part Name],$A37,T_StockCount[WeekIndex],4),IF(('T_SelfStock'!E41&lt;&gt;""),'T_SelfStock'!E41,D37-'Grid_Requirement'!E37+'Grid_TTAFOutgoing'!E37))</f>
        <v/>
      </c>
      <c r="F37">
        <f>IF(COUNTIFS(T_StockCount[Part Name],$A37,T_StockCount[WeekIndex],5)&gt;0,SUMIFS(T_StockCount[CountedQty],T_StockCount[Part Name],$A37,T_StockCount[WeekIndex],5),IF(('T_SelfStock'!F41&lt;&gt;""),'T_SelfStock'!F41,E37-'Grid_Requirement'!F37+'Grid_TTAFOutgoing'!F37))</f>
        <v/>
      </c>
      <c r="G37">
        <f>IF(COUNTIFS(T_StockCount[Part Name],$A37,T_StockCount[WeekIndex],6)&gt;0,SUMIFS(T_StockCount[CountedQty],T_StockCount[Part Name],$A37,T_StockCount[WeekIndex],6),IF(('T_SelfStock'!G41&lt;&gt;""),'T_SelfStock'!G41,F37-'Grid_Requirement'!G37+'Grid_TTAFOutgoing'!G37))</f>
        <v/>
      </c>
      <c r="H37">
        <f>IF(COUNTIFS(T_StockCount[Part Name],$A37,T_StockCount[WeekIndex],7)&gt;0,SUMIFS(T_StockCount[CountedQty],T_StockCount[Part Name],$A37,T_StockCount[WeekIndex],7),IF(('T_SelfStock'!H41&lt;&gt;""),'T_SelfStock'!H41,G37-'Grid_Requirement'!H37+'Grid_TTAFOutgoing'!H37))</f>
        <v/>
      </c>
      <c r="I37">
        <f>IF(COUNTIFS(T_StockCount[Part Name],$A37,T_StockCount[WeekIndex],8)&gt;0,SUMIFS(T_StockCount[CountedQty],T_StockCount[Part Name],$A37,T_StockCount[WeekIndex],8),IF(('T_SelfStock'!I41&lt;&gt;""),'T_SelfStock'!I41,H37-'Grid_Requirement'!I37+'Grid_TTAFOutgoing'!I37))</f>
        <v/>
      </c>
      <c r="J37">
        <f>IF(COUNTIFS(T_StockCount[Part Name],$A37,T_StockCount[WeekIndex],9)&gt;0,SUMIFS(T_StockCount[CountedQty],T_StockCount[Part Name],$A37,T_StockCount[WeekIndex],9),IF(('T_SelfStock'!J41&lt;&gt;""),'T_SelfStock'!J41,I37-'Grid_Requirement'!J37+'Grid_TTAFOutgoing'!J37))</f>
        <v/>
      </c>
      <c r="K37">
        <f>IF(COUNTIFS(T_StockCount[Part Name],$A37,T_StockCount[WeekIndex],10)&gt;0,SUMIFS(T_StockCount[CountedQty],T_StockCount[Part Name],$A37,T_StockCount[WeekIndex],10),IF(('T_SelfStock'!K41&lt;&gt;""),'T_SelfStock'!K41,J37-'Grid_Requirement'!K37+'Grid_TTAFOutgoing'!K37))</f>
        <v/>
      </c>
      <c r="L37">
        <f>IF(COUNTIFS(T_StockCount[Part Name],$A37,T_StockCount[WeekIndex],11)&gt;0,SUMIFS(T_StockCount[CountedQty],T_StockCount[Part Name],$A37,T_StockCount[WeekIndex],11),IF(('T_SelfStock'!L41&lt;&gt;""),'T_SelfStock'!L41,K37-'Grid_Requirement'!L37+'Grid_TTAFOutgoing'!L37))</f>
        <v/>
      </c>
      <c r="M37">
        <f>IF(COUNTIFS(T_StockCount[Part Name],$A37,T_StockCount[WeekIndex],12)&gt;0,SUMIFS(T_StockCount[CountedQty],T_StockCount[Part Name],$A37,T_StockCount[WeekIndex],12),IF(('T_SelfStock'!M41&lt;&gt;""),'T_SelfStock'!M41,L37-'Grid_Requirement'!M37+'Grid_TTAFOutgoing'!M37))</f>
        <v/>
      </c>
      <c r="N37">
        <f>IF(COUNTIFS(T_StockCount[Part Name],$A37,T_StockCount[WeekIndex],13)&gt;0,SUMIFS(T_StockCount[CountedQty],T_StockCount[Part Name],$A37,T_StockCount[WeekIndex],13),IF(('T_SelfStock'!N41&lt;&gt;""),'T_SelfStock'!N41,M37-'Grid_Requirement'!N37+'Grid_TTAFOutgoing'!N37))</f>
        <v/>
      </c>
      <c r="O37">
        <f>IF(COUNTIFS(T_StockCount[Part Name],$A37,T_StockCount[WeekIndex],14)&gt;0,SUMIFS(T_StockCount[CountedQty],T_StockCount[Part Name],$A37,T_StockCount[WeekIndex],14),IF(('T_SelfStock'!O41&lt;&gt;""),'T_SelfStock'!O41,N37-'Grid_Requirement'!O37+'Grid_TTAFOutgoing'!O37))</f>
        <v/>
      </c>
      <c r="P37">
        <f>IF(COUNTIFS(T_StockCount[Part Name],$A37,T_StockCount[WeekIndex],15)&gt;0,SUMIFS(T_StockCount[CountedQty],T_StockCount[Part Name],$A37,T_StockCount[WeekIndex],15),IF(('T_SelfStock'!P41&lt;&gt;""),'T_SelfStock'!P41,O37-'Grid_Requirement'!P37+'Grid_TTAFOutgoing'!P37))</f>
        <v/>
      </c>
      <c r="Q37">
        <f>IF(COUNTIFS(T_StockCount[Part Name],$A37,T_StockCount[WeekIndex],16)&gt;0,SUMIFS(T_StockCount[CountedQty],T_StockCount[Part Name],$A37,T_StockCount[WeekIndex],16),IF(('T_SelfStock'!Q41&lt;&gt;""),'T_SelfStock'!Q41,P37-'Grid_Requirement'!Q37+'Grid_TTAFOutgoing'!Q37))</f>
        <v/>
      </c>
      <c r="R37">
        <f>IF(COUNTIFS(T_StockCount[Part Name],$A37,T_StockCount[WeekIndex],17)&gt;0,SUMIFS(T_StockCount[CountedQty],T_StockCount[Part Name],$A37,T_StockCount[WeekIndex],17),IF(('T_SelfStock'!R41&lt;&gt;""),'T_SelfStock'!R41,Q37-'Grid_Requirement'!R37+'Grid_TTAFOutgoing'!R37))</f>
        <v/>
      </c>
      <c r="S37">
        <f>IF(COUNTIFS(T_StockCount[Part Name],$A37,T_StockCount[WeekIndex],18)&gt;0,SUMIFS(T_StockCount[CountedQty],T_StockCount[Part Name],$A37,T_StockCount[WeekIndex],18),IF(('T_SelfStock'!S41&lt;&gt;""),'T_SelfStock'!S41,R37-'Grid_Requirement'!S37+'Grid_TTAFOutgoing'!S37))</f>
        <v/>
      </c>
      <c r="T37">
        <f>IF(COUNTIFS(T_StockCount[Part Name],$A37,T_StockCount[WeekIndex],19)&gt;0,SUMIFS(T_StockCount[CountedQty],T_StockCount[Part Name],$A37,T_StockCount[WeekIndex],19),IF(('T_SelfStock'!T41&lt;&gt;""),'T_SelfStock'!T41,S37-'Grid_Requirement'!T37+'Grid_TTAFOutgoing'!T37))</f>
        <v/>
      </c>
      <c r="U37">
        <f>IF(COUNTIFS(T_StockCount[Part Name],$A37,T_StockCount[WeekIndex],20)&gt;0,SUMIFS(T_StockCount[CountedQty],T_StockCount[Part Name],$A37,T_StockCount[WeekIndex],20),IF(('T_SelfStock'!U41&lt;&gt;""),'T_SelfStock'!U41,T37-'Grid_Requirement'!U37+'Grid_TTAFOutgoing'!U37))</f>
        <v/>
      </c>
      <c r="V37">
        <f>IF(COUNTIFS(T_StockCount[Part Name],$A37,T_StockCount[WeekIndex],21)&gt;0,SUMIFS(T_StockCount[CountedQty],T_StockCount[Part Name],$A37,T_StockCount[WeekIndex],21),IF(('T_SelfStock'!V41&lt;&gt;""),'T_SelfStock'!V41,U37-'Grid_Requirement'!V37+'Grid_TTAFOutgoing'!V37))</f>
        <v/>
      </c>
      <c r="W37">
        <f>IF(COUNTIFS(T_StockCount[Part Name],$A37,T_StockCount[WeekIndex],22)&gt;0,SUMIFS(T_StockCount[CountedQty],T_StockCount[Part Name],$A37,T_StockCount[WeekIndex],22),IF(('T_SelfStock'!W41&lt;&gt;""),'T_SelfStock'!W41,V37-'Grid_Requirement'!W37+'Grid_TTAFOutgoing'!W37))</f>
        <v/>
      </c>
      <c r="X37">
        <f>IF(COUNTIFS(T_StockCount[Part Name],$A37,T_StockCount[WeekIndex],23)&gt;0,SUMIFS(T_StockCount[CountedQty],T_StockCount[Part Name],$A37,T_StockCount[WeekIndex],23),IF(('T_SelfStock'!X41&lt;&gt;""),'T_SelfStock'!X41,W37-'Grid_Requirement'!X37+'Grid_TTAFOutgoing'!X37))</f>
        <v/>
      </c>
      <c r="Y37">
        <f>IF(COUNTIFS(T_StockCount[Part Name],$A37,T_StockCount[WeekIndex],24)&gt;0,SUMIFS(T_StockCount[CountedQty],T_StockCount[Part Name],$A37,T_StockCount[WeekIndex],24),IF(('T_SelfStock'!Y41&lt;&gt;""),'T_SelfStock'!Y41,X37-'Grid_Requirement'!Y37+'Grid_TTAFOutgoing'!Y37))</f>
        <v/>
      </c>
      <c r="Z37">
        <f>IF(COUNTIFS(T_StockCount[Part Name],$A37,T_StockCount[WeekIndex],25)&gt;0,SUMIFS(T_StockCount[CountedQty],T_StockCount[Part Name],$A37,T_StockCount[WeekIndex],25),IF(('T_SelfStock'!Z41&lt;&gt;""),'T_SelfStock'!Z41,Y37-'Grid_Requirement'!Z37+'Grid_TTAFOutgoing'!Z37))</f>
        <v/>
      </c>
      <c r="AA37">
        <f>IF(COUNTIFS(T_StockCount[Part Name],$A37,T_StockCount[WeekIndex],26)&gt;0,SUMIFS(T_StockCount[CountedQty],T_StockCount[Part Name],$A37,T_StockCount[WeekIndex],26),IF(('T_SelfStock'!AA41&lt;&gt;""),'T_SelfStock'!AA41,Z37-'Grid_Requirement'!AA37+'Grid_TTAFOutgoing'!AA37))</f>
        <v/>
      </c>
      <c r="AB37">
        <f>IF(COUNTIFS(T_StockCount[Part Name],$A37,T_StockCount[WeekIndex],27)&gt;0,SUMIFS(T_StockCount[CountedQty],T_StockCount[Part Name],$A37,T_StockCount[WeekIndex],27),IF(('T_SelfStock'!AB41&lt;&gt;""),'T_SelfStock'!AB41,AA37-'Grid_Requirement'!AB37+'Grid_TTAFOutgoing'!AB37))</f>
        <v/>
      </c>
      <c r="AC37">
        <f>IF(COUNTIFS(T_StockCount[Part Name],$A37,T_StockCount[WeekIndex],28)&gt;0,SUMIFS(T_StockCount[CountedQty],T_StockCount[Part Name],$A37,T_StockCount[WeekIndex],28),IF(('T_SelfStock'!AC41&lt;&gt;""),'T_SelfStock'!AC41,AB37-'Grid_Requirement'!AC37+'Grid_TTAFOutgoing'!AC37))</f>
        <v/>
      </c>
      <c r="AD37">
        <f>IF(COUNTIFS(T_StockCount[Part Name],$A37,T_StockCount[WeekIndex],29)&gt;0,SUMIFS(T_StockCount[CountedQty],T_StockCount[Part Name],$A37,T_StockCount[WeekIndex],29),IF(('T_SelfStock'!AD41&lt;&gt;""),'T_SelfStock'!AD41,AC37-'Grid_Requirement'!AD37+'Grid_TTAFOutgoing'!AD37))</f>
        <v/>
      </c>
      <c r="AE37">
        <f>IF(COUNTIFS(T_StockCount[Part Name],$A37,T_StockCount[WeekIndex],30)&gt;0,SUMIFS(T_StockCount[CountedQty],T_StockCount[Part Name],$A37,T_StockCount[WeekIndex],30),IF(('T_SelfStock'!AE41&lt;&gt;""),'T_SelfStock'!AE41,AD37-'Grid_Requirement'!AE37+'Grid_TTAFOutgoing'!AE37))</f>
        <v/>
      </c>
      <c r="AF37">
        <f>IF(COUNTIFS(T_StockCount[Part Name],$A37,T_StockCount[WeekIndex],31)&gt;0,SUMIFS(T_StockCount[CountedQty],T_StockCount[Part Name],$A37,T_StockCount[WeekIndex],31),IF(('T_SelfStock'!AF41&lt;&gt;""),'T_SelfStock'!AF41,AE37-'Grid_Requirement'!AF37+'Grid_TTAFOutgoing'!AF37))</f>
        <v/>
      </c>
      <c r="AG37">
        <f>IF(COUNTIFS(T_StockCount[Part Name],$A37,T_StockCount[WeekIndex],32)&gt;0,SUMIFS(T_StockCount[CountedQty],T_StockCount[Part Name],$A37,T_StockCount[WeekIndex],32),IF(('T_SelfStock'!AG41&lt;&gt;""),'T_SelfStock'!AG41,AF37-'Grid_Requirement'!AG37+'Grid_TTAFOutgoing'!AG37))</f>
        <v/>
      </c>
      <c r="AH37">
        <f>IF(COUNTIFS(T_StockCount[Part Name],$A37,T_StockCount[WeekIndex],33)&gt;0,SUMIFS(T_StockCount[CountedQty],T_StockCount[Part Name],$A37,T_StockCount[WeekIndex],33),IF(('T_SelfStock'!AH41&lt;&gt;""),'T_SelfStock'!AH41,AG37-'Grid_Requirement'!AH37+'Grid_TTAFOutgoing'!AH37))</f>
        <v/>
      </c>
      <c r="AI37">
        <f>IF(COUNTIFS(T_StockCount[Part Name],$A37,T_StockCount[WeekIndex],34)&gt;0,SUMIFS(T_StockCount[CountedQty],T_StockCount[Part Name],$A37,T_StockCount[WeekIndex],34),IF(('T_SelfStock'!AI41&lt;&gt;""),'T_SelfStock'!AI41,AH37-'Grid_Requirement'!AI37+'Grid_TTAFOutgoing'!AI37))</f>
        <v/>
      </c>
      <c r="AJ37">
        <f>IF(COUNTIFS(T_StockCount[Part Name],$A37,T_StockCount[WeekIndex],35)&gt;0,SUMIFS(T_StockCount[CountedQty],T_StockCount[Part Name],$A37,T_StockCount[WeekIndex],35),IF(('T_SelfStock'!AJ41&lt;&gt;""),'T_SelfStock'!AJ41,AI37-'Grid_Requirement'!AJ37+'Grid_TTAFOutgoing'!AJ37))</f>
        <v/>
      </c>
      <c r="AK37">
        <f>IF(COUNTIFS(T_StockCount[Part Name],$A37,T_StockCount[WeekIndex],36)&gt;0,SUMIFS(T_StockCount[CountedQty],T_StockCount[Part Name],$A37,T_StockCount[WeekIndex],36),IF(('T_SelfStock'!AK41&lt;&gt;""),'T_SelfStock'!AK41,AJ37-'Grid_Requirement'!AK37+'Grid_TTAFOutgoing'!AK37))</f>
        <v/>
      </c>
      <c r="AL37">
        <f>IF(COUNTIFS(T_StockCount[Part Name],$A37,T_StockCount[WeekIndex],37)&gt;0,SUMIFS(T_StockCount[CountedQty],T_StockCount[Part Name],$A37,T_StockCount[WeekIndex],37),IF(('T_SelfStock'!AL41&lt;&gt;""),'T_SelfStock'!AL41,AK37-'Grid_Requirement'!AL37+'Grid_TTAFOutgoing'!AL37))</f>
        <v/>
      </c>
      <c r="AM37">
        <f>IF(COUNTIFS(T_StockCount[Part Name],$A37,T_StockCount[WeekIndex],38)&gt;0,SUMIFS(T_StockCount[CountedQty],T_StockCount[Part Name],$A37,T_StockCount[WeekIndex],38),IF(('T_SelfStock'!AM41&lt;&gt;""),'T_SelfStock'!AM41,AL37-'Grid_Requirement'!AM37+'Grid_TTAFOutgoing'!AM37))</f>
        <v/>
      </c>
      <c r="AN37">
        <f>IF(COUNTIFS(T_StockCount[Part Name],$A37,T_StockCount[WeekIndex],39)&gt;0,SUMIFS(T_StockCount[CountedQty],T_StockCount[Part Name],$A37,T_StockCount[WeekIndex],39),IF(('T_SelfStock'!AN41&lt;&gt;""),'T_SelfStock'!AN41,AM37-'Grid_Requirement'!AN37+'Grid_TTAFOutgoing'!AN37))</f>
        <v/>
      </c>
      <c r="AO37">
        <f>IF(COUNTIFS(T_StockCount[Part Name],$A37,T_StockCount[WeekIndex],40)&gt;0,SUMIFS(T_StockCount[CountedQty],T_StockCount[Part Name],$A37,T_StockCount[WeekIndex],40),IF(('T_SelfStock'!AO41&lt;&gt;""),'T_SelfStock'!AO41,AN37-'Grid_Requirement'!AO37+'Grid_TTAFOutgoing'!AO37))</f>
        <v/>
      </c>
      <c r="AP37">
        <f>IF(COUNTIFS(T_StockCount[Part Name],$A37,T_StockCount[WeekIndex],41)&gt;0,SUMIFS(T_StockCount[CountedQty],T_StockCount[Part Name],$A37,T_StockCount[WeekIndex],41),IF(('T_SelfStock'!AP41&lt;&gt;""),'T_SelfStock'!AP41,AO37-'Grid_Requirement'!AP37+'Grid_TTAFOutgoing'!AP37))</f>
        <v/>
      </c>
      <c r="AQ37">
        <f>IF(COUNTIFS(T_StockCount[Part Name],$A37,T_StockCount[WeekIndex],42)&gt;0,SUMIFS(T_StockCount[CountedQty],T_StockCount[Part Name],$A37,T_StockCount[WeekIndex],42),IF(('T_SelfStock'!AQ41&lt;&gt;""),'T_SelfStock'!AQ41,AP37-'Grid_Requirement'!AQ37+'Grid_TTAFOutgoing'!AQ37))</f>
        <v/>
      </c>
      <c r="AR37">
        <f>IF(COUNTIFS(T_StockCount[Part Name],$A37,T_StockCount[WeekIndex],43)&gt;0,SUMIFS(T_StockCount[CountedQty],T_StockCount[Part Name],$A37,T_StockCount[WeekIndex],43),IF(('T_SelfStock'!AR41&lt;&gt;""),'T_SelfStock'!AR41,AQ37-'Grid_Requirement'!AR37+'Grid_TTAFOutgoing'!AR37))</f>
        <v/>
      </c>
      <c r="AS37">
        <f>IF(COUNTIFS(T_StockCount[Part Name],$A37,T_StockCount[WeekIndex],44)&gt;0,SUMIFS(T_StockCount[CountedQty],T_StockCount[Part Name],$A37,T_StockCount[WeekIndex],44),IF(('T_SelfStock'!AS41&lt;&gt;""),'T_SelfStock'!AS41,AR37-'Grid_Requirement'!AS37+'Grid_TTAFOutgoing'!AS37))</f>
        <v/>
      </c>
      <c r="AT37">
        <f>IF(COUNTIFS(T_StockCount[Part Name],$A37,T_StockCount[WeekIndex],45)&gt;0,SUMIFS(T_StockCount[CountedQty],T_StockCount[Part Name],$A37,T_StockCount[WeekIndex],45),IF(('T_SelfStock'!AT41&lt;&gt;""),'T_SelfStock'!AT41,AS37-'Grid_Requirement'!AT37+'Grid_TTAFOutgoing'!AT37))</f>
        <v/>
      </c>
      <c r="AU37">
        <f>IF(COUNTIFS(T_StockCount[Part Name],$A37,T_StockCount[WeekIndex],46)&gt;0,SUMIFS(T_StockCount[CountedQty],T_StockCount[Part Name],$A37,T_StockCount[WeekIndex],46),IF(('T_SelfStock'!AU41&lt;&gt;""),'T_SelfStock'!AU41,AT37-'Grid_Requirement'!AU37+'Grid_TTAFOutgoing'!AU37))</f>
        <v/>
      </c>
      <c r="AV37">
        <f>IF(COUNTIFS(T_StockCount[Part Name],$A37,T_StockCount[WeekIndex],47)&gt;0,SUMIFS(T_StockCount[CountedQty],T_StockCount[Part Name],$A37,T_StockCount[WeekIndex],47),IF(('T_SelfStock'!AV41&lt;&gt;""),'T_SelfStock'!AV41,AU37-'Grid_Requirement'!AV37+'Grid_TTAFOutgoing'!AV37))</f>
        <v/>
      </c>
      <c r="AW37">
        <f>IF(COUNTIFS(T_StockCount[Part Name],$A37,T_StockCount[WeekIndex],48)&gt;0,SUMIFS(T_StockCount[CountedQty],T_StockCount[Part Name],$A37,T_StockCount[WeekIndex],48),IF(('T_SelfStock'!AW41&lt;&gt;""),'T_SelfStock'!AW41,AV37-'Grid_Requirement'!AW37+'Grid_TTAFOutgoing'!AW37))</f>
        <v/>
      </c>
      <c r="AX37">
        <f>IF(COUNTIFS(T_StockCount[Part Name],$A37,T_StockCount[WeekIndex],49)&gt;0,SUMIFS(T_StockCount[CountedQty],T_StockCount[Part Name],$A37,T_StockCount[WeekIndex],49),IF(('T_SelfStock'!AX41&lt;&gt;""),'T_SelfStock'!AX41,AW37-'Grid_Requirement'!AX37+'Grid_TTAFOutgoing'!AX37))</f>
        <v/>
      </c>
      <c r="AY37">
        <f>IF(COUNTIFS(T_StockCount[Part Name],$A37,T_StockCount[WeekIndex],50)&gt;0,SUMIFS(T_StockCount[CountedQty],T_StockCount[Part Name],$A37,T_StockCount[WeekIndex],50),IF(('T_SelfStock'!AY41&lt;&gt;""),'T_SelfStock'!AY41,AX37-'Grid_Requirement'!AY37+'Grid_TTAFOutgoing'!AY37))</f>
        <v/>
      </c>
      <c r="AZ37">
        <f>IF(COUNTIFS(T_StockCount[Part Name],$A37,T_StockCount[WeekIndex],51)&gt;0,SUMIFS(T_StockCount[CountedQty],T_StockCount[Part Name],$A37,T_StockCount[WeekIndex],51),IF(('T_SelfStock'!AZ41&lt;&gt;""),'T_SelfStock'!AZ41,AY37-'Grid_Requirement'!AZ37+'Grid_TTAFOutgoing'!AZ37))</f>
        <v/>
      </c>
      <c r="BA37">
        <f>IF(COUNTIFS(T_StockCount[Part Name],$A37,T_StockCount[WeekIndex],52)&gt;0,SUMIFS(T_StockCount[CountedQty],T_StockCount[Part Name],$A37,T_StockCount[WeekIndex],52),IF(('T_SelfStock'!BA41&lt;&gt;""),'T_SelfStock'!BA41,AZ37-'Grid_Requirement'!BA37+'Grid_TTAFOutgoing'!BA37))</f>
        <v/>
      </c>
      <c r="BB37">
        <f>IF(COUNTIFS(T_StockCount[Part Name],$A37,T_StockCount[WeekIndex],53)&gt;0,SUMIFS(T_StockCount[CountedQty],T_StockCount[Part Name],$A37,T_StockCount[WeekIndex],53),IF(('T_SelfStock'!BB41&lt;&gt;""),'T_SelfStock'!BB41,BA37-'Grid_Requirement'!BB37+'Grid_TTAFOutgoing'!BB37))</f>
        <v/>
      </c>
      <c r="BC37">
        <f>IF(COUNTIFS(T_StockCount[Part Name],$A37,T_StockCount[WeekIndex],54)&gt;0,SUMIFS(T_StockCount[CountedQty],T_StockCount[Part Name],$A37,T_StockCount[WeekIndex],54),IF(('T_SelfStock'!BC41&lt;&gt;""),'T_SelfStock'!BC41,BB37-'Grid_Requirement'!BC37+'Grid_TTAFOutgoing'!BC37))</f>
        <v/>
      </c>
      <c r="BD37">
        <f>IF(COUNTIFS(T_StockCount[Part Name],$A37,T_StockCount[WeekIndex],55)&gt;0,SUMIFS(T_StockCount[CountedQty],T_StockCount[Part Name],$A37,T_StockCount[WeekIndex],55),IF(('T_SelfStock'!BD41&lt;&gt;""),'T_SelfStock'!BD41,BC37-'Grid_Requirement'!BD37+'Grid_TTAFOutgoing'!BD37))</f>
        <v/>
      </c>
      <c r="BE37">
        <f>IF(COUNTIFS(T_StockCount[Part Name],$A37,T_StockCount[WeekIndex],56)&gt;0,SUMIFS(T_StockCount[CountedQty],T_StockCount[Part Name],$A37,T_StockCount[WeekIndex],56),IF(('T_SelfStock'!BE41&lt;&gt;""),'T_SelfStock'!BE41,BD37-'Grid_Requirement'!BE37+'Grid_TTAFOutgoing'!BE37))</f>
        <v/>
      </c>
      <c r="BF37">
        <f>IF(COUNTIFS(T_StockCount[Part Name],$A37,T_StockCount[WeekIndex],57)&gt;0,SUMIFS(T_StockCount[CountedQty],T_StockCount[Part Name],$A37,T_StockCount[WeekIndex],57),IF(('T_SelfStock'!BF41&lt;&gt;""),'T_SelfStock'!BF41,BE37-'Grid_Requirement'!BF37+'Grid_TTAFOutgoing'!BF37))</f>
        <v/>
      </c>
      <c r="BG37">
        <f>IF(COUNTIFS(T_StockCount[Part Name],$A37,T_StockCount[WeekIndex],58)&gt;0,SUMIFS(T_StockCount[CountedQty],T_StockCount[Part Name],$A37,T_StockCount[WeekIndex],58),IF(('T_SelfStock'!BG41&lt;&gt;""),'T_SelfStock'!BG41,BF37-'Grid_Requirement'!BG37+'Grid_TTAFOutgoing'!BG37))</f>
        <v/>
      </c>
      <c r="BH37">
        <f>IF(COUNTIFS(T_StockCount[Part Name],$A37,T_StockCount[WeekIndex],59)&gt;0,SUMIFS(T_StockCount[CountedQty],T_StockCount[Part Name],$A37,T_StockCount[WeekIndex],59),IF(('T_SelfStock'!BH41&lt;&gt;""),'T_SelfStock'!BH41,BG37-'Grid_Requirement'!BH37+'Grid_TTAFOutgoing'!BH37))</f>
        <v/>
      </c>
      <c r="BI37">
        <f>IF(COUNTIFS(T_StockCount[Part Name],$A37,T_StockCount[WeekIndex],60)&gt;0,SUMIFS(T_StockCount[CountedQty],T_StockCount[Part Name],$A37,T_StockCount[WeekIndex],60),IF(('T_SelfStock'!BI41&lt;&gt;""),'T_SelfStock'!BI41,BH37-'Grid_Requirement'!BI37+'Grid_TTAFOutgoing'!BI37))</f>
        <v/>
      </c>
      <c r="BJ37">
        <f>IF(COUNTIFS(T_StockCount[Part Name],$A37,T_StockCount[WeekIndex],61)&gt;0,SUMIFS(T_StockCount[CountedQty],T_StockCount[Part Name],$A37,T_StockCount[WeekIndex],61),IF(('T_SelfStock'!BJ41&lt;&gt;""),'T_SelfStock'!BJ41,BI37-'Grid_Requirement'!BJ37+'Grid_TTAFOutgoing'!BJ37))</f>
        <v/>
      </c>
      <c r="BK37">
        <f>IF(COUNTIFS(T_StockCount[Part Name],$A37,T_StockCount[WeekIndex],62)&gt;0,SUMIFS(T_StockCount[CountedQty],T_StockCount[Part Name],$A37,T_StockCount[WeekIndex],62),IF(('T_SelfStock'!BK41&lt;&gt;""),'T_SelfStock'!BK41,BJ37-'Grid_Requirement'!BK37+'Grid_TTAFOutgoing'!BK37))</f>
        <v/>
      </c>
      <c r="BL37">
        <f>IF(COUNTIFS(T_StockCount[Part Name],$A37,T_StockCount[WeekIndex],63)&gt;0,SUMIFS(T_StockCount[CountedQty],T_StockCount[Part Name],$A37,T_StockCount[WeekIndex],63),IF(('T_SelfStock'!BL41&lt;&gt;""),'T_SelfStock'!BL41,BK37-'Grid_Requirement'!BL37+'Grid_TTAFOutgoing'!BL37))</f>
        <v/>
      </c>
      <c r="BM37">
        <f>IF(COUNTIFS(T_StockCount[Part Name],$A37,T_StockCount[WeekIndex],64)&gt;0,SUMIFS(T_StockCount[CountedQty],T_StockCount[Part Name],$A37,T_StockCount[WeekIndex],64),IF(('T_SelfStock'!BM41&lt;&gt;""),'T_SelfStock'!BM41,BL37-'Grid_Requirement'!BM37+'Grid_TTAFOutgoing'!BM37))</f>
        <v/>
      </c>
      <c r="BN37">
        <f>IF(COUNTIFS(T_StockCount[Part Name],$A37,T_StockCount[WeekIndex],65)&gt;0,SUMIFS(T_StockCount[CountedQty],T_StockCount[Part Name],$A37,T_StockCount[WeekIndex],65),IF(('T_SelfStock'!BN41&lt;&gt;""),'T_SelfStock'!BN41,BM37-'Grid_Requirement'!BN37+'Grid_TTAFOutgoing'!BN37))</f>
        <v/>
      </c>
      <c r="BO37">
        <f>IF(COUNTIFS(T_StockCount[Part Name],$A37,T_StockCount[WeekIndex],66)&gt;0,SUMIFS(T_StockCount[CountedQty],T_StockCount[Part Name],$A37,T_StockCount[WeekIndex],66),IF(('T_SelfStock'!BO41&lt;&gt;""),'T_SelfStock'!BO41,BN37-'Grid_Requirement'!BO37+'Grid_TTAFOutgoing'!BO37))</f>
        <v/>
      </c>
      <c r="BP37">
        <f>IF(COUNTIFS(T_StockCount[Part Name],$A37,T_StockCount[WeekIndex],67)&gt;0,SUMIFS(T_StockCount[CountedQty],T_StockCount[Part Name],$A37,T_StockCount[WeekIndex],67),IF(('T_SelfStock'!BP41&lt;&gt;""),'T_SelfStock'!BP41,BO37-'Grid_Requirement'!BP37+'Grid_TTAFOutgoing'!BP37))</f>
        <v/>
      </c>
      <c r="BQ37">
        <f>IF(COUNTIFS(T_StockCount[Part Name],$A37,T_StockCount[WeekIndex],68)&gt;0,SUMIFS(T_StockCount[CountedQty],T_StockCount[Part Name],$A37,T_StockCount[WeekIndex],68),IF(('T_SelfStock'!BQ41&lt;&gt;""),'T_SelfStock'!BQ41,BP37-'Grid_Requirement'!BQ37+'Grid_TTAFOutgoing'!BQ37))</f>
        <v/>
      </c>
      <c r="BR37">
        <f>IF(COUNTIFS(T_StockCount[Part Name],$A37,T_StockCount[WeekIndex],69)&gt;0,SUMIFS(T_StockCount[CountedQty],T_StockCount[Part Name],$A37,T_StockCount[WeekIndex],69),IF(('T_SelfStock'!BR41&lt;&gt;""),'T_SelfStock'!BR41,BQ37-'Grid_Requirement'!BR37+'Grid_TTAFOutgoing'!BR37))</f>
        <v/>
      </c>
      <c r="BS37">
        <f>IF(COUNTIFS(T_StockCount[Part Name],$A37,T_StockCount[WeekIndex],70)&gt;0,SUMIFS(T_StockCount[CountedQty],T_StockCount[Part Name],$A37,T_StockCount[WeekIndex],70),IF(('T_SelfStock'!BS41&lt;&gt;""),'T_SelfStock'!BS41,BR37-'Grid_Requirement'!BS37+'Grid_TTAFOutgoing'!BS37))</f>
        <v/>
      </c>
      <c r="BT37">
        <f>IF(COUNTIFS(T_StockCount[Part Name],$A37,T_StockCount[WeekIndex],71)&gt;0,SUMIFS(T_StockCount[CountedQty],T_StockCount[Part Name],$A37,T_StockCount[WeekIndex],71),IF(('T_SelfStock'!BT41&lt;&gt;""),'T_SelfStock'!BT41,BS37-'Grid_Requirement'!BT37+'Grid_TTAFOutgoing'!BT37))</f>
        <v/>
      </c>
      <c r="BU37">
        <f>IF(COUNTIFS(T_StockCount[Part Name],$A37,T_StockCount[WeekIndex],72)&gt;0,SUMIFS(T_StockCount[CountedQty],T_StockCount[Part Name],$A37,T_StockCount[WeekIndex],72),IF(('T_SelfStock'!BU41&lt;&gt;""),'T_SelfStock'!BU41,BT37-'Grid_Requirement'!BU37+'Grid_TTAFOutgoing'!BU37))</f>
        <v/>
      </c>
      <c r="BV37">
        <f>IF(COUNTIFS(T_StockCount[Part Name],$A37,T_StockCount[WeekIndex],73)&gt;0,SUMIFS(T_StockCount[CountedQty],T_StockCount[Part Name],$A37,T_StockCount[WeekIndex],73),IF(('T_SelfStock'!BV41&lt;&gt;""),'T_SelfStock'!BV41,BU37-'Grid_Requirement'!BV37+'Grid_TTAFOutgoing'!BV37))</f>
        <v/>
      </c>
      <c r="BW37">
        <f>IF(COUNTIFS(T_StockCount[Part Name],$A37,T_StockCount[WeekIndex],74)&gt;0,SUMIFS(T_StockCount[CountedQty],T_StockCount[Part Name],$A37,T_StockCount[WeekIndex],74),IF(('T_SelfStock'!BW41&lt;&gt;""),'T_SelfStock'!BW41,BV37-'Grid_Requirement'!BW37+'Grid_TTAFOutgoing'!BW37))</f>
        <v/>
      </c>
      <c r="BX37">
        <f>IF(COUNTIFS(T_StockCount[Part Name],$A37,T_StockCount[WeekIndex],75)&gt;0,SUMIFS(T_StockCount[CountedQty],T_StockCount[Part Name],$A37,T_StockCount[WeekIndex],75),IF(('T_SelfStock'!BX41&lt;&gt;""),'T_SelfStock'!BX41,BW37-'Grid_Requirement'!BX37+'Grid_TTAFOutgoing'!BX37))</f>
        <v/>
      </c>
      <c r="BY37">
        <f>IF(COUNTIFS(T_StockCount[Part Name],$A37,T_StockCount[WeekIndex],76)&gt;0,SUMIFS(T_StockCount[CountedQty],T_StockCount[Part Name],$A37,T_StockCount[WeekIndex],76),IF(('T_SelfStock'!BY41&lt;&gt;""),'T_SelfStock'!BY41,BX37-'Grid_Requirement'!BY37+'Grid_TTAFOutgoing'!BY37))</f>
        <v/>
      </c>
      <c r="BZ37">
        <f>IF(COUNTIFS(T_StockCount[Part Name],$A37,T_StockCount[WeekIndex],77)&gt;0,SUMIFS(T_StockCount[CountedQty],T_StockCount[Part Name],$A37,T_StockCount[WeekIndex],77),IF(('T_SelfStock'!BZ41&lt;&gt;""),'T_SelfStock'!BZ41,BY37-'Grid_Requirement'!BZ37+'Grid_TTAFOutgoing'!BZ37))</f>
        <v/>
      </c>
      <c r="CA37">
        <f>IF(COUNTIFS(T_StockCount[Part Name],$A37,T_StockCount[WeekIndex],78)&gt;0,SUMIFS(T_StockCount[CountedQty],T_StockCount[Part Name],$A37,T_StockCount[WeekIndex],78),IF(('T_SelfStock'!CA41&lt;&gt;""),'T_SelfStock'!CA41,BZ37-'Grid_Requirement'!CA37+'Grid_TTAFOutgoing'!CA37))</f>
        <v/>
      </c>
      <c r="CB37">
        <f>IF(COUNTIFS(T_StockCount[Part Name],$A37,T_StockCount[WeekIndex],79)&gt;0,SUMIFS(T_StockCount[CountedQty],T_StockCount[Part Name],$A37,T_StockCount[WeekIndex],79),IF(('T_SelfStock'!CB41&lt;&gt;""),'T_SelfStock'!CB41,CA37-'Grid_Requirement'!CB37+'Grid_TTAFOutgoing'!CB37))</f>
        <v/>
      </c>
      <c r="CC37">
        <f>IF(COUNTIFS(T_StockCount[Part Name],$A37,T_StockCount[WeekIndex],80)&gt;0,SUMIFS(T_StockCount[CountedQty],T_StockCount[Part Name],$A37,T_StockCount[WeekIndex],80),IF(('T_SelfStock'!CC41&lt;&gt;""),'T_SelfStock'!CC41,CB37-'Grid_Requirement'!CC37+'Grid_TTAFOutgoing'!CC37))</f>
        <v/>
      </c>
      <c r="CD37">
        <f>IF(COUNTIFS(T_StockCount[Part Name],$A37,T_StockCount[WeekIndex],81)&gt;0,SUMIFS(T_StockCount[CountedQty],T_StockCount[Part Name],$A37,T_StockCount[WeekIndex],81),IF(('T_SelfStock'!CD41&lt;&gt;""),'T_SelfStock'!CD41,CC37-'Grid_Requirement'!CD37+'Grid_TTAFOutgoing'!CD37))</f>
        <v/>
      </c>
      <c r="CE37">
        <f>IF(COUNTIFS(T_StockCount[Part Name],$A37,T_StockCount[WeekIndex],82)&gt;0,SUMIFS(T_StockCount[CountedQty],T_StockCount[Part Name],$A37,T_StockCount[WeekIndex],82),IF(('T_SelfStock'!CE41&lt;&gt;""),'T_SelfStock'!CE41,CD37-'Grid_Requirement'!CE37+'Grid_TTAFOutgoing'!CE37))</f>
        <v/>
      </c>
      <c r="CF37">
        <f>IF(COUNTIFS(T_StockCount[Part Name],$A37,T_StockCount[WeekIndex],83)&gt;0,SUMIFS(T_StockCount[CountedQty],T_StockCount[Part Name],$A37,T_StockCount[WeekIndex],83),IF(('T_SelfStock'!CF41&lt;&gt;""),'T_SelfStock'!CF41,CE37-'Grid_Requirement'!CF37+'Grid_TTAFOutgoing'!CF37))</f>
        <v/>
      </c>
      <c r="CG37">
        <f>IF(COUNTIFS(T_StockCount[Part Name],$A37,T_StockCount[WeekIndex],84)&gt;0,SUMIFS(T_StockCount[CountedQty],T_StockCount[Part Name],$A37,T_StockCount[WeekIndex],84),IF(('T_SelfStock'!CG41&lt;&gt;""),'T_SelfStock'!CG41,CF37-'Grid_Requirement'!CG37+'Grid_TTAFOutgoing'!CG37))</f>
        <v/>
      </c>
      <c r="CH37">
        <f>IF(COUNTIFS(T_StockCount[Part Name],$A37,T_StockCount[WeekIndex],85)&gt;0,SUMIFS(T_StockCount[CountedQty],T_StockCount[Part Name],$A37,T_StockCount[WeekIndex],85),IF(('T_SelfStock'!CH41&lt;&gt;""),'T_SelfStock'!CH41,CG37-'Grid_Requirement'!CH37+'Grid_TTAFOutgoing'!CH37))</f>
        <v/>
      </c>
      <c r="CI37">
        <f>IF(COUNTIFS(T_StockCount[Part Name],$A37,T_StockCount[WeekIndex],86)&gt;0,SUMIFS(T_StockCount[CountedQty],T_StockCount[Part Name],$A37,T_StockCount[WeekIndex],86),IF(('T_SelfStock'!CI41&lt;&gt;""),'T_SelfStock'!CI41,CH37-'Grid_Requirement'!CI37+'Grid_TTAFOutgoing'!CI37))</f>
        <v/>
      </c>
      <c r="CJ37">
        <f>IF(COUNTIFS(T_StockCount[Part Name],$A37,T_StockCount[WeekIndex],87)&gt;0,SUMIFS(T_StockCount[CountedQty],T_StockCount[Part Name],$A37,T_StockCount[WeekIndex],87),IF(('T_SelfStock'!CJ41&lt;&gt;""),'T_SelfStock'!CJ41,CI37-'Grid_Requirement'!CJ37+'Grid_TTAFOutgoing'!CJ37))</f>
        <v/>
      </c>
      <c r="CK37">
        <f>IF(COUNTIFS(T_StockCount[Part Name],$A37,T_StockCount[WeekIndex],88)&gt;0,SUMIFS(T_StockCount[CountedQty],T_StockCount[Part Name],$A37,T_StockCount[WeekIndex],88),IF(('T_SelfStock'!CK41&lt;&gt;""),'T_SelfStock'!CK41,CJ37-'Grid_Requirement'!CK37+'Grid_TTAFOutgoing'!CK37))</f>
        <v/>
      </c>
      <c r="CL37">
        <f>IF(COUNTIFS(T_StockCount[Part Name],$A37,T_StockCount[WeekIndex],89)&gt;0,SUMIFS(T_StockCount[CountedQty],T_StockCount[Part Name],$A37,T_StockCount[WeekIndex],89),IF(('T_SelfStock'!CL41&lt;&gt;""),'T_SelfStock'!CL41,CK37-'Grid_Requirement'!CL37+'Grid_TTAFOutgoing'!CL37))</f>
        <v/>
      </c>
      <c r="CM37">
        <f>IF(COUNTIFS(T_StockCount[Part Name],$A37,T_StockCount[WeekIndex],90)&gt;0,SUMIFS(T_StockCount[CountedQty],T_StockCount[Part Name],$A37,T_StockCount[WeekIndex],90),IF(('T_SelfStock'!CM41&lt;&gt;""),'T_SelfStock'!CM41,CL37-'Grid_Requirement'!CM37+'Grid_TTAFOutgoing'!CM37))</f>
        <v/>
      </c>
      <c r="CN37">
        <f>IF(COUNTIFS(T_StockCount[Part Name],$A37,T_StockCount[WeekIndex],91)&gt;0,SUMIFS(T_StockCount[CountedQty],T_StockCount[Part Name],$A37,T_StockCount[WeekIndex],91),IF(('T_SelfStock'!CN41&lt;&gt;""),'T_SelfStock'!CN41,CM37-'Grid_Requirement'!CN37+'Grid_TTAFOutgoing'!CN37))</f>
        <v/>
      </c>
      <c r="CO37">
        <f>IF(COUNTIFS(T_StockCount[Part Name],$A37,T_StockCount[WeekIndex],92)&gt;0,SUMIFS(T_StockCount[CountedQty],T_StockCount[Part Name],$A37,T_StockCount[WeekIndex],92),IF(('T_SelfStock'!CO41&lt;&gt;""),'T_SelfStock'!CO41,CN37-'Grid_Requirement'!CO37+'Grid_TTAFOutgoing'!CO37))</f>
        <v/>
      </c>
      <c r="CP37">
        <f>IF(COUNTIFS(T_StockCount[Part Name],$A37,T_StockCount[WeekIndex],93)&gt;0,SUMIFS(T_StockCount[CountedQty],T_StockCount[Part Name],$A37,T_StockCount[WeekIndex],93),IF(('T_SelfStock'!CP41&lt;&gt;""),'T_SelfStock'!CP41,CO37-'Grid_Requirement'!CP37+'Grid_TTAFOutgoing'!CP37))</f>
        <v/>
      </c>
      <c r="CQ37">
        <f>IF(COUNTIFS(T_StockCount[Part Name],$A37,T_StockCount[WeekIndex],94)&gt;0,SUMIFS(T_StockCount[CountedQty],T_StockCount[Part Name],$A37,T_StockCount[WeekIndex],94),IF(('T_SelfStock'!CQ41&lt;&gt;""),'T_SelfStock'!CQ41,CP37-'Grid_Requirement'!CQ37+'Grid_TTAFOutgoing'!CQ37))</f>
        <v/>
      </c>
      <c r="CR37">
        <f>IF(COUNTIFS(T_StockCount[Part Name],$A37,T_StockCount[WeekIndex],95)&gt;0,SUMIFS(T_StockCount[CountedQty],T_StockCount[Part Name],$A37,T_StockCount[WeekIndex],95),IF(('T_SelfStock'!CR41&lt;&gt;""),'T_SelfStock'!CR41,CQ37-'Grid_Requirement'!CR37+'Grid_TTAFOutgoing'!CR37))</f>
        <v/>
      </c>
      <c r="CS37">
        <f>IF(COUNTIFS(T_StockCount[Part Name],$A37,T_StockCount[WeekIndex],96)&gt;0,SUMIFS(T_StockCount[CountedQty],T_StockCount[Part Name],$A37,T_StockCount[WeekIndex],96),IF(('T_SelfStock'!CS41&lt;&gt;""),'T_SelfStock'!CS41,CR37-'Grid_Requirement'!CS37+'Grid_TTAFOutgoing'!CS37))</f>
        <v/>
      </c>
      <c r="CT37">
        <f>IF(COUNTIFS(T_StockCount[Part Name],$A37,T_StockCount[WeekIndex],97)&gt;0,SUMIFS(T_StockCount[CountedQty],T_StockCount[Part Name],$A37,T_StockCount[WeekIndex],97),IF(('T_SelfStock'!CT41&lt;&gt;""),'T_SelfStock'!CT41,CS37-'Grid_Requirement'!CT37+'Grid_TTAFOutgoing'!CT37))</f>
        <v/>
      </c>
      <c r="CU37">
        <f>IF(COUNTIFS(T_StockCount[Part Name],$A37,T_StockCount[WeekIndex],98)&gt;0,SUMIFS(T_StockCount[CountedQty],T_StockCount[Part Name],$A37,T_StockCount[WeekIndex],98),IF(('T_SelfStock'!CU41&lt;&gt;""),'T_SelfStock'!CU41,CT37-'Grid_Requirement'!CU37+'Grid_TTAFOutgoing'!CU37))</f>
        <v/>
      </c>
      <c r="CV37">
        <f>IF(COUNTIFS(T_StockCount[Part Name],$A37,T_StockCount[WeekIndex],99)&gt;0,SUMIFS(T_StockCount[CountedQty],T_StockCount[Part Name],$A37,T_StockCount[WeekIndex],99),IF(('T_SelfStock'!CV41&lt;&gt;""),'T_SelfStock'!CV41,CU37-'Grid_Requirement'!CV37+'Grid_TTAFOutgoing'!CV37))</f>
        <v/>
      </c>
      <c r="CW37">
        <f>IF(COUNTIFS(T_StockCount[Part Name],$A37,T_StockCount[WeekIndex],100)&gt;0,SUMIFS(T_StockCount[CountedQty],T_StockCount[Part Name],$A37,T_StockCount[WeekIndex],100),IF(('T_SelfStock'!CW41&lt;&gt;""),'T_SelfStock'!CW41,CV37-'Grid_Requirement'!CW37+'Grid_TTAFOutgoing'!CW37))</f>
        <v/>
      </c>
      <c r="CX37">
        <f>IF(COUNTIFS(T_StockCount[Part Name],$A37,T_StockCount[WeekIndex],101)&gt;0,SUMIFS(T_StockCount[CountedQty],T_StockCount[Part Name],$A37,T_StockCount[WeekIndex],101),IF(('T_SelfStock'!CX41&lt;&gt;""),'T_SelfStock'!CX41,CW37-'Grid_Requirement'!CX37+'Grid_TTAFOutgoing'!CX37))</f>
        <v/>
      </c>
      <c r="CY37">
        <f>IF(COUNTIFS(T_StockCount[Part Name],$A37,T_StockCount[WeekIndex],102)&gt;0,SUMIFS(T_StockCount[CountedQty],T_StockCount[Part Name],$A37,T_StockCount[WeekIndex],102),IF(('T_SelfStock'!CY41&lt;&gt;""),'T_SelfStock'!CY41,CX37-'Grid_Requirement'!CY37+'Grid_TTAFOutgoing'!CY37))</f>
        <v/>
      </c>
      <c r="CZ37">
        <f>IF(COUNTIFS(T_StockCount[Part Name],$A37,T_StockCount[WeekIndex],103)&gt;0,SUMIFS(T_StockCount[CountedQty],T_StockCount[Part Name],$A37,T_StockCount[WeekIndex],103),IF(('T_SelfStock'!CZ41&lt;&gt;""),'T_SelfStock'!CZ41,CY37-'Grid_Requirement'!CZ37+'Grid_TTAFOutgoing'!CZ37))</f>
        <v/>
      </c>
      <c r="DA37">
        <f>IF(COUNTIFS(T_StockCount[Part Name],$A37,T_StockCount[WeekIndex],104)&gt;0,SUMIFS(T_StockCount[CountedQty],T_StockCount[Part Name],$A37,T_StockCount[WeekIndex],104),IF(('T_SelfStock'!DA41&lt;&gt;""),'T_SelfStock'!DA41,CZ37-'Grid_Requirement'!DA37+'Grid_TTAFOutgoing'!DA37))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Name],$A38,T_StockCount[WeekIndex],1),IF(('T_SelfStock'!B42&lt;&gt;""),'T_SelfStock'!B42,IFERROR(INDEX(T_OpeningStock[Opening_Qty],MATCH($A38,T_OpeningStock[Part Name],0)),0)-'Grid_Requirement'!B38+'Grid_TTAFOutgoing'!B38))</f>
        <v/>
      </c>
      <c r="C38">
        <f>IF(COUNTIFS(T_StockCount[Part Name],$A38,T_StockCount[WeekIndex],2)&gt;0,SUMIFS(T_StockCount[CountedQty],T_StockCount[Part Name],$A38,T_StockCount[WeekIndex],2),IF(('T_SelfStock'!C42&lt;&gt;""),'T_SelfStock'!C42,B38-'Grid_Requirement'!C38+'Grid_TTAFOutgoing'!C38))</f>
        <v/>
      </c>
      <c r="D38">
        <f>IF(COUNTIFS(T_StockCount[Part Name],$A38,T_StockCount[WeekIndex],3)&gt;0,SUMIFS(T_StockCount[CountedQty],T_StockCount[Part Name],$A38,T_StockCount[WeekIndex],3),IF(('T_SelfStock'!D42&lt;&gt;""),'T_SelfStock'!D42,C38-'Grid_Requirement'!D38+'Grid_TTAFOutgoing'!D38))</f>
        <v/>
      </c>
      <c r="E38">
        <f>IF(COUNTIFS(T_StockCount[Part Name],$A38,T_StockCount[WeekIndex],4)&gt;0,SUMIFS(T_StockCount[CountedQty],T_StockCount[Part Name],$A38,T_StockCount[WeekIndex],4),IF(('T_SelfStock'!E42&lt;&gt;""),'T_SelfStock'!E42,D38-'Grid_Requirement'!E38+'Grid_TTAFOutgoing'!E38))</f>
        <v/>
      </c>
      <c r="F38">
        <f>IF(COUNTIFS(T_StockCount[Part Name],$A38,T_StockCount[WeekIndex],5)&gt;0,SUMIFS(T_StockCount[CountedQty],T_StockCount[Part Name],$A38,T_StockCount[WeekIndex],5),IF(('T_SelfStock'!F42&lt;&gt;""),'T_SelfStock'!F42,E38-'Grid_Requirement'!F38+'Grid_TTAFOutgoing'!F38))</f>
        <v/>
      </c>
      <c r="G38">
        <f>IF(COUNTIFS(T_StockCount[Part Name],$A38,T_StockCount[WeekIndex],6)&gt;0,SUMIFS(T_StockCount[CountedQty],T_StockCount[Part Name],$A38,T_StockCount[WeekIndex],6),IF(('T_SelfStock'!G42&lt;&gt;""),'T_SelfStock'!G42,F38-'Grid_Requirement'!G38+'Grid_TTAFOutgoing'!G38))</f>
        <v/>
      </c>
      <c r="H38">
        <f>IF(COUNTIFS(T_StockCount[Part Name],$A38,T_StockCount[WeekIndex],7)&gt;0,SUMIFS(T_StockCount[CountedQty],T_StockCount[Part Name],$A38,T_StockCount[WeekIndex],7),IF(('T_SelfStock'!H42&lt;&gt;""),'T_SelfStock'!H42,G38-'Grid_Requirement'!H38+'Grid_TTAFOutgoing'!H38))</f>
        <v/>
      </c>
      <c r="I38">
        <f>IF(COUNTIFS(T_StockCount[Part Name],$A38,T_StockCount[WeekIndex],8)&gt;0,SUMIFS(T_StockCount[CountedQty],T_StockCount[Part Name],$A38,T_StockCount[WeekIndex],8),IF(('T_SelfStock'!I42&lt;&gt;""),'T_SelfStock'!I42,H38-'Grid_Requirement'!I38+'Grid_TTAFOutgoing'!I38))</f>
        <v/>
      </c>
      <c r="J38">
        <f>IF(COUNTIFS(T_StockCount[Part Name],$A38,T_StockCount[WeekIndex],9)&gt;0,SUMIFS(T_StockCount[CountedQty],T_StockCount[Part Name],$A38,T_StockCount[WeekIndex],9),IF(('T_SelfStock'!J42&lt;&gt;""),'T_SelfStock'!J42,I38-'Grid_Requirement'!J38+'Grid_TTAFOutgoing'!J38))</f>
        <v/>
      </c>
      <c r="K38">
        <f>IF(COUNTIFS(T_StockCount[Part Name],$A38,T_StockCount[WeekIndex],10)&gt;0,SUMIFS(T_StockCount[CountedQty],T_StockCount[Part Name],$A38,T_StockCount[WeekIndex],10),IF(('T_SelfStock'!K42&lt;&gt;""),'T_SelfStock'!K42,J38-'Grid_Requirement'!K38+'Grid_TTAFOutgoing'!K38))</f>
        <v/>
      </c>
      <c r="L38">
        <f>IF(COUNTIFS(T_StockCount[Part Name],$A38,T_StockCount[WeekIndex],11)&gt;0,SUMIFS(T_StockCount[CountedQty],T_StockCount[Part Name],$A38,T_StockCount[WeekIndex],11),IF(('T_SelfStock'!L42&lt;&gt;""),'T_SelfStock'!L42,K38-'Grid_Requirement'!L38+'Grid_TTAFOutgoing'!L38))</f>
        <v/>
      </c>
      <c r="M38">
        <f>IF(COUNTIFS(T_StockCount[Part Name],$A38,T_StockCount[WeekIndex],12)&gt;0,SUMIFS(T_StockCount[CountedQty],T_StockCount[Part Name],$A38,T_StockCount[WeekIndex],12),IF(('T_SelfStock'!M42&lt;&gt;""),'T_SelfStock'!M42,L38-'Grid_Requirement'!M38+'Grid_TTAFOutgoing'!M38))</f>
        <v/>
      </c>
      <c r="N38">
        <f>IF(COUNTIFS(T_StockCount[Part Name],$A38,T_StockCount[WeekIndex],13)&gt;0,SUMIFS(T_StockCount[CountedQty],T_StockCount[Part Name],$A38,T_StockCount[WeekIndex],13),IF(('T_SelfStock'!N42&lt;&gt;""),'T_SelfStock'!N42,M38-'Grid_Requirement'!N38+'Grid_TTAFOutgoing'!N38))</f>
        <v/>
      </c>
      <c r="O38">
        <f>IF(COUNTIFS(T_StockCount[Part Name],$A38,T_StockCount[WeekIndex],14)&gt;0,SUMIFS(T_StockCount[CountedQty],T_StockCount[Part Name],$A38,T_StockCount[WeekIndex],14),IF(('T_SelfStock'!O42&lt;&gt;""),'T_SelfStock'!O42,N38-'Grid_Requirement'!O38+'Grid_TTAFOutgoing'!O38))</f>
        <v/>
      </c>
      <c r="P38">
        <f>IF(COUNTIFS(T_StockCount[Part Name],$A38,T_StockCount[WeekIndex],15)&gt;0,SUMIFS(T_StockCount[CountedQty],T_StockCount[Part Name],$A38,T_StockCount[WeekIndex],15),IF(('T_SelfStock'!P42&lt;&gt;""),'T_SelfStock'!P42,O38-'Grid_Requirement'!P38+'Grid_TTAFOutgoing'!P38))</f>
        <v/>
      </c>
      <c r="Q38">
        <f>IF(COUNTIFS(T_StockCount[Part Name],$A38,T_StockCount[WeekIndex],16)&gt;0,SUMIFS(T_StockCount[CountedQty],T_StockCount[Part Name],$A38,T_StockCount[WeekIndex],16),IF(('T_SelfStock'!Q42&lt;&gt;""),'T_SelfStock'!Q42,P38-'Grid_Requirement'!Q38+'Grid_TTAFOutgoing'!Q38))</f>
        <v/>
      </c>
      <c r="R38">
        <f>IF(COUNTIFS(T_StockCount[Part Name],$A38,T_StockCount[WeekIndex],17)&gt;0,SUMIFS(T_StockCount[CountedQty],T_StockCount[Part Name],$A38,T_StockCount[WeekIndex],17),IF(('T_SelfStock'!R42&lt;&gt;""),'T_SelfStock'!R42,Q38-'Grid_Requirement'!R38+'Grid_TTAFOutgoing'!R38))</f>
        <v/>
      </c>
      <c r="S38">
        <f>IF(COUNTIFS(T_StockCount[Part Name],$A38,T_StockCount[WeekIndex],18)&gt;0,SUMIFS(T_StockCount[CountedQty],T_StockCount[Part Name],$A38,T_StockCount[WeekIndex],18),IF(('T_SelfStock'!S42&lt;&gt;""),'T_SelfStock'!S42,R38-'Grid_Requirement'!S38+'Grid_TTAFOutgoing'!S38))</f>
        <v/>
      </c>
      <c r="T38">
        <f>IF(COUNTIFS(T_StockCount[Part Name],$A38,T_StockCount[WeekIndex],19)&gt;0,SUMIFS(T_StockCount[CountedQty],T_StockCount[Part Name],$A38,T_StockCount[WeekIndex],19),IF(('T_SelfStock'!T42&lt;&gt;""),'T_SelfStock'!T42,S38-'Grid_Requirement'!T38+'Grid_TTAFOutgoing'!T38))</f>
        <v/>
      </c>
      <c r="U38">
        <f>IF(COUNTIFS(T_StockCount[Part Name],$A38,T_StockCount[WeekIndex],20)&gt;0,SUMIFS(T_StockCount[CountedQty],T_StockCount[Part Name],$A38,T_StockCount[WeekIndex],20),IF(('T_SelfStock'!U42&lt;&gt;""),'T_SelfStock'!U42,T38-'Grid_Requirement'!U38+'Grid_TTAFOutgoing'!U38))</f>
        <v/>
      </c>
      <c r="V38">
        <f>IF(COUNTIFS(T_StockCount[Part Name],$A38,T_StockCount[WeekIndex],21)&gt;0,SUMIFS(T_StockCount[CountedQty],T_StockCount[Part Name],$A38,T_StockCount[WeekIndex],21),IF(('T_SelfStock'!V42&lt;&gt;""),'T_SelfStock'!V42,U38-'Grid_Requirement'!V38+'Grid_TTAFOutgoing'!V38))</f>
        <v/>
      </c>
      <c r="W38">
        <f>IF(COUNTIFS(T_StockCount[Part Name],$A38,T_StockCount[WeekIndex],22)&gt;0,SUMIFS(T_StockCount[CountedQty],T_StockCount[Part Name],$A38,T_StockCount[WeekIndex],22),IF(('T_SelfStock'!W42&lt;&gt;""),'T_SelfStock'!W42,V38-'Grid_Requirement'!W38+'Grid_TTAFOutgoing'!W38))</f>
        <v/>
      </c>
      <c r="X38">
        <f>IF(COUNTIFS(T_StockCount[Part Name],$A38,T_StockCount[WeekIndex],23)&gt;0,SUMIFS(T_StockCount[CountedQty],T_StockCount[Part Name],$A38,T_StockCount[WeekIndex],23),IF(('T_SelfStock'!X42&lt;&gt;""),'T_SelfStock'!X42,W38-'Grid_Requirement'!X38+'Grid_TTAFOutgoing'!X38))</f>
        <v/>
      </c>
      <c r="Y38">
        <f>IF(COUNTIFS(T_StockCount[Part Name],$A38,T_StockCount[WeekIndex],24)&gt;0,SUMIFS(T_StockCount[CountedQty],T_StockCount[Part Name],$A38,T_StockCount[WeekIndex],24),IF(('T_SelfStock'!Y42&lt;&gt;""),'T_SelfStock'!Y42,X38-'Grid_Requirement'!Y38+'Grid_TTAFOutgoing'!Y38))</f>
        <v/>
      </c>
      <c r="Z38">
        <f>IF(COUNTIFS(T_StockCount[Part Name],$A38,T_StockCount[WeekIndex],25)&gt;0,SUMIFS(T_StockCount[CountedQty],T_StockCount[Part Name],$A38,T_StockCount[WeekIndex],25),IF(('T_SelfStock'!Z42&lt;&gt;""),'T_SelfStock'!Z42,Y38-'Grid_Requirement'!Z38+'Grid_TTAFOutgoing'!Z38))</f>
        <v/>
      </c>
      <c r="AA38">
        <f>IF(COUNTIFS(T_StockCount[Part Name],$A38,T_StockCount[WeekIndex],26)&gt;0,SUMIFS(T_StockCount[CountedQty],T_StockCount[Part Name],$A38,T_StockCount[WeekIndex],26),IF(('T_SelfStock'!AA42&lt;&gt;""),'T_SelfStock'!AA42,Z38-'Grid_Requirement'!AA38+'Grid_TTAFOutgoing'!AA38))</f>
        <v/>
      </c>
      <c r="AB38">
        <f>IF(COUNTIFS(T_StockCount[Part Name],$A38,T_StockCount[WeekIndex],27)&gt;0,SUMIFS(T_StockCount[CountedQty],T_StockCount[Part Name],$A38,T_StockCount[WeekIndex],27),IF(('T_SelfStock'!AB42&lt;&gt;""),'T_SelfStock'!AB42,AA38-'Grid_Requirement'!AB38+'Grid_TTAFOutgoing'!AB38))</f>
        <v/>
      </c>
      <c r="AC38">
        <f>IF(COUNTIFS(T_StockCount[Part Name],$A38,T_StockCount[WeekIndex],28)&gt;0,SUMIFS(T_StockCount[CountedQty],T_StockCount[Part Name],$A38,T_StockCount[WeekIndex],28),IF(('T_SelfStock'!AC42&lt;&gt;""),'T_SelfStock'!AC42,AB38-'Grid_Requirement'!AC38+'Grid_TTAFOutgoing'!AC38))</f>
        <v/>
      </c>
      <c r="AD38">
        <f>IF(COUNTIFS(T_StockCount[Part Name],$A38,T_StockCount[WeekIndex],29)&gt;0,SUMIFS(T_StockCount[CountedQty],T_StockCount[Part Name],$A38,T_StockCount[WeekIndex],29),IF(('T_SelfStock'!AD42&lt;&gt;""),'T_SelfStock'!AD42,AC38-'Grid_Requirement'!AD38+'Grid_TTAFOutgoing'!AD38))</f>
        <v/>
      </c>
      <c r="AE38">
        <f>IF(COUNTIFS(T_StockCount[Part Name],$A38,T_StockCount[WeekIndex],30)&gt;0,SUMIFS(T_StockCount[CountedQty],T_StockCount[Part Name],$A38,T_StockCount[WeekIndex],30),IF(('T_SelfStock'!AE42&lt;&gt;""),'T_SelfStock'!AE42,AD38-'Grid_Requirement'!AE38+'Grid_TTAFOutgoing'!AE38))</f>
        <v/>
      </c>
      <c r="AF38">
        <f>IF(COUNTIFS(T_StockCount[Part Name],$A38,T_StockCount[WeekIndex],31)&gt;0,SUMIFS(T_StockCount[CountedQty],T_StockCount[Part Name],$A38,T_StockCount[WeekIndex],31),IF(('T_SelfStock'!AF42&lt;&gt;""),'T_SelfStock'!AF42,AE38-'Grid_Requirement'!AF38+'Grid_TTAFOutgoing'!AF38))</f>
        <v/>
      </c>
      <c r="AG38">
        <f>IF(COUNTIFS(T_StockCount[Part Name],$A38,T_StockCount[WeekIndex],32)&gt;0,SUMIFS(T_StockCount[CountedQty],T_StockCount[Part Name],$A38,T_StockCount[WeekIndex],32),IF(('T_SelfStock'!AG42&lt;&gt;""),'T_SelfStock'!AG42,AF38-'Grid_Requirement'!AG38+'Grid_TTAFOutgoing'!AG38))</f>
        <v/>
      </c>
      <c r="AH38">
        <f>IF(COUNTIFS(T_StockCount[Part Name],$A38,T_StockCount[WeekIndex],33)&gt;0,SUMIFS(T_StockCount[CountedQty],T_StockCount[Part Name],$A38,T_StockCount[WeekIndex],33),IF(('T_SelfStock'!AH42&lt;&gt;""),'T_SelfStock'!AH42,AG38-'Grid_Requirement'!AH38+'Grid_TTAFOutgoing'!AH38))</f>
        <v/>
      </c>
      <c r="AI38">
        <f>IF(COUNTIFS(T_StockCount[Part Name],$A38,T_StockCount[WeekIndex],34)&gt;0,SUMIFS(T_StockCount[CountedQty],T_StockCount[Part Name],$A38,T_StockCount[WeekIndex],34),IF(('T_SelfStock'!AI42&lt;&gt;""),'T_SelfStock'!AI42,AH38-'Grid_Requirement'!AI38+'Grid_TTAFOutgoing'!AI38))</f>
        <v/>
      </c>
      <c r="AJ38">
        <f>IF(COUNTIFS(T_StockCount[Part Name],$A38,T_StockCount[WeekIndex],35)&gt;0,SUMIFS(T_StockCount[CountedQty],T_StockCount[Part Name],$A38,T_StockCount[WeekIndex],35),IF(('T_SelfStock'!AJ42&lt;&gt;""),'T_SelfStock'!AJ42,AI38-'Grid_Requirement'!AJ38+'Grid_TTAFOutgoing'!AJ38))</f>
        <v/>
      </c>
      <c r="AK38">
        <f>IF(COUNTIFS(T_StockCount[Part Name],$A38,T_StockCount[WeekIndex],36)&gt;0,SUMIFS(T_StockCount[CountedQty],T_StockCount[Part Name],$A38,T_StockCount[WeekIndex],36),IF(('T_SelfStock'!AK42&lt;&gt;""),'T_SelfStock'!AK42,AJ38-'Grid_Requirement'!AK38+'Grid_TTAFOutgoing'!AK38))</f>
        <v/>
      </c>
      <c r="AL38">
        <f>IF(COUNTIFS(T_StockCount[Part Name],$A38,T_StockCount[WeekIndex],37)&gt;0,SUMIFS(T_StockCount[CountedQty],T_StockCount[Part Name],$A38,T_StockCount[WeekIndex],37),IF(('T_SelfStock'!AL42&lt;&gt;""),'T_SelfStock'!AL42,AK38-'Grid_Requirement'!AL38+'Grid_TTAFOutgoing'!AL38))</f>
        <v/>
      </c>
      <c r="AM38">
        <f>IF(COUNTIFS(T_StockCount[Part Name],$A38,T_StockCount[WeekIndex],38)&gt;0,SUMIFS(T_StockCount[CountedQty],T_StockCount[Part Name],$A38,T_StockCount[WeekIndex],38),IF(('T_SelfStock'!AM42&lt;&gt;""),'T_SelfStock'!AM42,AL38-'Grid_Requirement'!AM38+'Grid_TTAFOutgoing'!AM38))</f>
        <v/>
      </c>
      <c r="AN38">
        <f>IF(COUNTIFS(T_StockCount[Part Name],$A38,T_StockCount[WeekIndex],39)&gt;0,SUMIFS(T_StockCount[CountedQty],T_StockCount[Part Name],$A38,T_StockCount[WeekIndex],39),IF(('T_SelfStock'!AN42&lt;&gt;""),'T_SelfStock'!AN42,AM38-'Grid_Requirement'!AN38+'Grid_TTAFOutgoing'!AN38))</f>
        <v/>
      </c>
      <c r="AO38">
        <f>IF(COUNTIFS(T_StockCount[Part Name],$A38,T_StockCount[WeekIndex],40)&gt;0,SUMIFS(T_StockCount[CountedQty],T_StockCount[Part Name],$A38,T_StockCount[WeekIndex],40),IF(('T_SelfStock'!AO42&lt;&gt;""),'T_SelfStock'!AO42,AN38-'Grid_Requirement'!AO38+'Grid_TTAFOutgoing'!AO38))</f>
        <v/>
      </c>
      <c r="AP38">
        <f>IF(COUNTIFS(T_StockCount[Part Name],$A38,T_StockCount[WeekIndex],41)&gt;0,SUMIFS(T_StockCount[CountedQty],T_StockCount[Part Name],$A38,T_StockCount[WeekIndex],41),IF(('T_SelfStock'!AP42&lt;&gt;""),'T_SelfStock'!AP42,AO38-'Grid_Requirement'!AP38+'Grid_TTAFOutgoing'!AP38))</f>
        <v/>
      </c>
      <c r="AQ38">
        <f>IF(COUNTIFS(T_StockCount[Part Name],$A38,T_StockCount[WeekIndex],42)&gt;0,SUMIFS(T_StockCount[CountedQty],T_StockCount[Part Name],$A38,T_StockCount[WeekIndex],42),IF(('T_SelfStock'!AQ42&lt;&gt;""),'T_SelfStock'!AQ42,AP38-'Grid_Requirement'!AQ38+'Grid_TTAFOutgoing'!AQ38))</f>
        <v/>
      </c>
      <c r="AR38">
        <f>IF(COUNTIFS(T_StockCount[Part Name],$A38,T_StockCount[WeekIndex],43)&gt;0,SUMIFS(T_StockCount[CountedQty],T_StockCount[Part Name],$A38,T_StockCount[WeekIndex],43),IF(('T_SelfStock'!AR42&lt;&gt;""),'T_SelfStock'!AR42,AQ38-'Grid_Requirement'!AR38+'Grid_TTAFOutgoing'!AR38))</f>
        <v/>
      </c>
      <c r="AS38">
        <f>IF(COUNTIFS(T_StockCount[Part Name],$A38,T_StockCount[WeekIndex],44)&gt;0,SUMIFS(T_StockCount[CountedQty],T_StockCount[Part Name],$A38,T_StockCount[WeekIndex],44),IF(('T_SelfStock'!AS42&lt;&gt;""),'T_SelfStock'!AS42,AR38-'Grid_Requirement'!AS38+'Grid_TTAFOutgoing'!AS38))</f>
        <v/>
      </c>
      <c r="AT38">
        <f>IF(COUNTIFS(T_StockCount[Part Name],$A38,T_StockCount[WeekIndex],45)&gt;0,SUMIFS(T_StockCount[CountedQty],T_StockCount[Part Name],$A38,T_StockCount[WeekIndex],45),IF(('T_SelfStock'!AT42&lt;&gt;""),'T_SelfStock'!AT42,AS38-'Grid_Requirement'!AT38+'Grid_TTAFOutgoing'!AT38))</f>
        <v/>
      </c>
      <c r="AU38">
        <f>IF(COUNTIFS(T_StockCount[Part Name],$A38,T_StockCount[WeekIndex],46)&gt;0,SUMIFS(T_StockCount[CountedQty],T_StockCount[Part Name],$A38,T_StockCount[WeekIndex],46),IF(('T_SelfStock'!AU42&lt;&gt;""),'T_SelfStock'!AU42,AT38-'Grid_Requirement'!AU38+'Grid_TTAFOutgoing'!AU38))</f>
        <v/>
      </c>
      <c r="AV38">
        <f>IF(COUNTIFS(T_StockCount[Part Name],$A38,T_StockCount[WeekIndex],47)&gt;0,SUMIFS(T_StockCount[CountedQty],T_StockCount[Part Name],$A38,T_StockCount[WeekIndex],47),IF(('T_SelfStock'!AV42&lt;&gt;""),'T_SelfStock'!AV42,AU38-'Grid_Requirement'!AV38+'Grid_TTAFOutgoing'!AV38))</f>
        <v/>
      </c>
      <c r="AW38">
        <f>IF(COUNTIFS(T_StockCount[Part Name],$A38,T_StockCount[WeekIndex],48)&gt;0,SUMIFS(T_StockCount[CountedQty],T_StockCount[Part Name],$A38,T_StockCount[WeekIndex],48),IF(('T_SelfStock'!AW42&lt;&gt;""),'T_SelfStock'!AW42,AV38-'Grid_Requirement'!AW38+'Grid_TTAFOutgoing'!AW38))</f>
        <v/>
      </c>
      <c r="AX38">
        <f>IF(COUNTIFS(T_StockCount[Part Name],$A38,T_StockCount[WeekIndex],49)&gt;0,SUMIFS(T_StockCount[CountedQty],T_StockCount[Part Name],$A38,T_StockCount[WeekIndex],49),IF(('T_SelfStock'!AX42&lt;&gt;""),'T_SelfStock'!AX42,AW38-'Grid_Requirement'!AX38+'Grid_TTAFOutgoing'!AX38))</f>
        <v/>
      </c>
      <c r="AY38">
        <f>IF(COUNTIFS(T_StockCount[Part Name],$A38,T_StockCount[WeekIndex],50)&gt;0,SUMIFS(T_StockCount[CountedQty],T_StockCount[Part Name],$A38,T_StockCount[WeekIndex],50),IF(('T_SelfStock'!AY42&lt;&gt;""),'T_SelfStock'!AY42,AX38-'Grid_Requirement'!AY38+'Grid_TTAFOutgoing'!AY38))</f>
        <v/>
      </c>
      <c r="AZ38">
        <f>IF(COUNTIFS(T_StockCount[Part Name],$A38,T_StockCount[WeekIndex],51)&gt;0,SUMIFS(T_StockCount[CountedQty],T_StockCount[Part Name],$A38,T_StockCount[WeekIndex],51),IF(('T_SelfStock'!AZ42&lt;&gt;""),'T_SelfStock'!AZ42,AY38-'Grid_Requirement'!AZ38+'Grid_TTAFOutgoing'!AZ38))</f>
        <v/>
      </c>
      <c r="BA38">
        <f>IF(COUNTIFS(T_StockCount[Part Name],$A38,T_StockCount[WeekIndex],52)&gt;0,SUMIFS(T_StockCount[CountedQty],T_StockCount[Part Name],$A38,T_StockCount[WeekIndex],52),IF(('T_SelfStock'!BA42&lt;&gt;""),'T_SelfStock'!BA42,AZ38-'Grid_Requirement'!BA38+'Grid_TTAFOutgoing'!BA38))</f>
        <v/>
      </c>
      <c r="BB38">
        <f>IF(COUNTIFS(T_StockCount[Part Name],$A38,T_StockCount[WeekIndex],53)&gt;0,SUMIFS(T_StockCount[CountedQty],T_StockCount[Part Name],$A38,T_StockCount[WeekIndex],53),IF(('T_SelfStock'!BB42&lt;&gt;""),'T_SelfStock'!BB42,BA38-'Grid_Requirement'!BB38+'Grid_TTAFOutgoing'!BB38))</f>
        <v/>
      </c>
      <c r="BC38">
        <f>IF(COUNTIFS(T_StockCount[Part Name],$A38,T_StockCount[WeekIndex],54)&gt;0,SUMIFS(T_StockCount[CountedQty],T_StockCount[Part Name],$A38,T_StockCount[WeekIndex],54),IF(('T_SelfStock'!BC42&lt;&gt;""),'T_SelfStock'!BC42,BB38-'Grid_Requirement'!BC38+'Grid_TTAFOutgoing'!BC38))</f>
        <v/>
      </c>
      <c r="BD38">
        <f>IF(COUNTIFS(T_StockCount[Part Name],$A38,T_StockCount[WeekIndex],55)&gt;0,SUMIFS(T_StockCount[CountedQty],T_StockCount[Part Name],$A38,T_StockCount[WeekIndex],55),IF(('T_SelfStock'!BD42&lt;&gt;""),'T_SelfStock'!BD42,BC38-'Grid_Requirement'!BD38+'Grid_TTAFOutgoing'!BD38))</f>
        <v/>
      </c>
      <c r="BE38">
        <f>IF(COUNTIFS(T_StockCount[Part Name],$A38,T_StockCount[WeekIndex],56)&gt;0,SUMIFS(T_StockCount[CountedQty],T_StockCount[Part Name],$A38,T_StockCount[WeekIndex],56),IF(('T_SelfStock'!BE42&lt;&gt;""),'T_SelfStock'!BE42,BD38-'Grid_Requirement'!BE38+'Grid_TTAFOutgoing'!BE38))</f>
        <v/>
      </c>
      <c r="BF38">
        <f>IF(COUNTIFS(T_StockCount[Part Name],$A38,T_StockCount[WeekIndex],57)&gt;0,SUMIFS(T_StockCount[CountedQty],T_StockCount[Part Name],$A38,T_StockCount[WeekIndex],57),IF(('T_SelfStock'!BF42&lt;&gt;""),'T_SelfStock'!BF42,BE38-'Grid_Requirement'!BF38+'Grid_TTAFOutgoing'!BF38))</f>
        <v/>
      </c>
      <c r="BG38">
        <f>IF(COUNTIFS(T_StockCount[Part Name],$A38,T_StockCount[WeekIndex],58)&gt;0,SUMIFS(T_StockCount[CountedQty],T_StockCount[Part Name],$A38,T_StockCount[WeekIndex],58),IF(('T_SelfStock'!BG42&lt;&gt;""),'T_SelfStock'!BG42,BF38-'Grid_Requirement'!BG38+'Grid_TTAFOutgoing'!BG38))</f>
        <v/>
      </c>
      <c r="BH38">
        <f>IF(COUNTIFS(T_StockCount[Part Name],$A38,T_StockCount[WeekIndex],59)&gt;0,SUMIFS(T_StockCount[CountedQty],T_StockCount[Part Name],$A38,T_StockCount[WeekIndex],59),IF(('T_SelfStock'!BH42&lt;&gt;""),'T_SelfStock'!BH42,BG38-'Grid_Requirement'!BH38+'Grid_TTAFOutgoing'!BH38))</f>
        <v/>
      </c>
      <c r="BI38">
        <f>IF(COUNTIFS(T_StockCount[Part Name],$A38,T_StockCount[WeekIndex],60)&gt;0,SUMIFS(T_StockCount[CountedQty],T_StockCount[Part Name],$A38,T_StockCount[WeekIndex],60),IF(('T_SelfStock'!BI42&lt;&gt;""),'T_SelfStock'!BI42,BH38-'Grid_Requirement'!BI38+'Grid_TTAFOutgoing'!BI38))</f>
        <v/>
      </c>
      <c r="BJ38">
        <f>IF(COUNTIFS(T_StockCount[Part Name],$A38,T_StockCount[WeekIndex],61)&gt;0,SUMIFS(T_StockCount[CountedQty],T_StockCount[Part Name],$A38,T_StockCount[WeekIndex],61),IF(('T_SelfStock'!BJ42&lt;&gt;""),'T_SelfStock'!BJ42,BI38-'Grid_Requirement'!BJ38+'Grid_TTAFOutgoing'!BJ38))</f>
        <v/>
      </c>
      <c r="BK38">
        <f>IF(COUNTIFS(T_StockCount[Part Name],$A38,T_StockCount[WeekIndex],62)&gt;0,SUMIFS(T_StockCount[CountedQty],T_StockCount[Part Name],$A38,T_StockCount[WeekIndex],62),IF(('T_SelfStock'!BK42&lt;&gt;""),'T_SelfStock'!BK42,BJ38-'Grid_Requirement'!BK38+'Grid_TTAFOutgoing'!BK38))</f>
        <v/>
      </c>
      <c r="BL38">
        <f>IF(COUNTIFS(T_StockCount[Part Name],$A38,T_StockCount[WeekIndex],63)&gt;0,SUMIFS(T_StockCount[CountedQty],T_StockCount[Part Name],$A38,T_StockCount[WeekIndex],63),IF(('T_SelfStock'!BL42&lt;&gt;""),'T_SelfStock'!BL42,BK38-'Grid_Requirement'!BL38+'Grid_TTAFOutgoing'!BL38))</f>
        <v/>
      </c>
      <c r="BM38">
        <f>IF(COUNTIFS(T_StockCount[Part Name],$A38,T_StockCount[WeekIndex],64)&gt;0,SUMIFS(T_StockCount[CountedQty],T_StockCount[Part Name],$A38,T_StockCount[WeekIndex],64),IF(('T_SelfStock'!BM42&lt;&gt;""),'T_SelfStock'!BM42,BL38-'Grid_Requirement'!BM38+'Grid_TTAFOutgoing'!BM38))</f>
        <v/>
      </c>
      <c r="BN38">
        <f>IF(COUNTIFS(T_StockCount[Part Name],$A38,T_StockCount[WeekIndex],65)&gt;0,SUMIFS(T_StockCount[CountedQty],T_StockCount[Part Name],$A38,T_StockCount[WeekIndex],65),IF(('T_SelfStock'!BN42&lt;&gt;""),'T_SelfStock'!BN42,BM38-'Grid_Requirement'!BN38+'Grid_TTAFOutgoing'!BN38))</f>
        <v/>
      </c>
      <c r="BO38">
        <f>IF(COUNTIFS(T_StockCount[Part Name],$A38,T_StockCount[WeekIndex],66)&gt;0,SUMIFS(T_StockCount[CountedQty],T_StockCount[Part Name],$A38,T_StockCount[WeekIndex],66),IF(('T_SelfStock'!BO42&lt;&gt;""),'T_SelfStock'!BO42,BN38-'Grid_Requirement'!BO38+'Grid_TTAFOutgoing'!BO38))</f>
        <v/>
      </c>
      <c r="BP38">
        <f>IF(COUNTIFS(T_StockCount[Part Name],$A38,T_StockCount[WeekIndex],67)&gt;0,SUMIFS(T_StockCount[CountedQty],T_StockCount[Part Name],$A38,T_StockCount[WeekIndex],67),IF(('T_SelfStock'!BP42&lt;&gt;""),'T_SelfStock'!BP42,BO38-'Grid_Requirement'!BP38+'Grid_TTAFOutgoing'!BP38))</f>
        <v/>
      </c>
      <c r="BQ38">
        <f>IF(COUNTIFS(T_StockCount[Part Name],$A38,T_StockCount[WeekIndex],68)&gt;0,SUMIFS(T_StockCount[CountedQty],T_StockCount[Part Name],$A38,T_StockCount[WeekIndex],68),IF(('T_SelfStock'!BQ42&lt;&gt;""),'T_SelfStock'!BQ42,BP38-'Grid_Requirement'!BQ38+'Grid_TTAFOutgoing'!BQ38))</f>
        <v/>
      </c>
      <c r="BR38">
        <f>IF(COUNTIFS(T_StockCount[Part Name],$A38,T_StockCount[WeekIndex],69)&gt;0,SUMIFS(T_StockCount[CountedQty],T_StockCount[Part Name],$A38,T_StockCount[WeekIndex],69),IF(('T_SelfStock'!BR42&lt;&gt;""),'T_SelfStock'!BR42,BQ38-'Grid_Requirement'!BR38+'Grid_TTAFOutgoing'!BR38))</f>
        <v/>
      </c>
      <c r="BS38">
        <f>IF(COUNTIFS(T_StockCount[Part Name],$A38,T_StockCount[WeekIndex],70)&gt;0,SUMIFS(T_StockCount[CountedQty],T_StockCount[Part Name],$A38,T_StockCount[WeekIndex],70),IF(('T_SelfStock'!BS42&lt;&gt;""),'T_SelfStock'!BS42,BR38-'Grid_Requirement'!BS38+'Grid_TTAFOutgoing'!BS38))</f>
        <v/>
      </c>
      <c r="BT38">
        <f>IF(COUNTIFS(T_StockCount[Part Name],$A38,T_StockCount[WeekIndex],71)&gt;0,SUMIFS(T_StockCount[CountedQty],T_StockCount[Part Name],$A38,T_StockCount[WeekIndex],71),IF(('T_SelfStock'!BT42&lt;&gt;""),'T_SelfStock'!BT42,BS38-'Grid_Requirement'!BT38+'Grid_TTAFOutgoing'!BT38))</f>
        <v/>
      </c>
      <c r="BU38">
        <f>IF(COUNTIFS(T_StockCount[Part Name],$A38,T_StockCount[WeekIndex],72)&gt;0,SUMIFS(T_StockCount[CountedQty],T_StockCount[Part Name],$A38,T_StockCount[WeekIndex],72),IF(('T_SelfStock'!BU42&lt;&gt;""),'T_SelfStock'!BU42,BT38-'Grid_Requirement'!BU38+'Grid_TTAFOutgoing'!BU38))</f>
        <v/>
      </c>
      <c r="BV38">
        <f>IF(COUNTIFS(T_StockCount[Part Name],$A38,T_StockCount[WeekIndex],73)&gt;0,SUMIFS(T_StockCount[CountedQty],T_StockCount[Part Name],$A38,T_StockCount[WeekIndex],73),IF(('T_SelfStock'!BV42&lt;&gt;""),'T_SelfStock'!BV42,BU38-'Grid_Requirement'!BV38+'Grid_TTAFOutgoing'!BV38))</f>
        <v/>
      </c>
      <c r="BW38">
        <f>IF(COUNTIFS(T_StockCount[Part Name],$A38,T_StockCount[WeekIndex],74)&gt;0,SUMIFS(T_StockCount[CountedQty],T_StockCount[Part Name],$A38,T_StockCount[WeekIndex],74),IF(('T_SelfStock'!BW42&lt;&gt;""),'T_SelfStock'!BW42,BV38-'Grid_Requirement'!BW38+'Grid_TTAFOutgoing'!BW38))</f>
        <v/>
      </c>
      <c r="BX38">
        <f>IF(COUNTIFS(T_StockCount[Part Name],$A38,T_StockCount[WeekIndex],75)&gt;0,SUMIFS(T_StockCount[CountedQty],T_StockCount[Part Name],$A38,T_StockCount[WeekIndex],75),IF(('T_SelfStock'!BX42&lt;&gt;""),'T_SelfStock'!BX42,BW38-'Grid_Requirement'!BX38+'Grid_TTAFOutgoing'!BX38))</f>
        <v/>
      </c>
      <c r="BY38">
        <f>IF(COUNTIFS(T_StockCount[Part Name],$A38,T_StockCount[WeekIndex],76)&gt;0,SUMIFS(T_StockCount[CountedQty],T_StockCount[Part Name],$A38,T_StockCount[WeekIndex],76),IF(('T_SelfStock'!BY42&lt;&gt;""),'T_SelfStock'!BY42,BX38-'Grid_Requirement'!BY38+'Grid_TTAFOutgoing'!BY38))</f>
        <v/>
      </c>
      <c r="BZ38">
        <f>IF(COUNTIFS(T_StockCount[Part Name],$A38,T_StockCount[WeekIndex],77)&gt;0,SUMIFS(T_StockCount[CountedQty],T_StockCount[Part Name],$A38,T_StockCount[WeekIndex],77),IF(('T_SelfStock'!BZ42&lt;&gt;""),'T_SelfStock'!BZ42,BY38-'Grid_Requirement'!BZ38+'Grid_TTAFOutgoing'!BZ38))</f>
        <v/>
      </c>
      <c r="CA38">
        <f>IF(COUNTIFS(T_StockCount[Part Name],$A38,T_StockCount[WeekIndex],78)&gt;0,SUMIFS(T_StockCount[CountedQty],T_StockCount[Part Name],$A38,T_StockCount[WeekIndex],78),IF(('T_SelfStock'!CA42&lt;&gt;""),'T_SelfStock'!CA42,BZ38-'Grid_Requirement'!CA38+'Grid_TTAFOutgoing'!CA38))</f>
        <v/>
      </c>
      <c r="CB38">
        <f>IF(COUNTIFS(T_StockCount[Part Name],$A38,T_StockCount[WeekIndex],79)&gt;0,SUMIFS(T_StockCount[CountedQty],T_StockCount[Part Name],$A38,T_StockCount[WeekIndex],79),IF(('T_SelfStock'!CB42&lt;&gt;""),'T_SelfStock'!CB42,CA38-'Grid_Requirement'!CB38+'Grid_TTAFOutgoing'!CB38))</f>
        <v/>
      </c>
      <c r="CC38">
        <f>IF(COUNTIFS(T_StockCount[Part Name],$A38,T_StockCount[WeekIndex],80)&gt;0,SUMIFS(T_StockCount[CountedQty],T_StockCount[Part Name],$A38,T_StockCount[WeekIndex],80),IF(('T_SelfStock'!CC42&lt;&gt;""),'T_SelfStock'!CC42,CB38-'Grid_Requirement'!CC38+'Grid_TTAFOutgoing'!CC38))</f>
        <v/>
      </c>
      <c r="CD38">
        <f>IF(COUNTIFS(T_StockCount[Part Name],$A38,T_StockCount[WeekIndex],81)&gt;0,SUMIFS(T_StockCount[CountedQty],T_StockCount[Part Name],$A38,T_StockCount[WeekIndex],81),IF(('T_SelfStock'!CD42&lt;&gt;""),'T_SelfStock'!CD42,CC38-'Grid_Requirement'!CD38+'Grid_TTAFOutgoing'!CD38))</f>
        <v/>
      </c>
      <c r="CE38">
        <f>IF(COUNTIFS(T_StockCount[Part Name],$A38,T_StockCount[WeekIndex],82)&gt;0,SUMIFS(T_StockCount[CountedQty],T_StockCount[Part Name],$A38,T_StockCount[WeekIndex],82),IF(('T_SelfStock'!CE42&lt;&gt;""),'T_SelfStock'!CE42,CD38-'Grid_Requirement'!CE38+'Grid_TTAFOutgoing'!CE38))</f>
        <v/>
      </c>
      <c r="CF38">
        <f>IF(COUNTIFS(T_StockCount[Part Name],$A38,T_StockCount[WeekIndex],83)&gt;0,SUMIFS(T_StockCount[CountedQty],T_StockCount[Part Name],$A38,T_StockCount[WeekIndex],83),IF(('T_SelfStock'!CF42&lt;&gt;""),'T_SelfStock'!CF42,CE38-'Grid_Requirement'!CF38+'Grid_TTAFOutgoing'!CF38))</f>
        <v/>
      </c>
      <c r="CG38">
        <f>IF(COUNTIFS(T_StockCount[Part Name],$A38,T_StockCount[WeekIndex],84)&gt;0,SUMIFS(T_StockCount[CountedQty],T_StockCount[Part Name],$A38,T_StockCount[WeekIndex],84),IF(('T_SelfStock'!CG42&lt;&gt;""),'T_SelfStock'!CG42,CF38-'Grid_Requirement'!CG38+'Grid_TTAFOutgoing'!CG38))</f>
        <v/>
      </c>
      <c r="CH38">
        <f>IF(COUNTIFS(T_StockCount[Part Name],$A38,T_StockCount[WeekIndex],85)&gt;0,SUMIFS(T_StockCount[CountedQty],T_StockCount[Part Name],$A38,T_StockCount[WeekIndex],85),IF(('T_SelfStock'!CH42&lt;&gt;""),'T_SelfStock'!CH42,CG38-'Grid_Requirement'!CH38+'Grid_TTAFOutgoing'!CH38))</f>
        <v/>
      </c>
      <c r="CI38">
        <f>IF(COUNTIFS(T_StockCount[Part Name],$A38,T_StockCount[WeekIndex],86)&gt;0,SUMIFS(T_StockCount[CountedQty],T_StockCount[Part Name],$A38,T_StockCount[WeekIndex],86),IF(('T_SelfStock'!CI42&lt;&gt;""),'T_SelfStock'!CI42,CH38-'Grid_Requirement'!CI38+'Grid_TTAFOutgoing'!CI38))</f>
        <v/>
      </c>
      <c r="CJ38">
        <f>IF(COUNTIFS(T_StockCount[Part Name],$A38,T_StockCount[WeekIndex],87)&gt;0,SUMIFS(T_StockCount[CountedQty],T_StockCount[Part Name],$A38,T_StockCount[WeekIndex],87),IF(('T_SelfStock'!CJ42&lt;&gt;""),'T_SelfStock'!CJ42,CI38-'Grid_Requirement'!CJ38+'Grid_TTAFOutgoing'!CJ38))</f>
        <v/>
      </c>
      <c r="CK38">
        <f>IF(COUNTIFS(T_StockCount[Part Name],$A38,T_StockCount[WeekIndex],88)&gt;0,SUMIFS(T_StockCount[CountedQty],T_StockCount[Part Name],$A38,T_StockCount[WeekIndex],88),IF(('T_SelfStock'!CK42&lt;&gt;""),'T_SelfStock'!CK42,CJ38-'Grid_Requirement'!CK38+'Grid_TTAFOutgoing'!CK38))</f>
        <v/>
      </c>
      <c r="CL38">
        <f>IF(COUNTIFS(T_StockCount[Part Name],$A38,T_StockCount[WeekIndex],89)&gt;0,SUMIFS(T_StockCount[CountedQty],T_StockCount[Part Name],$A38,T_StockCount[WeekIndex],89),IF(('T_SelfStock'!CL42&lt;&gt;""),'T_SelfStock'!CL42,CK38-'Grid_Requirement'!CL38+'Grid_TTAFOutgoing'!CL38))</f>
        <v/>
      </c>
      <c r="CM38">
        <f>IF(COUNTIFS(T_StockCount[Part Name],$A38,T_StockCount[WeekIndex],90)&gt;0,SUMIFS(T_StockCount[CountedQty],T_StockCount[Part Name],$A38,T_StockCount[WeekIndex],90),IF(('T_SelfStock'!CM42&lt;&gt;""),'T_SelfStock'!CM42,CL38-'Grid_Requirement'!CM38+'Grid_TTAFOutgoing'!CM38))</f>
        <v/>
      </c>
      <c r="CN38">
        <f>IF(COUNTIFS(T_StockCount[Part Name],$A38,T_StockCount[WeekIndex],91)&gt;0,SUMIFS(T_StockCount[CountedQty],T_StockCount[Part Name],$A38,T_StockCount[WeekIndex],91),IF(('T_SelfStock'!CN42&lt;&gt;""),'T_SelfStock'!CN42,CM38-'Grid_Requirement'!CN38+'Grid_TTAFOutgoing'!CN38))</f>
        <v/>
      </c>
      <c r="CO38">
        <f>IF(COUNTIFS(T_StockCount[Part Name],$A38,T_StockCount[WeekIndex],92)&gt;0,SUMIFS(T_StockCount[CountedQty],T_StockCount[Part Name],$A38,T_StockCount[WeekIndex],92),IF(('T_SelfStock'!CO42&lt;&gt;""),'T_SelfStock'!CO42,CN38-'Grid_Requirement'!CO38+'Grid_TTAFOutgoing'!CO38))</f>
        <v/>
      </c>
      <c r="CP38">
        <f>IF(COUNTIFS(T_StockCount[Part Name],$A38,T_StockCount[WeekIndex],93)&gt;0,SUMIFS(T_StockCount[CountedQty],T_StockCount[Part Name],$A38,T_StockCount[WeekIndex],93),IF(('T_SelfStock'!CP42&lt;&gt;""),'T_SelfStock'!CP42,CO38-'Grid_Requirement'!CP38+'Grid_TTAFOutgoing'!CP38))</f>
        <v/>
      </c>
      <c r="CQ38">
        <f>IF(COUNTIFS(T_StockCount[Part Name],$A38,T_StockCount[WeekIndex],94)&gt;0,SUMIFS(T_StockCount[CountedQty],T_StockCount[Part Name],$A38,T_StockCount[WeekIndex],94),IF(('T_SelfStock'!CQ42&lt;&gt;""),'T_SelfStock'!CQ42,CP38-'Grid_Requirement'!CQ38+'Grid_TTAFOutgoing'!CQ38))</f>
        <v/>
      </c>
      <c r="CR38">
        <f>IF(COUNTIFS(T_StockCount[Part Name],$A38,T_StockCount[WeekIndex],95)&gt;0,SUMIFS(T_StockCount[CountedQty],T_StockCount[Part Name],$A38,T_StockCount[WeekIndex],95),IF(('T_SelfStock'!CR42&lt;&gt;""),'T_SelfStock'!CR42,CQ38-'Grid_Requirement'!CR38+'Grid_TTAFOutgoing'!CR38))</f>
        <v/>
      </c>
      <c r="CS38">
        <f>IF(COUNTIFS(T_StockCount[Part Name],$A38,T_StockCount[WeekIndex],96)&gt;0,SUMIFS(T_StockCount[CountedQty],T_StockCount[Part Name],$A38,T_StockCount[WeekIndex],96),IF(('T_SelfStock'!CS42&lt;&gt;""),'T_SelfStock'!CS42,CR38-'Grid_Requirement'!CS38+'Grid_TTAFOutgoing'!CS38))</f>
        <v/>
      </c>
      <c r="CT38">
        <f>IF(COUNTIFS(T_StockCount[Part Name],$A38,T_StockCount[WeekIndex],97)&gt;0,SUMIFS(T_StockCount[CountedQty],T_StockCount[Part Name],$A38,T_StockCount[WeekIndex],97),IF(('T_SelfStock'!CT42&lt;&gt;""),'T_SelfStock'!CT42,CS38-'Grid_Requirement'!CT38+'Grid_TTAFOutgoing'!CT38))</f>
        <v/>
      </c>
      <c r="CU38">
        <f>IF(COUNTIFS(T_StockCount[Part Name],$A38,T_StockCount[WeekIndex],98)&gt;0,SUMIFS(T_StockCount[CountedQty],T_StockCount[Part Name],$A38,T_StockCount[WeekIndex],98),IF(('T_SelfStock'!CU42&lt;&gt;""),'T_SelfStock'!CU42,CT38-'Grid_Requirement'!CU38+'Grid_TTAFOutgoing'!CU38))</f>
        <v/>
      </c>
      <c r="CV38">
        <f>IF(COUNTIFS(T_StockCount[Part Name],$A38,T_StockCount[WeekIndex],99)&gt;0,SUMIFS(T_StockCount[CountedQty],T_StockCount[Part Name],$A38,T_StockCount[WeekIndex],99),IF(('T_SelfStock'!CV42&lt;&gt;""),'T_SelfStock'!CV42,CU38-'Grid_Requirement'!CV38+'Grid_TTAFOutgoing'!CV38))</f>
        <v/>
      </c>
      <c r="CW38">
        <f>IF(COUNTIFS(T_StockCount[Part Name],$A38,T_StockCount[WeekIndex],100)&gt;0,SUMIFS(T_StockCount[CountedQty],T_StockCount[Part Name],$A38,T_StockCount[WeekIndex],100),IF(('T_SelfStock'!CW42&lt;&gt;""),'T_SelfStock'!CW42,CV38-'Grid_Requirement'!CW38+'Grid_TTAFOutgoing'!CW38))</f>
        <v/>
      </c>
      <c r="CX38">
        <f>IF(COUNTIFS(T_StockCount[Part Name],$A38,T_StockCount[WeekIndex],101)&gt;0,SUMIFS(T_StockCount[CountedQty],T_StockCount[Part Name],$A38,T_StockCount[WeekIndex],101),IF(('T_SelfStock'!CX42&lt;&gt;""),'T_SelfStock'!CX42,CW38-'Grid_Requirement'!CX38+'Grid_TTAFOutgoing'!CX38))</f>
        <v/>
      </c>
      <c r="CY38">
        <f>IF(COUNTIFS(T_StockCount[Part Name],$A38,T_StockCount[WeekIndex],102)&gt;0,SUMIFS(T_StockCount[CountedQty],T_StockCount[Part Name],$A38,T_StockCount[WeekIndex],102),IF(('T_SelfStock'!CY42&lt;&gt;""),'T_SelfStock'!CY42,CX38-'Grid_Requirement'!CY38+'Grid_TTAFOutgoing'!CY38))</f>
        <v/>
      </c>
      <c r="CZ38">
        <f>IF(COUNTIFS(T_StockCount[Part Name],$A38,T_StockCount[WeekIndex],103)&gt;0,SUMIFS(T_StockCount[CountedQty],T_StockCount[Part Name],$A38,T_StockCount[WeekIndex],103),IF(('T_SelfStock'!CZ42&lt;&gt;""),'T_SelfStock'!CZ42,CY38-'Grid_Requirement'!CZ38+'Grid_TTAFOutgoing'!CZ38))</f>
        <v/>
      </c>
      <c r="DA38">
        <f>IF(COUNTIFS(T_StockCount[Part Name],$A38,T_StockCount[WeekIndex],104)&gt;0,SUMIFS(T_StockCount[CountedQty],T_StockCount[Part Name],$A38,T_StockCount[WeekIndex],104),IF(('T_SelfStock'!DA42&lt;&gt;""),'T_SelfStock'!DA42,CZ38-'Grid_Requirement'!DA38+'Grid_TTAFOutgoing'!DA38))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Name],$A39,T_StockCount[WeekIndex],1),IF(('T_SelfStock'!B43&lt;&gt;""),'T_SelfStock'!B43,IFERROR(INDEX(T_OpeningStock[Opening_Qty],MATCH($A39,T_OpeningStock[Part Name],0)),0)-'Grid_Requirement'!B39+'Grid_TTAFOutgoing'!B39))</f>
        <v/>
      </c>
      <c r="C39">
        <f>IF(COUNTIFS(T_StockCount[Part Name],$A39,T_StockCount[WeekIndex],2)&gt;0,SUMIFS(T_StockCount[CountedQty],T_StockCount[Part Name],$A39,T_StockCount[WeekIndex],2),IF(('T_SelfStock'!C43&lt;&gt;""),'T_SelfStock'!C43,B39-'Grid_Requirement'!C39+'Grid_TTAFOutgoing'!C39))</f>
        <v/>
      </c>
      <c r="D39">
        <f>IF(COUNTIFS(T_StockCount[Part Name],$A39,T_StockCount[WeekIndex],3)&gt;0,SUMIFS(T_StockCount[CountedQty],T_StockCount[Part Name],$A39,T_StockCount[WeekIndex],3),IF(('T_SelfStock'!D43&lt;&gt;""),'T_SelfStock'!D43,C39-'Grid_Requirement'!D39+'Grid_TTAFOutgoing'!D39))</f>
        <v/>
      </c>
      <c r="E39">
        <f>IF(COUNTIFS(T_StockCount[Part Name],$A39,T_StockCount[WeekIndex],4)&gt;0,SUMIFS(T_StockCount[CountedQty],T_StockCount[Part Name],$A39,T_StockCount[WeekIndex],4),IF(('T_SelfStock'!E43&lt;&gt;""),'T_SelfStock'!E43,D39-'Grid_Requirement'!E39+'Grid_TTAFOutgoing'!E39))</f>
        <v/>
      </c>
      <c r="F39">
        <f>IF(COUNTIFS(T_StockCount[Part Name],$A39,T_StockCount[WeekIndex],5)&gt;0,SUMIFS(T_StockCount[CountedQty],T_StockCount[Part Name],$A39,T_StockCount[WeekIndex],5),IF(('T_SelfStock'!F43&lt;&gt;""),'T_SelfStock'!F43,E39-'Grid_Requirement'!F39+'Grid_TTAFOutgoing'!F39))</f>
        <v/>
      </c>
      <c r="G39">
        <f>IF(COUNTIFS(T_StockCount[Part Name],$A39,T_StockCount[WeekIndex],6)&gt;0,SUMIFS(T_StockCount[CountedQty],T_StockCount[Part Name],$A39,T_StockCount[WeekIndex],6),IF(('T_SelfStock'!G43&lt;&gt;""),'T_SelfStock'!G43,F39-'Grid_Requirement'!G39+'Grid_TTAFOutgoing'!G39))</f>
        <v/>
      </c>
      <c r="H39">
        <f>IF(COUNTIFS(T_StockCount[Part Name],$A39,T_StockCount[WeekIndex],7)&gt;0,SUMIFS(T_StockCount[CountedQty],T_StockCount[Part Name],$A39,T_StockCount[WeekIndex],7),IF(('T_SelfStock'!H43&lt;&gt;""),'T_SelfStock'!H43,G39-'Grid_Requirement'!H39+'Grid_TTAFOutgoing'!H39))</f>
        <v/>
      </c>
      <c r="I39">
        <f>IF(COUNTIFS(T_StockCount[Part Name],$A39,T_StockCount[WeekIndex],8)&gt;0,SUMIFS(T_StockCount[CountedQty],T_StockCount[Part Name],$A39,T_StockCount[WeekIndex],8),IF(('T_SelfStock'!I43&lt;&gt;""),'T_SelfStock'!I43,H39-'Grid_Requirement'!I39+'Grid_TTAFOutgoing'!I39))</f>
        <v/>
      </c>
      <c r="J39">
        <f>IF(COUNTIFS(T_StockCount[Part Name],$A39,T_StockCount[WeekIndex],9)&gt;0,SUMIFS(T_StockCount[CountedQty],T_StockCount[Part Name],$A39,T_StockCount[WeekIndex],9),IF(('T_SelfStock'!J43&lt;&gt;""),'T_SelfStock'!J43,I39-'Grid_Requirement'!J39+'Grid_TTAFOutgoing'!J39))</f>
        <v/>
      </c>
      <c r="K39">
        <f>IF(COUNTIFS(T_StockCount[Part Name],$A39,T_StockCount[WeekIndex],10)&gt;0,SUMIFS(T_StockCount[CountedQty],T_StockCount[Part Name],$A39,T_StockCount[WeekIndex],10),IF(('T_SelfStock'!K43&lt;&gt;""),'T_SelfStock'!K43,J39-'Grid_Requirement'!K39+'Grid_TTAFOutgoing'!K39))</f>
        <v/>
      </c>
      <c r="L39">
        <f>IF(COUNTIFS(T_StockCount[Part Name],$A39,T_StockCount[WeekIndex],11)&gt;0,SUMIFS(T_StockCount[CountedQty],T_StockCount[Part Name],$A39,T_StockCount[WeekIndex],11),IF(('T_SelfStock'!L43&lt;&gt;""),'T_SelfStock'!L43,K39-'Grid_Requirement'!L39+'Grid_TTAFOutgoing'!L39))</f>
        <v/>
      </c>
      <c r="M39">
        <f>IF(COUNTIFS(T_StockCount[Part Name],$A39,T_StockCount[WeekIndex],12)&gt;0,SUMIFS(T_StockCount[CountedQty],T_StockCount[Part Name],$A39,T_StockCount[WeekIndex],12),IF(('T_SelfStock'!M43&lt;&gt;""),'T_SelfStock'!M43,L39-'Grid_Requirement'!M39+'Grid_TTAFOutgoing'!M39))</f>
        <v/>
      </c>
      <c r="N39">
        <f>IF(COUNTIFS(T_StockCount[Part Name],$A39,T_StockCount[WeekIndex],13)&gt;0,SUMIFS(T_StockCount[CountedQty],T_StockCount[Part Name],$A39,T_StockCount[WeekIndex],13),IF(('T_SelfStock'!N43&lt;&gt;""),'T_SelfStock'!N43,M39-'Grid_Requirement'!N39+'Grid_TTAFOutgoing'!N39))</f>
        <v/>
      </c>
      <c r="O39">
        <f>IF(COUNTIFS(T_StockCount[Part Name],$A39,T_StockCount[WeekIndex],14)&gt;0,SUMIFS(T_StockCount[CountedQty],T_StockCount[Part Name],$A39,T_StockCount[WeekIndex],14),IF(('T_SelfStock'!O43&lt;&gt;""),'T_SelfStock'!O43,N39-'Grid_Requirement'!O39+'Grid_TTAFOutgoing'!O39))</f>
        <v/>
      </c>
      <c r="P39">
        <f>IF(COUNTIFS(T_StockCount[Part Name],$A39,T_StockCount[WeekIndex],15)&gt;0,SUMIFS(T_StockCount[CountedQty],T_StockCount[Part Name],$A39,T_StockCount[WeekIndex],15),IF(('T_SelfStock'!P43&lt;&gt;""),'T_SelfStock'!P43,O39-'Grid_Requirement'!P39+'Grid_TTAFOutgoing'!P39))</f>
        <v/>
      </c>
      <c r="Q39">
        <f>IF(COUNTIFS(T_StockCount[Part Name],$A39,T_StockCount[WeekIndex],16)&gt;0,SUMIFS(T_StockCount[CountedQty],T_StockCount[Part Name],$A39,T_StockCount[WeekIndex],16),IF(('T_SelfStock'!Q43&lt;&gt;""),'T_SelfStock'!Q43,P39-'Grid_Requirement'!Q39+'Grid_TTAFOutgoing'!Q39))</f>
        <v/>
      </c>
      <c r="R39">
        <f>IF(COUNTIFS(T_StockCount[Part Name],$A39,T_StockCount[WeekIndex],17)&gt;0,SUMIFS(T_StockCount[CountedQty],T_StockCount[Part Name],$A39,T_StockCount[WeekIndex],17),IF(('T_SelfStock'!R43&lt;&gt;""),'T_SelfStock'!R43,Q39-'Grid_Requirement'!R39+'Grid_TTAFOutgoing'!R39))</f>
        <v/>
      </c>
      <c r="S39">
        <f>IF(COUNTIFS(T_StockCount[Part Name],$A39,T_StockCount[WeekIndex],18)&gt;0,SUMIFS(T_StockCount[CountedQty],T_StockCount[Part Name],$A39,T_StockCount[WeekIndex],18),IF(('T_SelfStock'!S43&lt;&gt;""),'T_SelfStock'!S43,R39-'Grid_Requirement'!S39+'Grid_TTAFOutgoing'!S39))</f>
        <v/>
      </c>
      <c r="T39">
        <f>IF(COUNTIFS(T_StockCount[Part Name],$A39,T_StockCount[WeekIndex],19)&gt;0,SUMIFS(T_StockCount[CountedQty],T_StockCount[Part Name],$A39,T_StockCount[WeekIndex],19),IF(('T_SelfStock'!T43&lt;&gt;""),'T_SelfStock'!T43,S39-'Grid_Requirement'!T39+'Grid_TTAFOutgoing'!T39))</f>
        <v/>
      </c>
      <c r="U39">
        <f>IF(COUNTIFS(T_StockCount[Part Name],$A39,T_StockCount[WeekIndex],20)&gt;0,SUMIFS(T_StockCount[CountedQty],T_StockCount[Part Name],$A39,T_StockCount[WeekIndex],20),IF(('T_SelfStock'!U43&lt;&gt;""),'T_SelfStock'!U43,T39-'Grid_Requirement'!U39+'Grid_TTAFOutgoing'!U39))</f>
        <v/>
      </c>
      <c r="V39">
        <f>IF(COUNTIFS(T_StockCount[Part Name],$A39,T_StockCount[WeekIndex],21)&gt;0,SUMIFS(T_StockCount[CountedQty],T_StockCount[Part Name],$A39,T_StockCount[WeekIndex],21),IF(('T_SelfStock'!V43&lt;&gt;""),'T_SelfStock'!V43,U39-'Grid_Requirement'!V39+'Grid_TTAFOutgoing'!V39))</f>
        <v/>
      </c>
      <c r="W39">
        <f>IF(COUNTIFS(T_StockCount[Part Name],$A39,T_StockCount[WeekIndex],22)&gt;0,SUMIFS(T_StockCount[CountedQty],T_StockCount[Part Name],$A39,T_StockCount[WeekIndex],22),IF(('T_SelfStock'!W43&lt;&gt;""),'T_SelfStock'!W43,V39-'Grid_Requirement'!W39+'Grid_TTAFOutgoing'!W39))</f>
        <v/>
      </c>
      <c r="X39">
        <f>IF(COUNTIFS(T_StockCount[Part Name],$A39,T_StockCount[WeekIndex],23)&gt;0,SUMIFS(T_StockCount[CountedQty],T_StockCount[Part Name],$A39,T_StockCount[WeekIndex],23),IF(('T_SelfStock'!X43&lt;&gt;""),'T_SelfStock'!X43,W39-'Grid_Requirement'!X39+'Grid_TTAFOutgoing'!X39))</f>
        <v/>
      </c>
      <c r="Y39">
        <f>IF(COUNTIFS(T_StockCount[Part Name],$A39,T_StockCount[WeekIndex],24)&gt;0,SUMIFS(T_StockCount[CountedQty],T_StockCount[Part Name],$A39,T_StockCount[WeekIndex],24),IF(('T_SelfStock'!Y43&lt;&gt;""),'T_SelfStock'!Y43,X39-'Grid_Requirement'!Y39+'Grid_TTAFOutgoing'!Y39))</f>
        <v/>
      </c>
      <c r="Z39">
        <f>IF(COUNTIFS(T_StockCount[Part Name],$A39,T_StockCount[WeekIndex],25)&gt;0,SUMIFS(T_StockCount[CountedQty],T_StockCount[Part Name],$A39,T_StockCount[WeekIndex],25),IF(('T_SelfStock'!Z43&lt;&gt;""),'T_SelfStock'!Z43,Y39-'Grid_Requirement'!Z39+'Grid_TTAFOutgoing'!Z39))</f>
        <v/>
      </c>
      <c r="AA39">
        <f>IF(COUNTIFS(T_StockCount[Part Name],$A39,T_StockCount[WeekIndex],26)&gt;0,SUMIFS(T_StockCount[CountedQty],T_StockCount[Part Name],$A39,T_StockCount[WeekIndex],26),IF(('T_SelfStock'!AA43&lt;&gt;""),'T_SelfStock'!AA43,Z39-'Grid_Requirement'!AA39+'Grid_TTAFOutgoing'!AA39))</f>
        <v/>
      </c>
      <c r="AB39">
        <f>IF(COUNTIFS(T_StockCount[Part Name],$A39,T_StockCount[WeekIndex],27)&gt;0,SUMIFS(T_StockCount[CountedQty],T_StockCount[Part Name],$A39,T_StockCount[WeekIndex],27),IF(('T_SelfStock'!AB43&lt;&gt;""),'T_SelfStock'!AB43,AA39-'Grid_Requirement'!AB39+'Grid_TTAFOutgoing'!AB39))</f>
        <v/>
      </c>
      <c r="AC39">
        <f>IF(COUNTIFS(T_StockCount[Part Name],$A39,T_StockCount[WeekIndex],28)&gt;0,SUMIFS(T_StockCount[CountedQty],T_StockCount[Part Name],$A39,T_StockCount[WeekIndex],28),IF(('T_SelfStock'!AC43&lt;&gt;""),'T_SelfStock'!AC43,AB39-'Grid_Requirement'!AC39+'Grid_TTAFOutgoing'!AC39))</f>
        <v/>
      </c>
      <c r="AD39">
        <f>IF(COUNTIFS(T_StockCount[Part Name],$A39,T_StockCount[WeekIndex],29)&gt;0,SUMIFS(T_StockCount[CountedQty],T_StockCount[Part Name],$A39,T_StockCount[WeekIndex],29),IF(('T_SelfStock'!AD43&lt;&gt;""),'T_SelfStock'!AD43,AC39-'Grid_Requirement'!AD39+'Grid_TTAFOutgoing'!AD39))</f>
        <v/>
      </c>
      <c r="AE39">
        <f>IF(COUNTIFS(T_StockCount[Part Name],$A39,T_StockCount[WeekIndex],30)&gt;0,SUMIFS(T_StockCount[CountedQty],T_StockCount[Part Name],$A39,T_StockCount[WeekIndex],30),IF(('T_SelfStock'!AE43&lt;&gt;""),'T_SelfStock'!AE43,AD39-'Grid_Requirement'!AE39+'Grid_TTAFOutgoing'!AE39))</f>
        <v/>
      </c>
      <c r="AF39">
        <f>IF(COUNTIFS(T_StockCount[Part Name],$A39,T_StockCount[WeekIndex],31)&gt;0,SUMIFS(T_StockCount[CountedQty],T_StockCount[Part Name],$A39,T_StockCount[WeekIndex],31),IF(('T_SelfStock'!AF43&lt;&gt;""),'T_SelfStock'!AF43,AE39-'Grid_Requirement'!AF39+'Grid_TTAFOutgoing'!AF39))</f>
        <v/>
      </c>
      <c r="AG39">
        <f>IF(COUNTIFS(T_StockCount[Part Name],$A39,T_StockCount[WeekIndex],32)&gt;0,SUMIFS(T_StockCount[CountedQty],T_StockCount[Part Name],$A39,T_StockCount[WeekIndex],32),IF(('T_SelfStock'!AG43&lt;&gt;""),'T_SelfStock'!AG43,AF39-'Grid_Requirement'!AG39+'Grid_TTAFOutgoing'!AG39))</f>
        <v/>
      </c>
      <c r="AH39">
        <f>IF(COUNTIFS(T_StockCount[Part Name],$A39,T_StockCount[WeekIndex],33)&gt;0,SUMIFS(T_StockCount[CountedQty],T_StockCount[Part Name],$A39,T_StockCount[WeekIndex],33),IF(('T_SelfStock'!AH43&lt;&gt;""),'T_SelfStock'!AH43,AG39-'Grid_Requirement'!AH39+'Grid_TTAFOutgoing'!AH39))</f>
        <v/>
      </c>
      <c r="AI39">
        <f>IF(COUNTIFS(T_StockCount[Part Name],$A39,T_StockCount[WeekIndex],34)&gt;0,SUMIFS(T_StockCount[CountedQty],T_StockCount[Part Name],$A39,T_StockCount[WeekIndex],34),IF(('T_SelfStock'!AI43&lt;&gt;""),'T_SelfStock'!AI43,AH39-'Grid_Requirement'!AI39+'Grid_TTAFOutgoing'!AI39))</f>
        <v/>
      </c>
      <c r="AJ39">
        <f>IF(COUNTIFS(T_StockCount[Part Name],$A39,T_StockCount[WeekIndex],35)&gt;0,SUMIFS(T_StockCount[CountedQty],T_StockCount[Part Name],$A39,T_StockCount[WeekIndex],35),IF(('T_SelfStock'!AJ43&lt;&gt;""),'T_SelfStock'!AJ43,AI39-'Grid_Requirement'!AJ39+'Grid_TTAFOutgoing'!AJ39))</f>
        <v/>
      </c>
      <c r="AK39">
        <f>IF(COUNTIFS(T_StockCount[Part Name],$A39,T_StockCount[WeekIndex],36)&gt;0,SUMIFS(T_StockCount[CountedQty],T_StockCount[Part Name],$A39,T_StockCount[WeekIndex],36),IF(('T_SelfStock'!AK43&lt;&gt;""),'T_SelfStock'!AK43,AJ39-'Grid_Requirement'!AK39+'Grid_TTAFOutgoing'!AK39))</f>
        <v/>
      </c>
      <c r="AL39">
        <f>IF(COUNTIFS(T_StockCount[Part Name],$A39,T_StockCount[WeekIndex],37)&gt;0,SUMIFS(T_StockCount[CountedQty],T_StockCount[Part Name],$A39,T_StockCount[WeekIndex],37),IF(('T_SelfStock'!AL43&lt;&gt;""),'T_SelfStock'!AL43,AK39-'Grid_Requirement'!AL39+'Grid_TTAFOutgoing'!AL39))</f>
        <v/>
      </c>
      <c r="AM39">
        <f>IF(COUNTIFS(T_StockCount[Part Name],$A39,T_StockCount[WeekIndex],38)&gt;0,SUMIFS(T_StockCount[CountedQty],T_StockCount[Part Name],$A39,T_StockCount[WeekIndex],38),IF(('T_SelfStock'!AM43&lt;&gt;""),'T_SelfStock'!AM43,AL39-'Grid_Requirement'!AM39+'Grid_TTAFOutgoing'!AM39))</f>
        <v/>
      </c>
      <c r="AN39">
        <f>IF(COUNTIFS(T_StockCount[Part Name],$A39,T_StockCount[WeekIndex],39)&gt;0,SUMIFS(T_StockCount[CountedQty],T_StockCount[Part Name],$A39,T_StockCount[WeekIndex],39),IF(('T_SelfStock'!AN43&lt;&gt;""),'T_SelfStock'!AN43,AM39-'Grid_Requirement'!AN39+'Grid_TTAFOutgoing'!AN39))</f>
        <v/>
      </c>
      <c r="AO39">
        <f>IF(COUNTIFS(T_StockCount[Part Name],$A39,T_StockCount[WeekIndex],40)&gt;0,SUMIFS(T_StockCount[CountedQty],T_StockCount[Part Name],$A39,T_StockCount[WeekIndex],40),IF(('T_SelfStock'!AO43&lt;&gt;""),'T_SelfStock'!AO43,AN39-'Grid_Requirement'!AO39+'Grid_TTAFOutgoing'!AO39))</f>
        <v/>
      </c>
      <c r="AP39">
        <f>IF(COUNTIFS(T_StockCount[Part Name],$A39,T_StockCount[WeekIndex],41)&gt;0,SUMIFS(T_StockCount[CountedQty],T_StockCount[Part Name],$A39,T_StockCount[WeekIndex],41),IF(('T_SelfStock'!AP43&lt;&gt;""),'T_SelfStock'!AP43,AO39-'Grid_Requirement'!AP39+'Grid_TTAFOutgoing'!AP39))</f>
        <v/>
      </c>
      <c r="AQ39">
        <f>IF(COUNTIFS(T_StockCount[Part Name],$A39,T_StockCount[WeekIndex],42)&gt;0,SUMIFS(T_StockCount[CountedQty],T_StockCount[Part Name],$A39,T_StockCount[WeekIndex],42),IF(('T_SelfStock'!AQ43&lt;&gt;""),'T_SelfStock'!AQ43,AP39-'Grid_Requirement'!AQ39+'Grid_TTAFOutgoing'!AQ39))</f>
        <v/>
      </c>
      <c r="AR39">
        <f>IF(COUNTIFS(T_StockCount[Part Name],$A39,T_StockCount[WeekIndex],43)&gt;0,SUMIFS(T_StockCount[CountedQty],T_StockCount[Part Name],$A39,T_StockCount[WeekIndex],43),IF(('T_SelfStock'!AR43&lt;&gt;""),'T_SelfStock'!AR43,AQ39-'Grid_Requirement'!AR39+'Grid_TTAFOutgoing'!AR39))</f>
        <v/>
      </c>
      <c r="AS39">
        <f>IF(COUNTIFS(T_StockCount[Part Name],$A39,T_StockCount[WeekIndex],44)&gt;0,SUMIFS(T_StockCount[CountedQty],T_StockCount[Part Name],$A39,T_StockCount[WeekIndex],44),IF(('T_SelfStock'!AS43&lt;&gt;""),'T_SelfStock'!AS43,AR39-'Grid_Requirement'!AS39+'Grid_TTAFOutgoing'!AS39))</f>
        <v/>
      </c>
      <c r="AT39">
        <f>IF(COUNTIFS(T_StockCount[Part Name],$A39,T_StockCount[WeekIndex],45)&gt;0,SUMIFS(T_StockCount[CountedQty],T_StockCount[Part Name],$A39,T_StockCount[WeekIndex],45),IF(('T_SelfStock'!AT43&lt;&gt;""),'T_SelfStock'!AT43,AS39-'Grid_Requirement'!AT39+'Grid_TTAFOutgoing'!AT39))</f>
        <v/>
      </c>
      <c r="AU39">
        <f>IF(COUNTIFS(T_StockCount[Part Name],$A39,T_StockCount[WeekIndex],46)&gt;0,SUMIFS(T_StockCount[CountedQty],T_StockCount[Part Name],$A39,T_StockCount[WeekIndex],46),IF(('T_SelfStock'!AU43&lt;&gt;""),'T_SelfStock'!AU43,AT39-'Grid_Requirement'!AU39+'Grid_TTAFOutgoing'!AU39))</f>
        <v/>
      </c>
      <c r="AV39">
        <f>IF(COUNTIFS(T_StockCount[Part Name],$A39,T_StockCount[WeekIndex],47)&gt;0,SUMIFS(T_StockCount[CountedQty],T_StockCount[Part Name],$A39,T_StockCount[WeekIndex],47),IF(('T_SelfStock'!AV43&lt;&gt;""),'T_SelfStock'!AV43,AU39-'Grid_Requirement'!AV39+'Grid_TTAFOutgoing'!AV39))</f>
        <v/>
      </c>
      <c r="AW39">
        <f>IF(COUNTIFS(T_StockCount[Part Name],$A39,T_StockCount[WeekIndex],48)&gt;0,SUMIFS(T_StockCount[CountedQty],T_StockCount[Part Name],$A39,T_StockCount[WeekIndex],48),IF(('T_SelfStock'!AW43&lt;&gt;""),'T_SelfStock'!AW43,AV39-'Grid_Requirement'!AW39+'Grid_TTAFOutgoing'!AW39))</f>
        <v/>
      </c>
      <c r="AX39">
        <f>IF(COUNTIFS(T_StockCount[Part Name],$A39,T_StockCount[WeekIndex],49)&gt;0,SUMIFS(T_StockCount[CountedQty],T_StockCount[Part Name],$A39,T_StockCount[WeekIndex],49),IF(('T_SelfStock'!AX43&lt;&gt;""),'T_SelfStock'!AX43,AW39-'Grid_Requirement'!AX39+'Grid_TTAFOutgoing'!AX39))</f>
        <v/>
      </c>
      <c r="AY39">
        <f>IF(COUNTIFS(T_StockCount[Part Name],$A39,T_StockCount[WeekIndex],50)&gt;0,SUMIFS(T_StockCount[CountedQty],T_StockCount[Part Name],$A39,T_StockCount[WeekIndex],50),IF(('T_SelfStock'!AY43&lt;&gt;""),'T_SelfStock'!AY43,AX39-'Grid_Requirement'!AY39+'Grid_TTAFOutgoing'!AY39))</f>
        <v/>
      </c>
      <c r="AZ39">
        <f>IF(COUNTIFS(T_StockCount[Part Name],$A39,T_StockCount[WeekIndex],51)&gt;0,SUMIFS(T_StockCount[CountedQty],T_StockCount[Part Name],$A39,T_StockCount[WeekIndex],51),IF(('T_SelfStock'!AZ43&lt;&gt;""),'T_SelfStock'!AZ43,AY39-'Grid_Requirement'!AZ39+'Grid_TTAFOutgoing'!AZ39))</f>
        <v/>
      </c>
      <c r="BA39">
        <f>IF(COUNTIFS(T_StockCount[Part Name],$A39,T_StockCount[WeekIndex],52)&gt;0,SUMIFS(T_StockCount[CountedQty],T_StockCount[Part Name],$A39,T_StockCount[WeekIndex],52),IF(('T_SelfStock'!BA43&lt;&gt;""),'T_SelfStock'!BA43,AZ39-'Grid_Requirement'!BA39+'Grid_TTAFOutgoing'!BA39))</f>
        <v/>
      </c>
      <c r="BB39">
        <f>IF(COUNTIFS(T_StockCount[Part Name],$A39,T_StockCount[WeekIndex],53)&gt;0,SUMIFS(T_StockCount[CountedQty],T_StockCount[Part Name],$A39,T_StockCount[WeekIndex],53),IF(('T_SelfStock'!BB43&lt;&gt;""),'T_SelfStock'!BB43,BA39-'Grid_Requirement'!BB39+'Grid_TTAFOutgoing'!BB39))</f>
        <v/>
      </c>
      <c r="BC39">
        <f>IF(COUNTIFS(T_StockCount[Part Name],$A39,T_StockCount[WeekIndex],54)&gt;0,SUMIFS(T_StockCount[CountedQty],T_StockCount[Part Name],$A39,T_StockCount[WeekIndex],54),IF(('T_SelfStock'!BC43&lt;&gt;""),'T_SelfStock'!BC43,BB39-'Grid_Requirement'!BC39+'Grid_TTAFOutgoing'!BC39))</f>
        <v/>
      </c>
      <c r="BD39">
        <f>IF(COUNTIFS(T_StockCount[Part Name],$A39,T_StockCount[WeekIndex],55)&gt;0,SUMIFS(T_StockCount[CountedQty],T_StockCount[Part Name],$A39,T_StockCount[WeekIndex],55),IF(('T_SelfStock'!BD43&lt;&gt;""),'T_SelfStock'!BD43,BC39-'Grid_Requirement'!BD39+'Grid_TTAFOutgoing'!BD39))</f>
        <v/>
      </c>
      <c r="BE39">
        <f>IF(COUNTIFS(T_StockCount[Part Name],$A39,T_StockCount[WeekIndex],56)&gt;0,SUMIFS(T_StockCount[CountedQty],T_StockCount[Part Name],$A39,T_StockCount[WeekIndex],56),IF(('T_SelfStock'!BE43&lt;&gt;""),'T_SelfStock'!BE43,BD39-'Grid_Requirement'!BE39+'Grid_TTAFOutgoing'!BE39))</f>
        <v/>
      </c>
      <c r="BF39">
        <f>IF(COUNTIFS(T_StockCount[Part Name],$A39,T_StockCount[WeekIndex],57)&gt;0,SUMIFS(T_StockCount[CountedQty],T_StockCount[Part Name],$A39,T_StockCount[WeekIndex],57),IF(('T_SelfStock'!BF43&lt;&gt;""),'T_SelfStock'!BF43,BE39-'Grid_Requirement'!BF39+'Grid_TTAFOutgoing'!BF39))</f>
        <v/>
      </c>
      <c r="BG39">
        <f>IF(COUNTIFS(T_StockCount[Part Name],$A39,T_StockCount[WeekIndex],58)&gt;0,SUMIFS(T_StockCount[CountedQty],T_StockCount[Part Name],$A39,T_StockCount[WeekIndex],58),IF(('T_SelfStock'!BG43&lt;&gt;""),'T_SelfStock'!BG43,BF39-'Grid_Requirement'!BG39+'Grid_TTAFOutgoing'!BG39))</f>
        <v/>
      </c>
      <c r="BH39">
        <f>IF(COUNTIFS(T_StockCount[Part Name],$A39,T_StockCount[WeekIndex],59)&gt;0,SUMIFS(T_StockCount[CountedQty],T_StockCount[Part Name],$A39,T_StockCount[WeekIndex],59),IF(('T_SelfStock'!BH43&lt;&gt;""),'T_SelfStock'!BH43,BG39-'Grid_Requirement'!BH39+'Grid_TTAFOutgoing'!BH39))</f>
        <v/>
      </c>
      <c r="BI39">
        <f>IF(COUNTIFS(T_StockCount[Part Name],$A39,T_StockCount[WeekIndex],60)&gt;0,SUMIFS(T_StockCount[CountedQty],T_StockCount[Part Name],$A39,T_StockCount[WeekIndex],60),IF(('T_SelfStock'!BI43&lt;&gt;""),'T_SelfStock'!BI43,BH39-'Grid_Requirement'!BI39+'Grid_TTAFOutgoing'!BI39))</f>
        <v/>
      </c>
      <c r="BJ39">
        <f>IF(COUNTIFS(T_StockCount[Part Name],$A39,T_StockCount[WeekIndex],61)&gt;0,SUMIFS(T_StockCount[CountedQty],T_StockCount[Part Name],$A39,T_StockCount[WeekIndex],61),IF(('T_SelfStock'!BJ43&lt;&gt;""),'T_SelfStock'!BJ43,BI39-'Grid_Requirement'!BJ39+'Grid_TTAFOutgoing'!BJ39))</f>
        <v/>
      </c>
      <c r="BK39">
        <f>IF(COUNTIFS(T_StockCount[Part Name],$A39,T_StockCount[WeekIndex],62)&gt;0,SUMIFS(T_StockCount[CountedQty],T_StockCount[Part Name],$A39,T_StockCount[WeekIndex],62),IF(('T_SelfStock'!BK43&lt;&gt;""),'T_SelfStock'!BK43,BJ39-'Grid_Requirement'!BK39+'Grid_TTAFOutgoing'!BK39))</f>
        <v/>
      </c>
      <c r="BL39">
        <f>IF(COUNTIFS(T_StockCount[Part Name],$A39,T_StockCount[WeekIndex],63)&gt;0,SUMIFS(T_StockCount[CountedQty],T_StockCount[Part Name],$A39,T_StockCount[WeekIndex],63),IF(('T_SelfStock'!BL43&lt;&gt;""),'T_SelfStock'!BL43,BK39-'Grid_Requirement'!BL39+'Grid_TTAFOutgoing'!BL39))</f>
        <v/>
      </c>
      <c r="BM39">
        <f>IF(COUNTIFS(T_StockCount[Part Name],$A39,T_StockCount[WeekIndex],64)&gt;0,SUMIFS(T_StockCount[CountedQty],T_StockCount[Part Name],$A39,T_StockCount[WeekIndex],64),IF(('T_SelfStock'!BM43&lt;&gt;""),'T_SelfStock'!BM43,BL39-'Grid_Requirement'!BM39+'Grid_TTAFOutgoing'!BM39))</f>
        <v/>
      </c>
      <c r="BN39">
        <f>IF(COUNTIFS(T_StockCount[Part Name],$A39,T_StockCount[WeekIndex],65)&gt;0,SUMIFS(T_StockCount[CountedQty],T_StockCount[Part Name],$A39,T_StockCount[WeekIndex],65),IF(('T_SelfStock'!BN43&lt;&gt;""),'T_SelfStock'!BN43,BM39-'Grid_Requirement'!BN39+'Grid_TTAFOutgoing'!BN39))</f>
        <v/>
      </c>
      <c r="BO39">
        <f>IF(COUNTIFS(T_StockCount[Part Name],$A39,T_StockCount[WeekIndex],66)&gt;0,SUMIFS(T_StockCount[CountedQty],T_StockCount[Part Name],$A39,T_StockCount[WeekIndex],66),IF(('T_SelfStock'!BO43&lt;&gt;""),'T_SelfStock'!BO43,BN39-'Grid_Requirement'!BO39+'Grid_TTAFOutgoing'!BO39))</f>
        <v/>
      </c>
      <c r="BP39">
        <f>IF(COUNTIFS(T_StockCount[Part Name],$A39,T_StockCount[WeekIndex],67)&gt;0,SUMIFS(T_StockCount[CountedQty],T_StockCount[Part Name],$A39,T_StockCount[WeekIndex],67),IF(('T_SelfStock'!BP43&lt;&gt;""),'T_SelfStock'!BP43,BO39-'Grid_Requirement'!BP39+'Grid_TTAFOutgoing'!BP39))</f>
        <v/>
      </c>
      <c r="BQ39">
        <f>IF(COUNTIFS(T_StockCount[Part Name],$A39,T_StockCount[WeekIndex],68)&gt;0,SUMIFS(T_StockCount[CountedQty],T_StockCount[Part Name],$A39,T_StockCount[WeekIndex],68),IF(('T_SelfStock'!BQ43&lt;&gt;""),'T_SelfStock'!BQ43,BP39-'Grid_Requirement'!BQ39+'Grid_TTAFOutgoing'!BQ39))</f>
        <v/>
      </c>
      <c r="BR39">
        <f>IF(COUNTIFS(T_StockCount[Part Name],$A39,T_StockCount[WeekIndex],69)&gt;0,SUMIFS(T_StockCount[CountedQty],T_StockCount[Part Name],$A39,T_StockCount[WeekIndex],69),IF(('T_SelfStock'!BR43&lt;&gt;""),'T_SelfStock'!BR43,BQ39-'Grid_Requirement'!BR39+'Grid_TTAFOutgoing'!BR39))</f>
        <v/>
      </c>
      <c r="BS39">
        <f>IF(COUNTIFS(T_StockCount[Part Name],$A39,T_StockCount[WeekIndex],70)&gt;0,SUMIFS(T_StockCount[CountedQty],T_StockCount[Part Name],$A39,T_StockCount[WeekIndex],70),IF(('T_SelfStock'!BS43&lt;&gt;""),'T_SelfStock'!BS43,BR39-'Grid_Requirement'!BS39+'Grid_TTAFOutgoing'!BS39))</f>
        <v/>
      </c>
      <c r="BT39">
        <f>IF(COUNTIFS(T_StockCount[Part Name],$A39,T_StockCount[WeekIndex],71)&gt;0,SUMIFS(T_StockCount[CountedQty],T_StockCount[Part Name],$A39,T_StockCount[WeekIndex],71),IF(('T_SelfStock'!BT43&lt;&gt;""),'T_SelfStock'!BT43,BS39-'Grid_Requirement'!BT39+'Grid_TTAFOutgoing'!BT39))</f>
        <v/>
      </c>
      <c r="BU39">
        <f>IF(COUNTIFS(T_StockCount[Part Name],$A39,T_StockCount[WeekIndex],72)&gt;0,SUMIFS(T_StockCount[CountedQty],T_StockCount[Part Name],$A39,T_StockCount[WeekIndex],72),IF(('T_SelfStock'!BU43&lt;&gt;""),'T_SelfStock'!BU43,BT39-'Grid_Requirement'!BU39+'Grid_TTAFOutgoing'!BU39))</f>
        <v/>
      </c>
      <c r="BV39">
        <f>IF(COUNTIFS(T_StockCount[Part Name],$A39,T_StockCount[WeekIndex],73)&gt;0,SUMIFS(T_StockCount[CountedQty],T_StockCount[Part Name],$A39,T_StockCount[WeekIndex],73),IF(('T_SelfStock'!BV43&lt;&gt;""),'T_SelfStock'!BV43,BU39-'Grid_Requirement'!BV39+'Grid_TTAFOutgoing'!BV39))</f>
        <v/>
      </c>
      <c r="BW39">
        <f>IF(COUNTIFS(T_StockCount[Part Name],$A39,T_StockCount[WeekIndex],74)&gt;0,SUMIFS(T_StockCount[CountedQty],T_StockCount[Part Name],$A39,T_StockCount[WeekIndex],74),IF(('T_SelfStock'!BW43&lt;&gt;""),'T_SelfStock'!BW43,BV39-'Grid_Requirement'!BW39+'Grid_TTAFOutgoing'!BW39))</f>
        <v/>
      </c>
      <c r="BX39">
        <f>IF(COUNTIFS(T_StockCount[Part Name],$A39,T_StockCount[WeekIndex],75)&gt;0,SUMIFS(T_StockCount[CountedQty],T_StockCount[Part Name],$A39,T_StockCount[WeekIndex],75),IF(('T_SelfStock'!BX43&lt;&gt;""),'T_SelfStock'!BX43,BW39-'Grid_Requirement'!BX39+'Grid_TTAFOutgoing'!BX39))</f>
        <v/>
      </c>
      <c r="BY39">
        <f>IF(COUNTIFS(T_StockCount[Part Name],$A39,T_StockCount[WeekIndex],76)&gt;0,SUMIFS(T_StockCount[CountedQty],T_StockCount[Part Name],$A39,T_StockCount[WeekIndex],76),IF(('T_SelfStock'!BY43&lt;&gt;""),'T_SelfStock'!BY43,BX39-'Grid_Requirement'!BY39+'Grid_TTAFOutgoing'!BY39))</f>
        <v/>
      </c>
      <c r="BZ39">
        <f>IF(COUNTIFS(T_StockCount[Part Name],$A39,T_StockCount[WeekIndex],77)&gt;0,SUMIFS(T_StockCount[CountedQty],T_StockCount[Part Name],$A39,T_StockCount[WeekIndex],77),IF(('T_SelfStock'!BZ43&lt;&gt;""),'T_SelfStock'!BZ43,BY39-'Grid_Requirement'!BZ39+'Grid_TTAFOutgoing'!BZ39))</f>
        <v/>
      </c>
      <c r="CA39">
        <f>IF(COUNTIFS(T_StockCount[Part Name],$A39,T_StockCount[WeekIndex],78)&gt;0,SUMIFS(T_StockCount[CountedQty],T_StockCount[Part Name],$A39,T_StockCount[WeekIndex],78),IF(('T_SelfStock'!CA43&lt;&gt;""),'T_SelfStock'!CA43,BZ39-'Grid_Requirement'!CA39+'Grid_TTAFOutgoing'!CA39))</f>
        <v/>
      </c>
      <c r="CB39">
        <f>IF(COUNTIFS(T_StockCount[Part Name],$A39,T_StockCount[WeekIndex],79)&gt;0,SUMIFS(T_StockCount[CountedQty],T_StockCount[Part Name],$A39,T_StockCount[WeekIndex],79),IF(('T_SelfStock'!CB43&lt;&gt;""),'T_SelfStock'!CB43,CA39-'Grid_Requirement'!CB39+'Grid_TTAFOutgoing'!CB39))</f>
        <v/>
      </c>
      <c r="CC39">
        <f>IF(COUNTIFS(T_StockCount[Part Name],$A39,T_StockCount[WeekIndex],80)&gt;0,SUMIFS(T_StockCount[CountedQty],T_StockCount[Part Name],$A39,T_StockCount[WeekIndex],80),IF(('T_SelfStock'!CC43&lt;&gt;""),'T_SelfStock'!CC43,CB39-'Grid_Requirement'!CC39+'Grid_TTAFOutgoing'!CC39))</f>
        <v/>
      </c>
      <c r="CD39">
        <f>IF(COUNTIFS(T_StockCount[Part Name],$A39,T_StockCount[WeekIndex],81)&gt;0,SUMIFS(T_StockCount[CountedQty],T_StockCount[Part Name],$A39,T_StockCount[WeekIndex],81),IF(('T_SelfStock'!CD43&lt;&gt;""),'T_SelfStock'!CD43,CC39-'Grid_Requirement'!CD39+'Grid_TTAFOutgoing'!CD39))</f>
        <v/>
      </c>
      <c r="CE39">
        <f>IF(COUNTIFS(T_StockCount[Part Name],$A39,T_StockCount[WeekIndex],82)&gt;0,SUMIFS(T_StockCount[CountedQty],T_StockCount[Part Name],$A39,T_StockCount[WeekIndex],82),IF(('T_SelfStock'!CE43&lt;&gt;""),'T_SelfStock'!CE43,CD39-'Grid_Requirement'!CE39+'Grid_TTAFOutgoing'!CE39))</f>
        <v/>
      </c>
      <c r="CF39">
        <f>IF(COUNTIFS(T_StockCount[Part Name],$A39,T_StockCount[WeekIndex],83)&gt;0,SUMIFS(T_StockCount[CountedQty],T_StockCount[Part Name],$A39,T_StockCount[WeekIndex],83),IF(('T_SelfStock'!CF43&lt;&gt;""),'T_SelfStock'!CF43,CE39-'Grid_Requirement'!CF39+'Grid_TTAFOutgoing'!CF39))</f>
        <v/>
      </c>
      <c r="CG39">
        <f>IF(COUNTIFS(T_StockCount[Part Name],$A39,T_StockCount[WeekIndex],84)&gt;0,SUMIFS(T_StockCount[CountedQty],T_StockCount[Part Name],$A39,T_StockCount[WeekIndex],84),IF(('T_SelfStock'!CG43&lt;&gt;""),'T_SelfStock'!CG43,CF39-'Grid_Requirement'!CG39+'Grid_TTAFOutgoing'!CG39))</f>
        <v/>
      </c>
      <c r="CH39">
        <f>IF(COUNTIFS(T_StockCount[Part Name],$A39,T_StockCount[WeekIndex],85)&gt;0,SUMIFS(T_StockCount[CountedQty],T_StockCount[Part Name],$A39,T_StockCount[WeekIndex],85),IF(('T_SelfStock'!CH43&lt;&gt;""),'T_SelfStock'!CH43,CG39-'Grid_Requirement'!CH39+'Grid_TTAFOutgoing'!CH39))</f>
        <v/>
      </c>
      <c r="CI39">
        <f>IF(COUNTIFS(T_StockCount[Part Name],$A39,T_StockCount[WeekIndex],86)&gt;0,SUMIFS(T_StockCount[CountedQty],T_StockCount[Part Name],$A39,T_StockCount[WeekIndex],86),IF(('T_SelfStock'!CI43&lt;&gt;""),'T_SelfStock'!CI43,CH39-'Grid_Requirement'!CI39+'Grid_TTAFOutgoing'!CI39))</f>
        <v/>
      </c>
      <c r="CJ39">
        <f>IF(COUNTIFS(T_StockCount[Part Name],$A39,T_StockCount[WeekIndex],87)&gt;0,SUMIFS(T_StockCount[CountedQty],T_StockCount[Part Name],$A39,T_StockCount[WeekIndex],87),IF(('T_SelfStock'!CJ43&lt;&gt;""),'T_SelfStock'!CJ43,CI39-'Grid_Requirement'!CJ39+'Grid_TTAFOutgoing'!CJ39))</f>
        <v/>
      </c>
      <c r="CK39">
        <f>IF(COUNTIFS(T_StockCount[Part Name],$A39,T_StockCount[WeekIndex],88)&gt;0,SUMIFS(T_StockCount[CountedQty],T_StockCount[Part Name],$A39,T_StockCount[WeekIndex],88),IF(('T_SelfStock'!CK43&lt;&gt;""),'T_SelfStock'!CK43,CJ39-'Grid_Requirement'!CK39+'Grid_TTAFOutgoing'!CK39))</f>
        <v/>
      </c>
      <c r="CL39">
        <f>IF(COUNTIFS(T_StockCount[Part Name],$A39,T_StockCount[WeekIndex],89)&gt;0,SUMIFS(T_StockCount[CountedQty],T_StockCount[Part Name],$A39,T_StockCount[WeekIndex],89),IF(('T_SelfStock'!CL43&lt;&gt;""),'T_SelfStock'!CL43,CK39-'Grid_Requirement'!CL39+'Grid_TTAFOutgoing'!CL39))</f>
        <v/>
      </c>
      <c r="CM39">
        <f>IF(COUNTIFS(T_StockCount[Part Name],$A39,T_StockCount[WeekIndex],90)&gt;0,SUMIFS(T_StockCount[CountedQty],T_StockCount[Part Name],$A39,T_StockCount[WeekIndex],90),IF(('T_SelfStock'!CM43&lt;&gt;""),'T_SelfStock'!CM43,CL39-'Grid_Requirement'!CM39+'Grid_TTAFOutgoing'!CM39))</f>
        <v/>
      </c>
      <c r="CN39">
        <f>IF(COUNTIFS(T_StockCount[Part Name],$A39,T_StockCount[WeekIndex],91)&gt;0,SUMIFS(T_StockCount[CountedQty],T_StockCount[Part Name],$A39,T_StockCount[WeekIndex],91),IF(('T_SelfStock'!CN43&lt;&gt;""),'T_SelfStock'!CN43,CM39-'Grid_Requirement'!CN39+'Grid_TTAFOutgoing'!CN39))</f>
        <v/>
      </c>
      <c r="CO39">
        <f>IF(COUNTIFS(T_StockCount[Part Name],$A39,T_StockCount[WeekIndex],92)&gt;0,SUMIFS(T_StockCount[CountedQty],T_StockCount[Part Name],$A39,T_StockCount[WeekIndex],92),IF(('T_SelfStock'!CO43&lt;&gt;""),'T_SelfStock'!CO43,CN39-'Grid_Requirement'!CO39+'Grid_TTAFOutgoing'!CO39))</f>
        <v/>
      </c>
      <c r="CP39">
        <f>IF(COUNTIFS(T_StockCount[Part Name],$A39,T_StockCount[WeekIndex],93)&gt;0,SUMIFS(T_StockCount[CountedQty],T_StockCount[Part Name],$A39,T_StockCount[WeekIndex],93),IF(('T_SelfStock'!CP43&lt;&gt;""),'T_SelfStock'!CP43,CO39-'Grid_Requirement'!CP39+'Grid_TTAFOutgoing'!CP39))</f>
        <v/>
      </c>
      <c r="CQ39">
        <f>IF(COUNTIFS(T_StockCount[Part Name],$A39,T_StockCount[WeekIndex],94)&gt;0,SUMIFS(T_StockCount[CountedQty],T_StockCount[Part Name],$A39,T_StockCount[WeekIndex],94),IF(('T_SelfStock'!CQ43&lt;&gt;""),'T_SelfStock'!CQ43,CP39-'Grid_Requirement'!CQ39+'Grid_TTAFOutgoing'!CQ39))</f>
        <v/>
      </c>
      <c r="CR39">
        <f>IF(COUNTIFS(T_StockCount[Part Name],$A39,T_StockCount[WeekIndex],95)&gt;0,SUMIFS(T_StockCount[CountedQty],T_StockCount[Part Name],$A39,T_StockCount[WeekIndex],95),IF(('T_SelfStock'!CR43&lt;&gt;""),'T_SelfStock'!CR43,CQ39-'Grid_Requirement'!CR39+'Grid_TTAFOutgoing'!CR39))</f>
        <v/>
      </c>
      <c r="CS39">
        <f>IF(COUNTIFS(T_StockCount[Part Name],$A39,T_StockCount[WeekIndex],96)&gt;0,SUMIFS(T_StockCount[CountedQty],T_StockCount[Part Name],$A39,T_StockCount[WeekIndex],96),IF(('T_SelfStock'!CS43&lt;&gt;""),'T_SelfStock'!CS43,CR39-'Grid_Requirement'!CS39+'Grid_TTAFOutgoing'!CS39))</f>
        <v/>
      </c>
      <c r="CT39">
        <f>IF(COUNTIFS(T_StockCount[Part Name],$A39,T_StockCount[WeekIndex],97)&gt;0,SUMIFS(T_StockCount[CountedQty],T_StockCount[Part Name],$A39,T_StockCount[WeekIndex],97),IF(('T_SelfStock'!CT43&lt;&gt;""),'T_SelfStock'!CT43,CS39-'Grid_Requirement'!CT39+'Grid_TTAFOutgoing'!CT39))</f>
        <v/>
      </c>
      <c r="CU39">
        <f>IF(COUNTIFS(T_StockCount[Part Name],$A39,T_StockCount[WeekIndex],98)&gt;0,SUMIFS(T_StockCount[CountedQty],T_StockCount[Part Name],$A39,T_StockCount[WeekIndex],98),IF(('T_SelfStock'!CU43&lt;&gt;""),'T_SelfStock'!CU43,CT39-'Grid_Requirement'!CU39+'Grid_TTAFOutgoing'!CU39))</f>
        <v/>
      </c>
      <c r="CV39">
        <f>IF(COUNTIFS(T_StockCount[Part Name],$A39,T_StockCount[WeekIndex],99)&gt;0,SUMIFS(T_StockCount[CountedQty],T_StockCount[Part Name],$A39,T_StockCount[WeekIndex],99),IF(('T_SelfStock'!CV43&lt;&gt;""),'T_SelfStock'!CV43,CU39-'Grid_Requirement'!CV39+'Grid_TTAFOutgoing'!CV39))</f>
        <v/>
      </c>
      <c r="CW39">
        <f>IF(COUNTIFS(T_StockCount[Part Name],$A39,T_StockCount[WeekIndex],100)&gt;0,SUMIFS(T_StockCount[CountedQty],T_StockCount[Part Name],$A39,T_StockCount[WeekIndex],100),IF(('T_SelfStock'!CW43&lt;&gt;""),'T_SelfStock'!CW43,CV39-'Grid_Requirement'!CW39+'Grid_TTAFOutgoing'!CW39))</f>
        <v/>
      </c>
      <c r="CX39">
        <f>IF(COUNTIFS(T_StockCount[Part Name],$A39,T_StockCount[WeekIndex],101)&gt;0,SUMIFS(T_StockCount[CountedQty],T_StockCount[Part Name],$A39,T_StockCount[WeekIndex],101),IF(('T_SelfStock'!CX43&lt;&gt;""),'T_SelfStock'!CX43,CW39-'Grid_Requirement'!CX39+'Grid_TTAFOutgoing'!CX39))</f>
        <v/>
      </c>
      <c r="CY39">
        <f>IF(COUNTIFS(T_StockCount[Part Name],$A39,T_StockCount[WeekIndex],102)&gt;0,SUMIFS(T_StockCount[CountedQty],T_StockCount[Part Name],$A39,T_StockCount[WeekIndex],102),IF(('T_SelfStock'!CY43&lt;&gt;""),'T_SelfStock'!CY43,CX39-'Grid_Requirement'!CY39+'Grid_TTAFOutgoing'!CY39))</f>
        <v/>
      </c>
      <c r="CZ39">
        <f>IF(COUNTIFS(T_StockCount[Part Name],$A39,T_StockCount[WeekIndex],103)&gt;0,SUMIFS(T_StockCount[CountedQty],T_StockCount[Part Name],$A39,T_StockCount[WeekIndex],103),IF(('T_SelfStock'!CZ43&lt;&gt;""),'T_SelfStock'!CZ43,CY39-'Grid_Requirement'!CZ39+'Grid_TTAFOutgoing'!CZ39))</f>
        <v/>
      </c>
      <c r="DA39">
        <f>IF(COUNTIFS(T_StockCount[Part Name],$A39,T_StockCount[WeekIndex],104)&gt;0,SUMIFS(T_StockCount[CountedQty],T_StockCount[Part Name],$A39,T_StockCount[WeekIndex],104),IF(('T_SelfStock'!DA43&lt;&gt;""),'T_SelfStock'!DA43,CZ39-'Grid_Requirement'!DA39+'Grid_TTAFOutgoing'!DA39))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Name],$A40,T_StockCount[WeekIndex],1),IF(('T_SelfStock'!B44&lt;&gt;""),'T_SelfStock'!B44,IFERROR(INDEX(T_OpeningStock[Opening_Qty],MATCH($A40,T_OpeningStock[Part Name],0)),0)-'Grid_Requirement'!B40+'Grid_TTAFOutgoing'!B40))</f>
        <v/>
      </c>
      <c r="C40">
        <f>IF(COUNTIFS(T_StockCount[Part Name],$A40,T_StockCount[WeekIndex],2)&gt;0,SUMIFS(T_StockCount[CountedQty],T_StockCount[Part Name],$A40,T_StockCount[WeekIndex],2),IF(('T_SelfStock'!C44&lt;&gt;""),'T_SelfStock'!C44,B40-'Grid_Requirement'!C40+'Grid_TTAFOutgoing'!C40))</f>
        <v/>
      </c>
      <c r="D40">
        <f>IF(COUNTIFS(T_StockCount[Part Name],$A40,T_StockCount[WeekIndex],3)&gt;0,SUMIFS(T_StockCount[CountedQty],T_StockCount[Part Name],$A40,T_StockCount[WeekIndex],3),IF(('T_SelfStock'!D44&lt;&gt;""),'T_SelfStock'!D44,C40-'Grid_Requirement'!D40+'Grid_TTAFOutgoing'!D40))</f>
        <v/>
      </c>
      <c r="E40">
        <f>IF(COUNTIFS(T_StockCount[Part Name],$A40,T_StockCount[WeekIndex],4)&gt;0,SUMIFS(T_StockCount[CountedQty],T_StockCount[Part Name],$A40,T_StockCount[WeekIndex],4),IF(('T_SelfStock'!E44&lt;&gt;""),'T_SelfStock'!E44,D40-'Grid_Requirement'!E40+'Grid_TTAFOutgoing'!E40))</f>
        <v/>
      </c>
      <c r="F40">
        <f>IF(COUNTIFS(T_StockCount[Part Name],$A40,T_StockCount[WeekIndex],5)&gt;0,SUMIFS(T_StockCount[CountedQty],T_StockCount[Part Name],$A40,T_StockCount[WeekIndex],5),IF(('T_SelfStock'!F44&lt;&gt;""),'T_SelfStock'!F44,E40-'Grid_Requirement'!F40+'Grid_TTAFOutgoing'!F40))</f>
        <v/>
      </c>
      <c r="G40">
        <f>IF(COUNTIFS(T_StockCount[Part Name],$A40,T_StockCount[WeekIndex],6)&gt;0,SUMIFS(T_StockCount[CountedQty],T_StockCount[Part Name],$A40,T_StockCount[WeekIndex],6),IF(('T_SelfStock'!G44&lt;&gt;""),'T_SelfStock'!G44,F40-'Grid_Requirement'!G40+'Grid_TTAFOutgoing'!G40))</f>
        <v/>
      </c>
      <c r="H40">
        <f>IF(COUNTIFS(T_StockCount[Part Name],$A40,T_StockCount[WeekIndex],7)&gt;0,SUMIFS(T_StockCount[CountedQty],T_StockCount[Part Name],$A40,T_StockCount[WeekIndex],7),IF(('T_SelfStock'!H44&lt;&gt;""),'T_SelfStock'!H44,G40-'Grid_Requirement'!H40+'Grid_TTAFOutgoing'!H40))</f>
        <v/>
      </c>
      <c r="I40">
        <f>IF(COUNTIFS(T_StockCount[Part Name],$A40,T_StockCount[WeekIndex],8)&gt;0,SUMIFS(T_StockCount[CountedQty],T_StockCount[Part Name],$A40,T_StockCount[WeekIndex],8),IF(('T_SelfStock'!I44&lt;&gt;""),'T_SelfStock'!I44,H40-'Grid_Requirement'!I40+'Grid_TTAFOutgoing'!I40))</f>
        <v/>
      </c>
      <c r="J40">
        <f>IF(COUNTIFS(T_StockCount[Part Name],$A40,T_StockCount[WeekIndex],9)&gt;0,SUMIFS(T_StockCount[CountedQty],T_StockCount[Part Name],$A40,T_StockCount[WeekIndex],9),IF(('T_SelfStock'!J44&lt;&gt;""),'T_SelfStock'!J44,I40-'Grid_Requirement'!J40+'Grid_TTAFOutgoing'!J40))</f>
        <v/>
      </c>
      <c r="K40">
        <f>IF(COUNTIFS(T_StockCount[Part Name],$A40,T_StockCount[WeekIndex],10)&gt;0,SUMIFS(T_StockCount[CountedQty],T_StockCount[Part Name],$A40,T_StockCount[WeekIndex],10),IF(('T_SelfStock'!K44&lt;&gt;""),'T_SelfStock'!K44,J40-'Grid_Requirement'!K40+'Grid_TTAFOutgoing'!K40))</f>
        <v/>
      </c>
      <c r="L40">
        <f>IF(COUNTIFS(T_StockCount[Part Name],$A40,T_StockCount[WeekIndex],11)&gt;0,SUMIFS(T_StockCount[CountedQty],T_StockCount[Part Name],$A40,T_StockCount[WeekIndex],11),IF(('T_SelfStock'!L44&lt;&gt;""),'T_SelfStock'!L44,K40-'Grid_Requirement'!L40+'Grid_TTAFOutgoing'!L40))</f>
        <v/>
      </c>
      <c r="M40">
        <f>IF(COUNTIFS(T_StockCount[Part Name],$A40,T_StockCount[WeekIndex],12)&gt;0,SUMIFS(T_StockCount[CountedQty],T_StockCount[Part Name],$A40,T_StockCount[WeekIndex],12),IF(('T_SelfStock'!M44&lt;&gt;""),'T_SelfStock'!M44,L40-'Grid_Requirement'!M40+'Grid_TTAFOutgoing'!M40))</f>
        <v/>
      </c>
      <c r="N40">
        <f>IF(COUNTIFS(T_StockCount[Part Name],$A40,T_StockCount[WeekIndex],13)&gt;0,SUMIFS(T_StockCount[CountedQty],T_StockCount[Part Name],$A40,T_StockCount[WeekIndex],13),IF(('T_SelfStock'!N44&lt;&gt;""),'T_SelfStock'!N44,M40-'Grid_Requirement'!N40+'Grid_TTAFOutgoing'!N40))</f>
        <v/>
      </c>
      <c r="O40">
        <f>IF(COUNTIFS(T_StockCount[Part Name],$A40,T_StockCount[WeekIndex],14)&gt;0,SUMIFS(T_StockCount[CountedQty],T_StockCount[Part Name],$A40,T_StockCount[WeekIndex],14),IF(('T_SelfStock'!O44&lt;&gt;""),'T_SelfStock'!O44,N40-'Grid_Requirement'!O40+'Grid_TTAFOutgoing'!O40))</f>
        <v/>
      </c>
      <c r="P40">
        <f>IF(COUNTIFS(T_StockCount[Part Name],$A40,T_StockCount[WeekIndex],15)&gt;0,SUMIFS(T_StockCount[CountedQty],T_StockCount[Part Name],$A40,T_StockCount[WeekIndex],15),IF(('T_SelfStock'!P44&lt;&gt;""),'T_SelfStock'!P44,O40-'Grid_Requirement'!P40+'Grid_TTAFOutgoing'!P40))</f>
        <v/>
      </c>
      <c r="Q40">
        <f>IF(COUNTIFS(T_StockCount[Part Name],$A40,T_StockCount[WeekIndex],16)&gt;0,SUMIFS(T_StockCount[CountedQty],T_StockCount[Part Name],$A40,T_StockCount[WeekIndex],16),IF(('T_SelfStock'!Q44&lt;&gt;""),'T_SelfStock'!Q44,P40-'Grid_Requirement'!Q40+'Grid_TTAFOutgoing'!Q40))</f>
        <v/>
      </c>
      <c r="R40">
        <f>IF(COUNTIFS(T_StockCount[Part Name],$A40,T_StockCount[WeekIndex],17)&gt;0,SUMIFS(T_StockCount[CountedQty],T_StockCount[Part Name],$A40,T_StockCount[WeekIndex],17),IF(('T_SelfStock'!R44&lt;&gt;""),'T_SelfStock'!R44,Q40-'Grid_Requirement'!R40+'Grid_TTAFOutgoing'!R40))</f>
        <v/>
      </c>
      <c r="S40">
        <f>IF(COUNTIFS(T_StockCount[Part Name],$A40,T_StockCount[WeekIndex],18)&gt;0,SUMIFS(T_StockCount[CountedQty],T_StockCount[Part Name],$A40,T_StockCount[WeekIndex],18),IF(('T_SelfStock'!S44&lt;&gt;""),'T_SelfStock'!S44,R40-'Grid_Requirement'!S40+'Grid_TTAFOutgoing'!S40))</f>
        <v/>
      </c>
      <c r="T40">
        <f>IF(COUNTIFS(T_StockCount[Part Name],$A40,T_StockCount[WeekIndex],19)&gt;0,SUMIFS(T_StockCount[CountedQty],T_StockCount[Part Name],$A40,T_StockCount[WeekIndex],19),IF(('T_SelfStock'!T44&lt;&gt;""),'T_SelfStock'!T44,S40-'Grid_Requirement'!T40+'Grid_TTAFOutgoing'!T40))</f>
        <v/>
      </c>
      <c r="U40">
        <f>IF(COUNTIFS(T_StockCount[Part Name],$A40,T_StockCount[WeekIndex],20)&gt;0,SUMIFS(T_StockCount[CountedQty],T_StockCount[Part Name],$A40,T_StockCount[WeekIndex],20),IF(('T_SelfStock'!U44&lt;&gt;""),'T_SelfStock'!U44,T40-'Grid_Requirement'!U40+'Grid_TTAFOutgoing'!U40))</f>
        <v/>
      </c>
      <c r="V40">
        <f>IF(COUNTIFS(T_StockCount[Part Name],$A40,T_StockCount[WeekIndex],21)&gt;0,SUMIFS(T_StockCount[CountedQty],T_StockCount[Part Name],$A40,T_StockCount[WeekIndex],21),IF(('T_SelfStock'!V44&lt;&gt;""),'T_SelfStock'!V44,U40-'Grid_Requirement'!V40+'Grid_TTAFOutgoing'!V40))</f>
        <v/>
      </c>
      <c r="W40">
        <f>IF(COUNTIFS(T_StockCount[Part Name],$A40,T_StockCount[WeekIndex],22)&gt;0,SUMIFS(T_StockCount[CountedQty],T_StockCount[Part Name],$A40,T_StockCount[WeekIndex],22),IF(('T_SelfStock'!W44&lt;&gt;""),'T_SelfStock'!W44,V40-'Grid_Requirement'!W40+'Grid_TTAFOutgoing'!W40))</f>
        <v/>
      </c>
      <c r="X40">
        <f>IF(COUNTIFS(T_StockCount[Part Name],$A40,T_StockCount[WeekIndex],23)&gt;0,SUMIFS(T_StockCount[CountedQty],T_StockCount[Part Name],$A40,T_StockCount[WeekIndex],23),IF(('T_SelfStock'!X44&lt;&gt;""),'T_SelfStock'!X44,W40-'Grid_Requirement'!X40+'Grid_TTAFOutgoing'!X40))</f>
        <v/>
      </c>
      <c r="Y40">
        <f>IF(COUNTIFS(T_StockCount[Part Name],$A40,T_StockCount[WeekIndex],24)&gt;0,SUMIFS(T_StockCount[CountedQty],T_StockCount[Part Name],$A40,T_StockCount[WeekIndex],24),IF(('T_SelfStock'!Y44&lt;&gt;""),'T_SelfStock'!Y44,X40-'Grid_Requirement'!Y40+'Grid_TTAFOutgoing'!Y40))</f>
        <v/>
      </c>
      <c r="Z40">
        <f>IF(COUNTIFS(T_StockCount[Part Name],$A40,T_StockCount[WeekIndex],25)&gt;0,SUMIFS(T_StockCount[CountedQty],T_StockCount[Part Name],$A40,T_StockCount[WeekIndex],25),IF(('T_SelfStock'!Z44&lt;&gt;""),'T_SelfStock'!Z44,Y40-'Grid_Requirement'!Z40+'Grid_TTAFOutgoing'!Z40))</f>
        <v/>
      </c>
      <c r="AA40">
        <f>IF(COUNTIFS(T_StockCount[Part Name],$A40,T_StockCount[WeekIndex],26)&gt;0,SUMIFS(T_StockCount[CountedQty],T_StockCount[Part Name],$A40,T_StockCount[WeekIndex],26),IF(('T_SelfStock'!AA44&lt;&gt;""),'T_SelfStock'!AA44,Z40-'Grid_Requirement'!AA40+'Grid_TTAFOutgoing'!AA40))</f>
        <v/>
      </c>
      <c r="AB40">
        <f>IF(COUNTIFS(T_StockCount[Part Name],$A40,T_StockCount[WeekIndex],27)&gt;0,SUMIFS(T_StockCount[CountedQty],T_StockCount[Part Name],$A40,T_StockCount[WeekIndex],27),IF(('T_SelfStock'!AB44&lt;&gt;""),'T_SelfStock'!AB44,AA40-'Grid_Requirement'!AB40+'Grid_TTAFOutgoing'!AB40))</f>
        <v/>
      </c>
      <c r="AC40">
        <f>IF(COUNTIFS(T_StockCount[Part Name],$A40,T_StockCount[WeekIndex],28)&gt;0,SUMIFS(T_StockCount[CountedQty],T_StockCount[Part Name],$A40,T_StockCount[WeekIndex],28),IF(('T_SelfStock'!AC44&lt;&gt;""),'T_SelfStock'!AC44,AB40-'Grid_Requirement'!AC40+'Grid_TTAFOutgoing'!AC40))</f>
        <v/>
      </c>
      <c r="AD40">
        <f>IF(COUNTIFS(T_StockCount[Part Name],$A40,T_StockCount[WeekIndex],29)&gt;0,SUMIFS(T_StockCount[CountedQty],T_StockCount[Part Name],$A40,T_StockCount[WeekIndex],29),IF(('T_SelfStock'!AD44&lt;&gt;""),'T_SelfStock'!AD44,AC40-'Grid_Requirement'!AD40+'Grid_TTAFOutgoing'!AD40))</f>
        <v/>
      </c>
      <c r="AE40">
        <f>IF(COUNTIFS(T_StockCount[Part Name],$A40,T_StockCount[WeekIndex],30)&gt;0,SUMIFS(T_StockCount[CountedQty],T_StockCount[Part Name],$A40,T_StockCount[WeekIndex],30),IF(('T_SelfStock'!AE44&lt;&gt;""),'T_SelfStock'!AE44,AD40-'Grid_Requirement'!AE40+'Grid_TTAFOutgoing'!AE40))</f>
        <v/>
      </c>
      <c r="AF40">
        <f>IF(COUNTIFS(T_StockCount[Part Name],$A40,T_StockCount[WeekIndex],31)&gt;0,SUMIFS(T_StockCount[CountedQty],T_StockCount[Part Name],$A40,T_StockCount[WeekIndex],31),IF(('T_SelfStock'!AF44&lt;&gt;""),'T_SelfStock'!AF44,AE40-'Grid_Requirement'!AF40+'Grid_TTAFOutgoing'!AF40))</f>
        <v/>
      </c>
      <c r="AG40">
        <f>IF(COUNTIFS(T_StockCount[Part Name],$A40,T_StockCount[WeekIndex],32)&gt;0,SUMIFS(T_StockCount[CountedQty],T_StockCount[Part Name],$A40,T_StockCount[WeekIndex],32),IF(('T_SelfStock'!AG44&lt;&gt;""),'T_SelfStock'!AG44,AF40-'Grid_Requirement'!AG40+'Grid_TTAFOutgoing'!AG40))</f>
        <v/>
      </c>
      <c r="AH40">
        <f>IF(COUNTIFS(T_StockCount[Part Name],$A40,T_StockCount[WeekIndex],33)&gt;0,SUMIFS(T_StockCount[CountedQty],T_StockCount[Part Name],$A40,T_StockCount[WeekIndex],33),IF(('T_SelfStock'!AH44&lt;&gt;""),'T_SelfStock'!AH44,AG40-'Grid_Requirement'!AH40+'Grid_TTAFOutgoing'!AH40))</f>
        <v/>
      </c>
      <c r="AI40">
        <f>IF(COUNTIFS(T_StockCount[Part Name],$A40,T_StockCount[WeekIndex],34)&gt;0,SUMIFS(T_StockCount[CountedQty],T_StockCount[Part Name],$A40,T_StockCount[WeekIndex],34),IF(('T_SelfStock'!AI44&lt;&gt;""),'T_SelfStock'!AI44,AH40-'Grid_Requirement'!AI40+'Grid_TTAFOutgoing'!AI40))</f>
        <v/>
      </c>
      <c r="AJ40">
        <f>IF(COUNTIFS(T_StockCount[Part Name],$A40,T_StockCount[WeekIndex],35)&gt;0,SUMIFS(T_StockCount[CountedQty],T_StockCount[Part Name],$A40,T_StockCount[WeekIndex],35),IF(('T_SelfStock'!AJ44&lt;&gt;""),'T_SelfStock'!AJ44,AI40-'Grid_Requirement'!AJ40+'Grid_TTAFOutgoing'!AJ40))</f>
        <v/>
      </c>
      <c r="AK40">
        <f>IF(COUNTIFS(T_StockCount[Part Name],$A40,T_StockCount[WeekIndex],36)&gt;0,SUMIFS(T_StockCount[CountedQty],T_StockCount[Part Name],$A40,T_StockCount[WeekIndex],36),IF(('T_SelfStock'!AK44&lt;&gt;""),'T_SelfStock'!AK44,AJ40-'Grid_Requirement'!AK40+'Grid_TTAFOutgoing'!AK40))</f>
        <v/>
      </c>
      <c r="AL40">
        <f>IF(COUNTIFS(T_StockCount[Part Name],$A40,T_StockCount[WeekIndex],37)&gt;0,SUMIFS(T_StockCount[CountedQty],T_StockCount[Part Name],$A40,T_StockCount[WeekIndex],37),IF(('T_SelfStock'!AL44&lt;&gt;""),'T_SelfStock'!AL44,AK40-'Grid_Requirement'!AL40+'Grid_TTAFOutgoing'!AL40))</f>
        <v/>
      </c>
      <c r="AM40">
        <f>IF(COUNTIFS(T_StockCount[Part Name],$A40,T_StockCount[WeekIndex],38)&gt;0,SUMIFS(T_StockCount[CountedQty],T_StockCount[Part Name],$A40,T_StockCount[WeekIndex],38),IF(('T_SelfStock'!AM44&lt;&gt;""),'T_SelfStock'!AM44,AL40-'Grid_Requirement'!AM40+'Grid_TTAFOutgoing'!AM40))</f>
        <v/>
      </c>
      <c r="AN40">
        <f>IF(COUNTIFS(T_StockCount[Part Name],$A40,T_StockCount[WeekIndex],39)&gt;0,SUMIFS(T_StockCount[CountedQty],T_StockCount[Part Name],$A40,T_StockCount[WeekIndex],39),IF(('T_SelfStock'!AN44&lt;&gt;""),'T_SelfStock'!AN44,AM40-'Grid_Requirement'!AN40+'Grid_TTAFOutgoing'!AN40))</f>
        <v/>
      </c>
      <c r="AO40">
        <f>IF(COUNTIFS(T_StockCount[Part Name],$A40,T_StockCount[WeekIndex],40)&gt;0,SUMIFS(T_StockCount[CountedQty],T_StockCount[Part Name],$A40,T_StockCount[WeekIndex],40),IF(('T_SelfStock'!AO44&lt;&gt;""),'T_SelfStock'!AO44,AN40-'Grid_Requirement'!AO40+'Grid_TTAFOutgoing'!AO40))</f>
        <v/>
      </c>
      <c r="AP40">
        <f>IF(COUNTIFS(T_StockCount[Part Name],$A40,T_StockCount[WeekIndex],41)&gt;0,SUMIFS(T_StockCount[CountedQty],T_StockCount[Part Name],$A40,T_StockCount[WeekIndex],41),IF(('T_SelfStock'!AP44&lt;&gt;""),'T_SelfStock'!AP44,AO40-'Grid_Requirement'!AP40+'Grid_TTAFOutgoing'!AP40))</f>
        <v/>
      </c>
      <c r="AQ40">
        <f>IF(COUNTIFS(T_StockCount[Part Name],$A40,T_StockCount[WeekIndex],42)&gt;0,SUMIFS(T_StockCount[CountedQty],T_StockCount[Part Name],$A40,T_StockCount[WeekIndex],42),IF(('T_SelfStock'!AQ44&lt;&gt;""),'T_SelfStock'!AQ44,AP40-'Grid_Requirement'!AQ40+'Grid_TTAFOutgoing'!AQ40))</f>
        <v/>
      </c>
      <c r="AR40">
        <f>IF(COUNTIFS(T_StockCount[Part Name],$A40,T_StockCount[WeekIndex],43)&gt;0,SUMIFS(T_StockCount[CountedQty],T_StockCount[Part Name],$A40,T_StockCount[WeekIndex],43),IF(('T_SelfStock'!AR44&lt;&gt;""),'T_SelfStock'!AR44,AQ40-'Grid_Requirement'!AR40+'Grid_TTAFOutgoing'!AR40))</f>
        <v/>
      </c>
      <c r="AS40">
        <f>IF(COUNTIFS(T_StockCount[Part Name],$A40,T_StockCount[WeekIndex],44)&gt;0,SUMIFS(T_StockCount[CountedQty],T_StockCount[Part Name],$A40,T_StockCount[WeekIndex],44),IF(('T_SelfStock'!AS44&lt;&gt;""),'T_SelfStock'!AS44,AR40-'Grid_Requirement'!AS40+'Grid_TTAFOutgoing'!AS40))</f>
        <v/>
      </c>
      <c r="AT40">
        <f>IF(COUNTIFS(T_StockCount[Part Name],$A40,T_StockCount[WeekIndex],45)&gt;0,SUMIFS(T_StockCount[CountedQty],T_StockCount[Part Name],$A40,T_StockCount[WeekIndex],45),IF(('T_SelfStock'!AT44&lt;&gt;""),'T_SelfStock'!AT44,AS40-'Grid_Requirement'!AT40+'Grid_TTAFOutgoing'!AT40))</f>
        <v/>
      </c>
      <c r="AU40">
        <f>IF(COUNTIFS(T_StockCount[Part Name],$A40,T_StockCount[WeekIndex],46)&gt;0,SUMIFS(T_StockCount[CountedQty],T_StockCount[Part Name],$A40,T_StockCount[WeekIndex],46),IF(('T_SelfStock'!AU44&lt;&gt;""),'T_SelfStock'!AU44,AT40-'Grid_Requirement'!AU40+'Grid_TTAFOutgoing'!AU40))</f>
        <v/>
      </c>
      <c r="AV40">
        <f>IF(COUNTIFS(T_StockCount[Part Name],$A40,T_StockCount[WeekIndex],47)&gt;0,SUMIFS(T_StockCount[CountedQty],T_StockCount[Part Name],$A40,T_StockCount[WeekIndex],47),IF(('T_SelfStock'!AV44&lt;&gt;""),'T_SelfStock'!AV44,AU40-'Grid_Requirement'!AV40+'Grid_TTAFOutgoing'!AV40))</f>
        <v/>
      </c>
      <c r="AW40">
        <f>IF(COUNTIFS(T_StockCount[Part Name],$A40,T_StockCount[WeekIndex],48)&gt;0,SUMIFS(T_StockCount[CountedQty],T_StockCount[Part Name],$A40,T_StockCount[WeekIndex],48),IF(('T_SelfStock'!AW44&lt;&gt;""),'T_SelfStock'!AW44,AV40-'Grid_Requirement'!AW40+'Grid_TTAFOutgoing'!AW40))</f>
        <v/>
      </c>
      <c r="AX40">
        <f>IF(COUNTIFS(T_StockCount[Part Name],$A40,T_StockCount[WeekIndex],49)&gt;0,SUMIFS(T_StockCount[CountedQty],T_StockCount[Part Name],$A40,T_StockCount[WeekIndex],49),IF(('T_SelfStock'!AX44&lt;&gt;""),'T_SelfStock'!AX44,AW40-'Grid_Requirement'!AX40+'Grid_TTAFOutgoing'!AX40))</f>
        <v/>
      </c>
      <c r="AY40">
        <f>IF(COUNTIFS(T_StockCount[Part Name],$A40,T_StockCount[WeekIndex],50)&gt;0,SUMIFS(T_StockCount[CountedQty],T_StockCount[Part Name],$A40,T_StockCount[WeekIndex],50),IF(('T_SelfStock'!AY44&lt;&gt;""),'T_SelfStock'!AY44,AX40-'Grid_Requirement'!AY40+'Grid_TTAFOutgoing'!AY40))</f>
        <v/>
      </c>
      <c r="AZ40">
        <f>IF(COUNTIFS(T_StockCount[Part Name],$A40,T_StockCount[WeekIndex],51)&gt;0,SUMIFS(T_StockCount[CountedQty],T_StockCount[Part Name],$A40,T_StockCount[WeekIndex],51),IF(('T_SelfStock'!AZ44&lt;&gt;""),'T_SelfStock'!AZ44,AY40-'Grid_Requirement'!AZ40+'Grid_TTAFOutgoing'!AZ40))</f>
        <v/>
      </c>
      <c r="BA40">
        <f>IF(COUNTIFS(T_StockCount[Part Name],$A40,T_StockCount[WeekIndex],52)&gt;0,SUMIFS(T_StockCount[CountedQty],T_StockCount[Part Name],$A40,T_StockCount[WeekIndex],52),IF(('T_SelfStock'!BA44&lt;&gt;""),'T_SelfStock'!BA44,AZ40-'Grid_Requirement'!BA40+'Grid_TTAFOutgoing'!BA40))</f>
        <v/>
      </c>
      <c r="BB40">
        <f>IF(COUNTIFS(T_StockCount[Part Name],$A40,T_StockCount[WeekIndex],53)&gt;0,SUMIFS(T_StockCount[CountedQty],T_StockCount[Part Name],$A40,T_StockCount[WeekIndex],53),IF(('T_SelfStock'!BB44&lt;&gt;""),'T_SelfStock'!BB44,BA40-'Grid_Requirement'!BB40+'Grid_TTAFOutgoing'!BB40))</f>
        <v/>
      </c>
      <c r="BC40">
        <f>IF(COUNTIFS(T_StockCount[Part Name],$A40,T_StockCount[WeekIndex],54)&gt;0,SUMIFS(T_StockCount[CountedQty],T_StockCount[Part Name],$A40,T_StockCount[WeekIndex],54),IF(('T_SelfStock'!BC44&lt;&gt;""),'T_SelfStock'!BC44,BB40-'Grid_Requirement'!BC40+'Grid_TTAFOutgoing'!BC40))</f>
        <v/>
      </c>
      <c r="BD40">
        <f>IF(COUNTIFS(T_StockCount[Part Name],$A40,T_StockCount[WeekIndex],55)&gt;0,SUMIFS(T_StockCount[CountedQty],T_StockCount[Part Name],$A40,T_StockCount[WeekIndex],55),IF(('T_SelfStock'!BD44&lt;&gt;""),'T_SelfStock'!BD44,BC40-'Grid_Requirement'!BD40+'Grid_TTAFOutgoing'!BD40))</f>
        <v/>
      </c>
      <c r="BE40">
        <f>IF(COUNTIFS(T_StockCount[Part Name],$A40,T_StockCount[WeekIndex],56)&gt;0,SUMIFS(T_StockCount[CountedQty],T_StockCount[Part Name],$A40,T_StockCount[WeekIndex],56),IF(('T_SelfStock'!BE44&lt;&gt;""),'T_SelfStock'!BE44,BD40-'Grid_Requirement'!BE40+'Grid_TTAFOutgoing'!BE40))</f>
        <v/>
      </c>
      <c r="BF40">
        <f>IF(COUNTIFS(T_StockCount[Part Name],$A40,T_StockCount[WeekIndex],57)&gt;0,SUMIFS(T_StockCount[CountedQty],T_StockCount[Part Name],$A40,T_StockCount[WeekIndex],57),IF(('T_SelfStock'!BF44&lt;&gt;""),'T_SelfStock'!BF44,BE40-'Grid_Requirement'!BF40+'Grid_TTAFOutgoing'!BF40))</f>
        <v/>
      </c>
      <c r="BG40">
        <f>IF(COUNTIFS(T_StockCount[Part Name],$A40,T_StockCount[WeekIndex],58)&gt;0,SUMIFS(T_StockCount[CountedQty],T_StockCount[Part Name],$A40,T_StockCount[WeekIndex],58),IF(('T_SelfStock'!BG44&lt;&gt;""),'T_SelfStock'!BG44,BF40-'Grid_Requirement'!BG40+'Grid_TTAFOutgoing'!BG40))</f>
        <v/>
      </c>
      <c r="BH40">
        <f>IF(COUNTIFS(T_StockCount[Part Name],$A40,T_StockCount[WeekIndex],59)&gt;0,SUMIFS(T_StockCount[CountedQty],T_StockCount[Part Name],$A40,T_StockCount[WeekIndex],59),IF(('T_SelfStock'!BH44&lt;&gt;""),'T_SelfStock'!BH44,BG40-'Grid_Requirement'!BH40+'Grid_TTAFOutgoing'!BH40))</f>
        <v/>
      </c>
      <c r="BI40">
        <f>IF(COUNTIFS(T_StockCount[Part Name],$A40,T_StockCount[WeekIndex],60)&gt;0,SUMIFS(T_StockCount[CountedQty],T_StockCount[Part Name],$A40,T_StockCount[WeekIndex],60),IF(('T_SelfStock'!BI44&lt;&gt;""),'T_SelfStock'!BI44,BH40-'Grid_Requirement'!BI40+'Grid_TTAFOutgoing'!BI40))</f>
        <v/>
      </c>
      <c r="BJ40">
        <f>IF(COUNTIFS(T_StockCount[Part Name],$A40,T_StockCount[WeekIndex],61)&gt;0,SUMIFS(T_StockCount[CountedQty],T_StockCount[Part Name],$A40,T_StockCount[WeekIndex],61),IF(('T_SelfStock'!BJ44&lt;&gt;""),'T_SelfStock'!BJ44,BI40-'Grid_Requirement'!BJ40+'Grid_TTAFOutgoing'!BJ40))</f>
        <v/>
      </c>
      <c r="BK40">
        <f>IF(COUNTIFS(T_StockCount[Part Name],$A40,T_StockCount[WeekIndex],62)&gt;0,SUMIFS(T_StockCount[CountedQty],T_StockCount[Part Name],$A40,T_StockCount[WeekIndex],62),IF(('T_SelfStock'!BK44&lt;&gt;""),'T_SelfStock'!BK44,BJ40-'Grid_Requirement'!BK40+'Grid_TTAFOutgoing'!BK40))</f>
        <v/>
      </c>
      <c r="BL40">
        <f>IF(COUNTIFS(T_StockCount[Part Name],$A40,T_StockCount[WeekIndex],63)&gt;0,SUMIFS(T_StockCount[CountedQty],T_StockCount[Part Name],$A40,T_StockCount[WeekIndex],63),IF(('T_SelfStock'!BL44&lt;&gt;""),'T_SelfStock'!BL44,BK40-'Grid_Requirement'!BL40+'Grid_TTAFOutgoing'!BL40))</f>
        <v/>
      </c>
      <c r="BM40">
        <f>IF(COUNTIFS(T_StockCount[Part Name],$A40,T_StockCount[WeekIndex],64)&gt;0,SUMIFS(T_StockCount[CountedQty],T_StockCount[Part Name],$A40,T_StockCount[WeekIndex],64),IF(('T_SelfStock'!BM44&lt;&gt;""),'T_SelfStock'!BM44,BL40-'Grid_Requirement'!BM40+'Grid_TTAFOutgoing'!BM40))</f>
        <v/>
      </c>
      <c r="BN40">
        <f>IF(COUNTIFS(T_StockCount[Part Name],$A40,T_StockCount[WeekIndex],65)&gt;0,SUMIFS(T_StockCount[CountedQty],T_StockCount[Part Name],$A40,T_StockCount[WeekIndex],65),IF(('T_SelfStock'!BN44&lt;&gt;""),'T_SelfStock'!BN44,BM40-'Grid_Requirement'!BN40+'Grid_TTAFOutgoing'!BN40))</f>
        <v/>
      </c>
      <c r="BO40">
        <f>IF(COUNTIFS(T_StockCount[Part Name],$A40,T_StockCount[WeekIndex],66)&gt;0,SUMIFS(T_StockCount[CountedQty],T_StockCount[Part Name],$A40,T_StockCount[WeekIndex],66),IF(('T_SelfStock'!BO44&lt;&gt;""),'T_SelfStock'!BO44,BN40-'Grid_Requirement'!BO40+'Grid_TTAFOutgoing'!BO40))</f>
        <v/>
      </c>
      <c r="BP40">
        <f>IF(COUNTIFS(T_StockCount[Part Name],$A40,T_StockCount[WeekIndex],67)&gt;0,SUMIFS(T_StockCount[CountedQty],T_StockCount[Part Name],$A40,T_StockCount[WeekIndex],67),IF(('T_SelfStock'!BP44&lt;&gt;""),'T_SelfStock'!BP44,BO40-'Grid_Requirement'!BP40+'Grid_TTAFOutgoing'!BP40))</f>
        <v/>
      </c>
      <c r="BQ40">
        <f>IF(COUNTIFS(T_StockCount[Part Name],$A40,T_StockCount[WeekIndex],68)&gt;0,SUMIFS(T_StockCount[CountedQty],T_StockCount[Part Name],$A40,T_StockCount[WeekIndex],68),IF(('T_SelfStock'!BQ44&lt;&gt;""),'T_SelfStock'!BQ44,BP40-'Grid_Requirement'!BQ40+'Grid_TTAFOutgoing'!BQ40))</f>
        <v/>
      </c>
      <c r="BR40">
        <f>IF(COUNTIFS(T_StockCount[Part Name],$A40,T_StockCount[WeekIndex],69)&gt;0,SUMIFS(T_StockCount[CountedQty],T_StockCount[Part Name],$A40,T_StockCount[WeekIndex],69),IF(('T_SelfStock'!BR44&lt;&gt;""),'T_SelfStock'!BR44,BQ40-'Grid_Requirement'!BR40+'Grid_TTAFOutgoing'!BR40))</f>
        <v/>
      </c>
      <c r="BS40">
        <f>IF(COUNTIFS(T_StockCount[Part Name],$A40,T_StockCount[WeekIndex],70)&gt;0,SUMIFS(T_StockCount[CountedQty],T_StockCount[Part Name],$A40,T_StockCount[WeekIndex],70),IF(('T_SelfStock'!BS44&lt;&gt;""),'T_SelfStock'!BS44,BR40-'Grid_Requirement'!BS40+'Grid_TTAFOutgoing'!BS40))</f>
        <v/>
      </c>
      <c r="BT40">
        <f>IF(COUNTIFS(T_StockCount[Part Name],$A40,T_StockCount[WeekIndex],71)&gt;0,SUMIFS(T_StockCount[CountedQty],T_StockCount[Part Name],$A40,T_StockCount[WeekIndex],71),IF(('T_SelfStock'!BT44&lt;&gt;""),'T_SelfStock'!BT44,BS40-'Grid_Requirement'!BT40+'Grid_TTAFOutgoing'!BT40))</f>
        <v/>
      </c>
      <c r="BU40">
        <f>IF(COUNTIFS(T_StockCount[Part Name],$A40,T_StockCount[WeekIndex],72)&gt;0,SUMIFS(T_StockCount[CountedQty],T_StockCount[Part Name],$A40,T_StockCount[WeekIndex],72),IF(('T_SelfStock'!BU44&lt;&gt;""),'T_SelfStock'!BU44,BT40-'Grid_Requirement'!BU40+'Grid_TTAFOutgoing'!BU40))</f>
        <v/>
      </c>
      <c r="BV40">
        <f>IF(COUNTIFS(T_StockCount[Part Name],$A40,T_StockCount[WeekIndex],73)&gt;0,SUMIFS(T_StockCount[CountedQty],T_StockCount[Part Name],$A40,T_StockCount[WeekIndex],73),IF(('T_SelfStock'!BV44&lt;&gt;""),'T_SelfStock'!BV44,BU40-'Grid_Requirement'!BV40+'Grid_TTAFOutgoing'!BV40))</f>
        <v/>
      </c>
      <c r="BW40">
        <f>IF(COUNTIFS(T_StockCount[Part Name],$A40,T_StockCount[WeekIndex],74)&gt;0,SUMIFS(T_StockCount[CountedQty],T_StockCount[Part Name],$A40,T_StockCount[WeekIndex],74),IF(('T_SelfStock'!BW44&lt;&gt;""),'T_SelfStock'!BW44,BV40-'Grid_Requirement'!BW40+'Grid_TTAFOutgoing'!BW40))</f>
        <v/>
      </c>
      <c r="BX40">
        <f>IF(COUNTIFS(T_StockCount[Part Name],$A40,T_StockCount[WeekIndex],75)&gt;0,SUMIFS(T_StockCount[CountedQty],T_StockCount[Part Name],$A40,T_StockCount[WeekIndex],75),IF(('T_SelfStock'!BX44&lt;&gt;""),'T_SelfStock'!BX44,BW40-'Grid_Requirement'!BX40+'Grid_TTAFOutgoing'!BX40))</f>
        <v/>
      </c>
      <c r="BY40">
        <f>IF(COUNTIFS(T_StockCount[Part Name],$A40,T_StockCount[WeekIndex],76)&gt;0,SUMIFS(T_StockCount[CountedQty],T_StockCount[Part Name],$A40,T_StockCount[WeekIndex],76),IF(('T_SelfStock'!BY44&lt;&gt;""),'T_SelfStock'!BY44,BX40-'Grid_Requirement'!BY40+'Grid_TTAFOutgoing'!BY40))</f>
        <v/>
      </c>
      <c r="BZ40">
        <f>IF(COUNTIFS(T_StockCount[Part Name],$A40,T_StockCount[WeekIndex],77)&gt;0,SUMIFS(T_StockCount[CountedQty],T_StockCount[Part Name],$A40,T_StockCount[WeekIndex],77),IF(('T_SelfStock'!BZ44&lt;&gt;""),'T_SelfStock'!BZ44,BY40-'Grid_Requirement'!BZ40+'Grid_TTAFOutgoing'!BZ40))</f>
        <v/>
      </c>
      <c r="CA40">
        <f>IF(COUNTIFS(T_StockCount[Part Name],$A40,T_StockCount[WeekIndex],78)&gt;0,SUMIFS(T_StockCount[CountedQty],T_StockCount[Part Name],$A40,T_StockCount[WeekIndex],78),IF(('T_SelfStock'!CA44&lt;&gt;""),'T_SelfStock'!CA44,BZ40-'Grid_Requirement'!CA40+'Grid_TTAFOutgoing'!CA40))</f>
        <v/>
      </c>
      <c r="CB40">
        <f>IF(COUNTIFS(T_StockCount[Part Name],$A40,T_StockCount[WeekIndex],79)&gt;0,SUMIFS(T_StockCount[CountedQty],T_StockCount[Part Name],$A40,T_StockCount[WeekIndex],79),IF(('T_SelfStock'!CB44&lt;&gt;""),'T_SelfStock'!CB44,CA40-'Grid_Requirement'!CB40+'Grid_TTAFOutgoing'!CB40))</f>
        <v/>
      </c>
      <c r="CC40">
        <f>IF(COUNTIFS(T_StockCount[Part Name],$A40,T_StockCount[WeekIndex],80)&gt;0,SUMIFS(T_StockCount[CountedQty],T_StockCount[Part Name],$A40,T_StockCount[WeekIndex],80),IF(('T_SelfStock'!CC44&lt;&gt;""),'T_SelfStock'!CC44,CB40-'Grid_Requirement'!CC40+'Grid_TTAFOutgoing'!CC40))</f>
        <v/>
      </c>
      <c r="CD40">
        <f>IF(COUNTIFS(T_StockCount[Part Name],$A40,T_StockCount[WeekIndex],81)&gt;0,SUMIFS(T_StockCount[CountedQty],T_StockCount[Part Name],$A40,T_StockCount[WeekIndex],81),IF(('T_SelfStock'!CD44&lt;&gt;""),'T_SelfStock'!CD44,CC40-'Grid_Requirement'!CD40+'Grid_TTAFOutgoing'!CD40))</f>
        <v/>
      </c>
      <c r="CE40">
        <f>IF(COUNTIFS(T_StockCount[Part Name],$A40,T_StockCount[WeekIndex],82)&gt;0,SUMIFS(T_StockCount[CountedQty],T_StockCount[Part Name],$A40,T_StockCount[WeekIndex],82),IF(('T_SelfStock'!CE44&lt;&gt;""),'T_SelfStock'!CE44,CD40-'Grid_Requirement'!CE40+'Grid_TTAFOutgoing'!CE40))</f>
        <v/>
      </c>
      <c r="CF40">
        <f>IF(COUNTIFS(T_StockCount[Part Name],$A40,T_StockCount[WeekIndex],83)&gt;0,SUMIFS(T_StockCount[CountedQty],T_StockCount[Part Name],$A40,T_StockCount[WeekIndex],83),IF(('T_SelfStock'!CF44&lt;&gt;""),'T_SelfStock'!CF44,CE40-'Grid_Requirement'!CF40+'Grid_TTAFOutgoing'!CF40))</f>
        <v/>
      </c>
      <c r="CG40">
        <f>IF(COUNTIFS(T_StockCount[Part Name],$A40,T_StockCount[WeekIndex],84)&gt;0,SUMIFS(T_StockCount[CountedQty],T_StockCount[Part Name],$A40,T_StockCount[WeekIndex],84),IF(('T_SelfStock'!CG44&lt;&gt;""),'T_SelfStock'!CG44,CF40-'Grid_Requirement'!CG40+'Grid_TTAFOutgoing'!CG40))</f>
        <v/>
      </c>
      <c r="CH40">
        <f>IF(COUNTIFS(T_StockCount[Part Name],$A40,T_StockCount[WeekIndex],85)&gt;0,SUMIFS(T_StockCount[CountedQty],T_StockCount[Part Name],$A40,T_StockCount[WeekIndex],85),IF(('T_SelfStock'!CH44&lt;&gt;""),'T_SelfStock'!CH44,CG40-'Grid_Requirement'!CH40+'Grid_TTAFOutgoing'!CH40))</f>
        <v/>
      </c>
      <c r="CI40">
        <f>IF(COUNTIFS(T_StockCount[Part Name],$A40,T_StockCount[WeekIndex],86)&gt;0,SUMIFS(T_StockCount[CountedQty],T_StockCount[Part Name],$A40,T_StockCount[WeekIndex],86),IF(('T_SelfStock'!CI44&lt;&gt;""),'T_SelfStock'!CI44,CH40-'Grid_Requirement'!CI40+'Grid_TTAFOutgoing'!CI40))</f>
        <v/>
      </c>
      <c r="CJ40">
        <f>IF(COUNTIFS(T_StockCount[Part Name],$A40,T_StockCount[WeekIndex],87)&gt;0,SUMIFS(T_StockCount[CountedQty],T_StockCount[Part Name],$A40,T_StockCount[WeekIndex],87),IF(('T_SelfStock'!CJ44&lt;&gt;""),'T_SelfStock'!CJ44,CI40-'Grid_Requirement'!CJ40+'Grid_TTAFOutgoing'!CJ40))</f>
        <v/>
      </c>
      <c r="CK40">
        <f>IF(COUNTIFS(T_StockCount[Part Name],$A40,T_StockCount[WeekIndex],88)&gt;0,SUMIFS(T_StockCount[CountedQty],T_StockCount[Part Name],$A40,T_StockCount[WeekIndex],88),IF(('T_SelfStock'!CK44&lt;&gt;""),'T_SelfStock'!CK44,CJ40-'Grid_Requirement'!CK40+'Grid_TTAFOutgoing'!CK40))</f>
        <v/>
      </c>
      <c r="CL40">
        <f>IF(COUNTIFS(T_StockCount[Part Name],$A40,T_StockCount[WeekIndex],89)&gt;0,SUMIFS(T_StockCount[CountedQty],T_StockCount[Part Name],$A40,T_StockCount[WeekIndex],89),IF(('T_SelfStock'!CL44&lt;&gt;""),'T_SelfStock'!CL44,CK40-'Grid_Requirement'!CL40+'Grid_TTAFOutgoing'!CL40))</f>
        <v/>
      </c>
      <c r="CM40">
        <f>IF(COUNTIFS(T_StockCount[Part Name],$A40,T_StockCount[WeekIndex],90)&gt;0,SUMIFS(T_StockCount[CountedQty],T_StockCount[Part Name],$A40,T_StockCount[WeekIndex],90),IF(('T_SelfStock'!CM44&lt;&gt;""),'T_SelfStock'!CM44,CL40-'Grid_Requirement'!CM40+'Grid_TTAFOutgoing'!CM40))</f>
        <v/>
      </c>
      <c r="CN40">
        <f>IF(COUNTIFS(T_StockCount[Part Name],$A40,T_StockCount[WeekIndex],91)&gt;0,SUMIFS(T_StockCount[CountedQty],T_StockCount[Part Name],$A40,T_StockCount[WeekIndex],91),IF(('T_SelfStock'!CN44&lt;&gt;""),'T_SelfStock'!CN44,CM40-'Grid_Requirement'!CN40+'Grid_TTAFOutgoing'!CN40))</f>
        <v/>
      </c>
      <c r="CO40">
        <f>IF(COUNTIFS(T_StockCount[Part Name],$A40,T_StockCount[WeekIndex],92)&gt;0,SUMIFS(T_StockCount[CountedQty],T_StockCount[Part Name],$A40,T_StockCount[WeekIndex],92),IF(('T_SelfStock'!CO44&lt;&gt;""),'T_SelfStock'!CO44,CN40-'Grid_Requirement'!CO40+'Grid_TTAFOutgoing'!CO40))</f>
        <v/>
      </c>
      <c r="CP40">
        <f>IF(COUNTIFS(T_StockCount[Part Name],$A40,T_StockCount[WeekIndex],93)&gt;0,SUMIFS(T_StockCount[CountedQty],T_StockCount[Part Name],$A40,T_StockCount[WeekIndex],93),IF(('T_SelfStock'!CP44&lt;&gt;""),'T_SelfStock'!CP44,CO40-'Grid_Requirement'!CP40+'Grid_TTAFOutgoing'!CP40))</f>
        <v/>
      </c>
      <c r="CQ40">
        <f>IF(COUNTIFS(T_StockCount[Part Name],$A40,T_StockCount[WeekIndex],94)&gt;0,SUMIFS(T_StockCount[CountedQty],T_StockCount[Part Name],$A40,T_StockCount[WeekIndex],94),IF(('T_SelfStock'!CQ44&lt;&gt;""),'T_SelfStock'!CQ44,CP40-'Grid_Requirement'!CQ40+'Grid_TTAFOutgoing'!CQ40))</f>
        <v/>
      </c>
      <c r="CR40">
        <f>IF(COUNTIFS(T_StockCount[Part Name],$A40,T_StockCount[WeekIndex],95)&gt;0,SUMIFS(T_StockCount[CountedQty],T_StockCount[Part Name],$A40,T_StockCount[WeekIndex],95),IF(('T_SelfStock'!CR44&lt;&gt;""),'T_SelfStock'!CR44,CQ40-'Grid_Requirement'!CR40+'Grid_TTAFOutgoing'!CR40))</f>
        <v/>
      </c>
      <c r="CS40">
        <f>IF(COUNTIFS(T_StockCount[Part Name],$A40,T_StockCount[WeekIndex],96)&gt;0,SUMIFS(T_StockCount[CountedQty],T_StockCount[Part Name],$A40,T_StockCount[WeekIndex],96),IF(('T_SelfStock'!CS44&lt;&gt;""),'T_SelfStock'!CS44,CR40-'Grid_Requirement'!CS40+'Grid_TTAFOutgoing'!CS40))</f>
        <v/>
      </c>
      <c r="CT40">
        <f>IF(COUNTIFS(T_StockCount[Part Name],$A40,T_StockCount[WeekIndex],97)&gt;0,SUMIFS(T_StockCount[CountedQty],T_StockCount[Part Name],$A40,T_StockCount[WeekIndex],97),IF(('T_SelfStock'!CT44&lt;&gt;""),'T_SelfStock'!CT44,CS40-'Grid_Requirement'!CT40+'Grid_TTAFOutgoing'!CT40))</f>
        <v/>
      </c>
      <c r="CU40">
        <f>IF(COUNTIFS(T_StockCount[Part Name],$A40,T_StockCount[WeekIndex],98)&gt;0,SUMIFS(T_StockCount[CountedQty],T_StockCount[Part Name],$A40,T_StockCount[WeekIndex],98),IF(('T_SelfStock'!CU44&lt;&gt;""),'T_SelfStock'!CU44,CT40-'Grid_Requirement'!CU40+'Grid_TTAFOutgoing'!CU40))</f>
        <v/>
      </c>
      <c r="CV40">
        <f>IF(COUNTIFS(T_StockCount[Part Name],$A40,T_StockCount[WeekIndex],99)&gt;0,SUMIFS(T_StockCount[CountedQty],T_StockCount[Part Name],$A40,T_StockCount[WeekIndex],99),IF(('T_SelfStock'!CV44&lt;&gt;""),'T_SelfStock'!CV44,CU40-'Grid_Requirement'!CV40+'Grid_TTAFOutgoing'!CV40))</f>
        <v/>
      </c>
      <c r="CW40">
        <f>IF(COUNTIFS(T_StockCount[Part Name],$A40,T_StockCount[WeekIndex],100)&gt;0,SUMIFS(T_StockCount[CountedQty],T_StockCount[Part Name],$A40,T_StockCount[WeekIndex],100),IF(('T_SelfStock'!CW44&lt;&gt;""),'T_SelfStock'!CW44,CV40-'Grid_Requirement'!CW40+'Grid_TTAFOutgoing'!CW40))</f>
        <v/>
      </c>
      <c r="CX40">
        <f>IF(COUNTIFS(T_StockCount[Part Name],$A40,T_StockCount[WeekIndex],101)&gt;0,SUMIFS(T_StockCount[CountedQty],T_StockCount[Part Name],$A40,T_StockCount[WeekIndex],101),IF(('T_SelfStock'!CX44&lt;&gt;""),'T_SelfStock'!CX44,CW40-'Grid_Requirement'!CX40+'Grid_TTAFOutgoing'!CX40))</f>
        <v/>
      </c>
      <c r="CY40">
        <f>IF(COUNTIFS(T_StockCount[Part Name],$A40,T_StockCount[WeekIndex],102)&gt;0,SUMIFS(T_StockCount[CountedQty],T_StockCount[Part Name],$A40,T_StockCount[WeekIndex],102),IF(('T_SelfStock'!CY44&lt;&gt;""),'T_SelfStock'!CY44,CX40-'Grid_Requirement'!CY40+'Grid_TTAFOutgoing'!CY40))</f>
        <v/>
      </c>
      <c r="CZ40">
        <f>IF(COUNTIFS(T_StockCount[Part Name],$A40,T_StockCount[WeekIndex],103)&gt;0,SUMIFS(T_StockCount[CountedQty],T_StockCount[Part Name],$A40,T_StockCount[WeekIndex],103),IF(('T_SelfStock'!CZ44&lt;&gt;""),'T_SelfStock'!CZ44,CY40-'Grid_Requirement'!CZ40+'Grid_TTAFOutgoing'!CZ40))</f>
        <v/>
      </c>
      <c r="DA40">
        <f>IF(COUNTIFS(T_StockCount[Part Name],$A40,T_StockCount[WeekIndex],104)&gt;0,SUMIFS(T_StockCount[CountedQty],T_StockCount[Part Name],$A40,T_StockCount[WeekIndex],104),IF(('T_SelfStock'!DA44&lt;&gt;""),'T_SelfStock'!DA44,CZ40-'Grid_Requirement'!DA40+'Grid_TTAFOutgoing'!DA40))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Name],$A41,T_StockCount[WeekIndex],1),IF(('T_SelfStock'!B45&lt;&gt;""),'T_SelfStock'!B45,IFERROR(INDEX(T_OpeningStock[Opening_Qty],MATCH($A41,T_OpeningStock[Part Name],0)),0)-'Grid_Requirement'!B41+'Grid_TTAFOutgoing'!B41))</f>
        <v/>
      </c>
      <c r="C41">
        <f>IF(COUNTIFS(T_StockCount[Part Name],$A41,T_StockCount[WeekIndex],2)&gt;0,SUMIFS(T_StockCount[CountedQty],T_StockCount[Part Name],$A41,T_StockCount[WeekIndex],2),IF(('T_SelfStock'!C45&lt;&gt;""),'T_SelfStock'!C45,B41-'Grid_Requirement'!C41+'Grid_TTAFOutgoing'!C41))</f>
        <v/>
      </c>
      <c r="D41">
        <f>IF(COUNTIFS(T_StockCount[Part Name],$A41,T_StockCount[WeekIndex],3)&gt;0,SUMIFS(T_StockCount[CountedQty],T_StockCount[Part Name],$A41,T_StockCount[WeekIndex],3),IF(('T_SelfStock'!D45&lt;&gt;""),'T_SelfStock'!D45,C41-'Grid_Requirement'!D41+'Grid_TTAFOutgoing'!D41))</f>
        <v/>
      </c>
      <c r="E41">
        <f>IF(COUNTIFS(T_StockCount[Part Name],$A41,T_StockCount[WeekIndex],4)&gt;0,SUMIFS(T_StockCount[CountedQty],T_StockCount[Part Name],$A41,T_StockCount[WeekIndex],4),IF(('T_SelfStock'!E45&lt;&gt;""),'T_SelfStock'!E45,D41-'Grid_Requirement'!E41+'Grid_TTAFOutgoing'!E41))</f>
        <v/>
      </c>
      <c r="F41">
        <f>IF(COUNTIFS(T_StockCount[Part Name],$A41,T_StockCount[WeekIndex],5)&gt;0,SUMIFS(T_StockCount[CountedQty],T_StockCount[Part Name],$A41,T_StockCount[WeekIndex],5),IF(('T_SelfStock'!F45&lt;&gt;""),'T_SelfStock'!F45,E41-'Grid_Requirement'!F41+'Grid_TTAFOutgoing'!F41))</f>
        <v/>
      </c>
      <c r="G41">
        <f>IF(COUNTIFS(T_StockCount[Part Name],$A41,T_StockCount[WeekIndex],6)&gt;0,SUMIFS(T_StockCount[CountedQty],T_StockCount[Part Name],$A41,T_StockCount[WeekIndex],6),IF(('T_SelfStock'!G45&lt;&gt;""),'T_SelfStock'!G45,F41-'Grid_Requirement'!G41+'Grid_TTAFOutgoing'!G41))</f>
        <v/>
      </c>
      <c r="H41">
        <f>IF(COUNTIFS(T_StockCount[Part Name],$A41,T_StockCount[WeekIndex],7)&gt;0,SUMIFS(T_StockCount[CountedQty],T_StockCount[Part Name],$A41,T_StockCount[WeekIndex],7),IF(('T_SelfStock'!H45&lt;&gt;""),'T_SelfStock'!H45,G41-'Grid_Requirement'!H41+'Grid_TTAFOutgoing'!H41))</f>
        <v/>
      </c>
      <c r="I41">
        <f>IF(COUNTIFS(T_StockCount[Part Name],$A41,T_StockCount[WeekIndex],8)&gt;0,SUMIFS(T_StockCount[CountedQty],T_StockCount[Part Name],$A41,T_StockCount[WeekIndex],8),IF(('T_SelfStock'!I45&lt;&gt;""),'T_SelfStock'!I45,H41-'Grid_Requirement'!I41+'Grid_TTAFOutgoing'!I41))</f>
        <v/>
      </c>
      <c r="J41">
        <f>IF(COUNTIFS(T_StockCount[Part Name],$A41,T_StockCount[WeekIndex],9)&gt;0,SUMIFS(T_StockCount[CountedQty],T_StockCount[Part Name],$A41,T_StockCount[WeekIndex],9),IF(('T_SelfStock'!J45&lt;&gt;""),'T_SelfStock'!J45,I41-'Grid_Requirement'!J41+'Grid_TTAFOutgoing'!J41))</f>
        <v/>
      </c>
      <c r="K41">
        <f>IF(COUNTIFS(T_StockCount[Part Name],$A41,T_StockCount[WeekIndex],10)&gt;0,SUMIFS(T_StockCount[CountedQty],T_StockCount[Part Name],$A41,T_StockCount[WeekIndex],10),IF(('T_SelfStock'!K45&lt;&gt;""),'T_SelfStock'!K45,J41-'Grid_Requirement'!K41+'Grid_TTAFOutgoing'!K41))</f>
        <v/>
      </c>
      <c r="L41">
        <f>IF(COUNTIFS(T_StockCount[Part Name],$A41,T_StockCount[WeekIndex],11)&gt;0,SUMIFS(T_StockCount[CountedQty],T_StockCount[Part Name],$A41,T_StockCount[WeekIndex],11),IF(('T_SelfStock'!L45&lt;&gt;""),'T_SelfStock'!L45,K41-'Grid_Requirement'!L41+'Grid_TTAFOutgoing'!L41))</f>
        <v/>
      </c>
      <c r="M41">
        <f>IF(COUNTIFS(T_StockCount[Part Name],$A41,T_StockCount[WeekIndex],12)&gt;0,SUMIFS(T_StockCount[CountedQty],T_StockCount[Part Name],$A41,T_StockCount[WeekIndex],12),IF(('T_SelfStock'!M45&lt;&gt;""),'T_SelfStock'!M45,L41-'Grid_Requirement'!M41+'Grid_TTAFOutgoing'!M41))</f>
        <v/>
      </c>
      <c r="N41">
        <f>IF(COUNTIFS(T_StockCount[Part Name],$A41,T_StockCount[WeekIndex],13)&gt;0,SUMIFS(T_StockCount[CountedQty],T_StockCount[Part Name],$A41,T_StockCount[WeekIndex],13),IF(('T_SelfStock'!N45&lt;&gt;""),'T_SelfStock'!N45,M41-'Grid_Requirement'!N41+'Grid_TTAFOutgoing'!N41))</f>
        <v/>
      </c>
      <c r="O41">
        <f>IF(COUNTIFS(T_StockCount[Part Name],$A41,T_StockCount[WeekIndex],14)&gt;0,SUMIFS(T_StockCount[CountedQty],T_StockCount[Part Name],$A41,T_StockCount[WeekIndex],14),IF(('T_SelfStock'!O45&lt;&gt;""),'T_SelfStock'!O45,N41-'Grid_Requirement'!O41+'Grid_TTAFOutgoing'!O41))</f>
        <v/>
      </c>
      <c r="P41">
        <f>IF(COUNTIFS(T_StockCount[Part Name],$A41,T_StockCount[WeekIndex],15)&gt;0,SUMIFS(T_StockCount[CountedQty],T_StockCount[Part Name],$A41,T_StockCount[WeekIndex],15),IF(('T_SelfStock'!P45&lt;&gt;""),'T_SelfStock'!P45,O41-'Grid_Requirement'!P41+'Grid_TTAFOutgoing'!P41))</f>
        <v/>
      </c>
      <c r="Q41">
        <f>IF(COUNTIFS(T_StockCount[Part Name],$A41,T_StockCount[WeekIndex],16)&gt;0,SUMIFS(T_StockCount[CountedQty],T_StockCount[Part Name],$A41,T_StockCount[WeekIndex],16),IF(('T_SelfStock'!Q45&lt;&gt;""),'T_SelfStock'!Q45,P41-'Grid_Requirement'!Q41+'Grid_TTAFOutgoing'!Q41))</f>
        <v/>
      </c>
      <c r="R41">
        <f>IF(COUNTIFS(T_StockCount[Part Name],$A41,T_StockCount[WeekIndex],17)&gt;0,SUMIFS(T_StockCount[CountedQty],T_StockCount[Part Name],$A41,T_StockCount[WeekIndex],17),IF(('T_SelfStock'!R45&lt;&gt;""),'T_SelfStock'!R45,Q41-'Grid_Requirement'!R41+'Grid_TTAFOutgoing'!R41))</f>
        <v/>
      </c>
      <c r="S41">
        <f>IF(COUNTIFS(T_StockCount[Part Name],$A41,T_StockCount[WeekIndex],18)&gt;0,SUMIFS(T_StockCount[CountedQty],T_StockCount[Part Name],$A41,T_StockCount[WeekIndex],18),IF(('T_SelfStock'!S45&lt;&gt;""),'T_SelfStock'!S45,R41-'Grid_Requirement'!S41+'Grid_TTAFOutgoing'!S41))</f>
        <v/>
      </c>
      <c r="T41">
        <f>IF(COUNTIFS(T_StockCount[Part Name],$A41,T_StockCount[WeekIndex],19)&gt;0,SUMIFS(T_StockCount[CountedQty],T_StockCount[Part Name],$A41,T_StockCount[WeekIndex],19),IF(('T_SelfStock'!T45&lt;&gt;""),'T_SelfStock'!T45,S41-'Grid_Requirement'!T41+'Grid_TTAFOutgoing'!T41))</f>
        <v/>
      </c>
      <c r="U41">
        <f>IF(COUNTIFS(T_StockCount[Part Name],$A41,T_StockCount[WeekIndex],20)&gt;0,SUMIFS(T_StockCount[CountedQty],T_StockCount[Part Name],$A41,T_StockCount[WeekIndex],20),IF(('T_SelfStock'!U45&lt;&gt;""),'T_SelfStock'!U45,T41-'Grid_Requirement'!U41+'Grid_TTAFOutgoing'!U41))</f>
        <v/>
      </c>
      <c r="V41">
        <f>IF(COUNTIFS(T_StockCount[Part Name],$A41,T_StockCount[WeekIndex],21)&gt;0,SUMIFS(T_StockCount[CountedQty],T_StockCount[Part Name],$A41,T_StockCount[WeekIndex],21),IF(('T_SelfStock'!V45&lt;&gt;""),'T_SelfStock'!V45,U41-'Grid_Requirement'!V41+'Grid_TTAFOutgoing'!V41))</f>
        <v/>
      </c>
      <c r="W41">
        <f>IF(COUNTIFS(T_StockCount[Part Name],$A41,T_StockCount[WeekIndex],22)&gt;0,SUMIFS(T_StockCount[CountedQty],T_StockCount[Part Name],$A41,T_StockCount[WeekIndex],22),IF(('T_SelfStock'!W45&lt;&gt;""),'T_SelfStock'!W45,V41-'Grid_Requirement'!W41+'Grid_TTAFOutgoing'!W41))</f>
        <v/>
      </c>
      <c r="X41">
        <f>IF(COUNTIFS(T_StockCount[Part Name],$A41,T_StockCount[WeekIndex],23)&gt;0,SUMIFS(T_StockCount[CountedQty],T_StockCount[Part Name],$A41,T_StockCount[WeekIndex],23),IF(('T_SelfStock'!X45&lt;&gt;""),'T_SelfStock'!X45,W41-'Grid_Requirement'!X41+'Grid_TTAFOutgoing'!X41))</f>
        <v/>
      </c>
      <c r="Y41">
        <f>IF(COUNTIFS(T_StockCount[Part Name],$A41,T_StockCount[WeekIndex],24)&gt;0,SUMIFS(T_StockCount[CountedQty],T_StockCount[Part Name],$A41,T_StockCount[WeekIndex],24),IF(('T_SelfStock'!Y45&lt;&gt;""),'T_SelfStock'!Y45,X41-'Grid_Requirement'!Y41+'Grid_TTAFOutgoing'!Y41))</f>
        <v/>
      </c>
      <c r="Z41">
        <f>IF(COUNTIFS(T_StockCount[Part Name],$A41,T_StockCount[WeekIndex],25)&gt;0,SUMIFS(T_StockCount[CountedQty],T_StockCount[Part Name],$A41,T_StockCount[WeekIndex],25),IF(('T_SelfStock'!Z45&lt;&gt;""),'T_SelfStock'!Z45,Y41-'Grid_Requirement'!Z41+'Grid_TTAFOutgoing'!Z41))</f>
        <v/>
      </c>
      <c r="AA41">
        <f>IF(COUNTIFS(T_StockCount[Part Name],$A41,T_StockCount[WeekIndex],26)&gt;0,SUMIFS(T_StockCount[CountedQty],T_StockCount[Part Name],$A41,T_StockCount[WeekIndex],26),IF(('T_SelfStock'!AA45&lt;&gt;""),'T_SelfStock'!AA45,Z41-'Grid_Requirement'!AA41+'Grid_TTAFOutgoing'!AA41))</f>
        <v/>
      </c>
      <c r="AB41">
        <f>IF(COUNTIFS(T_StockCount[Part Name],$A41,T_StockCount[WeekIndex],27)&gt;0,SUMIFS(T_StockCount[CountedQty],T_StockCount[Part Name],$A41,T_StockCount[WeekIndex],27),IF(('T_SelfStock'!AB45&lt;&gt;""),'T_SelfStock'!AB45,AA41-'Grid_Requirement'!AB41+'Grid_TTAFOutgoing'!AB41))</f>
        <v/>
      </c>
      <c r="AC41">
        <f>IF(COUNTIFS(T_StockCount[Part Name],$A41,T_StockCount[WeekIndex],28)&gt;0,SUMIFS(T_StockCount[CountedQty],T_StockCount[Part Name],$A41,T_StockCount[WeekIndex],28),IF(('T_SelfStock'!AC45&lt;&gt;""),'T_SelfStock'!AC45,AB41-'Grid_Requirement'!AC41+'Grid_TTAFOutgoing'!AC41))</f>
        <v/>
      </c>
      <c r="AD41">
        <f>IF(COUNTIFS(T_StockCount[Part Name],$A41,T_StockCount[WeekIndex],29)&gt;0,SUMIFS(T_StockCount[CountedQty],T_StockCount[Part Name],$A41,T_StockCount[WeekIndex],29),IF(('T_SelfStock'!AD45&lt;&gt;""),'T_SelfStock'!AD45,AC41-'Grid_Requirement'!AD41+'Grid_TTAFOutgoing'!AD41))</f>
        <v/>
      </c>
      <c r="AE41">
        <f>IF(COUNTIFS(T_StockCount[Part Name],$A41,T_StockCount[WeekIndex],30)&gt;0,SUMIFS(T_StockCount[CountedQty],T_StockCount[Part Name],$A41,T_StockCount[WeekIndex],30),IF(('T_SelfStock'!AE45&lt;&gt;""),'T_SelfStock'!AE45,AD41-'Grid_Requirement'!AE41+'Grid_TTAFOutgoing'!AE41))</f>
        <v/>
      </c>
      <c r="AF41">
        <f>IF(COUNTIFS(T_StockCount[Part Name],$A41,T_StockCount[WeekIndex],31)&gt;0,SUMIFS(T_StockCount[CountedQty],T_StockCount[Part Name],$A41,T_StockCount[WeekIndex],31),IF(('T_SelfStock'!AF45&lt;&gt;""),'T_SelfStock'!AF45,AE41-'Grid_Requirement'!AF41+'Grid_TTAFOutgoing'!AF41))</f>
        <v/>
      </c>
      <c r="AG41">
        <f>IF(COUNTIFS(T_StockCount[Part Name],$A41,T_StockCount[WeekIndex],32)&gt;0,SUMIFS(T_StockCount[CountedQty],T_StockCount[Part Name],$A41,T_StockCount[WeekIndex],32),IF(('T_SelfStock'!AG45&lt;&gt;""),'T_SelfStock'!AG45,AF41-'Grid_Requirement'!AG41+'Grid_TTAFOutgoing'!AG41))</f>
        <v/>
      </c>
      <c r="AH41">
        <f>IF(COUNTIFS(T_StockCount[Part Name],$A41,T_StockCount[WeekIndex],33)&gt;0,SUMIFS(T_StockCount[CountedQty],T_StockCount[Part Name],$A41,T_StockCount[WeekIndex],33),IF(('T_SelfStock'!AH45&lt;&gt;""),'T_SelfStock'!AH45,AG41-'Grid_Requirement'!AH41+'Grid_TTAFOutgoing'!AH41))</f>
        <v/>
      </c>
      <c r="AI41">
        <f>IF(COUNTIFS(T_StockCount[Part Name],$A41,T_StockCount[WeekIndex],34)&gt;0,SUMIFS(T_StockCount[CountedQty],T_StockCount[Part Name],$A41,T_StockCount[WeekIndex],34),IF(('T_SelfStock'!AI45&lt;&gt;""),'T_SelfStock'!AI45,AH41-'Grid_Requirement'!AI41+'Grid_TTAFOutgoing'!AI41))</f>
        <v/>
      </c>
      <c r="AJ41">
        <f>IF(COUNTIFS(T_StockCount[Part Name],$A41,T_StockCount[WeekIndex],35)&gt;0,SUMIFS(T_StockCount[CountedQty],T_StockCount[Part Name],$A41,T_StockCount[WeekIndex],35),IF(('T_SelfStock'!AJ45&lt;&gt;""),'T_SelfStock'!AJ45,AI41-'Grid_Requirement'!AJ41+'Grid_TTAFOutgoing'!AJ41))</f>
        <v/>
      </c>
      <c r="AK41">
        <f>IF(COUNTIFS(T_StockCount[Part Name],$A41,T_StockCount[WeekIndex],36)&gt;0,SUMIFS(T_StockCount[CountedQty],T_StockCount[Part Name],$A41,T_StockCount[WeekIndex],36),IF(('T_SelfStock'!AK45&lt;&gt;""),'T_SelfStock'!AK45,AJ41-'Grid_Requirement'!AK41+'Grid_TTAFOutgoing'!AK41))</f>
        <v/>
      </c>
      <c r="AL41">
        <f>IF(COUNTIFS(T_StockCount[Part Name],$A41,T_StockCount[WeekIndex],37)&gt;0,SUMIFS(T_StockCount[CountedQty],T_StockCount[Part Name],$A41,T_StockCount[WeekIndex],37),IF(('T_SelfStock'!AL45&lt;&gt;""),'T_SelfStock'!AL45,AK41-'Grid_Requirement'!AL41+'Grid_TTAFOutgoing'!AL41))</f>
        <v/>
      </c>
      <c r="AM41">
        <f>IF(COUNTIFS(T_StockCount[Part Name],$A41,T_StockCount[WeekIndex],38)&gt;0,SUMIFS(T_StockCount[CountedQty],T_StockCount[Part Name],$A41,T_StockCount[WeekIndex],38),IF(('T_SelfStock'!AM45&lt;&gt;""),'T_SelfStock'!AM45,AL41-'Grid_Requirement'!AM41+'Grid_TTAFOutgoing'!AM41))</f>
        <v/>
      </c>
      <c r="AN41">
        <f>IF(COUNTIFS(T_StockCount[Part Name],$A41,T_StockCount[WeekIndex],39)&gt;0,SUMIFS(T_StockCount[CountedQty],T_StockCount[Part Name],$A41,T_StockCount[WeekIndex],39),IF(('T_SelfStock'!AN45&lt;&gt;""),'T_SelfStock'!AN45,AM41-'Grid_Requirement'!AN41+'Grid_TTAFOutgoing'!AN41))</f>
        <v/>
      </c>
      <c r="AO41">
        <f>IF(COUNTIFS(T_StockCount[Part Name],$A41,T_StockCount[WeekIndex],40)&gt;0,SUMIFS(T_StockCount[CountedQty],T_StockCount[Part Name],$A41,T_StockCount[WeekIndex],40),IF(('T_SelfStock'!AO45&lt;&gt;""),'T_SelfStock'!AO45,AN41-'Grid_Requirement'!AO41+'Grid_TTAFOutgoing'!AO41))</f>
        <v/>
      </c>
      <c r="AP41">
        <f>IF(COUNTIFS(T_StockCount[Part Name],$A41,T_StockCount[WeekIndex],41)&gt;0,SUMIFS(T_StockCount[CountedQty],T_StockCount[Part Name],$A41,T_StockCount[WeekIndex],41),IF(('T_SelfStock'!AP45&lt;&gt;""),'T_SelfStock'!AP45,AO41-'Grid_Requirement'!AP41+'Grid_TTAFOutgoing'!AP41))</f>
        <v/>
      </c>
      <c r="AQ41">
        <f>IF(COUNTIFS(T_StockCount[Part Name],$A41,T_StockCount[WeekIndex],42)&gt;0,SUMIFS(T_StockCount[CountedQty],T_StockCount[Part Name],$A41,T_StockCount[WeekIndex],42),IF(('T_SelfStock'!AQ45&lt;&gt;""),'T_SelfStock'!AQ45,AP41-'Grid_Requirement'!AQ41+'Grid_TTAFOutgoing'!AQ41))</f>
        <v/>
      </c>
      <c r="AR41">
        <f>IF(COUNTIFS(T_StockCount[Part Name],$A41,T_StockCount[WeekIndex],43)&gt;0,SUMIFS(T_StockCount[CountedQty],T_StockCount[Part Name],$A41,T_StockCount[WeekIndex],43),IF(('T_SelfStock'!AR45&lt;&gt;""),'T_SelfStock'!AR45,AQ41-'Grid_Requirement'!AR41+'Grid_TTAFOutgoing'!AR41))</f>
        <v/>
      </c>
      <c r="AS41">
        <f>IF(COUNTIFS(T_StockCount[Part Name],$A41,T_StockCount[WeekIndex],44)&gt;0,SUMIFS(T_StockCount[CountedQty],T_StockCount[Part Name],$A41,T_StockCount[WeekIndex],44),IF(('T_SelfStock'!AS45&lt;&gt;""),'T_SelfStock'!AS45,AR41-'Grid_Requirement'!AS41+'Grid_TTAFOutgoing'!AS41))</f>
        <v/>
      </c>
      <c r="AT41">
        <f>IF(COUNTIFS(T_StockCount[Part Name],$A41,T_StockCount[WeekIndex],45)&gt;0,SUMIFS(T_StockCount[CountedQty],T_StockCount[Part Name],$A41,T_StockCount[WeekIndex],45),IF(('T_SelfStock'!AT45&lt;&gt;""),'T_SelfStock'!AT45,AS41-'Grid_Requirement'!AT41+'Grid_TTAFOutgoing'!AT41))</f>
        <v/>
      </c>
      <c r="AU41">
        <f>IF(COUNTIFS(T_StockCount[Part Name],$A41,T_StockCount[WeekIndex],46)&gt;0,SUMIFS(T_StockCount[CountedQty],T_StockCount[Part Name],$A41,T_StockCount[WeekIndex],46),IF(('T_SelfStock'!AU45&lt;&gt;""),'T_SelfStock'!AU45,AT41-'Grid_Requirement'!AU41+'Grid_TTAFOutgoing'!AU41))</f>
        <v/>
      </c>
      <c r="AV41">
        <f>IF(COUNTIFS(T_StockCount[Part Name],$A41,T_StockCount[WeekIndex],47)&gt;0,SUMIFS(T_StockCount[CountedQty],T_StockCount[Part Name],$A41,T_StockCount[WeekIndex],47),IF(('T_SelfStock'!AV45&lt;&gt;""),'T_SelfStock'!AV45,AU41-'Grid_Requirement'!AV41+'Grid_TTAFOutgoing'!AV41))</f>
        <v/>
      </c>
      <c r="AW41">
        <f>IF(COUNTIFS(T_StockCount[Part Name],$A41,T_StockCount[WeekIndex],48)&gt;0,SUMIFS(T_StockCount[CountedQty],T_StockCount[Part Name],$A41,T_StockCount[WeekIndex],48),IF(('T_SelfStock'!AW45&lt;&gt;""),'T_SelfStock'!AW45,AV41-'Grid_Requirement'!AW41+'Grid_TTAFOutgoing'!AW41))</f>
        <v/>
      </c>
      <c r="AX41">
        <f>IF(COUNTIFS(T_StockCount[Part Name],$A41,T_StockCount[WeekIndex],49)&gt;0,SUMIFS(T_StockCount[CountedQty],T_StockCount[Part Name],$A41,T_StockCount[WeekIndex],49),IF(('T_SelfStock'!AX45&lt;&gt;""),'T_SelfStock'!AX45,AW41-'Grid_Requirement'!AX41+'Grid_TTAFOutgoing'!AX41))</f>
        <v/>
      </c>
      <c r="AY41">
        <f>IF(COUNTIFS(T_StockCount[Part Name],$A41,T_StockCount[WeekIndex],50)&gt;0,SUMIFS(T_StockCount[CountedQty],T_StockCount[Part Name],$A41,T_StockCount[WeekIndex],50),IF(('T_SelfStock'!AY45&lt;&gt;""),'T_SelfStock'!AY45,AX41-'Grid_Requirement'!AY41+'Grid_TTAFOutgoing'!AY41))</f>
        <v/>
      </c>
      <c r="AZ41">
        <f>IF(COUNTIFS(T_StockCount[Part Name],$A41,T_StockCount[WeekIndex],51)&gt;0,SUMIFS(T_StockCount[CountedQty],T_StockCount[Part Name],$A41,T_StockCount[WeekIndex],51),IF(('T_SelfStock'!AZ45&lt;&gt;""),'T_SelfStock'!AZ45,AY41-'Grid_Requirement'!AZ41+'Grid_TTAFOutgoing'!AZ41))</f>
        <v/>
      </c>
      <c r="BA41">
        <f>IF(COUNTIFS(T_StockCount[Part Name],$A41,T_StockCount[WeekIndex],52)&gt;0,SUMIFS(T_StockCount[CountedQty],T_StockCount[Part Name],$A41,T_StockCount[WeekIndex],52),IF(('T_SelfStock'!BA45&lt;&gt;""),'T_SelfStock'!BA45,AZ41-'Grid_Requirement'!BA41+'Grid_TTAFOutgoing'!BA41))</f>
        <v/>
      </c>
      <c r="BB41">
        <f>IF(COUNTIFS(T_StockCount[Part Name],$A41,T_StockCount[WeekIndex],53)&gt;0,SUMIFS(T_StockCount[CountedQty],T_StockCount[Part Name],$A41,T_StockCount[WeekIndex],53),IF(('T_SelfStock'!BB45&lt;&gt;""),'T_SelfStock'!BB45,BA41-'Grid_Requirement'!BB41+'Grid_TTAFOutgoing'!BB41))</f>
        <v/>
      </c>
      <c r="BC41">
        <f>IF(COUNTIFS(T_StockCount[Part Name],$A41,T_StockCount[WeekIndex],54)&gt;0,SUMIFS(T_StockCount[CountedQty],T_StockCount[Part Name],$A41,T_StockCount[WeekIndex],54),IF(('T_SelfStock'!BC45&lt;&gt;""),'T_SelfStock'!BC45,BB41-'Grid_Requirement'!BC41+'Grid_TTAFOutgoing'!BC41))</f>
        <v/>
      </c>
      <c r="BD41">
        <f>IF(COUNTIFS(T_StockCount[Part Name],$A41,T_StockCount[WeekIndex],55)&gt;0,SUMIFS(T_StockCount[CountedQty],T_StockCount[Part Name],$A41,T_StockCount[WeekIndex],55),IF(('T_SelfStock'!BD45&lt;&gt;""),'T_SelfStock'!BD45,BC41-'Grid_Requirement'!BD41+'Grid_TTAFOutgoing'!BD41))</f>
        <v/>
      </c>
      <c r="BE41">
        <f>IF(COUNTIFS(T_StockCount[Part Name],$A41,T_StockCount[WeekIndex],56)&gt;0,SUMIFS(T_StockCount[CountedQty],T_StockCount[Part Name],$A41,T_StockCount[WeekIndex],56),IF(('T_SelfStock'!BE45&lt;&gt;""),'T_SelfStock'!BE45,BD41-'Grid_Requirement'!BE41+'Grid_TTAFOutgoing'!BE41))</f>
        <v/>
      </c>
      <c r="BF41">
        <f>IF(COUNTIFS(T_StockCount[Part Name],$A41,T_StockCount[WeekIndex],57)&gt;0,SUMIFS(T_StockCount[CountedQty],T_StockCount[Part Name],$A41,T_StockCount[WeekIndex],57),IF(('T_SelfStock'!BF45&lt;&gt;""),'T_SelfStock'!BF45,BE41-'Grid_Requirement'!BF41+'Grid_TTAFOutgoing'!BF41))</f>
        <v/>
      </c>
      <c r="BG41">
        <f>IF(COUNTIFS(T_StockCount[Part Name],$A41,T_StockCount[WeekIndex],58)&gt;0,SUMIFS(T_StockCount[CountedQty],T_StockCount[Part Name],$A41,T_StockCount[WeekIndex],58),IF(('T_SelfStock'!BG45&lt;&gt;""),'T_SelfStock'!BG45,BF41-'Grid_Requirement'!BG41+'Grid_TTAFOutgoing'!BG41))</f>
        <v/>
      </c>
      <c r="BH41">
        <f>IF(COUNTIFS(T_StockCount[Part Name],$A41,T_StockCount[WeekIndex],59)&gt;0,SUMIFS(T_StockCount[CountedQty],T_StockCount[Part Name],$A41,T_StockCount[WeekIndex],59),IF(('T_SelfStock'!BH45&lt;&gt;""),'T_SelfStock'!BH45,BG41-'Grid_Requirement'!BH41+'Grid_TTAFOutgoing'!BH41))</f>
        <v/>
      </c>
      <c r="BI41">
        <f>IF(COUNTIFS(T_StockCount[Part Name],$A41,T_StockCount[WeekIndex],60)&gt;0,SUMIFS(T_StockCount[CountedQty],T_StockCount[Part Name],$A41,T_StockCount[WeekIndex],60),IF(('T_SelfStock'!BI45&lt;&gt;""),'T_SelfStock'!BI45,BH41-'Grid_Requirement'!BI41+'Grid_TTAFOutgoing'!BI41))</f>
        <v/>
      </c>
      <c r="BJ41">
        <f>IF(COUNTIFS(T_StockCount[Part Name],$A41,T_StockCount[WeekIndex],61)&gt;0,SUMIFS(T_StockCount[CountedQty],T_StockCount[Part Name],$A41,T_StockCount[WeekIndex],61),IF(('T_SelfStock'!BJ45&lt;&gt;""),'T_SelfStock'!BJ45,BI41-'Grid_Requirement'!BJ41+'Grid_TTAFOutgoing'!BJ41))</f>
        <v/>
      </c>
      <c r="BK41">
        <f>IF(COUNTIFS(T_StockCount[Part Name],$A41,T_StockCount[WeekIndex],62)&gt;0,SUMIFS(T_StockCount[CountedQty],T_StockCount[Part Name],$A41,T_StockCount[WeekIndex],62),IF(('T_SelfStock'!BK45&lt;&gt;""),'T_SelfStock'!BK45,BJ41-'Grid_Requirement'!BK41+'Grid_TTAFOutgoing'!BK41))</f>
        <v/>
      </c>
      <c r="BL41">
        <f>IF(COUNTIFS(T_StockCount[Part Name],$A41,T_StockCount[WeekIndex],63)&gt;0,SUMIFS(T_StockCount[CountedQty],T_StockCount[Part Name],$A41,T_StockCount[WeekIndex],63),IF(('T_SelfStock'!BL45&lt;&gt;""),'T_SelfStock'!BL45,BK41-'Grid_Requirement'!BL41+'Grid_TTAFOutgoing'!BL41))</f>
        <v/>
      </c>
      <c r="BM41">
        <f>IF(COUNTIFS(T_StockCount[Part Name],$A41,T_StockCount[WeekIndex],64)&gt;0,SUMIFS(T_StockCount[CountedQty],T_StockCount[Part Name],$A41,T_StockCount[WeekIndex],64),IF(('T_SelfStock'!BM45&lt;&gt;""),'T_SelfStock'!BM45,BL41-'Grid_Requirement'!BM41+'Grid_TTAFOutgoing'!BM41))</f>
        <v/>
      </c>
      <c r="BN41">
        <f>IF(COUNTIFS(T_StockCount[Part Name],$A41,T_StockCount[WeekIndex],65)&gt;0,SUMIFS(T_StockCount[CountedQty],T_StockCount[Part Name],$A41,T_StockCount[WeekIndex],65),IF(('T_SelfStock'!BN45&lt;&gt;""),'T_SelfStock'!BN45,BM41-'Grid_Requirement'!BN41+'Grid_TTAFOutgoing'!BN41))</f>
        <v/>
      </c>
      <c r="BO41">
        <f>IF(COUNTIFS(T_StockCount[Part Name],$A41,T_StockCount[WeekIndex],66)&gt;0,SUMIFS(T_StockCount[CountedQty],T_StockCount[Part Name],$A41,T_StockCount[WeekIndex],66),IF(('T_SelfStock'!BO45&lt;&gt;""),'T_SelfStock'!BO45,BN41-'Grid_Requirement'!BO41+'Grid_TTAFOutgoing'!BO41))</f>
        <v/>
      </c>
      <c r="BP41">
        <f>IF(COUNTIFS(T_StockCount[Part Name],$A41,T_StockCount[WeekIndex],67)&gt;0,SUMIFS(T_StockCount[CountedQty],T_StockCount[Part Name],$A41,T_StockCount[WeekIndex],67),IF(('T_SelfStock'!BP45&lt;&gt;""),'T_SelfStock'!BP45,BO41-'Grid_Requirement'!BP41+'Grid_TTAFOutgoing'!BP41))</f>
        <v/>
      </c>
      <c r="BQ41">
        <f>IF(COUNTIFS(T_StockCount[Part Name],$A41,T_StockCount[WeekIndex],68)&gt;0,SUMIFS(T_StockCount[CountedQty],T_StockCount[Part Name],$A41,T_StockCount[WeekIndex],68),IF(('T_SelfStock'!BQ45&lt;&gt;""),'T_SelfStock'!BQ45,BP41-'Grid_Requirement'!BQ41+'Grid_TTAFOutgoing'!BQ41))</f>
        <v/>
      </c>
      <c r="BR41">
        <f>IF(COUNTIFS(T_StockCount[Part Name],$A41,T_StockCount[WeekIndex],69)&gt;0,SUMIFS(T_StockCount[CountedQty],T_StockCount[Part Name],$A41,T_StockCount[WeekIndex],69),IF(('T_SelfStock'!BR45&lt;&gt;""),'T_SelfStock'!BR45,BQ41-'Grid_Requirement'!BR41+'Grid_TTAFOutgoing'!BR41))</f>
        <v/>
      </c>
      <c r="BS41">
        <f>IF(COUNTIFS(T_StockCount[Part Name],$A41,T_StockCount[WeekIndex],70)&gt;0,SUMIFS(T_StockCount[CountedQty],T_StockCount[Part Name],$A41,T_StockCount[WeekIndex],70),IF(('T_SelfStock'!BS45&lt;&gt;""),'T_SelfStock'!BS45,BR41-'Grid_Requirement'!BS41+'Grid_TTAFOutgoing'!BS41))</f>
        <v/>
      </c>
      <c r="BT41">
        <f>IF(COUNTIFS(T_StockCount[Part Name],$A41,T_StockCount[WeekIndex],71)&gt;0,SUMIFS(T_StockCount[CountedQty],T_StockCount[Part Name],$A41,T_StockCount[WeekIndex],71),IF(('T_SelfStock'!BT45&lt;&gt;""),'T_SelfStock'!BT45,BS41-'Grid_Requirement'!BT41+'Grid_TTAFOutgoing'!BT41))</f>
        <v/>
      </c>
      <c r="BU41">
        <f>IF(COUNTIFS(T_StockCount[Part Name],$A41,T_StockCount[WeekIndex],72)&gt;0,SUMIFS(T_StockCount[CountedQty],T_StockCount[Part Name],$A41,T_StockCount[WeekIndex],72),IF(('T_SelfStock'!BU45&lt;&gt;""),'T_SelfStock'!BU45,BT41-'Grid_Requirement'!BU41+'Grid_TTAFOutgoing'!BU41))</f>
        <v/>
      </c>
      <c r="BV41">
        <f>IF(COUNTIFS(T_StockCount[Part Name],$A41,T_StockCount[WeekIndex],73)&gt;0,SUMIFS(T_StockCount[CountedQty],T_StockCount[Part Name],$A41,T_StockCount[WeekIndex],73),IF(('T_SelfStock'!BV45&lt;&gt;""),'T_SelfStock'!BV45,BU41-'Grid_Requirement'!BV41+'Grid_TTAFOutgoing'!BV41))</f>
        <v/>
      </c>
      <c r="BW41">
        <f>IF(COUNTIFS(T_StockCount[Part Name],$A41,T_StockCount[WeekIndex],74)&gt;0,SUMIFS(T_StockCount[CountedQty],T_StockCount[Part Name],$A41,T_StockCount[WeekIndex],74),IF(('T_SelfStock'!BW45&lt;&gt;""),'T_SelfStock'!BW45,BV41-'Grid_Requirement'!BW41+'Grid_TTAFOutgoing'!BW41))</f>
        <v/>
      </c>
      <c r="BX41">
        <f>IF(COUNTIFS(T_StockCount[Part Name],$A41,T_StockCount[WeekIndex],75)&gt;0,SUMIFS(T_StockCount[CountedQty],T_StockCount[Part Name],$A41,T_StockCount[WeekIndex],75),IF(('T_SelfStock'!BX45&lt;&gt;""),'T_SelfStock'!BX45,BW41-'Grid_Requirement'!BX41+'Grid_TTAFOutgoing'!BX41))</f>
        <v/>
      </c>
      <c r="BY41">
        <f>IF(COUNTIFS(T_StockCount[Part Name],$A41,T_StockCount[WeekIndex],76)&gt;0,SUMIFS(T_StockCount[CountedQty],T_StockCount[Part Name],$A41,T_StockCount[WeekIndex],76),IF(('T_SelfStock'!BY45&lt;&gt;""),'T_SelfStock'!BY45,BX41-'Grid_Requirement'!BY41+'Grid_TTAFOutgoing'!BY41))</f>
        <v/>
      </c>
      <c r="BZ41">
        <f>IF(COUNTIFS(T_StockCount[Part Name],$A41,T_StockCount[WeekIndex],77)&gt;0,SUMIFS(T_StockCount[CountedQty],T_StockCount[Part Name],$A41,T_StockCount[WeekIndex],77),IF(('T_SelfStock'!BZ45&lt;&gt;""),'T_SelfStock'!BZ45,BY41-'Grid_Requirement'!BZ41+'Grid_TTAFOutgoing'!BZ41))</f>
        <v/>
      </c>
      <c r="CA41">
        <f>IF(COUNTIFS(T_StockCount[Part Name],$A41,T_StockCount[WeekIndex],78)&gt;0,SUMIFS(T_StockCount[CountedQty],T_StockCount[Part Name],$A41,T_StockCount[WeekIndex],78),IF(('T_SelfStock'!CA45&lt;&gt;""),'T_SelfStock'!CA45,BZ41-'Grid_Requirement'!CA41+'Grid_TTAFOutgoing'!CA41))</f>
        <v/>
      </c>
      <c r="CB41">
        <f>IF(COUNTIFS(T_StockCount[Part Name],$A41,T_StockCount[WeekIndex],79)&gt;0,SUMIFS(T_StockCount[CountedQty],T_StockCount[Part Name],$A41,T_StockCount[WeekIndex],79),IF(('T_SelfStock'!CB45&lt;&gt;""),'T_SelfStock'!CB45,CA41-'Grid_Requirement'!CB41+'Grid_TTAFOutgoing'!CB41))</f>
        <v/>
      </c>
      <c r="CC41">
        <f>IF(COUNTIFS(T_StockCount[Part Name],$A41,T_StockCount[WeekIndex],80)&gt;0,SUMIFS(T_StockCount[CountedQty],T_StockCount[Part Name],$A41,T_StockCount[WeekIndex],80),IF(('T_SelfStock'!CC45&lt;&gt;""),'T_SelfStock'!CC45,CB41-'Grid_Requirement'!CC41+'Grid_TTAFOutgoing'!CC41))</f>
        <v/>
      </c>
      <c r="CD41">
        <f>IF(COUNTIFS(T_StockCount[Part Name],$A41,T_StockCount[WeekIndex],81)&gt;0,SUMIFS(T_StockCount[CountedQty],T_StockCount[Part Name],$A41,T_StockCount[WeekIndex],81),IF(('T_SelfStock'!CD45&lt;&gt;""),'T_SelfStock'!CD45,CC41-'Grid_Requirement'!CD41+'Grid_TTAFOutgoing'!CD41))</f>
        <v/>
      </c>
      <c r="CE41">
        <f>IF(COUNTIFS(T_StockCount[Part Name],$A41,T_StockCount[WeekIndex],82)&gt;0,SUMIFS(T_StockCount[CountedQty],T_StockCount[Part Name],$A41,T_StockCount[WeekIndex],82),IF(('T_SelfStock'!CE45&lt;&gt;""),'T_SelfStock'!CE45,CD41-'Grid_Requirement'!CE41+'Grid_TTAFOutgoing'!CE41))</f>
        <v/>
      </c>
      <c r="CF41">
        <f>IF(COUNTIFS(T_StockCount[Part Name],$A41,T_StockCount[WeekIndex],83)&gt;0,SUMIFS(T_StockCount[CountedQty],T_StockCount[Part Name],$A41,T_StockCount[WeekIndex],83),IF(('T_SelfStock'!CF45&lt;&gt;""),'T_SelfStock'!CF45,CE41-'Grid_Requirement'!CF41+'Grid_TTAFOutgoing'!CF41))</f>
        <v/>
      </c>
      <c r="CG41">
        <f>IF(COUNTIFS(T_StockCount[Part Name],$A41,T_StockCount[WeekIndex],84)&gt;0,SUMIFS(T_StockCount[CountedQty],T_StockCount[Part Name],$A41,T_StockCount[WeekIndex],84),IF(('T_SelfStock'!CG45&lt;&gt;""),'T_SelfStock'!CG45,CF41-'Grid_Requirement'!CG41+'Grid_TTAFOutgoing'!CG41))</f>
        <v/>
      </c>
      <c r="CH41">
        <f>IF(COUNTIFS(T_StockCount[Part Name],$A41,T_StockCount[WeekIndex],85)&gt;0,SUMIFS(T_StockCount[CountedQty],T_StockCount[Part Name],$A41,T_StockCount[WeekIndex],85),IF(('T_SelfStock'!CH45&lt;&gt;""),'T_SelfStock'!CH45,CG41-'Grid_Requirement'!CH41+'Grid_TTAFOutgoing'!CH41))</f>
        <v/>
      </c>
      <c r="CI41">
        <f>IF(COUNTIFS(T_StockCount[Part Name],$A41,T_StockCount[WeekIndex],86)&gt;0,SUMIFS(T_StockCount[CountedQty],T_StockCount[Part Name],$A41,T_StockCount[WeekIndex],86),IF(('T_SelfStock'!CI45&lt;&gt;""),'T_SelfStock'!CI45,CH41-'Grid_Requirement'!CI41+'Grid_TTAFOutgoing'!CI41))</f>
        <v/>
      </c>
      <c r="CJ41">
        <f>IF(COUNTIFS(T_StockCount[Part Name],$A41,T_StockCount[WeekIndex],87)&gt;0,SUMIFS(T_StockCount[CountedQty],T_StockCount[Part Name],$A41,T_StockCount[WeekIndex],87),IF(('T_SelfStock'!CJ45&lt;&gt;""),'T_SelfStock'!CJ45,CI41-'Grid_Requirement'!CJ41+'Grid_TTAFOutgoing'!CJ41))</f>
        <v/>
      </c>
      <c r="CK41">
        <f>IF(COUNTIFS(T_StockCount[Part Name],$A41,T_StockCount[WeekIndex],88)&gt;0,SUMIFS(T_StockCount[CountedQty],T_StockCount[Part Name],$A41,T_StockCount[WeekIndex],88),IF(('T_SelfStock'!CK45&lt;&gt;""),'T_SelfStock'!CK45,CJ41-'Grid_Requirement'!CK41+'Grid_TTAFOutgoing'!CK41))</f>
        <v/>
      </c>
      <c r="CL41">
        <f>IF(COUNTIFS(T_StockCount[Part Name],$A41,T_StockCount[WeekIndex],89)&gt;0,SUMIFS(T_StockCount[CountedQty],T_StockCount[Part Name],$A41,T_StockCount[WeekIndex],89),IF(('T_SelfStock'!CL45&lt;&gt;""),'T_SelfStock'!CL45,CK41-'Grid_Requirement'!CL41+'Grid_TTAFOutgoing'!CL41))</f>
        <v/>
      </c>
      <c r="CM41">
        <f>IF(COUNTIFS(T_StockCount[Part Name],$A41,T_StockCount[WeekIndex],90)&gt;0,SUMIFS(T_StockCount[CountedQty],T_StockCount[Part Name],$A41,T_StockCount[WeekIndex],90),IF(('T_SelfStock'!CM45&lt;&gt;""),'T_SelfStock'!CM45,CL41-'Grid_Requirement'!CM41+'Grid_TTAFOutgoing'!CM41))</f>
        <v/>
      </c>
      <c r="CN41">
        <f>IF(COUNTIFS(T_StockCount[Part Name],$A41,T_StockCount[WeekIndex],91)&gt;0,SUMIFS(T_StockCount[CountedQty],T_StockCount[Part Name],$A41,T_StockCount[WeekIndex],91),IF(('T_SelfStock'!CN45&lt;&gt;""),'T_SelfStock'!CN45,CM41-'Grid_Requirement'!CN41+'Grid_TTAFOutgoing'!CN41))</f>
        <v/>
      </c>
      <c r="CO41">
        <f>IF(COUNTIFS(T_StockCount[Part Name],$A41,T_StockCount[WeekIndex],92)&gt;0,SUMIFS(T_StockCount[CountedQty],T_StockCount[Part Name],$A41,T_StockCount[WeekIndex],92),IF(('T_SelfStock'!CO45&lt;&gt;""),'T_SelfStock'!CO45,CN41-'Grid_Requirement'!CO41+'Grid_TTAFOutgoing'!CO41))</f>
        <v/>
      </c>
      <c r="CP41">
        <f>IF(COUNTIFS(T_StockCount[Part Name],$A41,T_StockCount[WeekIndex],93)&gt;0,SUMIFS(T_StockCount[CountedQty],T_StockCount[Part Name],$A41,T_StockCount[WeekIndex],93),IF(('T_SelfStock'!CP45&lt;&gt;""),'T_SelfStock'!CP45,CO41-'Grid_Requirement'!CP41+'Grid_TTAFOutgoing'!CP41))</f>
        <v/>
      </c>
      <c r="CQ41">
        <f>IF(COUNTIFS(T_StockCount[Part Name],$A41,T_StockCount[WeekIndex],94)&gt;0,SUMIFS(T_StockCount[CountedQty],T_StockCount[Part Name],$A41,T_StockCount[WeekIndex],94),IF(('T_SelfStock'!CQ45&lt;&gt;""),'T_SelfStock'!CQ45,CP41-'Grid_Requirement'!CQ41+'Grid_TTAFOutgoing'!CQ41))</f>
        <v/>
      </c>
      <c r="CR41">
        <f>IF(COUNTIFS(T_StockCount[Part Name],$A41,T_StockCount[WeekIndex],95)&gt;0,SUMIFS(T_StockCount[CountedQty],T_StockCount[Part Name],$A41,T_StockCount[WeekIndex],95),IF(('T_SelfStock'!CR45&lt;&gt;""),'T_SelfStock'!CR45,CQ41-'Grid_Requirement'!CR41+'Grid_TTAFOutgoing'!CR41))</f>
        <v/>
      </c>
      <c r="CS41">
        <f>IF(COUNTIFS(T_StockCount[Part Name],$A41,T_StockCount[WeekIndex],96)&gt;0,SUMIFS(T_StockCount[CountedQty],T_StockCount[Part Name],$A41,T_StockCount[WeekIndex],96),IF(('T_SelfStock'!CS45&lt;&gt;""),'T_SelfStock'!CS45,CR41-'Grid_Requirement'!CS41+'Grid_TTAFOutgoing'!CS41))</f>
        <v/>
      </c>
      <c r="CT41">
        <f>IF(COUNTIFS(T_StockCount[Part Name],$A41,T_StockCount[WeekIndex],97)&gt;0,SUMIFS(T_StockCount[CountedQty],T_StockCount[Part Name],$A41,T_StockCount[WeekIndex],97),IF(('T_SelfStock'!CT45&lt;&gt;""),'T_SelfStock'!CT45,CS41-'Grid_Requirement'!CT41+'Grid_TTAFOutgoing'!CT41))</f>
        <v/>
      </c>
      <c r="CU41">
        <f>IF(COUNTIFS(T_StockCount[Part Name],$A41,T_StockCount[WeekIndex],98)&gt;0,SUMIFS(T_StockCount[CountedQty],T_StockCount[Part Name],$A41,T_StockCount[WeekIndex],98),IF(('T_SelfStock'!CU45&lt;&gt;""),'T_SelfStock'!CU45,CT41-'Grid_Requirement'!CU41+'Grid_TTAFOutgoing'!CU41))</f>
        <v/>
      </c>
      <c r="CV41">
        <f>IF(COUNTIFS(T_StockCount[Part Name],$A41,T_StockCount[WeekIndex],99)&gt;0,SUMIFS(T_StockCount[CountedQty],T_StockCount[Part Name],$A41,T_StockCount[WeekIndex],99),IF(('T_SelfStock'!CV45&lt;&gt;""),'T_SelfStock'!CV45,CU41-'Grid_Requirement'!CV41+'Grid_TTAFOutgoing'!CV41))</f>
        <v/>
      </c>
      <c r="CW41">
        <f>IF(COUNTIFS(T_StockCount[Part Name],$A41,T_StockCount[WeekIndex],100)&gt;0,SUMIFS(T_StockCount[CountedQty],T_StockCount[Part Name],$A41,T_StockCount[WeekIndex],100),IF(('T_SelfStock'!CW45&lt;&gt;""),'T_SelfStock'!CW45,CV41-'Grid_Requirement'!CW41+'Grid_TTAFOutgoing'!CW41))</f>
        <v/>
      </c>
      <c r="CX41">
        <f>IF(COUNTIFS(T_StockCount[Part Name],$A41,T_StockCount[WeekIndex],101)&gt;0,SUMIFS(T_StockCount[CountedQty],T_StockCount[Part Name],$A41,T_StockCount[WeekIndex],101),IF(('T_SelfStock'!CX45&lt;&gt;""),'T_SelfStock'!CX45,CW41-'Grid_Requirement'!CX41+'Grid_TTAFOutgoing'!CX41))</f>
        <v/>
      </c>
      <c r="CY41">
        <f>IF(COUNTIFS(T_StockCount[Part Name],$A41,T_StockCount[WeekIndex],102)&gt;0,SUMIFS(T_StockCount[CountedQty],T_StockCount[Part Name],$A41,T_StockCount[WeekIndex],102),IF(('T_SelfStock'!CY45&lt;&gt;""),'T_SelfStock'!CY45,CX41-'Grid_Requirement'!CY41+'Grid_TTAFOutgoing'!CY41))</f>
        <v/>
      </c>
      <c r="CZ41">
        <f>IF(COUNTIFS(T_StockCount[Part Name],$A41,T_StockCount[WeekIndex],103)&gt;0,SUMIFS(T_StockCount[CountedQty],T_StockCount[Part Name],$A41,T_StockCount[WeekIndex],103),IF(('T_SelfStock'!CZ45&lt;&gt;""),'T_SelfStock'!CZ45,CY41-'Grid_Requirement'!CZ41+'Grid_TTAFOutgoing'!CZ41))</f>
        <v/>
      </c>
      <c r="DA41">
        <f>IF(COUNTIFS(T_StockCount[Part Name],$A41,T_StockCount[WeekIndex],104)&gt;0,SUMIFS(T_StockCount[CountedQty],T_StockCount[Part Name],$A41,T_StockCount[WeekIndex],104),IF(('T_SelfStock'!DA45&lt;&gt;""),'T_SelfStock'!DA45,CZ41-'Grid_Requirement'!DA41+'Grid_TTAFOutgoing'!DA41))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Name],$A42,T_StockCount[WeekIndex],1),IF(('T_SelfStock'!B46&lt;&gt;""),'T_SelfStock'!B46,IFERROR(INDEX(T_OpeningStock[Opening_Qty],MATCH($A42,T_OpeningStock[Part Name],0)),0)-'Grid_Requirement'!B42+'Grid_TTAFOutgoing'!B42))</f>
        <v/>
      </c>
      <c r="C42">
        <f>IF(COUNTIFS(T_StockCount[Part Name],$A42,T_StockCount[WeekIndex],2)&gt;0,SUMIFS(T_StockCount[CountedQty],T_StockCount[Part Name],$A42,T_StockCount[WeekIndex],2),IF(('T_SelfStock'!C46&lt;&gt;""),'T_SelfStock'!C46,B42-'Grid_Requirement'!C42+'Grid_TTAFOutgoing'!C42))</f>
        <v/>
      </c>
      <c r="D42">
        <f>IF(COUNTIFS(T_StockCount[Part Name],$A42,T_StockCount[WeekIndex],3)&gt;0,SUMIFS(T_StockCount[CountedQty],T_StockCount[Part Name],$A42,T_StockCount[WeekIndex],3),IF(('T_SelfStock'!D46&lt;&gt;""),'T_SelfStock'!D46,C42-'Grid_Requirement'!D42+'Grid_TTAFOutgoing'!D42))</f>
        <v/>
      </c>
      <c r="E42">
        <f>IF(COUNTIFS(T_StockCount[Part Name],$A42,T_StockCount[WeekIndex],4)&gt;0,SUMIFS(T_StockCount[CountedQty],T_StockCount[Part Name],$A42,T_StockCount[WeekIndex],4),IF(('T_SelfStock'!E46&lt;&gt;""),'T_SelfStock'!E46,D42-'Grid_Requirement'!E42+'Grid_TTAFOutgoing'!E42))</f>
        <v/>
      </c>
      <c r="F42">
        <f>IF(COUNTIFS(T_StockCount[Part Name],$A42,T_StockCount[WeekIndex],5)&gt;0,SUMIFS(T_StockCount[CountedQty],T_StockCount[Part Name],$A42,T_StockCount[WeekIndex],5),IF(('T_SelfStock'!F46&lt;&gt;""),'T_SelfStock'!F46,E42-'Grid_Requirement'!F42+'Grid_TTAFOutgoing'!F42))</f>
        <v/>
      </c>
      <c r="G42">
        <f>IF(COUNTIFS(T_StockCount[Part Name],$A42,T_StockCount[WeekIndex],6)&gt;0,SUMIFS(T_StockCount[CountedQty],T_StockCount[Part Name],$A42,T_StockCount[WeekIndex],6),IF(('T_SelfStock'!G46&lt;&gt;""),'T_SelfStock'!G46,F42-'Grid_Requirement'!G42+'Grid_TTAFOutgoing'!G42))</f>
        <v/>
      </c>
      <c r="H42">
        <f>IF(COUNTIFS(T_StockCount[Part Name],$A42,T_StockCount[WeekIndex],7)&gt;0,SUMIFS(T_StockCount[CountedQty],T_StockCount[Part Name],$A42,T_StockCount[WeekIndex],7),IF(('T_SelfStock'!H46&lt;&gt;""),'T_SelfStock'!H46,G42-'Grid_Requirement'!H42+'Grid_TTAFOutgoing'!H42))</f>
        <v/>
      </c>
      <c r="I42">
        <f>IF(COUNTIFS(T_StockCount[Part Name],$A42,T_StockCount[WeekIndex],8)&gt;0,SUMIFS(T_StockCount[CountedQty],T_StockCount[Part Name],$A42,T_StockCount[WeekIndex],8),IF(('T_SelfStock'!I46&lt;&gt;""),'T_SelfStock'!I46,H42-'Grid_Requirement'!I42+'Grid_TTAFOutgoing'!I42))</f>
        <v/>
      </c>
      <c r="J42">
        <f>IF(COUNTIFS(T_StockCount[Part Name],$A42,T_StockCount[WeekIndex],9)&gt;0,SUMIFS(T_StockCount[CountedQty],T_StockCount[Part Name],$A42,T_StockCount[WeekIndex],9),IF(('T_SelfStock'!J46&lt;&gt;""),'T_SelfStock'!J46,I42-'Grid_Requirement'!J42+'Grid_TTAFOutgoing'!J42))</f>
        <v/>
      </c>
      <c r="K42">
        <f>IF(COUNTIFS(T_StockCount[Part Name],$A42,T_StockCount[WeekIndex],10)&gt;0,SUMIFS(T_StockCount[CountedQty],T_StockCount[Part Name],$A42,T_StockCount[WeekIndex],10),IF(('T_SelfStock'!K46&lt;&gt;""),'T_SelfStock'!K46,J42-'Grid_Requirement'!K42+'Grid_TTAFOutgoing'!K42))</f>
        <v/>
      </c>
      <c r="L42">
        <f>IF(COUNTIFS(T_StockCount[Part Name],$A42,T_StockCount[WeekIndex],11)&gt;0,SUMIFS(T_StockCount[CountedQty],T_StockCount[Part Name],$A42,T_StockCount[WeekIndex],11),IF(('T_SelfStock'!L46&lt;&gt;""),'T_SelfStock'!L46,K42-'Grid_Requirement'!L42+'Grid_TTAFOutgoing'!L42))</f>
        <v/>
      </c>
      <c r="M42">
        <f>IF(COUNTIFS(T_StockCount[Part Name],$A42,T_StockCount[WeekIndex],12)&gt;0,SUMIFS(T_StockCount[CountedQty],T_StockCount[Part Name],$A42,T_StockCount[WeekIndex],12),IF(('T_SelfStock'!M46&lt;&gt;""),'T_SelfStock'!M46,L42-'Grid_Requirement'!M42+'Grid_TTAFOutgoing'!M42))</f>
        <v/>
      </c>
      <c r="N42">
        <f>IF(COUNTIFS(T_StockCount[Part Name],$A42,T_StockCount[WeekIndex],13)&gt;0,SUMIFS(T_StockCount[CountedQty],T_StockCount[Part Name],$A42,T_StockCount[WeekIndex],13),IF(('T_SelfStock'!N46&lt;&gt;""),'T_SelfStock'!N46,M42-'Grid_Requirement'!N42+'Grid_TTAFOutgoing'!N42))</f>
        <v/>
      </c>
      <c r="O42">
        <f>IF(COUNTIFS(T_StockCount[Part Name],$A42,T_StockCount[WeekIndex],14)&gt;0,SUMIFS(T_StockCount[CountedQty],T_StockCount[Part Name],$A42,T_StockCount[WeekIndex],14),IF(('T_SelfStock'!O46&lt;&gt;""),'T_SelfStock'!O46,N42-'Grid_Requirement'!O42+'Grid_TTAFOutgoing'!O42))</f>
        <v/>
      </c>
      <c r="P42">
        <f>IF(COUNTIFS(T_StockCount[Part Name],$A42,T_StockCount[WeekIndex],15)&gt;0,SUMIFS(T_StockCount[CountedQty],T_StockCount[Part Name],$A42,T_StockCount[WeekIndex],15),IF(('T_SelfStock'!P46&lt;&gt;""),'T_SelfStock'!P46,O42-'Grid_Requirement'!P42+'Grid_TTAFOutgoing'!P42))</f>
        <v/>
      </c>
      <c r="Q42">
        <f>IF(COUNTIFS(T_StockCount[Part Name],$A42,T_StockCount[WeekIndex],16)&gt;0,SUMIFS(T_StockCount[CountedQty],T_StockCount[Part Name],$A42,T_StockCount[WeekIndex],16),IF(('T_SelfStock'!Q46&lt;&gt;""),'T_SelfStock'!Q46,P42-'Grid_Requirement'!Q42+'Grid_TTAFOutgoing'!Q42))</f>
        <v/>
      </c>
      <c r="R42">
        <f>IF(COUNTIFS(T_StockCount[Part Name],$A42,T_StockCount[WeekIndex],17)&gt;0,SUMIFS(T_StockCount[CountedQty],T_StockCount[Part Name],$A42,T_StockCount[WeekIndex],17),IF(('T_SelfStock'!R46&lt;&gt;""),'T_SelfStock'!R46,Q42-'Grid_Requirement'!R42+'Grid_TTAFOutgoing'!R42))</f>
        <v/>
      </c>
      <c r="S42">
        <f>IF(COUNTIFS(T_StockCount[Part Name],$A42,T_StockCount[WeekIndex],18)&gt;0,SUMIFS(T_StockCount[CountedQty],T_StockCount[Part Name],$A42,T_StockCount[WeekIndex],18),IF(('T_SelfStock'!S46&lt;&gt;""),'T_SelfStock'!S46,R42-'Grid_Requirement'!S42+'Grid_TTAFOutgoing'!S42))</f>
        <v/>
      </c>
      <c r="T42">
        <f>IF(COUNTIFS(T_StockCount[Part Name],$A42,T_StockCount[WeekIndex],19)&gt;0,SUMIFS(T_StockCount[CountedQty],T_StockCount[Part Name],$A42,T_StockCount[WeekIndex],19),IF(('T_SelfStock'!T46&lt;&gt;""),'T_SelfStock'!T46,S42-'Grid_Requirement'!T42+'Grid_TTAFOutgoing'!T42))</f>
        <v/>
      </c>
      <c r="U42">
        <f>IF(COUNTIFS(T_StockCount[Part Name],$A42,T_StockCount[WeekIndex],20)&gt;0,SUMIFS(T_StockCount[CountedQty],T_StockCount[Part Name],$A42,T_StockCount[WeekIndex],20),IF(('T_SelfStock'!U46&lt;&gt;""),'T_SelfStock'!U46,T42-'Grid_Requirement'!U42+'Grid_TTAFOutgoing'!U42))</f>
        <v/>
      </c>
      <c r="V42">
        <f>IF(COUNTIFS(T_StockCount[Part Name],$A42,T_StockCount[WeekIndex],21)&gt;0,SUMIFS(T_StockCount[CountedQty],T_StockCount[Part Name],$A42,T_StockCount[WeekIndex],21),IF(('T_SelfStock'!V46&lt;&gt;""),'T_SelfStock'!V46,U42-'Grid_Requirement'!V42+'Grid_TTAFOutgoing'!V42))</f>
        <v/>
      </c>
      <c r="W42">
        <f>IF(COUNTIFS(T_StockCount[Part Name],$A42,T_StockCount[WeekIndex],22)&gt;0,SUMIFS(T_StockCount[CountedQty],T_StockCount[Part Name],$A42,T_StockCount[WeekIndex],22),IF(('T_SelfStock'!W46&lt;&gt;""),'T_SelfStock'!W46,V42-'Grid_Requirement'!W42+'Grid_TTAFOutgoing'!W42))</f>
        <v/>
      </c>
      <c r="X42">
        <f>IF(COUNTIFS(T_StockCount[Part Name],$A42,T_StockCount[WeekIndex],23)&gt;0,SUMIFS(T_StockCount[CountedQty],T_StockCount[Part Name],$A42,T_StockCount[WeekIndex],23),IF(('T_SelfStock'!X46&lt;&gt;""),'T_SelfStock'!X46,W42-'Grid_Requirement'!X42+'Grid_TTAFOutgoing'!X42))</f>
        <v/>
      </c>
      <c r="Y42">
        <f>IF(COUNTIFS(T_StockCount[Part Name],$A42,T_StockCount[WeekIndex],24)&gt;0,SUMIFS(T_StockCount[CountedQty],T_StockCount[Part Name],$A42,T_StockCount[WeekIndex],24),IF(('T_SelfStock'!Y46&lt;&gt;""),'T_SelfStock'!Y46,X42-'Grid_Requirement'!Y42+'Grid_TTAFOutgoing'!Y42))</f>
        <v/>
      </c>
      <c r="Z42">
        <f>IF(COUNTIFS(T_StockCount[Part Name],$A42,T_StockCount[WeekIndex],25)&gt;0,SUMIFS(T_StockCount[CountedQty],T_StockCount[Part Name],$A42,T_StockCount[WeekIndex],25),IF(('T_SelfStock'!Z46&lt;&gt;""),'T_SelfStock'!Z46,Y42-'Grid_Requirement'!Z42+'Grid_TTAFOutgoing'!Z42))</f>
        <v/>
      </c>
      <c r="AA42">
        <f>IF(COUNTIFS(T_StockCount[Part Name],$A42,T_StockCount[WeekIndex],26)&gt;0,SUMIFS(T_StockCount[CountedQty],T_StockCount[Part Name],$A42,T_StockCount[WeekIndex],26),IF(('T_SelfStock'!AA46&lt;&gt;""),'T_SelfStock'!AA46,Z42-'Grid_Requirement'!AA42+'Grid_TTAFOutgoing'!AA42))</f>
        <v/>
      </c>
      <c r="AB42">
        <f>IF(COUNTIFS(T_StockCount[Part Name],$A42,T_StockCount[WeekIndex],27)&gt;0,SUMIFS(T_StockCount[CountedQty],T_StockCount[Part Name],$A42,T_StockCount[WeekIndex],27),IF(('T_SelfStock'!AB46&lt;&gt;""),'T_SelfStock'!AB46,AA42-'Grid_Requirement'!AB42+'Grid_TTAFOutgoing'!AB42))</f>
        <v/>
      </c>
      <c r="AC42">
        <f>IF(COUNTIFS(T_StockCount[Part Name],$A42,T_StockCount[WeekIndex],28)&gt;0,SUMIFS(T_StockCount[CountedQty],T_StockCount[Part Name],$A42,T_StockCount[WeekIndex],28),IF(('T_SelfStock'!AC46&lt;&gt;""),'T_SelfStock'!AC46,AB42-'Grid_Requirement'!AC42+'Grid_TTAFOutgoing'!AC42))</f>
        <v/>
      </c>
      <c r="AD42">
        <f>IF(COUNTIFS(T_StockCount[Part Name],$A42,T_StockCount[WeekIndex],29)&gt;0,SUMIFS(T_StockCount[CountedQty],T_StockCount[Part Name],$A42,T_StockCount[WeekIndex],29),IF(('T_SelfStock'!AD46&lt;&gt;""),'T_SelfStock'!AD46,AC42-'Grid_Requirement'!AD42+'Grid_TTAFOutgoing'!AD42))</f>
        <v/>
      </c>
      <c r="AE42">
        <f>IF(COUNTIFS(T_StockCount[Part Name],$A42,T_StockCount[WeekIndex],30)&gt;0,SUMIFS(T_StockCount[CountedQty],T_StockCount[Part Name],$A42,T_StockCount[WeekIndex],30),IF(('T_SelfStock'!AE46&lt;&gt;""),'T_SelfStock'!AE46,AD42-'Grid_Requirement'!AE42+'Grid_TTAFOutgoing'!AE42))</f>
        <v/>
      </c>
      <c r="AF42">
        <f>IF(COUNTIFS(T_StockCount[Part Name],$A42,T_StockCount[WeekIndex],31)&gt;0,SUMIFS(T_StockCount[CountedQty],T_StockCount[Part Name],$A42,T_StockCount[WeekIndex],31),IF(('T_SelfStock'!AF46&lt;&gt;""),'T_SelfStock'!AF46,AE42-'Grid_Requirement'!AF42+'Grid_TTAFOutgoing'!AF42))</f>
        <v/>
      </c>
      <c r="AG42">
        <f>IF(COUNTIFS(T_StockCount[Part Name],$A42,T_StockCount[WeekIndex],32)&gt;0,SUMIFS(T_StockCount[CountedQty],T_StockCount[Part Name],$A42,T_StockCount[WeekIndex],32),IF(('T_SelfStock'!AG46&lt;&gt;""),'T_SelfStock'!AG46,AF42-'Grid_Requirement'!AG42+'Grid_TTAFOutgoing'!AG42))</f>
        <v/>
      </c>
      <c r="AH42">
        <f>IF(COUNTIFS(T_StockCount[Part Name],$A42,T_StockCount[WeekIndex],33)&gt;0,SUMIFS(T_StockCount[CountedQty],T_StockCount[Part Name],$A42,T_StockCount[WeekIndex],33),IF(('T_SelfStock'!AH46&lt;&gt;""),'T_SelfStock'!AH46,AG42-'Grid_Requirement'!AH42+'Grid_TTAFOutgoing'!AH42))</f>
        <v/>
      </c>
      <c r="AI42">
        <f>IF(COUNTIFS(T_StockCount[Part Name],$A42,T_StockCount[WeekIndex],34)&gt;0,SUMIFS(T_StockCount[CountedQty],T_StockCount[Part Name],$A42,T_StockCount[WeekIndex],34),IF(('T_SelfStock'!AI46&lt;&gt;""),'T_SelfStock'!AI46,AH42-'Grid_Requirement'!AI42+'Grid_TTAFOutgoing'!AI42))</f>
        <v/>
      </c>
      <c r="AJ42">
        <f>IF(COUNTIFS(T_StockCount[Part Name],$A42,T_StockCount[WeekIndex],35)&gt;0,SUMIFS(T_StockCount[CountedQty],T_StockCount[Part Name],$A42,T_StockCount[WeekIndex],35),IF(('T_SelfStock'!AJ46&lt;&gt;""),'T_SelfStock'!AJ46,AI42-'Grid_Requirement'!AJ42+'Grid_TTAFOutgoing'!AJ42))</f>
        <v/>
      </c>
      <c r="AK42">
        <f>IF(COUNTIFS(T_StockCount[Part Name],$A42,T_StockCount[WeekIndex],36)&gt;0,SUMIFS(T_StockCount[CountedQty],T_StockCount[Part Name],$A42,T_StockCount[WeekIndex],36),IF(('T_SelfStock'!AK46&lt;&gt;""),'T_SelfStock'!AK46,AJ42-'Grid_Requirement'!AK42+'Grid_TTAFOutgoing'!AK42))</f>
        <v/>
      </c>
      <c r="AL42">
        <f>IF(COUNTIFS(T_StockCount[Part Name],$A42,T_StockCount[WeekIndex],37)&gt;0,SUMIFS(T_StockCount[CountedQty],T_StockCount[Part Name],$A42,T_StockCount[WeekIndex],37),IF(('T_SelfStock'!AL46&lt;&gt;""),'T_SelfStock'!AL46,AK42-'Grid_Requirement'!AL42+'Grid_TTAFOutgoing'!AL42))</f>
        <v/>
      </c>
      <c r="AM42">
        <f>IF(COUNTIFS(T_StockCount[Part Name],$A42,T_StockCount[WeekIndex],38)&gt;0,SUMIFS(T_StockCount[CountedQty],T_StockCount[Part Name],$A42,T_StockCount[WeekIndex],38),IF(('T_SelfStock'!AM46&lt;&gt;""),'T_SelfStock'!AM46,AL42-'Grid_Requirement'!AM42+'Grid_TTAFOutgoing'!AM42))</f>
        <v/>
      </c>
      <c r="AN42">
        <f>IF(COUNTIFS(T_StockCount[Part Name],$A42,T_StockCount[WeekIndex],39)&gt;0,SUMIFS(T_StockCount[CountedQty],T_StockCount[Part Name],$A42,T_StockCount[WeekIndex],39),IF(('T_SelfStock'!AN46&lt;&gt;""),'T_SelfStock'!AN46,AM42-'Grid_Requirement'!AN42+'Grid_TTAFOutgoing'!AN42))</f>
        <v/>
      </c>
      <c r="AO42">
        <f>IF(COUNTIFS(T_StockCount[Part Name],$A42,T_StockCount[WeekIndex],40)&gt;0,SUMIFS(T_StockCount[CountedQty],T_StockCount[Part Name],$A42,T_StockCount[WeekIndex],40),IF(('T_SelfStock'!AO46&lt;&gt;""),'T_SelfStock'!AO46,AN42-'Grid_Requirement'!AO42+'Grid_TTAFOutgoing'!AO42))</f>
        <v/>
      </c>
      <c r="AP42">
        <f>IF(COUNTIFS(T_StockCount[Part Name],$A42,T_StockCount[WeekIndex],41)&gt;0,SUMIFS(T_StockCount[CountedQty],T_StockCount[Part Name],$A42,T_StockCount[WeekIndex],41),IF(('T_SelfStock'!AP46&lt;&gt;""),'T_SelfStock'!AP46,AO42-'Grid_Requirement'!AP42+'Grid_TTAFOutgoing'!AP42))</f>
        <v/>
      </c>
      <c r="AQ42">
        <f>IF(COUNTIFS(T_StockCount[Part Name],$A42,T_StockCount[WeekIndex],42)&gt;0,SUMIFS(T_StockCount[CountedQty],T_StockCount[Part Name],$A42,T_StockCount[WeekIndex],42),IF(('T_SelfStock'!AQ46&lt;&gt;""),'T_SelfStock'!AQ46,AP42-'Grid_Requirement'!AQ42+'Grid_TTAFOutgoing'!AQ42))</f>
        <v/>
      </c>
      <c r="AR42">
        <f>IF(COUNTIFS(T_StockCount[Part Name],$A42,T_StockCount[WeekIndex],43)&gt;0,SUMIFS(T_StockCount[CountedQty],T_StockCount[Part Name],$A42,T_StockCount[WeekIndex],43),IF(('T_SelfStock'!AR46&lt;&gt;""),'T_SelfStock'!AR46,AQ42-'Grid_Requirement'!AR42+'Grid_TTAFOutgoing'!AR42))</f>
        <v/>
      </c>
      <c r="AS42">
        <f>IF(COUNTIFS(T_StockCount[Part Name],$A42,T_StockCount[WeekIndex],44)&gt;0,SUMIFS(T_StockCount[CountedQty],T_StockCount[Part Name],$A42,T_StockCount[WeekIndex],44),IF(('T_SelfStock'!AS46&lt;&gt;""),'T_SelfStock'!AS46,AR42-'Grid_Requirement'!AS42+'Grid_TTAFOutgoing'!AS42))</f>
        <v/>
      </c>
      <c r="AT42">
        <f>IF(COUNTIFS(T_StockCount[Part Name],$A42,T_StockCount[WeekIndex],45)&gt;0,SUMIFS(T_StockCount[CountedQty],T_StockCount[Part Name],$A42,T_StockCount[WeekIndex],45),IF(('T_SelfStock'!AT46&lt;&gt;""),'T_SelfStock'!AT46,AS42-'Grid_Requirement'!AT42+'Grid_TTAFOutgoing'!AT42))</f>
        <v/>
      </c>
      <c r="AU42">
        <f>IF(COUNTIFS(T_StockCount[Part Name],$A42,T_StockCount[WeekIndex],46)&gt;0,SUMIFS(T_StockCount[CountedQty],T_StockCount[Part Name],$A42,T_StockCount[WeekIndex],46),IF(('T_SelfStock'!AU46&lt;&gt;""),'T_SelfStock'!AU46,AT42-'Grid_Requirement'!AU42+'Grid_TTAFOutgoing'!AU42))</f>
        <v/>
      </c>
      <c r="AV42">
        <f>IF(COUNTIFS(T_StockCount[Part Name],$A42,T_StockCount[WeekIndex],47)&gt;0,SUMIFS(T_StockCount[CountedQty],T_StockCount[Part Name],$A42,T_StockCount[WeekIndex],47),IF(('T_SelfStock'!AV46&lt;&gt;""),'T_SelfStock'!AV46,AU42-'Grid_Requirement'!AV42+'Grid_TTAFOutgoing'!AV42))</f>
        <v/>
      </c>
      <c r="AW42">
        <f>IF(COUNTIFS(T_StockCount[Part Name],$A42,T_StockCount[WeekIndex],48)&gt;0,SUMIFS(T_StockCount[CountedQty],T_StockCount[Part Name],$A42,T_StockCount[WeekIndex],48),IF(('T_SelfStock'!AW46&lt;&gt;""),'T_SelfStock'!AW46,AV42-'Grid_Requirement'!AW42+'Grid_TTAFOutgoing'!AW42))</f>
        <v/>
      </c>
      <c r="AX42">
        <f>IF(COUNTIFS(T_StockCount[Part Name],$A42,T_StockCount[WeekIndex],49)&gt;0,SUMIFS(T_StockCount[CountedQty],T_StockCount[Part Name],$A42,T_StockCount[WeekIndex],49),IF(('T_SelfStock'!AX46&lt;&gt;""),'T_SelfStock'!AX46,AW42-'Grid_Requirement'!AX42+'Grid_TTAFOutgoing'!AX42))</f>
        <v/>
      </c>
      <c r="AY42">
        <f>IF(COUNTIFS(T_StockCount[Part Name],$A42,T_StockCount[WeekIndex],50)&gt;0,SUMIFS(T_StockCount[CountedQty],T_StockCount[Part Name],$A42,T_StockCount[WeekIndex],50),IF(('T_SelfStock'!AY46&lt;&gt;""),'T_SelfStock'!AY46,AX42-'Grid_Requirement'!AY42+'Grid_TTAFOutgoing'!AY42))</f>
        <v/>
      </c>
      <c r="AZ42">
        <f>IF(COUNTIFS(T_StockCount[Part Name],$A42,T_StockCount[WeekIndex],51)&gt;0,SUMIFS(T_StockCount[CountedQty],T_StockCount[Part Name],$A42,T_StockCount[WeekIndex],51),IF(('T_SelfStock'!AZ46&lt;&gt;""),'T_SelfStock'!AZ46,AY42-'Grid_Requirement'!AZ42+'Grid_TTAFOutgoing'!AZ42))</f>
        <v/>
      </c>
      <c r="BA42">
        <f>IF(COUNTIFS(T_StockCount[Part Name],$A42,T_StockCount[WeekIndex],52)&gt;0,SUMIFS(T_StockCount[CountedQty],T_StockCount[Part Name],$A42,T_StockCount[WeekIndex],52),IF(('T_SelfStock'!BA46&lt;&gt;""),'T_SelfStock'!BA46,AZ42-'Grid_Requirement'!BA42+'Grid_TTAFOutgoing'!BA42))</f>
        <v/>
      </c>
      <c r="BB42">
        <f>IF(COUNTIFS(T_StockCount[Part Name],$A42,T_StockCount[WeekIndex],53)&gt;0,SUMIFS(T_StockCount[CountedQty],T_StockCount[Part Name],$A42,T_StockCount[WeekIndex],53),IF(('T_SelfStock'!BB46&lt;&gt;""),'T_SelfStock'!BB46,BA42-'Grid_Requirement'!BB42+'Grid_TTAFOutgoing'!BB42))</f>
        <v/>
      </c>
      <c r="BC42">
        <f>IF(COUNTIFS(T_StockCount[Part Name],$A42,T_StockCount[WeekIndex],54)&gt;0,SUMIFS(T_StockCount[CountedQty],T_StockCount[Part Name],$A42,T_StockCount[WeekIndex],54),IF(('T_SelfStock'!BC46&lt;&gt;""),'T_SelfStock'!BC46,BB42-'Grid_Requirement'!BC42+'Grid_TTAFOutgoing'!BC42))</f>
        <v/>
      </c>
      <c r="BD42">
        <f>IF(COUNTIFS(T_StockCount[Part Name],$A42,T_StockCount[WeekIndex],55)&gt;0,SUMIFS(T_StockCount[CountedQty],T_StockCount[Part Name],$A42,T_StockCount[WeekIndex],55),IF(('T_SelfStock'!BD46&lt;&gt;""),'T_SelfStock'!BD46,BC42-'Grid_Requirement'!BD42+'Grid_TTAFOutgoing'!BD42))</f>
        <v/>
      </c>
      <c r="BE42">
        <f>IF(COUNTIFS(T_StockCount[Part Name],$A42,T_StockCount[WeekIndex],56)&gt;0,SUMIFS(T_StockCount[CountedQty],T_StockCount[Part Name],$A42,T_StockCount[WeekIndex],56),IF(('T_SelfStock'!BE46&lt;&gt;""),'T_SelfStock'!BE46,BD42-'Grid_Requirement'!BE42+'Grid_TTAFOutgoing'!BE42))</f>
        <v/>
      </c>
      <c r="BF42">
        <f>IF(COUNTIFS(T_StockCount[Part Name],$A42,T_StockCount[WeekIndex],57)&gt;0,SUMIFS(T_StockCount[CountedQty],T_StockCount[Part Name],$A42,T_StockCount[WeekIndex],57),IF(('T_SelfStock'!BF46&lt;&gt;""),'T_SelfStock'!BF46,BE42-'Grid_Requirement'!BF42+'Grid_TTAFOutgoing'!BF42))</f>
        <v/>
      </c>
      <c r="BG42">
        <f>IF(COUNTIFS(T_StockCount[Part Name],$A42,T_StockCount[WeekIndex],58)&gt;0,SUMIFS(T_StockCount[CountedQty],T_StockCount[Part Name],$A42,T_StockCount[WeekIndex],58),IF(('T_SelfStock'!BG46&lt;&gt;""),'T_SelfStock'!BG46,BF42-'Grid_Requirement'!BG42+'Grid_TTAFOutgoing'!BG42))</f>
        <v/>
      </c>
      <c r="BH42">
        <f>IF(COUNTIFS(T_StockCount[Part Name],$A42,T_StockCount[WeekIndex],59)&gt;0,SUMIFS(T_StockCount[CountedQty],T_StockCount[Part Name],$A42,T_StockCount[WeekIndex],59),IF(('T_SelfStock'!BH46&lt;&gt;""),'T_SelfStock'!BH46,BG42-'Grid_Requirement'!BH42+'Grid_TTAFOutgoing'!BH42))</f>
        <v/>
      </c>
      <c r="BI42">
        <f>IF(COUNTIFS(T_StockCount[Part Name],$A42,T_StockCount[WeekIndex],60)&gt;0,SUMIFS(T_StockCount[CountedQty],T_StockCount[Part Name],$A42,T_StockCount[WeekIndex],60),IF(('T_SelfStock'!BI46&lt;&gt;""),'T_SelfStock'!BI46,BH42-'Grid_Requirement'!BI42+'Grid_TTAFOutgoing'!BI42))</f>
        <v/>
      </c>
      <c r="BJ42">
        <f>IF(COUNTIFS(T_StockCount[Part Name],$A42,T_StockCount[WeekIndex],61)&gt;0,SUMIFS(T_StockCount[CountedQty],T_StockCount[Part Name],$A42,T_StockCount[WeekIndex],61),IF(('T_SelfStock'!BJ46&lt;&gt;""),'T_SelfStock'!BJ46,BI42-'Grid_Requirement'!BJ42+'Grid_TTAFOutgoing'!BJ42))</f>
        <v/>
      </c>
      <c r="BK42">
        <f>IF(COUNTIFS(T_StockCount[Part Name],$A42,T_StockCount[WeekIndex],62)&gt;0,SUMIFS(T_StockCount[CountedQty],T_StockCount[Part Name],$A42,T_StockCount[WeekIndex],62),IF(('T_SelfStock'!BK46&lt;&gt;""),'T_SelfStock'!BK46,BJ42-'Grid_Requirement'!BK42+'Grid_TTAFOutgoing'!BK42))</f>
        <v/>
      </c>
      <c r="BL42">
        <f>IF(COUNTIFS(T_StockCount[Part Name],$A42,T_StockCount[WeekIndex],63)&gt;0,SUMIFS(T_StockCount[CountedQty],T_StockCount[Part Name],$A42,T_StockCount[WeekIndex],63),IF(('T_SelfStock'!BL46&lt;&gt;""),'T_SelfStock'!BL46,BK42-'Grid_Requirement'!BL42+'Grid_TTAFOutgoing'!BL42))</f>
        <v/>
      </c>
      <c r="BM42">
        <f>IF(COUNTIFS(T_StockCount[Part Name],$A42,T_StockCount[WeekIndex],64)&gt;0,SUMIFS(T_StockCount[CountedQty],T_StockCount[Part Name],$A42,T_StockCount[WeekIndex],64),IF(('T_SelfStock'!BM46&lt;&gt;""),'T_SelfStock'!BM46,BL42-'Grid_Requirement'!BM42+'Grid_TTAFOutgoing'!BM42))</f>
        <v/>
      </c>
      <c r="BN42">
        <f>IF(COUNTIFS(T_StockCount[Part Name],$A42,T_StockCount[WeekIndex],65)&gt;0,SUMIFS(T_StockCount[CountedQty],T_StockCount[Part Name],$A42,T_StockCount[WeekIndex],65),IF(('T_SelfStock'!BN46&lt;&gt;""),'T_SelfStock'!BN46,BM42-'Grid_Requirement'!BN42+'Grid_TTAFOutgoing'!BN42))</f>
        <v/>
      </c>
      <c r="BO42">
        <f>IF(COUNTIFS(T_StockCount[Part Name],$A42,T_StockCount[WeekIndex],66)&gt;0,SUMIFS(T_StockCount[CountedQty],T_StockCount[Part Name],$A42,T_StockCount[WeekIndex],66),IF(('T_SelfStock'!BO46&lt;&gt;""),'T_SelfStock'!BO46,BN42-'Grid_Requirement'!BO42+'Grid_TTAFOutgoing'!BO42))</f>
        <v/>
      </c>
      <c r="BP42">
        <f>IF(COUNTIFS(T_StockCount[Part Name],$A42,T_StockCount[WeekIndex],67)&gt;0,SUMIFS(T_StockCount[CountedQty],T_StockCount[Part Name],$A42,T_StockCount[WeekIndex],67),IF(('T_SelfStock'!BP46&lt;&gt;""),'T_SelfStock'!BP46,BO42-'Grid_Requirement'!BP42+'Grid_TTAFOutgoing'!BP42))</f>
        <v/>
      </c>
      <c r="BQ42">
        <f>IF(COUNTIFS(T_StockCount[Part Name],$A42,T_StockCount[WeekIndex],68)&gt;0,SUMIFS(T_StockCount[CountedQty],T_StockCount[Part Name],$A42,T_StockCount[WeekIndex],68),IF(('T_SelfStock'!BQ46&lt;&gt;""),'T_SelfStock'!BQ46,BP42-'Grid_Requirement'!BQ42+'Grid_TTAFOutgoing'!BQ42))</f>
        <v/>
      </c>
      <c r="BR42">
        <f>IF(COUNTIFS(T_StockCount[Part Name],$A42,T_StockCount[WeekIndex],69)&gt;0,SUMIFS(T_StockCount[CountedQty],T_StockCount[Part Name],$A42,T_StockCount[WeekIndex],69),IF(('T_SelfStock'!BR46&lt;&gt;""),'T_SelfStock'!BR46,BQ42-'Grid_Requirement'!BR42+'Grid_TTAFOutgoing'!BR42))</f>
        <v/>
      </c>
      <c r="BS42">
        <f>IF(COUNTIFS(T_StockCount[Part Name],$A42,T_StockCount[WeekIndex],70)&gt;0,SUMIFS(T_StockCount[CountedQty],T_StockCount[Part Name],$A42,T_StockCount[WeekIndex],70),IF(('T_SelfStock'!BS46&lt;&gt;""),'T_SelfStock'!BS46,BR42-'Grid_Requirement'!BS42+'Grid_TTAFOutgoing'!BS42))</f>
        <v/>
      </c>
      <c r="BT42">
        <f>IF(COUNTIFS(T_StockCount[Part Name],$A42,T_StockCount[WeekIndex],71)&gt;0,SUMIFS(T_StockCount[CountedQty],T_StockCount[Part Name],$A42,T_StockCount[WeekIndex],71),IF(('T_SelfStock'!BT46&lt;&gt;""),'T_SelfStock'!BT46,BS42-'Grid_Requirement'!BT42+'Grid_TTAFOutgoing'!BT42))</f>
        <v/>
      </c>
      <c r="BU42">
        <f>IF(COUNTIFS(T_StockCount[Part Name],$A42,T_StockCount[WeekIndex],72)&gt;0,SUMIFS(T_StockCount[CountedQty],T_StockCount[Part Name],$A42,T_StockCount[WeekIndex],72),IF(('T_SelfStock'!BU46&lt;&gt;""),'T_SelfStock'!BU46,BT42-'Grid_Requirement'!BU42+'Grid_TTAFOutgoing'!BU42))</f>
        <v/>
      </c>
      <c r="BV42">
        <f>IF(COUNTIFS(T_StockCount[Part Name],$A42,T_StockCount[WeekIndex],73)&gt;0,SUMIFS(T_StockCount[CountedQty],T_StockCount[Part Name],$A42,T_StockCount[WeekIndex],73),IF(('T_SelfStock'!BV46&lt;&gt;""),'T_SelfStock'!BV46,BU42-'Grid_Requirement'!BV42+'Grid_TTAFOutgoing'!BV42))</f>
        <v/>
      </c>
      <c r="BW42">
        <f>IF(COUNTIFS(T_StockCount[Part Name],$A42,T_StockCount[WeekIndex],74)&gt;0,SUMIFS(T_StockCount[CountedQty],T_StockCount[Part Name],$A42,T_StockCount[WeekIndex],74),IF(('T_SelfStock'!BW46&lt;&gt;""),'T_SelfStock'!BW46,BV42-'Grid_Requirement'!BW42+'Grid_TTAFOutgoing'!BW42))</f>
        <v/>
      </c>
      <c r="BX42">
        <f>IF(COUNTIFS(T_StockCount[Part Name],$A42,T_StockCount[WeekIndex],75)&gt;0,SUMIFS(T_StockCount[CountedQty],T_StockCount[Part Name],$A42,T_StockCount[WeekIndex],75),IF(('T_SelfStock'!BX46&lt;&gt;""),'T_SelfStock'!BX46,BW42-'Grid_Requirement'!BX42+'Grid_TTAFOutgoing'!BX42))</f>
        <v/>
      </c>
      <c r="BY42">
        <f>IF(COUNTIFS(T_StockCount[Part Name],$A42,T_StockCount[WeekIndex],76)&gt;0,SUMIFS(T_StockCount[CountedQty],T_StockCount[Part Name],$A42,T_StockCount[WeekIndex],76),IF(('T_SelfStock'!BY46&lt;&gt;""),'T_SelfStock'!BY46,BX42-'Grid_Requirement'!BY42+'Grid_TTAFOutgoing'!BY42))</f>
        <v/>
      </c>
      <c r="BZ42">
        <f>IF(COUNTIFS(T_StockCount[Part Name],$A42,T_StockCount[WeekIndex],77)&gt;0,SUMIFS(T_StockCount[CountedQty],T_StockCount[Part Name],$A42,T_StockCount[WeekIndex],77),IF(('T_SelfStock'!BZ46&lt;&gt;""),'T_SelfStock'!BZ46,BY42-'Grid_Requirement'!BZ42+'Grid_TTAFOutgoing'!BZ42))</f>
        <v/>
      </c>
      <c r="CA42">
        <f>IF(COUNTIFS(T_StockCount[Part Name],$A42,T_StockCount[WeekIndex],78)&gt;0,SUMIFS(T_StockCount[CountedQty],T_StockCount[Part Name],$A42,T_StockCount[WeekIndex],78),IF(('T_SelfStock'!CA46&lt;&gt;""),'T_SelfStock'!CA46,BZ42-'Grid_Requirement'!CA42+'Grid_TTAFOutgoing'!CA42))</f>
        <v/>
      </c>
      <c r="CB42">
        <f>IF(COUNTIFS(T_StockCount[Part Name],$A42,T_StockCount[WeekIndex],79)&gt;0,SUMIFS(T_StockCount[CountedQty],T_StockCount[Part Name],$A42,T_StockCount[WeekIndex],79),IF(('T_SelfStock'!CB46&lt;&gt;""),'T_SelfStock'!CB46,CA42-'Grid_Requirement'!CB42+'Grid_TTAFOutgoing'!CB42))</f>
        <v/>
      </c>
      <c r="CC42">
        <f>IF(COUNTIFS(T_StockCount[Part Name],$A42,T_StockCount[WeekIndex],80)&gt;0,SUMIFS(T_StockCount[CountedQty],T_StockCount[Part Name],$A42,T_StockCount[WeekIndex],80),IF(('T_SelfStock'!CC46&lt;&gt;""),'T_SelfStock'!CC46,CB42-'Grid_Requirement'!CC42+'Grid_TTAFOutgoing'!CC42))</f>
        <v/>
      </c>
      <c r="CD42">
        <f>IF(COUNTIFS(T_StockCount[Part Name],$A42,T_StockCount[WeekIndex],81)&gt;0,SUMIFS(T_StockCount[CountedQty],T_StockCount[Part Name],$A42,T_StockCount[WeekIndex],81),IF(('T_SelfStock'!CD46&lt;&gt;""),'T_SelfStock'!CD46,CC42-'Grid_Requirement'!CD42+'Grid_TTAFOutgoing'!CD42))</f>
        <v/>
      </c>
      <c r="CE42">
        <f>IF(COUNTIFS(T_StockCount[Part Name],$A42,T_StockCount[WeekIndex],82)&gt;0,SUMIFS(T_StockCount[CountedQty],T_StockCount[Part Name],$A42,T_StockCount[WeekIndex],82),IF(('T_SelfStock'!CE46&lt;&gt;""),'T_SelfStock'!CE46,CD42-'Grid_Requirement'!CE42+'Grid_TTAFOutgoing'!CE42))</f>
        <v/>
      </c>
      <c r="CF42">
        <f>IF(COUNTIFS(T_StockCount[Part Name],$A42,T_StockCount[WeekIndex],83)&gt;0,SUMIFS(T_StockCount[CountedQty],T_StockCount[Part Name],$A42,T_StockCount[WeekIndex],83),IF(('T_SelfStock'!CF46&lt;&gt;""),'T_SelfStock'!CF46,CE42-'Grid_Requirement'!CF42+'Grid_TTAFOutgoing'!CF42))</f>
        <v/>
      </c>
      <c r="CG42">
        <f>IF(COUNTIFS(T_StockCount[Part Name],$A42,T_StockCount[WeekIndex],84)&gt;0,SUMIFS(T_StockCount[CountedQty],T_StockCount[Part Name],$A42,T_StockCount[WeekIndex],84),IF(('T_SelfStock'!CG46&lt;&gt;""),'T_SelfStock'!CG46,CF42-'Grid_Requirement'!CG42+'Grid_TTAFOutgoing'!CG42))</f>
        <v/>
      </c>
      <c r="CH42">
        <f>IF(COUNTIFS(T_StockCount[Part Name],$A42,T_StockCount[WeekIndex],85)&gt;0,SUMIFS(T_StockCount[CountedQty],T_StockCount[Part Name],$A42,T_StockCount[WeekIndex],85),IF(('T_SelfStock'!CH46&lt;&gt;""),'T_SelfStock'!CH46,CG42-'Grid_Requirement'!CH42+'Grid_TTAFOutgoing'!CH42))</f>
        <v/>
      </c>
      <c r="CI42">
        <f>IF(COUNTIFS(T_StockCount[Part Name],$A42,T_StockCount[WeekIndex],86)&gt;0,SUMIFS(T_StockCount[CountedQty],T_StockCount[Part Name],$A42,T_StockCount[WeekIndex],86),IF(('T_SelfStock'!CI46&lt;&gt;""),'T_SelfStock'!CI46,CH42-'Grid_Requirement'!CI42+'Grid_TTAFOutgoing'!CI42))</f>
        <v/>
      </c>
      <c r="CJ42">
        <f>IF(COUNTIFS(T_StockCount[Part Name],$A42,T_StockCount[WeekIndex],87)&gt;0,SUMIFS(T_StockCount[CountedQty],T_StockCount[Part Name],$A42,T_StockCount[WeekIndex],87),IF(('T_SelfStock'!CJ46&lt;&gt;""),'T_SelfStock'!CJ46,CI42-'Grid_Requirement'!CJ42+'Grid_TTAFOutgoing'!CJ42))</f>
        <v/>
      </c>
      <c r="CK42">
        <f>IF(COUNTIFS(T_StockCount[Part Name],$A42,T_StockCount[WeekIndex],88)&gt;0,SUMIFS(T_StockCount[CountedQty],T_StockCount[Part Name],$A42,T_StockCount[WeekIndex],88),IF(('T_SelfStock'!CK46&lt;&gt;""),'T_SelfStock'!CK46,CJ42-'Grid_Requirement'!CK42+'Grid_TTAFOutgoing'!CK42))</f>
        <v/>
      </c>
      <c r="CL42">
        <f>IF(COUNTIFS(T_StockCount[Part Name],$A42,T_StockCount[WeekIndex],89)&gt;0,SUMIFS(T_StockCount[CountedQty],T_StockCount[Part Name],$A42,T_StockCount[WeekIndex],89),IF(('T_SelfStock'!CL46&lt;&gt;""),'T_SelfStock'!CL46,CK42-'Grid_Requirement'!CL42+'Grid_TTAFOutgoing'!CL42))</f>
        <v/>
      </c>
      <c r="CM42">
        <f>IF(COUNTIFS(T_StockCount[Part Name],$A42,T_StockCount[WeekIndex],90)&gt;0,SUMIFS(T_StockCount[CountedQty],T_StockCount[Part Name],$A42,T_StockCount[WeekIndex],90),IF(('T_SelfStock'!CM46&lt;&gt;""),'T_SelfStock'!CM46,CL42-'Grid_Requirement'!CM42+'Grid_TTAFOutgoing'!CM42))</f>
        <v/>
      </c>
      <c r="CN42">
        <f>IF(COUNTIFS(T_StockCount[Part Name],$A42,T_StockCount[WeekIndex],91)&gt;0,SUMIFS(T_StockCount[CountedQty],T_StockCount[Part Name],$A42,T_StockCount[WeekIndex],91),IF(('T_SelfStock'!CN46&lt;&gt;""),'T_SelfStock'!CN46,CM42-'Grid_Requirement'!CN42+'Grid_TTAFOutgoing'!CN42))</f>
        <v/>
      </c>
      <c r="CO42">
        <f>IF(COUNTIFS(T_StockCount[Part Name],$A42,T_StockCount[WeekIndex],92)&gt;0,SUMIFS(T_StockCount[CountedQty],T_StockCount[Part Name],$A42,T_StockCount[WeekIndex],92),IF(('T_SelfStock'!CO46&lt;&gt;""),'T_SelfStock'!CO46,CN42-'Grid_Requirement'!CO42+'Grid_TTAFOutgoing'!CO42))</f>
        <v/>
      </c>
      <c r="CP42">
        <f>IF(COUNTIFS(T_StockCount[Part Name],$A42,T_StockCount[WeekIndex],93)&gt;0,SUMIFS(T_StockCount[CountedQty],T_StockCount[Part Name],$A42,T_StockCount[WeekIndex],93),IF(('T_SelfStock'!CP46&lt;&gt;""),'T_SelfStock'!CP46,CO42-'Grid_Requirement'!CP42+'Grid_TTAFOutgoing'!CP42))</f>
        <v/>
      </c>
      <c r="CQ42">
        <f>IF(COUNTIFS(T_StockCount[Part Name],$A42,T_StockCount[WeekIndex],94)&gt;0,SUMIFS(T_StockCount[CountedQty],T_StockCount[Part Name],$A42,T_StockCount[WeekIndex],94),IF(('T_SelfStock'!CQ46&lt;&gt;""),'T_SelfStock'!CQ46,CP42-'Grid_Requirement'!CQ42+'Grid_TTAFOutgoing'!CQ42))</f>
        <v/>
      </c>
      <c r="CR42">
        <f>IF(COUNTIFS(T_StockCount[Part Name],$A42,T_StockCount[WeekIndex],95)&gt;0,SUMIFS(T_StockCount[CountedQty],T_StockCount[Part Name],$A42,T_StockCount[WeekIndex],95),IF(('T_SelfStock'!CR46&lt;&gt;""),'T_SelfStock'!CR46,CQ42-'Grid_Requirement'!CR42+'Grid_TTAFOutgoing'!CR42))</f>
        <v/>
      </c>
      <c r="CS42">
        <f>IF(COUNTIFS(T_StockCount[Part Name],$A42,T_StockCount[WeekIndex],96)&gt;0,SUMIFS(T_StockCount[CountedQty],T_StockCount[Part Name],$A42,T_StockCount[WeekIndex],96),IF(('T_SelfStock'!CS46&lt;&gt;""),'T_SelfStock'!CS46,CR42-'Grid_Requirement'!CS42+'Grid_TTAFOutgoing'!CS42))</f>
        <v/>
      </c>
      <c r="CT42">
        <f>IF(COUNTIFS(T_StockCount[Part Name],$A42,T_StockCount[WeekIndex],97)&gt;0,SUMIFS(T_StockCount[CountedQty],T_StockCount[Part Name],$A42,T_StockCount[WeekIndex],97),IF(('T_SelfStock'!CT46&lt;&gt;""),'T_SelfStock'!CT46,CS42-'Grid_Requirement'!CT42+'Grid_TTAFOutgoing'!CT42))</f>
        <v/>
      </c>
      <c r="CU42">
        <f>IF(COUNTIFS(T_StockCount[Part Name],$A42,T_StockCount[WeekIndex],98)&gt;0,SUMIFS(T_StockCount[CountedQty],T_StockCount[Part Name],$A42,T_StockCount[WeekIndex],98),IF(('T_SelfStock'!CU46&lt;&gt;""),'T_SelfStock'!CU46,CT42-'Grid_Requirement'!CU42+'Grid_TTAFOutgoing'!CU42))</f>
        <v/>
      </c>
      <c r="CV42">
        <f>IF(COUNTIFS(T_StockCount[Part Name],$A42,T_StockCount[WeekIndex],99)&gt;0,SUMIFS(T_StockCount[CountedQty],T_StockCount[Part Name],$A42,T_StockCount[WeekIndex],99),IF(('T_SelfStock'!CV46&lt;&gt;""),'T_SelfStock'!CV46,CU42-'Grid_Requirement'!CV42+'Grid_TTAFOutgoing'!CV42))</f>
        <v/>
      </c>
      <c r="CW42">
        <f>IF(COUNTIFS(T_StockCount[Part Name],$A42,T_StockCount[WeekIndex],100)&gt;0,SUMIFS(T_StockCount[CountedQty],T_StockCount[Part Name],$A42,T_StockCount[WeekIndex],100),IF(('T_SelfStock'!CW46&lt;&gt;""),'T_SelfStock'!CW46,CV42-'Grid_Requirement'!CW42+'Grid_TTAFOutgoing'!CW42))</f>
        <v/>
      </c>
      <c r="CX42">
        <f>IF(COUNTIFS(T_StockCount[Part Name],$A42,T_StockCount[WeekIndex],101)&gt;0,SUMIFS(T_StockCount[CountedQty],T_StockCount[Part Name],$A42,T_StockCount[WeekIndex],101),IF(('T_SelfStock'!CX46&lt;&gt;""),'T_SelfStock'!CX46,CW42-'Grid_Requirement'!CX42+'Grid_TTAFOutgoing'!CX42))</f>
        <v/>
      </c>
      <c r="CY42">
        <f>IF(COUNTIFS(T_StockCount[Part Name],$A42,T_StockCount[WeekIndex],102)&gt;0,SUMIFS(T_StockCount[CountedQty],T_StockCount[Part Name],$A42,T_StockCount[WeekIndex],102),IF(('T_SelfStock'!CY46&lt;&gt;""),'T_SelfStock'!CY46,CX42-'Grid_Requirement'!CY42+'Grid_TTAFOutgoing'!CY42))</f>
        <v/>
      </c>
      <c r="CZ42">
        <f>IF(COUNTIFS(T_StockCount[Part Name],$A42,T_StockCount[WeekIndex],103)&gt;0,SUMIFS(T_StockCount[CountedQty],T_StockCount[Part Name],$A42,T_StockCount[WeekIndex],103),IF(('T_SelfStock'!CZ46&lt;&gt;""),'T_SelfStock'!CZ46,CY42-'Grid_Requirement'!CZ42+'Grid_TTAFOutgoing'!CZ42))</f>
        <v/>
      </c>
      <c r="DA42">
        <f>IF(COUNTIFS(T_StockCount[Part Name],$A42,T_StockCount[WeekIndex],104)&gt;0,SUMIFS(T_StockCount[CountedQty],T_StockCount[Part Name],$A42,T_StockCount[WeekIndex],104),IF(('T_SelfStock'!DA46&lt;&gt;""),'T_SelfStock'!DA46,CZ42-'Grid_Requirement'!DA42+'Grid_TTAFOutgoing'!DA42))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Name],$A43,T_StockCount[WeekIndex],1),IF(('T_SelfStock'!B47&lt;&gt;""),'T_SelfStock'!B47,IFERROR(INDEX(T_OpeningStock[Opening_Qty],MATCH($A43,T_OpeningStock[Part Name],0)),0)-'Grid_Requirement'!B43+'Grid_TTAFOutgoing'!B43))</f>
        <v/>
      </c>
      <c r="C43">
        <f>IF(COUNTIFS(T_StockCount[Part Name],$A43,T_StockCount[WeekIndex],2)&gt;0,SUMIFS(T_StockCount[CountedQty],T_StockCount[Part Name],$A43,T_StockCount[WeekIndex],2),IF(('T_SelfStock'!C47&lt;&gt;""),'T_SelfStock'!C47,B43-'Grid_Requirement'!C43+'Grid_TTAFOutgoing'!C43))</f>
        <v/>
      </c>
      <c r="D43">
        <f>IF(COUNTIFS(T_StockCount[Part Name],$A43,T_StockCount[WeekIndex],3)&gt;0,SUMIFS(T_StockCount[CountedQty],T_StockCount[Part Name],$A43,T_StockCount[WeekIndex],3),IF(('T_SelfStock'!D47&lt;&gt;""),'T_SelfStock'!D47,C43-'Grid_Requirement'!D43+'Grid_TTAFOutgoing'!D43))</f>
        <v/>
      </c>
      <c r="E43">
        <f>IF(COUNTIFS(T_StockCount[Part Name],$A43,T_StockCount[WeekIndex],4)&gt;0,SUMIFS(T_StockCount[CountedQty],T_StockCount[Part Name],$A43,T_StockCount[WeekIndex],4),IF(('T_SelfStock'!E47&lt;&gt;""),'T_SelfStock'!E47,D43-'Grid_Requirement'!E43+'Grid_TTAFOutgoing'!E43))</f>
        <v/>
      </c>
      <c r="F43">
        <f>IF(COUNTIFS(T_StockCount[Part Name],$A43,T_StockCount[WeekIndex],5)&gt;0,SUMIFS(T_StockCount[CountedQty],T_StockCount[Part Name],$A43,T_StockCount[WeekIndex],5),IF(('T_SelfStock'!F47&lt;&gt;""),'T_SelfStock'!F47,E43-'Grid_Requirement'!F43+'Grid_TTAFOutgoing'!F43))</f>
        <v/>
      </c>
      <c r="G43">
        <f>IF(COUNTIFS(T_StockCount[Part Name],$A43,T_StockCount[WeekIndex],6)&gt;0,SUMIFS(T_StockCount[CountedQty],T_StockCount[Part Name],$A43,T_StockCount[WeekIndex],6),IF(('T_SelfStock'!G47&lt;&gt;""),'T_SelfStock'!G47,F43-'Grid_Requirement'!G43+'Grid_TTAFOutgoing'!G43))</f>
        <v/>
      </c>
      <c r="H43">
        <f>IF(COUNTIFS(T_StockCount[Part Name],$A43,T_StockCount[WeekIndex],7)&gt;0,SUMIFS(T_StockCount[CountedQty],T_StockCount[Part Name],$A43,T_StockCount[WeekIndex],7),IF(('T_SelfStock'!H47&lt;&gt;""),'T_SelfStock'!H47,G43-'Grid_Requirement'!H43+'Grid_TTAFOutgoing'!H43))</f>
        <v/>
      </c>
      <c r="I43">
        <f>IF(COUNTIFS(T_StockCount[Part Name],$A43,T_StockCount[WeekIndex],8)&gt;0,SUMIFS(T_StockCount[CountedQty],T_StockCount[Part Name],$A43,T_StockCount[WeekIndex],8),IF(('T_SelfStock'!I47&lt;&gt;""),'T_SelfStock'!I47,H43-'Grid_Requirement'!I43+'Grid_TTAFOutgoing'!I43))</f>
        <v/>
      </c>
      <c r="J43">
        <f>IF(COUNTIFS(T_StockCount[Part Name],$A43,T_StockCount[WeekIndex],9)&gt;0,SUMIFS(T_StockCount[CountedQty],T_StockCount[Part Name],$A43,T_StockCount[WeekIndex],9),IF(('T_SelfStock'!J47&lt;&gt;""),'T_SelfStock'!J47,I43-'Grid_Requirement'!J43+'Grid_TTAFOutgoing'!J43))</f>
        <v/>
      </c>
      <c r="K43">
        <f>IF(COUNTIFS(T_StockCount[Part Name],$A43,T_StockCount[WeekIndex],10)&gt;0,SUMIFS(T_StockCount[CountedQty],T_StockCount[Part Name],$A43,T_StockCount[WeekIndex],10),IF(('T_SelfStock'!K47&lt;&gt;""),'T_SelfStock'!K47,J43-'Grid_Requirement'!K43+'Grid_TTAFOutgoing'!K43))</f>
        <v/>
      </c>
      <c r="L43">
        <f>IF(COUNTIFS(T_StockCount[Part Name],$A43,T_StockCount[WeekIndex],11)&gt;0,SUMIFS(T_StockCount[CountedQty],T_StockCount[Part Name],$A43,T_StockCount[WeekIndex],11),IF(('T_SelfStock'!L47&lt;&gt;""),'T_SelfStock'!L47,K43-'Grid_Requirement'!L43+'Grid_TTAFOutgoing'!L43))</f>
        <v/>
      </c>
      <c r="M43">
        <f>IF(COUNTIFS(T_StockCount[Part Name],$A43,T_StockCount[WeekIndex],12)&gt;0,SUMIFS(T_StockCount[CountedQty],T_StockCount[Part Name],$A43,T_StockCount[WeekIndex],12),IF(('T_SelfStock'!M47&lt;&gt;""),'T_SelfStock'!M47,L43-'Grid_Requirement'!M43+'Grid_TTAFOutgoing'!M43))</f>
        <v/>
      </c>
      <c r="N43">
        <f>IF(COUNTIFS(T_StockCount[Part Name],$A43,T_StockCount[WeekIndex],13)&gt;0,SUMIFS(T_StockCount[CountedQty],T_StockCount[Part Name],$A43,T_StockCount[WeekIndex],13),IF(('T_SelfStock'!N47&lt;&gt;""),'T_SelfStock'!N47,M43-'Grid_Requirement'!N43+'Grid_TTAFOutgoing'!N43))</f>
        <v/>
      </c>
      <c r="O43">
        <f>IF(COUNTIFS(T_StockCount[Part Name],$A43,T_StockCount[WeekIndex],14)&gt;0,SUMIFS(T_StockCount[CountedQty],T_StockCount[Part Name],$A43,T_StockCount[WeekIndex],14),IF(('T_SelfStock'!O47&lt;&gt;""),'T_SelfStock'!O47,N43-'Grid_Requirement'!O43+'Grid_TTAFOutgoing'!O43))</f>
        <v/>
      </c>
      <c r="P43">
        <f>IF(COUNTIFS(T_StockCount[Part Name],$A43,T_StockCount[WeekIndex],15)&gt;0,SUMIFS(T_StockCount[CountedQty],T_StockCount[Part Name],$A43,T_StockCount[WeekIndex],15),IF(('T_SelfStock'!P47&lt;&gt;""),'T_SelfStock'!P47,O43-'Grid_Requirement'!P43+'Grid_TTAFOutgoing'!P43))</f>
        <v/>
      </c>
      <c r="Q43">
        <f>IF(COUNTIFS(T_StockCount[Part Name],$A43,T_StockCount[WeekIndex],16)&gt;0,SUMIFS(T_StockCount[CountedQty],T_StockCount[Part Name],$A43,T_StockCount[WeekIndex],16),IF(('T_SelfStock'!Q47&lt;&gt;""),'T_SelfStock'!Q47,P43-'Grid_Requirement'!Q43+'Grid_TTAFOutgoing'!Q43))</f>
        <v/>
      </c>
      <c r="R43">
        <f>IF(COUNTIFS(T_StockCount[Part Name],$A43,T_StockCount[WeekIndex],17)&gt;0,SUMIFS(T_StockCount[CountedQty],T_StockCount[Part Name],$A43,T_StockCount[WeekIndex],17),IF(('T_SelfStock'!R47&lt;&gt;""),'T_SelfStock'!R47,Q43-'Grid_Requirement'!R43+'Grid_TTAFOutgoing'!R43))</f>
        <v/>
      </c>
      <c r="S43">
        <f>IF(COUNTIFS(T_StockCount[Part Name],$A43,T_StockCount[WeekIndex],18)&gt;0,SUMIFS(T_StockCount[CountedQty],T_StockCount[Part Name],$A43,T_StockCount[WeekIndex],18),IF(('T_SelfStock'!S47&lt;&gt;""),'T_SelfStock'!S47,R43-'Grid_Requirement'!S43+'Grid_TTAFOutgoing'!S43))</f>
        <v/>
      </c>
      <c r="T43">
        <f>IF(COUNTIFS(T_StockCount[Part Name],$A43,T_StockCount[WeekIndex],19)&gt;0,SUMIFS(T_StockCount[CountedQty],T_StockCount[Part Name],$A43,T_StockCount[WeekIndex],19),IF(('T_SelfStock'!T47&lt;&gt;""),'T_SelfStock'!T47,S43-'Grid_Requirement'!T43+'Grid_TTAFOutgoing'!T43))</f>
        <v/>
      </c>
      <c r="U43">
        <f>IF(COUNTIFS(T_StockCount[Part Name],$A43,T_StockCount[WeekIndex],20)&gt;0,SUMIFS(T_StockCount[CountedQty],T_StockCount[Part Name],$A43,T_StockCount[WeekIndex],20),IF(('T_SelfStock'!U47&lt;&gt;""),'T_SelfStock'!U47,T43-'Grid_Requirement'!U43+'Grid_TTAFOutgoing'!U43))</f>
        <v/>
      </c>
      <c r="V43">
        <f>IF(COUNTIFS(T_StockCount[Part Name],$A43,T_StockCount[WeekIndex],21)&gt;0,SUMIFS(T_StockCount[CountedQty],T_StockCount[Part Name],$A43,T_StockCount[WeekIndex],21),IF(('T_SelfStock'!V47&lt;&gt;""),'T_SelfStock'!V47,U43-'Grid_Requirement'!V43+'Grid_TTAFOutgoing'!V43))</f>
        <v/>
      </c>
      <c r="W43">
        <f>IF(COUNTIFS(T_StockCount[Part Name],$A43,T_StockCount[WeekIndex],22)&gt;0,SUMIFS(T_StockCount[CountedQty],T_StockCount[Part Name],$A43,T_StockCount[WeekIndex],22),IF(('T_SelfStock'!W47&lt;&gt;""),'T_SelfStock'!W47,V43-'Grid_Requirement'!W43+'Grid_TTAFOutgoing'!W43))</f>
        <v/>
      </c>
      <c r="X43">
        <f>IF(COUNTIFS(T_StockCount[Part Name],$A43,T_StockCount[WeekIndex],23)&gt;0,SUMIFS(T_StockCount[CountedQty],T_StockCount[Part Name],$A43,T_StockCount[WeekIndex],23),IF(('T_SelfStock'!X47&lt;&gt;""),'T_SelfStock'!X47,W43-'Grid_Requirement'!X43+'Grid_TTAFOutgoing'!X43))</f>
        <v/>
      </c>
      <c r="Y43">
        <f>IF(COUNTIFS(T_StockCount[Part Name],$A43,T_StockCount[WeekIndex],24)&gt;0,SUMIFS(T_StockCount[CountedQty],T_StockCount[Part Name],$A43,T_StockCount[WeekIndex],24),IF(('T_SelfStock'!Y47&lt;&gt;""),'T_SelfStock'!Y47,X43-'Grid_Requirement'!Y43+'Grid_TTAFOutgoing'!Y43))</f>
        <v/>
      </c>
      <c r="Z43">
        <f>IF(COUNTIFS(T_StockCount[Part Name],$A43,T_StockCount[WeekIndex],25)&gt;0,SUMIFS(T_StockCount[CountedQty],T_StockCount[Part Name],$A43,T_StockCount[WeekIndex],25),IF(('T_SelfStock'!Z47&lt;&gt;""),'T_SelfStock'!Z47,Y43-'Grid_Requirement'!Z43+'Grid_TTAFOutgoing'!Z43))</f>
        <v/>
      </c>
      <c r="AA43">
        <f>IF(COUNTIFS(T_StockCount[Part Name],$A43,T_StockCount[WeekIndex],26)&gt;0,SUMIFS(T_StockCount[CountedQty],T_StockCount[Part Name],$A43,T_StockCount[WeekIndex],26),IF(('T_SelfStock'!AA47&lt;&gt;""),'T_SelfStock'!AA47,Z43-'Grid_Requirement'!AA43+'Grid_TTAFOutgoing'!AA43))</f>
        <v/>
      </c>
      <c r="AB43">
        <f>IF(COUNTIFS(T_StockCount[Part Name],$A43,T_StockCount[WeekIndex],27)&gt;0,SUMIFS(T_StockCount[CountedQty],T_StockCount[Part Name],$A43,T_StockCount[WeekIndex],27),IF(('T_SelfStock'!AB47&lt;&gt;""),'T_SelfStock'!AB47,AA43-'Grid_Requirement'!AB43+'Grid_TTAFOutgoing'!AB43))</f>
        <v/>
      </c>
      <c r="AC43">
        <f>IF(COUNTIFS(T_StockCount[Part Name],$A43,T_StockCount[WeekIndex],28)&gt;0,SUMIFS(T_StockCount[CountedQty],T_StockCount[Part Name],$A43,T_StockCount[WeekIndex],28),IF(('T_SelfStock'!AC47&lt;&gt;""),'T_SelfStock'!AC47,AB43-'Grid_Requirement'!AC43+'Grid_TTAFOutgoing'!AC43))</f>
        <v/>
      </c>
      <c r="AD43">
        <f>IF(COUNTIFS(T_StockCount[Part Name],$A43,T_StockCount[WeekIndex],29)&gt;0,SUMIFS(T_StockCount[CountedQty],T_StockCount[Part Name],$A43,T_StockCount[WeekIndex],29),IF(('T_SelfStock'!AD47&lt;&gt;""),'T_SelfStock'!AD47,AC43-'Grid_Requirement'!AD43+'Grid_TTAFOutgoing'!AD43))</f>
        <v/>
      </c>
      <c r="AE43">
        <f>IF(COUNTIFS(T_StockCount[Part Name],$A43,T_StockCount[WeekIndex],30)&gt;0,SUMIFS(T_StockCount[CountedQty],T_StockCount[Part Name],$A43,T_StockCount[WeekIndex],30),IF(('T_SelfStock'!AE47&lt;&gt;""),'T_SelfStock'!AE47,AD43-'Grid_Requirement'!AE43+'Grid_TTAFOutgoing'!AE43))</f>
        <v/>
      </c>
      <c r="AF43">
        <f>IF(COUNTIFS(T_StockCount[Part Name],$A43,T_StockCount[WeekIndex],31)&gt;0,SUMIFS(T_StockCount[CountedQty],T_StockCount[Part Name],$A43,T_StockCount[WeekIndex],31),IF(('T_SelfStock'!AF47&lt;&gt;""),'T_SelfStock'!AF47,AE43-'Grid_Requirement'!AF43+'Grid_TTAFOutgoing'!AF43))</f>
        <v/>
      </c>
      <c r="AG43">
        <f>IF(COUNTIFS(T_StockCount[Part Name],$A43,T_StockCount[WeekIndex],32)&gt;0,SUMIFS(T_StockCount[CountedQty],T_StockCount[Part Name],$A43,T_StockCount[WeekIndex],32),IF(('T_SelfStock'!AG47&lt;&gt;""),'T_SelfStock'!AG47,AF43-'Grid_Requirement'!AG43+'Grid_TTAFOutgoing'!AG43))</f>
        <v/>
      </c>
      <c r="AH43">
        <f>IF(COUNTIFS(T_StockCount[Part Name],$A43,T_StockCount[WeekIndex],33)&gt;0,SUMIFS(T_StockCount[CountedQty],T_StockCount[Part Name],$A43,T_StockCount[WeekIndex],33),IF(('T_SelfStock'!AH47&lt;&gt;""),'T_SelfStock'!AH47,AG43-'Grid_Requirement'!AH43+'Grid_TTAFOutgoing'!AH43))</f>
        <v/>
      </c>
      <c r="AI43">
        <f>IF(COUNTIFS(T_StockCount[Part Name],$A43,T_StockCount[WeekIndex],34)&gt;0,SUMIFS(T_StockCount[CountedQty],T_StockCount[Part Name],$A43,T_StockCount[WeekIndex],34),IF(('T_SelfStock'!AI47&lt;&gt;""),'T_SelfStock'!AI47,AH43-'Grid_Requirement'!AI43+'Grid_TTAFOutgoing'!AI43))</f>
        <v/>
      </c>
      <c r="AJ43">
        <f>IF(COUNTIFS(T_StockCount[Part Name],$A43,T_StockCount[WeekIndex],35)&gt;0,SUMIFS(T_StockCount[CountedQty],T_StockCount[Part Name],$A43,T_StockCount[WeekIndex],35),IF(('T_SelfStock'!AJ47&lt;&gt;""),'T_SelfStock'!AJ47,AI43-'Grid_Requirement'!AJ43+'Grid_TTAFOutgoing'!AJ43))</f>
        <v/>
      </c>
      <c r="AK43">
        <f>IF(COUNTIFS(T_StockCount[Part Name],$A43,T_StockCount[WeekIndex],36)&gt;0,SUMIFS(T_StockCount[CountedQty],T_StockCount[Part Name],$A43,T_StockCount[WeekIndex],36),IF(('T_SelfStock'!AK47&lt;&gt;""),'T_SelfStock'!AK47,AJ43-'Grid_Requirement'!AK43+'Grid_TTAFOutgoing'!AK43))</f>
        <v/>
      </c>
      <c r="AL43">
        <f>IF(COUNTIFS(T_StockCount[Part Name],$A43,T_StockCount[WeekIndex],37)&gt;0,SUMIFS(T_StockCount[CountedQty],T_StockCount[Part Name],$A43,T_StockCount[WeekIndex],37),IF(('T_SelfStock'!AL47&lt;&gt;""),'T_SelfStock'!AL47,AK43-'Grid_Requirement'!AL43+'Grid_TTAFOutgoing'!AL43))</f>
        <v/>
      </c>
      <c r="AM43">
        <f>IF(COUNTIFS(T_StockCount[Part Name],$A43,T_StockCount[WeekIndex],38)&gt;0,SUMIFS(T_StockCount[CountedQty],T_StockCount[Part Name],$A43,T_StockCount[WeekIndex],38),IF(('T_SelfStock'!AM47&lt;&gt;""),'T_SelfStock'!AM47,AL43-'Grid_Requirement'!AM43+'Grid_TTAFOutgoing'!AM43))</f>
        <v/>
      </c>
      <c r="AN43">
        <f>IF(COUNTIFS(T_StockCount[Part Name],$A43,T_StockCount[WeekIndex],39)&gt;0,SUMIFS(T_StockCount[CountedQty],T_StockCount[Part Name],$A43,T_StockCount[WeekIndex],39),IF(('T_SelfStock'!AN47&lt;&gt;""),'T_SelfStock'!AN47,AM43-'Grid_Requirement'!AN43+'Grid_TTAFOutgoing'!AN43))</f>
        <v/>
      </c>
      <c r="AO43">
        <f>IF(COUNTIFS(T_StockCount[Part Name],$A43,T_StockCount[WeekIndex],40)&gt;0,SUMIFS(T_StockCount[CountedQty],T_StockCount[Part Name],$A43,T_StockCount[WeekIndex],40),IF(('T_SelfStock'!AO47&lt;&gt;""),'T_SelfStock'!AO47,AN43-'Grid_Requirement'!AO43+'Grid_TTAFOutgoing'!AO43))</f>
        <v/>
      </c>
      <c r="AP43">
        <f>IF(COUNTIFS(T_StockCount[Part Name],$A43,T_StockCount[WeekIndex],41)&gt;0,SUMIFS(T_StockCount[CountedQty],T_StockCount[Part Name],$A43,T_StockCount[WeekIndex],41),IF(('T_SelfStock'!AP47&lt;&gt;""),'T_SelfStock'!AP47,AO43-'Grid_Requirement'!AP43+'Grid_TTAFOutgoing'!AP43))</f>
        <v/>
      </c>
      <c r="AQ43">
        <f>IF(COUNTIFS(T_StockCount[Part Name],$A43,T_StockCount[WeekIndex],42)&gt;0,SUMIFS(T_StockCount[CountedQty],T_StockCount[Part Name],$A43,T_StockCount[WeekIndex],42),IF(('T_SelfStock'!AQ47&lt;&gt;""),'T_SelfStock'!AQ47,AP43-'Grid_Requirement'!AQ43+'Grid_TTAFOutgoing'!AQ43))</f>
        <v/>
      </c>
      <c r="AR43">
        <f>IF(COUNTIFS(T_StockCount[Part Name],$A43,T_StockCount[WeekIndex],43)&gt;0,SUMIFS(T_StockCount[CountedQty],T_StockCount[Part Name],$A43,T_StockCount[WeekIndex],43),IF(('T_SelfStock'!AR47&lt;&gt;""),'T_SelfStock'!AR47,AQ43-'Grid_Requirement'!AR43+'Grid_TTAFOutgoing'!AR43))</f>
        <v/>
      </c>
      <c r="AS43">
        <f>IF(COUNTIFS(T_StockCount[Part Name],$A43,T_StockCount[WeekIndex],44)&gt;0,SUMIFS(T_StockCount[CountedQty],T_StockCount[Part Name],$A43,T_StockCount[WeekIndex],44),IF(('T_SelfStock'!AS47&lt;&gt;""),'T_SelfStock'!AS47,AR43-'Grid_Requirement'!AS43+'Grid_TTAFOutgoing'!AS43))</f>
        <v/>
      </c>
      <c r="AT43">
        <f>IF(COUNTIFS(T_StockCount[Part Name],$A43,T_StockCount[WeekIndex],45)&gt;0,SUMIFS(T_StockCount[CountedQty],T_StockCount[Part Name],$A43,T_StockCount[WeekIndex],45),IF(('T_SelfStock'!AT47&lt;&gt;""),'T_SelfStock'!AT47,AS43-'Grid_Requirement'!AT43+'Grid_TTAFOutgoing'!AT43))</f>
        <v/>
      </c>
      <c r="AU43">
        <f>IF(COUNTIFS(T_StockCount[Part Name],$A43,T_StockCount[WeekIndex],46)&gt;0,SUMIFS(T_StockCount[CountedQty],T_StockCount[Part Name],$A43,T_StockCount[WeekIndex],46),IF(('T_SelfStock'!AU47&lt;&gt;""),'T_SelfStock'!AU47,AT43-'Grid_Requirement'!AU43+'Grid_TTAFOutgoing'!AU43))</f>
        <v/>
      </c>
      <c r="AV43">
        <f>IF(COUNTIFS(T_StockCount[Part Name],$A43,T_StockCount[WeekIndex],47)&gt;0,SUMIFS(T_StockCount[CountedQty],T_StockCount[Part Name],$A43,T_StockCount[WeekIndex],47),IF(('T_SelfStock'!AV47&lt;&gt;""),'T_SelfStock'!AV47,AU43-'Grid_Requirement'!AV43+'Grid_TTAFOutgoing'!AV43))</f>
        <v/>
      </c>
      <c r="AW43">
        <f>IF(COUNTIFS(T_StockCount[Part Name],$A43,T_StockCount[WeekIndex],48)&gt;0,SUMIFS(T_StockCount[CountedQty],T_StockCount[Part Name],$A43,T_StockCount[WeekIndex],48),IF(('T_SelfStock'!AW47&lt;&gt;""),'T_SelfStock'!AW47,AV43-'Grid_Requirement'!AW43+'Grid_TTAFOutgoing'!AW43))</f>
        <v/>
      </c>
      <c r="AX43">
        <f>IF(COUNTIFS(T_StockCount[Part Name],$A43,T_StockCount[WeekIndex],49)&gt;0,SUMIFS(T_StockCount[CountedQty],T_StockCount[Part Name],$A43,T_StockCount[WeekIndex],49),IF(('T_SelfStock'!AX47&lt;&gt;""),'T_SelfStock'!AX47,AW43-'Grid_Requirement'!AX43+'Grid_TTAFOutgoing'!AX43))</f>
        <v/>
      </c>
      <c r="AY43">
        <f>IF(COUNTIFS(T_StockCount[Part Name],$A43,T_StockCount[WeekIndex],50)&gt;0,SUMIFS(T_StockCount[CountedQty],T_StockCount[Part Name],$A43,T_StockCount[WeekIndex],50),IF(('T_SelfStock'!AY47&lt;&gt;""),'T_SelfStock'!AY47,AX43-'Grid_Requirement'!AY43+'Grid_TTAFOutgoing'!AY43))</f>
        <v/>
      </c>
      <c r="AZ43">
        <f>IF(COUNTIFS(T_StockCount[Part Name],$A43,T_StockCount[WeekIndex],51)&gt;0,SUMIFS(T_StockCount[CountedQty],T_StockCount[Part Name],$A43,T_StockCount[WeekIndex],51),IF(('T_SelfStock'!AZ47&lt;&gt;""),'T_SelfStock'!AZ47,AY43-'Grid_Requirement'!AZ43+'Grid_TTAFOutgoing'!AZ43))</f>
        <v/>
      </c>
      <c r="BA43">
        <f>IF(COUNTIFS(T_StockCount[Part Name],$A43,T_StockCount[WeekIndex],52)&gt;0,SUMIFS(T_StockCount[CountedQty],T_StockCount[Part Name],$A43,T_StockCount[WeekIndex],52),IF(('T_SelfStock'!BA47&lt;&gt;""),'T_SelfStock'!BA47,AZ43-'Grid_Requirement'!BA43+'Grid_TTAFOutgoing'!BA43))</f>
        <v/>
      </c>
      <c r="BB43">
        <f>IF(COUNTIFS(T_StockCount[Part Name],$A43,T_StockCount[WeekIndex],53)&gt;0,SUMIFS(T_StockCount[CountedQty],T_StockCount[Part Name],$A43,T_StockCount[WeekIndex],53),IF(('T_SelfStock'!BB47&lt;&gt;""),'T_SelfStock'!BB47,BA43-'Grid_Requirement'!BB43+'Grid_TTAFOutgoing'!BB43))</f>
        <v/>
      </c>
      <c r="BC43">
        <f>IF(COUNTIFS(T_StockCount[Part Name],$A43,T_StockCount[WeekIndex],54)&gt;0,SUMIFS(T_StockCount[CountedQty],T_StockCount[Part Name],$A43,T_StockCount[WeekIndex],54),IF(('T_SelfStock'!BC47&lt;&gt;""),'T_SelfStock'!BC47,BB43-'Grid_Requirement'!BC43+'Grid_TTAFOutgoing'!BC43))</f>
        <v/>
      </c>
      <c r="BD43">
        <f>IF(COUNTIFS(T_StockCount[Part Name],$A43,T_StockCount[WeekIndex],55)&gt;0,SUMIFS(T_StockCount[CountedQty],T_StockCount[Part Name],$A43,T_StockCount[WeekIndex],55),IF(('T_SelfStock'!BD47&lt;&gt;""),'T_SelfStock'!BD47,BC43-'Grid_Requirement'!BD43+'Grid_TTAFOutgoing'!BD43))</f>
        <v/>
      </c>
      <c r="BE43">
        <f>IF(COUNTIFS(T_StockCount[Part Name],$A43,T_StockCount[WeekIndex],56)&gt;0,SUMIFS(T_StockCount[CountedQty],T_StockCount[Part Name],$A43,T_StockCount[WeekIndex],56),IF(('T_SelfStock'!BE47&lt;&gt;""),'T_SelfStock'!BE47,BD43-'Grid_Requirement'!BE43+'Grid_TTAFOutgoing'!BE43))</f>
        <v/>
      </c>
      <c r="BF43">
        <f>IF(COUNTIFS(T_StockCount[Part Name],$A43,T_StockCount[WeekIndex],57)&gt;0,SUMIFS(T_StockCount[CountedQty],T_StockCount[Part Name],$A43,T_StockCount[WeekIndex],57),IF(('T_SelfStock'!BF47&lt;&gt;""),'T_SelfStock'!BF47,BE43-'Grid_Requirement'!BF43+'Grid_TTAFOutgoing'!BF43))</f>
        <v/>
      </c>
      <c r="BG43">
        <f>IF(COUNTIFS(T_StockCount[Part Name],$A43,T_StockCount[WeekIndex],58)&gt;0,SUMIFS(T_StockCount[CountedQty],T_StockCount[Part Name],$A43,T_StockCount[WeekIndex],58),IF(('T_SelfStock'!BG47&lt;&gt;""),'T_SelfStock'!BG47,BF43-'Grid_Requirement'!BG43+'Grid_TTAFOutgoing'!BG43))</f>
        <v/>
      </c>
      <c r="BH43">
        <f>IF(COUNTIFS(T_StockCount[Part Name],$A43,T_StockCount[WeekIndex],59)&gt;0,SUMIFS(T_StockCount[CountedQty],T_StockCount[Part Name],$A43,T_StockCount[WeekIndex],59),IF(('T_SelfStock'!BH47&lt;&gt;""),'T_SelfStock'!BH47,BG43-'Grid_Requirement'!BH43+'Grid_TTAFOutgoing'!BH43))</f>
        <v/>
      </c>
      <c r="BI43">
        <f>IF(COUNTIFS(T_StockCount[Part Name],$A43,T_StockCount[WeekIndex],60)&gt;0,SUMIFS(T_StockCount[CountedQty],T_StockCount[Part Name],$A43,T_StockCount[WeekIndex],60),IF(('T_SelfStock'!BI47&lt;&gt;""),'T_SelfStock'!BI47,BH43-'Grid_Requirement'!BI43+'Grid_TTAFOutgoing'!BI43))</f>
        <v/>
      </c>
      <c r="BJ43">
        <f>IF(COUNTIFS(T_StockCount[Part Name],$A43,T_StockCount[WeekIndex],61)&gt;0,SUMIFS(T_StockCount[CountedQty],T_StockCount[Part Name],$A43,T_StockCount[WeekIndex],61),IF(('T_SelfStock'!BJ47&lt;&gt;""),'T_SelfStock'!BJ47,BI43-'Grid_Requirement'!BJ43+'Grid_TTAFOutgoing'!BJ43))</f>
        <v/>
      </c>
      <c r="BK43">
        <f>IF(COUNTIFS(T_StockCount[Part Name],$A43,T_StockCount[WeekIndex],62)&gt;0,SUMIFS(T_StockCount[CountedQty],T_StockCount[Part Name],$A43,T_StockCount[WeekIndex],62),IF(('T_SelfStock'!BK47&lt;&gt;""),'T_SelfStock'!BK47,BJ43-'Grid_Requirement'!BK43+'Grid_TTAFOutgoing'!BK43))</f>
        <v/>
      </c>
      <c r="BL43">
        <f>IF(COUNTIFS(T_StockCount[Part Name],$A43,T_StockCount[WeekIndex],63)&gt;0,SUMIFS(T_StockCount[CountedQty],T_StockCount[Part Name],$A43,T_StockCount[WeekIndex],63),IF(('T_SelfStock'!BL47&lt;&gt;""),'T_SelfStock'!BL47,BK43-'Grid_Requirement'!BL43+'Grid_TTAFOutgoing'!BL43))</f>
        <v/>
      </c>
      <c r="BM43">
        <f>IF(COUNTIFS(T_StockCount[Part Name],$A43,T_StockCount[WeekIndex],64)&gt;0,SUMIFS(T_StockCount[CountedQty],T_StockCount[Part Name],$A43,T_StockCount[WeekIndex],64),IF(('T_SelfStock'!BM47&lt;&gt;""),'T_SelfStock'!BM47,BL43-'Grid_Requirement'!BM43+'Grid_TTAFOutgoing'!BM43))</f>
        <v/>
      </c>
      <c r="BN43">
        <f>IF(COUNTIFS(T_StockCount[Part Name],$A43,T_StockCount[WeekIndex],65)&gt;0,SUMIFS(T_StockCount[CountedQty],T_StockCount[Part Name],$A43,T_StockCount[WeekIndex],65),IF(('T_SelfStock'!BN47&lt;&gt;""),'T_SelfStock'!BN47,BM43-'Grid_Requirement'!BN43+'Grid_TTAFOutgoing'!BN43))</f>
        <v/>
      </c>
      <c r="BO43">
        <f>IF(COUNTIFS(T_StockCount[Part Name],$A43,T_StockCount[WeekIndex],66)&gt;0,SUMIFS(T_StockCount[CountedQty],T_StockCount[Part Name],$A43,T_StockCount[WeekIndex],66),IF(('T_SelfStock'!BO47&lt;&gt;""),'T_SelfStock'!BO47,BN43-'Grid_Requirement'!BO43+'Grid_TTAFOutgoing'!BO43))</f>
        <v/>
      </c>
      <c r="BP43">
        <f>IF(COUNTIFS(T_StockCount[Part Name],$A43,T_StockCount[WeekIndex],67)&gt;0,SUMIFS(T_StockCount[CountedQty],T_StockCount[Part Name],$A43,T_StockCount[WeekIndex],67),IF(('T_SelfStock'!BP47&lt;&gt;""),'T_SelfStock'!BP47,BO43-'Grid_Requirement'!BP43+'Grid_TTAFOutgoing'!BP43))</f>
        <v/>
      </c>
      <c r="BQ43">
        <f>IF(COUNTIFS(T_StockCount[Part Name],$A43,T_StockCount[WeekIndex],68)&gt;0,SUMIFS(T_StockCount[CountedQty],T_StockCount[Part Name],$A43,T_StockCount[WeekIndex],68),IF(('T_SelfStock'!BQ47&lt;&gt;""),'T_SelfStock'!BQ47,BP43-'Grid_Requirement'!BQ43+'Grid_TTAFOutgoing'!BQ43))</f>
        <v/>
      </c>
      <c r="BR43">
        <f>IF(COUNTIFS(T_StockCount[Part Name],$A43,T_StockCount[WeekIndex],69)&gt;0,SUMIFS(T_StockCount[CountedQty],T_StockCount[Part Name],$A43,T_StockCount[WeekIndex],69),IF(('T_SelfStock'!BR47&lt;&gt;""),'T_SelfStock'!BR47,BQ43-'Grid_Requirement'!BR43+'Grid_TTAFOutgoing'!BR43))</f>
        <v/>
      </c>
      <c r="BS43">
        <f>IF(COUNTIFS(T_StockCount[Part Name],$A43,T_StockCount[WeekIndex],70)&gt;0,SUMIFS(T_StockCount[CountedQty],T_StockCount[Part Name],$A43,T_StockCount[WeekIndex],70),IF(('T_SelfStock'!BS47&lt;&gt;""),'T_SelfStock'!BS47,BR43-'Grid_Requirement'!BS43+'Grid_TTAFOutgoing'!BS43))</f>
        <v/>
      </c>
      <c r="BT43">
        <f>IF(COUNTIFS(T_StockCount[Part Name],$A43,T_StockCount[WeekIndex],71)&gt;0,SUMIFS(T_StockCount[CountedQty],T_StockCount[Part Name],$A43,T_StockCount[WeekIndex],71),IF(('T_SelfStock'!BT47&lt;&gt;""),'T_SelfStock'!BT47,BS43-'Grid_Requirement'!BT43+'Grid_TTAFOutgoing'!BT43))</f>
        <v/>
      </c>
      <c r="BU43">
        <f>IF(COUNTIFS(T_StockCount[Part Name],$A43,T_StockCount[WeekIndex],72)&gt;0,SUMIFS(T_StockCount[CountedQty],T_StockCount[Part Name],$A43,T_StockCount[WeekIndex],72),IF(('T_SelfStock'!BU47&lt;&gt;""),'T_SelfStock'!BU47,BT43-'Grid_Requirement'!BU43+'Grid_TTAFOutgoing'!BU43))</f>
        <v/>
      </c>
      <c r="BV43">
        <f>IF(COUNTIFS(T_StockCount[Part Name],$A43,T_StockCount[WeekIndex],73)&gt;0,SUMIFS(T_StockCount[CountedQty],T_StockCount[Part Name],$A43,T_StockCount[WeekIndex],73),IF(('T_SelfStock'!BV47&lt;&gt;""),'T_SelfStock'!BV47,BU43-'Grid_Requirement'!BV43+'Grid_TTAFOutgoing'!BV43))</f>
        <v/>
      </c>
      <c r="BW43">
        <f>IF(COUNTIFS(T_StockCount[Part Name],$A43,T_StockCount[WeekIndex],74)&gt;0,SUMIFS(T_StockCount[CountedQty],T_StockCount[Part Name],$A43,T_StockCount[WeekIndex],74),IF(('T_SelfStock'!BW47&lt;&gt;""),'T_SelfStock'!BW47,BV43-'Grid_Requirement'!BW43+'Grid_TTAFOutgoing'!BW43))</f>
        <v/>
      </c>
      <c r="BX43">
        <f>IF(COUNTIFS(T_StockCount[Part Name],$A43,T_StockCount[WeekIndex],75)&gt;0,SUMIFS(T_StockCount[CountedQty],T_StockCount[Part Name],$A43,T_StockCount[WeekIndex],75),IF(('T_SelfStock'!BX47&lt;&gt;""),'T_SelfStock'!BX47,BW43-'Grid_Requirement'!BX43+'Grid_TTAFOutgoing'!BX43))</f>
        <v/>
      </c>
      <c r="BY43">
        <f>IF(COUNTIFS(T_StockCount[Part Name],$A43,T_StockCount[WeekIndex],76)&gt;0,SUMIFS(T_StockCount[CountedQty],T_StockCount[Part Name],$A43,T_StockCount[WeekIndex],76),IF(('T_SelfStock'!BY47&lt;&gt;""),'T_SelfStock'!BY47,BX43-'Grid_Requirement'!BY43+'Grid_TTAFOutgoing'!BY43))</f>
        <v/>
      </c>
      <c r="BZ43">
        <f>IF(COUNTIFS(T_StockCount[Part Name],$A43,T_StockCount[WeekIndex],77)&gt;0,SUMIFS(T_StockCount[CountedQty],T_StockCount[Part Name],$A43,T_StockCount[WeekIndex],77),IF(('T_SelfStock'!BZ47&lt;&gt;""),'T_SelfStock'!BZ47,BY43-'Grid_Requirement'!BZ43+'Grid_TTAFOutgoing'!BZ43))</f>
        <v/>
      </c>
      <c r="CA43">
        <f>IF(COUNTIFS(T_StockCount[Part Name],$A43,T_StockCount[WeekIndex],78)&gt;0,SUMIFS(T_StockCount[CountedQty],T_StockCount[Part Name],$A43,T_StockCount[WeekIndex],78),IF(('T_SelfStock'!CA47&lt;&gt;""),'T_SelfStock'!CA47,BZ43-'Grid_Requirement'!CA43+'Grid_TTAFOutgoing'!CA43))</f>
        <v/>
      </c>
      <c r="CB43">
        <f>IF(COUNTIFS(T_StockCount[Part Name],$A43,T_StockCount[WeekIndex],79)&gt;0,SUMIFS(T_StockCount[CountedQty],T_StockCount[Part Name],$A43,T_StockCount[WeekIndex],79),IF(('T_SelfStock'!CB47&lt;&gt;""),'T_SelfStock'!CB47,CA43-'Grid_Requirement'!CB43+'Grid_TTAFOutgoing'!CB43))</f>
        <v/>
      </c>
      <c r="CC43">
        <f>IF(COUNTIFS(T_StockCount[Part Name],$A43,T_StockCount[WeekIndex],80)&gt;0,SUMIFS(T_StockCount[CountedQty],T_StockCount[Part Name],$A43,T_StockCount[WeekIndex],80),IF(('T_SelfStock'!CC47&lt;&gt;""),'T_SelfStock'!CC47,CB43-'Grid_Requirement'!CC43+'Grid_TTAFOutgoing'!CC43))</f>
        <v/>
      </c>
      <c r="CD43">
        <f>IF(COUNTIFS(T_StockCount[Part Name],$A43,T_StockCount[WeekIndex],81)&gt;0,SUMIFS(T_StockCount[CountedQty],T_StockCount[Part Name],$A43,T_StockCount[WeekIndex],81),IF(('T_SelfStock'!CD47&lt;&gt;""),'T_SelfStock'!CD47,CC43-'Grid_Requirement'!CD43+'Grid_TTAFOutgoing'!CD43))</f>
        <v/>
      </c>
      <c r="CE43">
        <f>IF(COUNTIFS(T_StockCount[Part Name],$A43,T_StockCount[WeekIndex],82)&gt;0,SUMIFS(T_StockCount[CountedQty],T_StockCount[Part Name],$A43,T_StockCount[WeekIndex],82),IF(('T_SelfStock'!CE47&lt;&gt;""),'T_SelfStock'!CE47,CD43-'Grid_Requirement'!CE43+'Grid_TTAFOutgoing'!CE43))</f>
        <v/>
      </c>
      <c r="CF43">
        <f>IF(COUNTIFS(T_StockCount[Part Name],$A43,T_StockCount[WeekIndex],83)&gt;0,SUMIFS(T_StockCount[CountedQty],T_StockCount[Part Name],$A43,T_StockCount[WeekIndex],83),IF(('T_SelfStock'!CF47&lt;&gt;""),'T_SelfStock'!CF47,CE43-'Grid_Requirement'!CF43+'Grid_TTAFOutgoing'!CF43))</f>
        <v/>
      </c>
      <c r="CG43">
        <f>IF(COUNTIFS(T_StockCount[Part Name],$A43,T_StockCount[WeekIndex],84)&gt;0,SUMIFS(T_StockCount[CountedQty],T_StockCount[Part Name],$A43,T_StockCount[WeekIndex],84),IF(('T_SelfStock'!CG47&lt;&gt;""),'T_SelfStock'!CG47,CF43-'Grid_Requirement'!CG43+'Grid_TTAFOutgoing'!CG43))</f>
        <v/>
      </c>
      <c r="CH43">
        <f>IF(COUNTIFS(T_StockCount[Part Name],$A43,T_StockCount[WeekIndex],85)&gt;0,SUMIFS(T_StockCount[CountedQty],T_StockCount[Part Name],$A43,T_StockCount[WeekIndex],85),IF(('T_SelfStock'!CH47&lt;&gt;""),'T_SelfStock'!CH47,CG43-'Grid_Requirement'!CH43+'Grid_TTAFOutgoing'!CH43))</f>
        <v/>
      </c>
      <c r="CI43">
        <f>IF(COUNTIFS(T_StockCount[Part Name],$A43,T_StockCount[WeekIndex],86)&gt;0,SUMIFS(T_StockCount[CountedQty],T_StockCount[Part Name],$A43,T_StockCount[WeekIndex],86),IF(('T_SelfStock'!CI47&lt;&gt;""),'T_SelfStock'!CI47,CH43-'Grid_Requirement'!CI43+'Grid_TTAFOutgoing'!CI43))</f>
        <v/>
      </c>
      <c r="CJ43">
        <f>IF(COUNTIFS(T_StockCount[Part Name],$A43,T_StockCount[WeekIndex],87)&gt;0,SUMIFS(T_StockCount[CountedQty],T_StockCount[Part Name],$A43,T_StockCount[WeekIndex],87),IF(('T_SelfStock'!CJ47&lt;&gt;""),'T_SelfStock'!CJ47,CI43-'Grid_Requirement'!CJ43+'Grid_TTAFOutgoing'!CJ43))</f>
        <v/>
      </c>
      <c r="CK43">
        <f>IF(COUNTIFS(T_StockCount[Part Name],$A43,T_StockCount[WeekIndex],88)&gt;0,SUMIFS(T_StockCount[CountedQty],T_StockCount[Part Name],$A43,T_StockCount[WeekIndex],88),IF(('T_SelfStock'!CK47&lt;&gt;""),'T_SelfStock'!CK47,CJ43-'Grid_Requirement'!CK43+'Grid_TTAFOutgoing'!CK43))</f>
        <v/>
      </c>
      <c r="CL43">
        <f>IF(COUNTIFS(T_StockCount[Part Name],$A43,T_StockCount[WeekIndex],89)&gt;0,SUMIFS(T_StockCount[CountedQty],T_StockCount[Part Name],$A43,T_StockCount[WeekIndex],89),IF(('T_SelfStock'!CL47&lt;&gt;""),'T_SelfStock'!CL47,CK43-'Grid_Requirement'!CL43+'Grid_TTAFOutgoing'!CL43))</f>
        <v/>
      </c>
      <c r="CM43">
        <f>IF(COUNTIFS(T_StockCount[Part Name],$A43,T_StockCount[WeekIndex],90)&gt;0,SUMIFS(T_StockCount[CountedQty],T_StockCount[Part Name],$A43,T_StockCount[WeekIndex],90),IF(('T_SelfStock'!CM47&lt;&gt;""),'T_SelfStock'!CM47,CL43-'Grid_Requirement'!CM43+'Grid_TTAFOutgoing'!CM43))</f>
        <v/>
      </c>
      <c r="CN43">
        <f>IF(COUNTIFS(T_StockCount[Part Name],$A43,T_StockCount[WeekIndex],91)&gt;0,SUMIFS(T_StockCount[CountedQty],T_StockCount[Part Name],$A43,T_StockCount[WeekIndex],91),IF(('T_SelfStock'!CN47&lt;&gt;""),'T_SelfStock'!CN47,CM43-'Grid_Requirement'!CN43+'Grid_TTAFOutgoing'!CN43))</f>
        <v/>
      </c>
      <c r="CO43">
        <f>IF(COUNTIFS(T_StockCount[Part Name],$A43,T_StockCount[WeekIndex],92)&gt;0,SUMIFS(T_StockCount[CountedQty],T_StockCount[Part Name],$A43,T_StockCount[WeekIndex],92),IF(('T_SelfStock'!CO47&lt;&gt;""),'T_SelfStock'!CO47,CN43-'Grid_Requirement'!CO43+'Grid_TTAFOutgoing'!CO43))</f>
        <v/>
      </c>
      <c r="CP43">
        <f>IF(COUNTIFS(T_StockCount[Part Name],$A43,T_StockCount[WeekIndex],93)&gt;0,SUMIFS(T_StockCount[CountedQty],T_StockCount[Part Name],$A43,T_StockCount[WeekIndex],93),IF(('T_SelfStock'!CP47&lt;&gt;""),'T_SelfStock'!CP47,CO43-'Grid_Requirement'!CP43+'Grid_TTAFOutgoing'!CP43))</f>
        <v/>
      </c>
      <c r="CQ43">
        <f>IF(COUNTIFS(T_StockCount[Part Name],$A43,T_StockCount[WeekIndex],94)&gt;0,SUMIFS(T_StockCount[CountedQty],T_StockCount[Part Name],$A43,T_StockCount[WeekIndex],94),IF(('T_SelfStock'!CQ47&lt;&gt;""),'T_SelfStock'!CQ47,CP43-'Grid_Requirement'!CQ43+'Grid_TTAFOutgoing'!CQ43))</f>
        <v/>
      </c>
      <c r="CR43">
        <f>IF(COUNTIFS(T_StockCount[Part Name],$A43,T_StockCount[WeekIndex],95)&gt;0,SUMIFS(T_StockCount[CountedQty],T_StockCount[Part Name],$A43,T_StockCount[WeekIndex],95),IF(('T_SelfStock'!CR47&lt;&gt;""),'T_SelfStock'!CR47,CQ43-'Grid_Requirement'!CR43+'Grid_TTAFOutgoing'!CR43))</f>
        <v/>
      </c>
      <c r="CS43">
        <f>IF(COUNTIFS(T_StockCount[Part Name],$A43,T_StockCount[WeekIndex],96)&gt;0,SUMIFS(T_StockCount[CountedQty],T_StockCount[Part Name],$A43,T_StockCount[WeekIndex],96),IF(('T_SelfStock'!CS47&lt;&gt;""),'T_SelfStock'!CS47,CR43-'Grid_Requirement'!CS43+'Grid_TTAFOutgoing'!CS43))</f>
        <v/>
      </c>
      <c r="CT43">
        <f>IF(COUNTIFS(T_StockCount[Part Name],$A43,T_StockCount[WeekIndex],97)&gt;0,SUMIFS(T_StockCount[CountedQty],T_StockCount[Part Name],$A43,T_StockCount[WeekIndex],97),IF(('T_SelfStock'!CT47&lt;&gt;""),'T_SelfStock'!CT47,CS43-'Grid_Requirement'!CT43+'Grid_TTAFOutgoing'!CT43))</f>
        <v/>
      </c>
      <c r="CU43">
        <f>IF(COUNTIFS(T_StockCount[Part Name],$A43,T_StockCount[WeekIndex],98)&gt;0,SUMIFS(T_StockCount[CountedQty],T_StockCount[Part Name],$A43,T_StockCount[WeekIndex],98),IF(('T_SelfStock'!CU47&lt;&gt;""),'T_SelfStock'!CU47,CT43-'Grid_Requirement'!CU43+'Grid_TTAFOutgoing'!CU43))</f>
        <v/>
      </c>
      <c r="CV43">
        <f>IF(COUNTIFS(T_StockCount[Part Name],$A43,T_StockCount[WeekIndex],99)&gt;0,SUMIFS(T_StockCount[CountedQty],T_StockCount[Part Name],$A43,T_StockCount[WeekIndex],99),IF(('T_SelfStock'!CV47&lt;&gt;""),'T_SelfStock'!CV47,CU43-'Grid_Requirement'!CV43+'Grid_TTAFOutgoing'!CV43))</f>
        <v/>
      </c>
      <c r="CW43">
        <f>IF(COUNTIFS(T_StockCount[Part Name],$A43,T_StockCount[WeekIndex],100)&gt;0,SUMIFS(T_StockCount[CountedQty],T_StockCount[Part Name],$A43,T_StockCount[WeekIndex],100),IF(('T_SelfStock'!CW47&lt;&gt;""),'T_SelfStock'!CW47,CV43-'Grid_Requirement'!CW43+'Grid_TTAFOutgoing'!CW43))</f>
        <v/>
      </c>
      <c r="CX43">
        <f>IF(COUNTIFS(T_StockCount[Part Name],$A43,T_StockCount[WeekIndex],101)&gt;0,SUMIFS(T_StockCount[CountedQty],T_StockCount[Part Name],$A43,T_StockCount[WeekIndex],101),IF(('T_SelfStock'!CX47&lt;&gt;""),'T_SelfStock'!CX47,CW43-'Grid_Requirement'!CX43+'Grid_TTAFOutgoing'!CX43))</f>
        <v/>
      </c>
      <c r="CY43">
        <f>IF(COUNTIFS(T_StockCount[Part Name],$A43,T_StockCount[WeekIndex],102)&gt;0,SUMIFS(T_StockCount[CountedQty],T_StockCount[Part Name],$A43,T_StockCount[WeekIndex],102),IF(('T_SelfStock'!CY47&lt;&gt;""),'T_SelfStock'!CY47,CX43-'Grid_Requirement'!CY43+'Grid_TTAFOutgoing'!CY43))</f>
        <v/>
      </c>
      <c r="CZ43">
        <f>IF(COUNTIFS(T_StockCount[Part Name],$A43,T_StockCount[WeekIndex],103)&gt;0,SUMIFS(T_StockCount[CountedQty],T_StockCount[Part Name],$A43,T_StockCount[WeekIndex],103),IF(('T_SelfStock'!CZ47&lt;&gt;""),'T_SelfStock'!CZ47,CY43-'Grid_Requirement'!CZ43+'Grid_TTAFOutgoing'!CZ43))</f>
        <v/>
      </c>
      <c r="DA43">
        <f>IF(COUNTIFS(T_StockCount[Part Name],$A43,T_StockCount[WeekIndex],104)&gt;0,SUMIFS(T_StockCount[CountedQty],T_StockCount[Part Name],$A43,T_StockCount[WeekIndex],104),IF(('T_SelfStock'!DA47&lt;&gt;""),'T_SelfStock'!DA47,CZ43-'Grid_Requirement'!DA43+'Grid_TTAFOutgoing'!DA43))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Name],$A44,T_StockCount[WeekIndex],1),IF(('T_SelfStock'!B48&lt;&gt;""),'T_SelfStock'!B48,IFERROR(INDEX(T_OpeningStock[Opening_Qty],MATCH($A44,T_OpeningStock[Part Name],0)),0)-'Grid_Requirement'!B44+'Grid_TTAFOutgoing'!B44))</f>
        <v/>
      </c>
      <c r="C44">
        <f>IF(COUNTIFS(T_StockCount[Part Name],$A44,T_StockCount[WeekIndex],2)&gt;0,SUMIFS(T_StockCount[CountedQty],T_StockCount[Part Name],$A44,T_StockCount[WeekIndex],2),IF(('T_SelfStock'!C48&lt;&gt;""),'T_SelfStock'!C48,B44-'Grid_Requirement'!C44+'Grid_TTAFOutgoing'!C44))</f>
        <v/>
      </c>
      <c r="D44">
        <f>IF(COUNTIFS(T_StockCount[Part Name],$A44,T_StockCount[WeekIndex],3)&gt;0,SUMIFS(T_StockCount[CountedQty],T_StockCount[Part Name],$A44,T_StockCount[WeekIndex],3),IF(('T_SelfStock'!D48&lt;&gt;""),'T_SelfStock'!D48,C44-'Grid_Requirement'!D44+'Grid_TTAFOutgoing'!D44))</f>
        <v/>
      </c>
      <c r="E44">
        <f>IF(COUNTIFS(T_StockCount[Part Name],$A44,T_StockCount[WeekIndex],4)&gt;0,SUMIFS(T_StockCount[CountedQty],T_StockCount[Part Name],$A44,T_StockCount[WeekIndex],4),IF(('T_SelfStock'!E48&lt;&gt;""),'T_SelfStock'!E48,D44-'Grid_Requirement'!E44+'Grid_TTAFOutgoing'!E44))</f>
        <v/>
      </c>
      <c r="F44">
        <f>IF(COUNTIFS(T_StockCount[Part Name],$A44,T_StockCount[WeekIndex],5)&gt;0,SUMIFS(T_StockCount[CountedQty],T_StockCount[Part Name],$A44,T_StockCount[WeekIndex],5),IF(('T_SelfStock'!F48&lt;&gt;""),'T_SelfStock'!F48,E44-'Grid_Requirement'!F44+'Grid_TTAFOutgoing'!F44))</f>
        <v/>
      </c>
      <c r="G44">
        <f>IF(COUNTIFS(T_StockCount[Part Name],$A44,T_StockCount[WeekIndex],6)&gt;0,SUMIFS(T_StockCount[CountedQty],T_StockCount[Part Name],$A44,T_StockCount[WeekIndex],6),IF(('T_SelfStock'!G48&lt;&gt;""),'T_SelfStock'!G48,F44-'Grid_Requirement'!G44+'Grid_TTAFOutgoing'!G44))</f>
        <v/>
      </c>
      <c r="H44">
        <f>IF(COUNTIFS(T_StockCount[Part Name],$A44,T_StockCount[WeekIndex],7)&gt;0,SUMIFS(T_StockCount[CountedQty],T_StockCount[Part Name],$A44,T_StockCount[WeekIndex],7),IF(('T_SelfStock'!H48&lt;&gt;""),'T_SelfStock'!H48,G44-'Grid_Requirement'!H44+'Grid_TTAFOutgoing'!H44))</f>
        <v/>
      </c>
      <c r="I44">
        <f>IF(COUNTIFS(T_StockCount[Part Name],$A44,T_StockCount[WeekIndex],8)&gt;0,SUMIFS(T_StockCount[CountedQty],T_StockCount[Part Name],$A44,T_StockCount[WeekIndex],8),IF(('T_SelfStock'!I48&lt;&gt;""),'T_SelfStock'!I48,H44-'Grid_Requirement'!I44+'Grid_TTAFOutgoing'!I44))</f>
        <v/>
      </c>
      <c r="J44">
        <f>IF(COUNTIFS(T_StockCount[Part Name],$A44,T_StockCount[WeekIndex],9)&gt;0,SUMIFS(T_StockCount[CountedQty],T_StockCount[Part Name],$A44,T_StockCount[WeekIndex],9),IF(('T_SelfStock'!J48&lt;&gt;""),'T_SelfStock'!J48,I44-'Grid_Requirement'!J44+'Grid_TTAFOutgoing'!J44))</f>
        <v/>
      </c>
      <c r="K44">
        <f>IF(COUNTIFS(T_StockCount[Part Name],$A44,T_StockCount[WeekIndex],10)&gt;0,SUMIFS(T_StockCount[CountedQty],T_StockCount[Part Name],$A44,T_StockCount[WeekIndex],10),IF(('T_SelfStock'!K48&lt;&gt;""),'T_SelfStock'!K48,J44-'Grid_Requirement'!K44+'Grid_TTAFOutgoing'!K44))</f>
        <v/>
      </c>
      <c r="L44">
        <f>IF(COUNTIFS(T_StockCount[Part Name],$A44,T_StockCount[WeekIndex],11)&gt;0,SUMIFS(T_StockCount[CountedQty],T_StockCount[Part Name],$A44,T_StockCount[WeekIndex],11),IF(('T_SelfStock'!L48&lt;&gt;""),'T_SelfStock'!L48,K44-'Grid_Requirement'!L44+'Grid_TTAFOutgoing'!L44))</f>
        <v/>
      </c>
      <c r="M44">
        <f>IF(COUNTIFS(T_StockCount[Part Name],$A44,T_StockCount[WeekIndex],12)&gt;0,SUMIFS(T_StockCount[CountedQty],T_StockCount[Part Name],$A44,T_StockCount[WeekIndex],12),IF(('T_SelfStock'!M48&lt;&gt;""),'T_SelfStock'!M48,L44-'Grid_Requirement'!M44+'Grid_TTAFOutgoing'!M44))</f>
        <v/>
      </c>
      <c r="N44">
        <f>IF(COUNTIFS(T_StockCount[Part Name],$A44,T_StockCount[WeekIndex],13)&gt;0,SUMIFS(T_StockCount[CountedQty],T_StockCount[Part Name],$A44,T_StockCount[WeekIndex],13),IF(('T_SelfStock'!N48&lt;&gt;""),'T_SelfStock'!N48,M44-'Grid_Requirement'!N44+'Grid_TTAFOutgoing'!N44))</f>
        <v/>
      </c>
      <c r="O44">
        <f>IF(COUNTIFS(T_StockCount[Part Name],$A44,T_StockCount[WeekIndex],14)&gt;0,SUMIFS(T_StockCount[CountedQty],T_StockCount[Part Name],$A44,T_StockCount[WeekIndex],14),IF(('T_SelfStock'!O48&lt;&gt;""),'T_SelfStock'!O48,N44-'Grid_Requirement'!O44+'Grid_TTAFOutgoing'!O44))</f>
        <v/>
      </c>
      <c r="P44">
        <f>IF(COUNTIFS(T_StockCount[Part Name],$A44,T_StockCount[WeekIndex],15)&gt;0,SUMIFS(T_StockCount[CountedQty],T_StockCount[Part Name],$A44,T_StockCount[WeekIndex],15),IF(('T_SelfStock'!P48&lt;&gt;""),'T_SelfStock'!P48,O44-'Grid_Requirement'!P44+'Grid_TTAFOutgoing'!P44))</f>
        <v/>
      </c>
      <c r="Q44">
        <f>IF(COUNTIFS(T_StockCount[Part Name],$A44,T_StockCount[WeekIndex],16)&gt;0,SUMIFS(T_StockCount[CountedQty],T_StockCount[Part Name],$A44,T_StockCount[WeekIndex],16),IF(('T_SelfStock'!Q48&lt;&gt;""),'T_SelfStock'!Q48,P44-'Grid_Requirement'!Q44+'Grid_TTAFOutgoing'!Q44))</f>
        <v/>
      </c>
      <c r="R44">
        <f>IF(COUNTIFS(T_StockCount[Part Name],$A44,T_StockCount[WeekIndex],17)&gt;0,SUMIFS(T_StockCount[CountedQty],T_StockCount[Part Name],$A44,T_StockCount[WeekIndex],17),IF(('T_SelfStock'!R48&lt;&gt;""),'T_SelfStock'!R48,Q44-'Grid_Requirement'!R44+'Grid_TTAFOutgoing'!R44))</f>
        <v/>
      </c>
      <c r="S44">
        <f>IF(COUNTIFS(T_StockCount[Part Name],$A44,T_StockCount[WeekIndex],18)&gt;0,SUMIFS(T_StockCount[CountedQty],T_StockCount[Part Name],$A44,T_StockCount[WeekIndex],18),IF(('T_SelfStock'!S48&lt;&gt;""),'T_SelfStock'!S48,R44-'Grid_Requirement'!S44+'Grid_TTAFOutgoing'!S44))</f>
        <v/>
      </c>
      <c r="T44">
        <f>IF(COUNTIFS(T_StockCount[Part Name],$A44,T_StockCount[WeekIndex],19)&gt;0,SUMIFS(T_StockCount[CountedQty],T_StockCount[Part Name],$A44,T_StockCount[WeekIndex],19),IF(('T_SelfStock'!T48&lt;&gt;""),'T_SelfStock'!T48,S44-'Grid_Requirement'!T44+'Grid_TTAFOutgoing'!T44))</f>
        <v/>
      </c>
      <c r="U44">
        <f>IF(COUNTIFS(T_StockCount[Part Name],$A44,T_StockCount[WeekIndex],20)&gt;0,SUMIFS(T_StockCount[CountedQty],T_StockCount[Part Name],$A44,T_StockCount[WeekIndex],20),IF(('T_SelfStock'!U48&lt;&gt;""),'T_SelfStock'!U48,T44-'Grid_Requirement'!U44+'Grid_TTAFOutgoing'!U44))</f>
        <v/>
      </c>
      <c r="V44">
        <f>IF(COUNTIFS(T_StockCount[Part Name],$A44,T_StockCount[WeekIndex],21)&gt;0,SUMIFS(T_StockCount[CountedQty],T_StockCount[Part Name],$A44,T_StockCount[WeekIndex],21),IF(('T_SelfStock'!V48&lt;&gt;""),'T_SelfStock'!V48,U44-'Grid_Requirement'!V44+'Grid_TTAFOutgoing'!V44))</f>
        <v/>
      </c>
      <c r="W44">
        <f>IF(COUNTIFS(T_StockCount[Part Name],$A44,T_StockCount[WeekIndex],22)&gt;0,SUMIFS(T_StockCount[CountedQty],T_StockCount[Part Name],$A44,T_StockCount[WeekIndex],22),IF(('T_SelfStock'!W48&lt;&gt;""),'T_SelfStock'!W48,V44-'Grid_Requirement'!W44+'Grid_TTAFOutgoing'!W44))</f>
        <v/>
      </c>
      <c r="X44">
        <f>IF(COUNTIFS(T_StockCount[Part Name],$A44,T_StockCount[WeekIndex],23)&gt;0,SUMIFS(T_StockCount[CountedQty],T_StockCount[Part Name],$A44,T_StockCount[WeekIndex],23),IF(('T_SelfStock'!X48&lt;&gt;""),'T_SelfStock'!X48,W44-'Grid_Requirement'!X44+'Grid_TTAFOutgoing'!X44))</f>
        <v/>
      </c>
      <c r="Y44">
        <f>IF(COUNTIFS(T_StockCount[Part Name],$A44,T_StockCount[WeekIndex],24)&gt;0,SUMIFS(T_StockCount[CountedQty],T_StockCount[Part Name],$A44,T_StockCount[WeekIndex],24),IF(('T_SelfStock'!Y48&lt;&gt;""),'T_SelfStock'!Y48,X44-'Grid_Requirement'!Y44+'Grid_TTAFOutgoing'!Y44))</f>
        <v/>
      </c>
      <c r="Z44">
        <f>IF(COUNTIFS(T_StockCount[Part Name],$A44,T_StockCount[WeekIndex],25)&gt;0,SUMIFS(T_StockCount[CountedQty],T_StockCount[Part Name],$A44,T_StockCount[WeekIndex],25),IF(('T_SelfStock'!Z48&lt;&gt;""),'T_SelfStock'!Z48,Y44-'Grid_Requirement'!Z44+'Grid_TTAFOutgoing'!Z44))</f>
        <v/>
      </c>
      <c r="AA44">
        <f>IF(COUNTIFS(T_StockCount[Part Name],$A44,T_StockCount[WeekIndex],26)&gt;0,SUMIFS(T_StockCount[CountedQty],T_StockCount[Part Name],$A44,T_StockCount[WeekIndex],26),IF(('T_SelfStock'!AA48&lt;&gt;""),'T_SelfStock'!AA48,Z44-'Grid_Requirement'!AA44+'Grid_TTAFOutgoing'!AA44))</f>
        <v/>
      </c>
      <c r="AB44">
        <f>IF(COUNTIFS(T_StockCount[Part Name],$A44,T_StockCount[WeekIndex],27)&gt;0,SUMIFS(T_StockCount[CountedQty],T_StockCount[Part Name],$A44,T_StockCount[WeekIndex],27),IF(('T_SelfStock'!AB48&lt;&gt;""),'T_SelfStock'!AB48,AA44-'Grid_Requirement'!AB44+'Grid_TTAFOutgoing'!AB44))</f>
        <v/>
      </c>
      <c r="AC44">
        <f>IF(COUNTIFS(T_StockCount[Part Name],$A44,T_StockCount[WeekIndex],28)&gt;0,SUMIFS(T_StockCount[CountedQty],T_StockCount[Part Name],$A44,T_StockCount[WeekIndex],28),IF(('T_SelfStock'!AC48&lt;&gt;""),'T_SelfStock'!AC48,AB44-'Grid_Requirement'!AC44+'Grid_TTAFOutgoing'!AC44))</f>
        <v/>
      </c>
      <c r="AD44">
        <f>IF(COUNTIFS(T_StockCount[Part Name],$A44,T_StockCount[WeekIndex],29)&gt;0,SUMIFS(T_StockCount[CountedQty],T_StockCount[Part Name],$A44,T_StockCount[WeekIndex],29),IF(('T_SelfStock'!AD48&lt;&gt;""),'T_SelfStock'!AD48,AC44-'Grid_Requirement'!AD44+'Grid_TTAFOutgoing'!AD44))</f>
        <v/>
      </c>
      <c r="AE44">
        <f>IF(COUNTIFS(T_StockCount[Part Name],$A44,T_StockCount[WeekIndex],30)&gt;0,SUMIFS(T_StockCount[CountedQty],T_StockCount[Part Name],$A44,T_StockCount[WeekIndex],30),IF(('T_SelfStock'!AE48&lt;&gt;""),'T_SelfStock'!AE48,AD44-'Grid_Requirement'!AE44+'Grid_TTAFOutgoing'!AE44))</f>
        <v/>
      </c>
      <c r="AF44">
        <f>IF(COUNTIFS(T_StockCount[Part Name],$A44,T_StockCount[WeekIndex],31)&gt;0,SUMIFS(T_StockCount[CountedQty],T_StockCount[Part Name],$A44,T_StockCount[WeekIndex],31),IF(('T_SelfStock'!AF48&lt;&gt;""),'T_SelfStock'!AF48,AE44-'Grid_Requirement'!AF44+'Grid_TTAFOutgoing'!AF44))</f>
        <v/>
      </c>
      <c r="AG44">
        <f>IF(COUNTIFS(T_StockCount[Part Name],$A44,T_StockCount[WeekIndex],32)&gt;0,SUMIFS(T_StockCount[CountedQty],T_StockCount[Part Name],$A44,T_StockCount[WeekIndex],32),IF(('T_SelfStock'!AG48&lt;&gt;""),'T_SelfStock'!AG48,AF44-'Grid_Requirement'!AG44+'Grid_TTAFOutgoing'!AG44))</f>
        <v/>
      </c>
      <c r="AH44">
        <f>IF(COUNTIFS(T_StockCount[Part Name],$A44,T_StockCount[WeekIndex],33)&gt;0,SUMIFS(T_StockCount[CountedQty],T_StockCount[Part Name],$A44,T_StockCount[WeekIndex],33),IF(('T_SelfStock'!AH48&lt;&gt;""),'T_SelfStock'!AH48,AG44-'Grid_Requirement'!AH44+'Grid_TTAFOutgoing'!AH44))</f>
        <v/>
      </c>
      <c r="AI44">
        <f>IF(COUNTIFS(T_StockCount[Part Name],$A44,T_StockCount[WeekIndex],34)&gt;0,SUMIFS(T_StockCount[CountedQty],T_StockCount[Part Name],$A44,T_StockCount[WeekIndex],34),IF(('T_SelfStock'!AI48&lt;&gt;""),'T_SelfStock'!AI48,AH44-'Grid_Requirement'!AI44+'Grid_TTAFOutgoing'!AI44))</f>
        <v/>
      </c>
      <c r="AJ44">
        <f>IF(COUNTIFS(T_StockCount[Part Name],$A44,T_StockCount[WeekIndex],35)&gt;0,SUMIFS(T_StockCount[CountedQty],T_StockCount[Part Name],$A44,T_StockCount[WeekIndex],35),IF(('T_SelfStock'!AJ48&lt;&gt;""),'T_SelfStock'!AJ48,AI44-'Grid_Requirement'!AJ44+'Grid_TTAFOutgoing'!AJ44))</f>
        <v/>
      </c>
      <c r="AK44">
        <f>IF(COUNTIFS(T_StockCount[Part Name],$A44,T_StockCount[WeekIndex],36)&gt;0,SUMIFS(T_StockCount[CountedQty],T_StockCount[Part Name],$A44,T_StockCount[WeekIndex],36),IF(('T_SelfStock'!AK48&lt;&gt;""),'T_SelfStock'!AK48,AJ44-'Grid_Requirement'!AK44+'Grid_TTAFOutgoing'!AK44))</f>
        <v/>
      </c>
      <c r="AL44">
        <f>IF(COUNTIFS(T_StockCount[Part Name],$A44,T_StockCount[WeekIndex],37)&gt;0,SUMIFS(T_StockCount[CountedQty],T_StockCount[Part Name],$A44,T_StockCount[WeekIndex],37),IF(('T_SelfStock'!AL48&lt;&gt;""),'T_SelfStock'!AL48,AK44-'Grid_Requirement'!AL44+'Grid_TTAFOutgoing'!AL44))</f>
        <v/>
      </c>
      <c r="AM44">
        <f>IF(COUNTIFS(T_StockCount[Part Name],$A44,T_StockCount[WeekIndex],38)&gt;0,SUMIFS(T_StockCount[CountedQty],T_StockCount[Part Name],$A44,T_StockCount[WeekIndex],38),IF(('T_SelfStock'!AM48&lt;&gt;""),'T_SelfStock'!AM48,AL44-'Grid_Requirement'!AM44+'Grid_TTAFOutgoing'!AM44))</f>
        <v/>
      </c>
      <c r="AN44">
        <f>IF(COUNTIFS(T_StockCount[Part Name],$A44,T_StockCount[WeekIndex],39)&gt;0,SUMIFS(T_StockCount[CountedQty],T_StockCount[Part Name],$A44,T_StockCount[WeekIndex],39),IF(('T_SelfStock'!AN48&lt;&gt;""),'T_SelfStock'!AN48,AM44-'Grid_Requirement'!AN44+'Grid_TTAFOutgoing'!AN44))</f>
        <v/>
      </c>
      <c r="AO44">
        <f>IF(COUNTIFS(T_StockCount[Part Name],$A44,T_StockCount[WeekIndex],40)&gt;0,SUMIFS(T_StockCount[CountedQty],T_StockCount[Part Name],$A44,T_StockCount[WeekIndex],40),IF(('T_SelfStock'!AO48&lt;&gt;""),'T_SelfStock'!AO48,AN44-'Grid_Requirement'!AO44+'Grid_TTAFOutgoing'!AO44))</f>
        <v/>
      </c>
      <c r="AP44">
        <f>IF(COUNTIFS(T_StockCount[Part Name],$A44,T_StockCount[WeekIndex],41)&gt;0,SUMIFS(T_StockCount[CountedQty],T_StockCount[Part Name],$A44,T_StockCount[WeekIndex],41),IF(('T_SelfStock'!AP48&lt;&gt;""),'T_SelfStock'!AP48,AO44-'Grid_Requirement'!AP44+'Grid_TTAFOutgoing'!AP44))</f>
        <v/>
      </c>
      <c r="AQ44">
        <f>IF(COUNTIFS(T_StockCount[Part Name],$A44,T_StockCount[WeekIndex],42)&gt;0,SUMIFS(T_StockCount[CountedQty],T_StockCount[Part Name],$A44,T_StockCount[WeekIndex],42),IF(('T_SelfStock'!AQ48&lt;&gt;""),'T_SelfStock'!AQ48,AP44-'Grid_Requirement'!AQ44+'Grid_TTAFOutgoing'!AQ44))</f>
        <v/>
      </c>
      <c r="AR44">
        <f>IF(COUNTIFS(T_StockCount[Part Name],$A44,T_StockCount[WeekIndex],43)&gt;0,SUMIFS(T_StockCount[CountedQty],T_StockCount[Part Name],$A44,T_StockCount[WeekIndex],43),IF(('T_SelfStock'!AR48&lt;&gt;""),'T_SelfStock'!AR48,AQ44-'Grid_Requirement'!AR44+'Grid_TTAFOutgoing'!AR44))</f>
        <v/>
      </c>
      <c r="AS44">
        <f>IF(COUNTIFS(T_StockCount[Part Name],$A44,T_StockCount[WeekIndex],44)&gt;0,SUMIFS(T_StockCount[CountedQty],T_StockCount[Part Name],$A44,T_StockCount[WeekIndex],44),IF(('T_SelfStock'!AS48&lt;&gt;""),'T_SelfStock'!AS48,AR44-'Grid_Requirement'!AS44+'Grid_TTAFOutgoing'!AS44))</f>
        <v/>
      </c>
      <c r="AT44">
        <f>IF(COUNTIFS(T_StockCount[Part Name],$A44,T_StockCount[WeekIndex],45)&gt;0,SUMIFS(T_StockCount[CountedQty],T_StockCount[Part Name],$A44,T_StockCount[WeekIndex],45),IF(('T_SelfStock'!AT48&lt;&gt;""),'T_SelfStock'!AT48,AS44-'Grid_Requirement'!AT44+'Grid_TTAFOutgoing'!AT44))</f>
        <v/>
      </c>
      <c r="AU44">
        <f>IF(COUNTIFS(T_StockCount[Part Name],$A44,T_StockCount[WeekIndex],46)&gt;0,SUMIFS(T_StockCount[CountedQty],T_StockCount[Part Name],$A44,T_StockCount[WeekIndex],46),IF(('T_SelfStock'!AU48&lt;&gt;""),'T_SelfStock'!AU48,AT44-'Grid_Requirement'!AU44+'Grid_TTAFOutgoing'!AU44))</f>
        <v/>
      </c>
      <c r="AV44">
        <f>IF(COUNTIFS(T_StockCount[Part Name],$A44,T_StockCount[WeekIndex],47)&gt;0,SUMIFS(T_StockCount[CountedQty],T_StockCount[Part Name],$A44,T_StockCount[WeekIndex],47),IF(('T_SelfStock'!AV48&lt;&gt;""),'T_SelfStock'!AV48,AU44-'Grid_Requirement'!AV44+'Grid_TTAFOutgoing'!AV44))</f>
        <v/>
      </c>
      <c r="AW44">
        <f>IF(COUNTIFS(T_StockCount[Part Name],$A44,T_StockCount[WeekIndex],48)&gt;0,SUMIFS(T_StockCount[CountedQty],T_StockCount[Part Name],$A44,T_StockCount[WeekIndex],48),IF(('T_SelfStock'!AW48&lt;&gt;""),'T_SelfStock'!AW48,AV44-'Grid_Requirement'!AW44+'Grid_TTAFOutgoing'!AW44))</f>
        <v/>
      </c>
      <c r="AX44">
        <f>IF(COUNTIFS(T_StockCount[Part Name],$A44,T_StockCount[WeekIndex],49)&gt;0,SUMIFS(T_StockCount[CountedQty],T_StockCount[Part Name],$A44,T_StockCount[WeekIndex],49),IF(('T_SelfStock'!AX48&lt;&gt;""),'T_SelfStock'!AX48,AW44-'Grid_Requirement'!AX44+'Grid_TTAFOutgoing'!AX44))</f>
        <v/>
      </c>
      <c r="AY44">
        <f>IF(COUNTIFS(T_StockCount[Part Name],$A44,T_StockCount[WeekIndex],50)&gt;0,SUMIFS(T_StockCount[CountedQty],T_StockCount[Part Name],$A44,T_StockCount[WeekIndex],50),IF(('T_SelfStock'!AY48&lt;&gt;""),'T_SelfStock'!AY48,AX44-'Grid_Requirement'!AY44+'Grid_TTAFOutgoing'!AY44))</f>
        <v/>
      </c>
      <c r="AZ44">
        <f>IF(COUNTIFS(T_StockCount[Part Name],$A44,T_StockCount[WeekIndex],51)&gt;0,SUMIFS(T_StockCount[CountedQty],T_StockCount[Part Name],$A44,T_StockCount[WeekIndex],51),IF(('T_SelfStock'!AZ48&lt;&gt;""),'T_SelfStock'!AZ48,AY44-'Grid_Requirement'!AZ44+'Grid_TTAFOutgoing'!AZ44))</f>
        <v/>
      </c>
      <c r="BA44">
        <f>IF(COUNTIFS(T_StockCount[Part Name],$A44,T_StockCount[WeekIndex],52)&gt;0,SUMIFS(T_StockCount[CountedQty],T_StockCount[Part Name],$A44,T_StockCount[WeekIndex],52),IF(('T_SelfStock'!BA48&lt;&gt;""),'T_SelfStock'!BA48,AZ44-'Grid_Requirement'!BA44+'Grid_TTAFOutgoing'!BA44))</f>
        <v/>
      </c>
      <c r="BB44">
        <f>IF(COUNTIFS(T_StockCount[Part Name],$A44,T_StockCount[WeekIndex],53)&gt;0,SUMIFS(T_StockCount[CountedQty],T_StockCount[Part Name],$A44,T_StockCount[WeekIndex],53),IF(('T_SelfStock'!BB48&lt;&gt;""),'T_SelfStock'!BB48,BA44-'Grid_Requirement'!BB44+'Grid_TTAFOutgoing'!BB44))</f>
        <v/>
      </c>
      <c r="BC44">
        <f>IF(COUNTIFS(T_StockCount[Part Name],$A44,T_StockCount[WeekIndex],54)&gt;0,SUMIFS(T_StockCount[CountedQty],T_StockCount[Part Name],$A44,T_StockCount[WeekIndex],54),IF(('T_SelfStock'!BC48&lt;&gt;""),'T_SelfStock'!BC48,BB44-'Grid_Requirement'!BC44+'Grid_TTAFOutgoing'!BC44))</f>
        <v/>
      </c>
      <c r="BD44">
        <f>IF(COUNTIFS(T_StockCount[Part Name],$A44,T_StockCount[WeekIndex],55)&gt;0,SUMIFS(T_StockCount[CountedQty],T_StockCount[Part Name],$A44,T_StockCount[WeekIndex],55),IF(('T_SelfStock'!BD48&lt;&gt;""),'T_SelfStock'!BD48,BC44-'Grid_Requirement'!BD44+'Grid_TTAFOutgoing'!BD44))</f>
        <v/>
      </c>
      <c r="BE44">
        <f>IF(COUNTIFS(T_StockCount[Part Name],$A44,T_StockCount[WeekIndex],56)&gt;0,SUMIFS(T_StockCount[CountedQty],T_StockCount[Part Name],$A44,T_StockCount[WeekIndex],56),IF(('T_SelfStock'!BE48&lt;&gt;""),'T_SelfStock'!BE48,BD44-'Grid_Requirement'!BE44+'Grid_TTAFOutgoing'!BE44))</f>
        <v/>
      </c>
      <c r="BF44">
        <f>IF(COUNTIFS(T_StockCount[Part Name],$A44,T_StockCount[WeekIndex],57)&gt;0,SUMIFS(T_StockCount[CountedQty],T_StockCount[Part Name],$A44,T_StockCount[WeekIndex],57),IF(('T_SelfStock'!BF48&lt;&gt;""),'T_SelfStock'!BF48,BE44-'Grid_Requirement'!BF44+'Grid_TTAFOutgoing'!BF44))</f>
        <v/>
      </c>
      <c r="BG44">
        <f>IF(COUNTIFS(T_StockCount[Part Name],$A44,T_StockCount[WeekIndex],58)&gt;0,SUMIFS(T_StockCount[CountedQty],T_StockCount[Part Name],$A44,T_StockCount[WeekIndex],58),IF(('T_SelfStock'!BG48&lt;&gt;""),'T_SelfStock'!BG48,BF44-'Grid_Requirement'!BG44+'Grid_TTAFOutgoing'!BG44))</f>
        <v/>
      </c>
      <c r="BH44">
        <f>IF(COUNTIFS(T_StockCount[Part Name],$A44,T_StockCount[WeekIndex],59)&gt;0,SUMIFS(T_StockCount[CountedQty],T_StockCount[Part Name],$A44,T_StockCount[WeekIndex],59),IF(('T_SelfStock'!BH48&lt;&gt;""),'T_SelfStock'!BH48,BG44-'Grid_Requirement'!BH44+'Grid_TTAFOutgoing'!BH44))</f>
        <v/>
      </c>
      <c r="BI44">
        <f>IF(COUNTIFS(T_StockCount[Part Name],$A44,T_StockCount[WeekIndex],60)&gt;0,SUMIFS(T_StockCount[CountedQty],T_StockCount[Part Name],$A44,T_StockCount[WeekIndex],60),IF(('T_SelfStock'!BI48&lt;&gt;""),'T_SelfStock'!BI48,BH44-'Grid_Requirement'!BI44+'Grid_TTAFOutgoing'!BI44))</f>
        <v/>
      </c>
      <c r="BJ44">
        <f>IF(COUNTIFS(T_StockCount[Part Name],$A44,T_StockCount[WeekIndex],61)&gt;0,SUMIFS(T_StockCount[CountedQty],T_StockCount[Part Name],$A44,T_StockCount[WeekIndex],61),IF(('T_SelfStock'!BJ48&lt;&gt;""),'T_SelfStock'!BJ48,BI44-'Grid_Requirement'!BJ44+'Grid_TTAFOutgoing'!BJ44))</f>
        <v/>
      </c>
      <c r="BK44">
        <f>IF(COUNTIFS(T_StockCount[Part Name],$A44,T_StockCount[WeekIndex],62)&gt;0,SUMIFS(T_StockCount[CountedQty],T_StockCount[Part Name],$A44,T_StockCount[WeekIndex],62),IF(('T_SelfStock'!BK48&lt;&gt;""),'T_SelfStock'!BK48,BJ44-'Grid_Requirement'!BK44+'Grid_TTAFOutgoing'!BK44))</f>
        <v/>
      </c>
      <c r="BL44">
        <f>IF(COUNTIFS(T_StockCount[Part Name],$A44,T_StockCount[WeekIndex],63)&gt;0,SUMIFS(T_StockCount[CountedQty],T_StockCount[Part Name],$A44,T_StockCount[WeekIndex],63),IF(('T_SelfStock'!BL48&lt;&gt;""),'T_SelfStock'!BL48,BK44-'Grid_Requirement'!BL44+'Grid_TTAFOutgoing'!BL44))</f>
        <v/>
      </c>
      <c r="BM44">
        <f>IF(COUNTIFS(T_StockCount[Part Name],$A44,T_StockCount[WeekIndex],64)&gt;0,SUMIFS(T_StockCount[CountedQty],T_StockCount[Part Name],$A44,T_StockCount[WeekIndex],64),IF(('T_SelfStock'!BM48&lt;&gt;""),'T_SelfStock'!BM48,BL44-'Grid_Requirement'!BM44+'Grid_TTAFOutgoing'!BM44))</f>
        <v/>
      </c>
      <c r="BN44">
        <f>IF(COUNTIFS(T_StockCount[Part Name],$A44,T_StockCount[WeekIndex],65)&gt;0,SUMIFS(T_StockCount[CountedQty],T_StockCount[Part Name],$A44,T_StockCount[WeekIndex],65),IF(('T_SelfStock'!BN48&lt;&gt;""),'T_SelfStock'!BN48,BM44-'Grid_Requirement'!BN44+'Grid_TTAFOutgoing'!BN44))</f>
        <v/>
      </c>
      <c r="BO44">
        <f>IF(COUNTIFS(T_StockCount[Part Name],$A44,T_StockCount[WeekIndex],66)&gt;0,SUMIFS(T_StockCount[CountedQty],T_StockCount[Part Name],$A44,T_StockCount[WeekIndex],66),IF(('T_SelfStock'!BO48&lt;&gt;""),'T_SelfStock'!BO48,BN44-'Grid_Requirement'!BO44+'Grid_TTAFOutgoing'!BO44))</f>
        <v/>
      </c>
      <c r="BP44">
        <f>IF(COUNTIFS(T_StockCount[Part Name],$A44,T_StockCount[WeekIndex],67)&gt;0,SUMIFS(T_StockCount[CountedQty],T_StockCount[Part Name],$A44,T_StockCount[WeekIndex],67),IF(('T_SelfStock'!BP48&lt;&gt;""),'T_SelfStock'!BP48,BO44-'Grid_Requirement'!BP44+'Grid_TTAFOutgoing'!BP44))</f>
        <v/>
      </c>
      <c r="BQ44">
        <f>IF(COUNTIFS(T_StockCount[Part Name],$A44,T_StockCount[WeekIndex],68)&gt;0,SUMIFS(T_StockCount[CountedQty],T_StockCount[Part Name],$A44,T_StockCount[WeekIndex],68),IF(('T_SelfStock'!BQ48&lt;&gt;""),'T_SelfStock'!BQ48,BP44-'Grid_Requirement'!BQ44+'Grid_TTAFOutgoing'!BQ44))</f>
        <v/>
      </c>
      <c r="BR44">
        <f>IF(COUNTIFS(T_StockCount[Part Name],$A44,T_StockCount[WeekIndex],69)&gt;0,SUMIFS(T_StockCount[CountedQty],T_StockCount[Part Name],$A44,T_StockCount[WeekIndex],69),IF(('T_SelfStock'!BR48&lt;&gt;""),'T_SelfStock'!BR48,BQ44-'Grid_Requirement'!BR44+'Grid_TTAFOutgoing'!BR44))</f>
        <v/>
      </c>
      <c r="BS44">
        <f>IF(COUNTIFS(T_StockCount[Part Name],$A44,T_StockCount[WeekIndex],70)&gt;0,SUMIFS(T_StockCount[CountedQty],T_StockCount[Part Name],$A44,T_StockCount[WeekIndex],70),IF(('T_SelfStock'!BS48&lt;&gt;""),'T_SelfStock'!BS48,BR44-'Grid_Requirement'!BS44+'Grid_TTAFOutgoing'!BS44))</f>
        <v/>
      </c>
      <c r="BT44">
        <f>IF(COUNTIFS(T_StockCount[Part Name],$A44,T_StockCount[WeekIndex],71)&gt;0,SUMIFS(T_StockCount[CountedQty],T_StockCount[Part Name],$A44,T_StockCount[WeekIndex],71),IF(('T_SelfStock'!BT48&lt;&gt;""),'T_SelfStock'!BT48,BS44-'Grid_Requirement'!BT44+'Grid_TTAFOutgoing'!BT44))</f>
        <v/>
      </c>
      <c r="BU44">
        <f>IF(COUNTIFS(T_StockCount[Part Name],$A44,T_StockCount[WeekIndex],72)&gt;0,SUMIFS(T_StockCount[CountedQty],T_StockCount[Part Name],$A44,T_StockCount[WeekIndex],72),IF(('T_SelfStock'!BU48&lt;&gt;""),'T_SelfStock'!BU48,BT44-'Grid_Requirement'!BU44+'Grid_TTAFOutgoing'!BU44))</f>
        <v/>
      </c>
      <c r="BV44">
        <f>IF(COUNTIFS(T_StockCount[Part Name],$A44,T_StockCount[WeekIndex],73)&gt;0,SUMIFS(T_StockCount[CountedQty],T_StockCount[Part Name],$A44,T_StockCount[WeekIndex],73),IF(('T_SelfStock'!BV48&lt;&gt;""),'T_SelfStock'!BV48,BU44-'Grid_Requirement'!BV44+'Grid_TTAFOutgoing'!BV44))</f>
        <v/>
      </c>
      <c r="BW44">
        <f>IF(COUNTIFS(T_StockCount[Part Name],$A44,T_StockCount[WeekIndex],74)&gt;0,SUMIFS(T_StockCount[CountedQty],T_StockCount[Part Name],$A44,T_StockCount[WeekIndex],74),IF(('T_SelfStock'!BW48&lt;&gt;""),'T_SelfStock'!BW48,BV44-'Grid_Requirement'!BW44+'Grid_TTAFOutgoing'!BW44))</f>
        <v/>
      </c>
      <c r="BX44">
        <f>IF(COUNTIFS(T_StockCount[Part Name],$A44,T_StockCount[WeekIndex],75)&gt;0,SUMIFS(T_StockCount[CountedQty],T_StockCount[Part Name],$A44,T_StockCount[WeekIndex],75),IF(('T_SelfStock'!BX48&lt;&gt;""),'T_SelfStock'!BX48,BW44-'Grid_Requirement'!BX44+'Grid_TTAFOutgoing'!BX44))</f>
        <v/>
      </c>
      <c r="BY44">
        <f>IF(COUNTIFS(T_StockCount[Part Name],$A44,T_StockCount[WeekIndex],76)&gt;0,SUMIFS(T_StockCount[CountedQty],T_StockCount[Part Name],$A44,T_StockCount[WeekIndex],76),IF(('T_SelfStock'!BY48&lt;&gt;""),'T_SelfStock'!BY48,BX44-'Grid_Requirement'!BY44+'Grid_TTAFOutgoing'!BY44))</f>
        <v/>
      </c>
      <c r="BZ44">
        <f>IF(COUNTIFS(T_StockCount[Part Name],$A44,T_StockCount[WeekIndex],77)&gt;0,SUMIFS(T_StockCount[CountedQty],T_StockCount[Part Name],$A44,T_StockCount[WeekIndex],77),IF(('T_SelfStock'!BZ48&lt;&gt;""),'T_SelfStock'!BZ48,BY44-'Grid_Requirement'!BZ44+'Grid_TTAFOutgoing'!BZ44))</f>
        <v/>
      </c>
      <c r="CA44">
        <f>IF(COUNTIFS(T_StockCount[Part Name],$A44,T_StockCount[WeekIndex],78)&gt;0,SUMIFS(T_StockCount[CountedQty],T_StockCount[Part Name],$A44,T_StockCount[WeekIndex],78),IF(('T_SelfStock'!CA48&lt;&gt;""),'T_SelfStock'!CA48,BZ44-'Grid_Requirement'!CA44+'Grid_TTAFOutgoing'!CA44))</f>
        <v/>
      </c>
      <c r="CB44">
        <f>IF(COUNTIFS(T_StockCount[Part Name],$A44,T_StockCount[WeekIndex],79)&gt;0,SUMIFS(T_StockCount[CountedQty],T_StockCount[Part Name],$A44,T_StockCount[WeekIndex],79),IF(('T_SelfStock'!CB48&lt;&gt;""),'T_SelfStock'!CB48,CA44-'Grid_Requirement'!CB44+'Grid_TTAFOutgoing'!CB44))</f>
        <v/>
      </c>
      <c r="CC44">
        <f>IF(COUNTIFS(T_StockCount[Part Name],$A44,T_StockCount[WeekIndex],80)&gt;0,SUMIFS(T_StockCount[CountedQty],T_StockCount[Part Name],$A44,T_StockCount[WeekIndex],80),IF(('T_SelfStock'!CC48&lt;&gt;""),'T_SelfStock'!CC48,CB44-'Grid_Requirement'!CC44+'Grid_TTAFOutgoing'!CC44))</f>
        <v/>
      </c>
      <c r="CD44">
        <f>IF(COUNTIFS(T_StockCount[Part Name],$A44,T_StockCount[WeekIndex],81)&gt;0,SUMIFS(T_StockCount[CountedQty],T_StockCount[Part Name],$A44,T_StockCount[WeekIndex],81),IF(('T_SelfStock'!CD48&lt;&gt;""),'T_SelfStock'!CD48,CC44-'Grid_Requirement'!CD44+'Grid_TTAFOutgoing'!CD44))</f>
        <v/>
      </c>
      <c r="CE44">
        <f>IF(COUNTIFS(T_StockCount[Part Name],$A44,T_StockCount[WeekIndex],82)&gt;0,SUMIFS(T_StockCount[CountedQty],T_StockCount[Part Name],$A44,T_StockCount[WeekIndex],82),IF(('T_SelfStock'!CE48&lt;&gt;""),'T_SelfStock'!CE48,CD44-'Grid_Requirement'!CE44+'Grid_TTAFOutgoing'!CE44))</f>
        <v/>
      </c>
      <c r="CF44">
        <f>IF(COUNTIFS(T_StockCount[Part Name],$A44,T_StockCount[WeekIndex],83)&gt;0,SUMIFS(T_StockCount[CountedQty],T_StockCount[Part Name],$A44,T_StockCount[WeekIndex],83),IF(('T_SelfStock'!CF48&lt;&gt;""),'T_SelfStock'!CF48,CE44-'Grid_Requirement'!CF44+'Grid_TTAFOutgoing'!CF44))</f>
        <v/>
      </c>
      <c r="CG44">
        <f>IF(COUNTIFS(T_StockCount[Part Name],$A44,T_StockCount[WeekIndex],84)&gt;0,SUMIFS(T_StockCount[CountedQty],T_StockCount[Part Name],$A44,T_StockCount[WeekIndex],84),IF(('T_SelfStock'!CG48&lt;&gt;""),'T_SelfStock'!CG48,CF44-'Grid_Requirement'!CG44+'Grid_TTAFOutgoing'!CG44))</f>
        <v/>
      </c>
      <c r="CH44">
        <f>IF(COUNTIFS(T_StockCount[Part Name],$A44,T_StockCount[WeekIndex],85)&gt;0,SUMIFS(T_StockCount[CountedQty],T_StockCount[Part Name],$A44,T_StockCount[WeekIndex],85),IF(('T_SelfStock'!CH48&lt;&gt;""),'T_SelfStock'!CH48,CG44-'Grid_Requirement'!CH44+'Grid_TTAFOutgoing'!CH44))</f>
        <v/>
      </c>
      <c r="CI44">
        <f>IF(COUNTIFS(T_StockCount[Part Name],$A44,T_StockCount[WeekIndex],86)&gt;0,SUMIFS(T_StockCount[CountedQty],T_StockCount[Part Name],$A44,T_StockCount[WeekIndex],86),IF(('T_SelfStock'!CI48&lt;&gt;""),'T_SelfStock'!CI48,CH44-'Grid_Requirement'!CI44+'Grid_TTAFOutgoing'!CI44))</f>
        <v/>
      </c>
      <c r="CJ44">
        <f>IF(COUNTIFS(T_StockCount[Part Name],$A44,T_StockCount[WeekIndex],87)&gt;0,SUMIFS(T_StockCount[CountedQty],T_StockCount[Part Name],$A44,T_StockCount[WeekIndex],87),IF(('T_SelfStock'!CJ48&lt;&gt;""),'T_SelfStock'!CJ48,CI44-'Grid_Requirement'!CJ44+'Grid_TTAFOutgoing'!CJ44))</f>
        <v/>
      </c>
      <c r="CK44">
        <f>IF(COUNTIFS(T_StockCount[Part Name],$A44,T_StockCount[WeekIndex],88)&gt;0,SUMIFS(T_StockCount[CountedQty],T_StockCount[Part Name],$A44,T_StockCount[WeekIndex],88),IF(('T_SelfStock'!CK48&lt;&gt;""),'T_SelfStock'!CK48,CJ44-'Grid_Requirement'!CK44+'Grid_TTAFOutgoing'!CK44))</f>
        <v/>
      </c>
      <c r="CL44">
        <f>IF(COUNTIFS(T_StockCount[Part Name],$A44,T_StockCount[WeekIndex],89)&gt;0,SUMIFS(T_StockCount[CountedQty],T_StockCount[Part Name],$A44,T_StockCount[WeekIndex],89),IF(('T_SelfStock'!CL48&lt;&gt;""),'T_SelfStock'!CL48,CK44-'Grid_Requirement'!CL44+'Grid_TTAFOutgoing'!CL44))</f>
        <v/>
      </c>
      <c r="CM44">
        <f>IF(COUNTIFS(T_StockCount[Part Name],$A44,T_StockCount[WeekIndex],90)&gt;0,SUMIFS(T_StockCount[CountedQty],T_StockCount[Part Name],$A44,T_StockCount[WeekIndex],90),IF(('T_SelfStock'!CM48&lt;&gt;""),'T_SelfStock'!CM48,CL44-'Grid_Requirement'!CM44+'Grid_TTAFOutgoing'!CM44))</f>
        <v/>
      </c>
      <c r="CN44">
        <f>IF(COUNTIFS(T_StockCount[Part Name],$A44,T_StockCount[WeekIndex],91)&gt;0,SUMIFS(T_StockCount[CountedQty],T_StockCount[Part Name],$A44,T_StockCount[WeekIndex],91),IF(('T_SelfStock'!CN48&lt;&gt;""),'T_SelfStock'!CN48,CM44-'Grid_Requirement'!CN44+'Grid_TTAFOutgoing'!CN44))</f>
        <v/>
      </c>
      <c r="CO44">
        <f>IF(COUNTIFS(T_StockCount[Part Name],$A44,T_StockCount[WeekIndex],92)&gt;0,SUMIFS(T_StockCount[CountedQty],T_StockCount[Part Name],$A44,T_StockCount[WeekIndex],92),IF(('T_SelfStock'!CO48&lt;&gt;""),'T_SelfStock'!CO48,CN44-'Grid_Requirement'!CO44+'Grid_TTAFOutgoing'!CO44))</f>
        <v/>
      </c>
      <c r="CP44">
        <f>IF(COUNTIFS(T_StockCount[Part Name],$A44,T_StockCount[WeekIndex],93)&gt;0,SUMIFS(T_StockCount[CountedQty],T_StockCount[Part Name],$A44,T_StockCount[WeekIndex],93),IF(('T_SelfStock'!CP48&lt;&gt;""),'T_SelfStock'!CP48,CO44-'Grid_Requirement'!CP44+'Grid_TTAFOutgoing'!CP44))</f>
        <v/>
      </c>
      <c r="CQ44">
        <f>IF(COUNTIFS(T_StockCount[Part Name],$A44,T_StockCount[WeekIndex],94)&gt;0,SUMIFS(T_StockCount[CountedQty],T_StockCount[Part Name],$A44,T_StockCount[WeekIndex],94),IF(('T_SelfStock'!CQ48&lt;&gt;""),'T_SelfStock'!CQ48,CP44-'Grid_Requirement'!CQ44+'Grid_TTAFOutgoing'!CQ44))</f>
        <v/>
      </c>
      <c r="CR44">
        <f>IF(COUNTIFS(T_StockCount[Part Name],$A44,T_StockCount[WeekIndex],95)&gt;0,SUMIFS(T_StockCount[CountedQty],T_StockCount[Part Name],$A44,T_StockCount[WeekIndex],95),IF(('T_SelfStock'!CR48&lt;&gt;""),'T_SelfStock'!CR48,CQ44-'Grid_Requirement'!CR44+'Grid_TTAFOutgoing'!CR44))</f>
        <v/>
      </c>
      <c r="CS44">
        <f>IF(COUNTIFS(T_StockCount[Part Name],$A44,T_StockCount[WeekIndex],96)&gt;0,SUMIFS(T_StockCount[CountedQty],T_StockCount[Part Name],$A44,T_StockCount[WeekIndex],96),IF(('T_SelfStock'!CS48&lt;&gt;""),'T_SelfStock'!CS48,CR44-'Grid_Requirement'!CS44+'Grid_TTAFOutgoing'!CS44))</f>
        <v/>
      </c>
      <c r="CT44">
        <f>IF(COUNTIFS(T_StockCount[Part Name],$A44,T_StockCount[WeekIndex],97)&gt;0,SUMIFS(T_StockCount[CountedQty],T_StockCount[Part Name],$A44,T_StockCount[WeekIndex],97),IF(('T_SelfStock'!CT48&lt;&gt;""),'T_SelfStock'!CT48,CS44-'Grid_Requirement'!CT44+'Grid_TTAFOutgoing'!CT44))</f>
        <v/>
      </c>
      <c r="CU44">
        <f>IF(COUNTIFS(T_StockCount[Part Name],$A44,T_StockCount[WeekIndex],98)&gt;0,SUMIFS(T_StockCount[CountedQty],T_StockCount[Part Name],$A44,T_StockCount[WeekIndex],98),IF(('T_SelfStock'!CU48&lt;&gt;""),'T_SelfStock'!CU48,CT44-'Grid_Requirement'!CU44+'Grid_TTAFOutgoing'!CU44))</f>
        <v/>
      </c>
      <c r="CV44">
        <f>IF(COUNTIFS(T_StockCount[Part Name],$A44,T_StockCount[WeekIndex],99)&gt;0,SUMIFS(T_StockCount[CountedQty],T_StockCount[Part Name],$A44,T_StockCount[WeekIndex],99),IF(('T_SelfStock'!CV48&lt;&gt;""),'T_SelfStock'!CV48,CU44-'Grid_Requirement'!CV44+'Grid_TTAFOutgoing'!CV44))</f>
        <v/>
      </c>
      <c r="CW44">
        <f>IF(COUNTIFS(T_StockCount[Part Name],$A44,T_StockCount[WeekIndex],100)&gt;0,SUMIFS(T_StockCount[CountedQty],T_StockCount[Part Name],$A44,T_StockCount[WeekIndex],100),IF(('T_SelfStock'!CW48&lt;&gt;""),'T_SelfStock'!CW48,CV44-'Grid_Requirement'!CW44+'Grid_TTAFOutgoing'!CW44))</f>
        <v/>
      </c>
      <c r="CX44">
        <f>IF(COUNTIFS(T_StockCount[Part Name],$A44,T_StockCount[WeekIndex],101)&gt;0,SUMIFS(T_StockCount[CountedQty],T_StockCount[Part Name],$A44,T_StockCount[WeekIndex],101),IF(('T_SelfStock'!CX48&lt;&gt;""),'T_SelfStock'!CX48,CW44-'Grid_Requirement'!CX44+'Grid_TTAFOutgoing'!CX44))</f>
        <v/>
      </c>
      <c r="CY44">
        <f>IF(COUNTIFS(T_StockCount[Part Name],$A44,T_StockCount[WeekIndex],102)&gt;0,SUMIFS(T_StockCount[CountedQty],T_StockCount[Part Name],$A44,T_StockCount[WeekIndex],102),IF(('T_SelfStock'!CY48&lt;&gt;""),'T_SelfStock'!CY48,CX44-'Grid_Requirement'!CY44+'Grid_TTAFOutgoing'!CY44))</f>
        <v/>
      </c>
      <c r="CZ44">
        <f>IF(COUNTIFS(T_StockCount[Part Name],$A44,T_StockCount[WeekIndex],103)&gt;0,SUMIFS(T_StockCount[CountedQty],T_StockCount[Part Name],$A44,T_StockCount[WeekIndex],103),IF(('T_SelfStock'!CZ48&lt;&gt;""),'T_SelfStock'!CZ48,CY44-'Grid_Requirement'!CZ44+'Grid_TTAFOutgoing'!CZ44))</f>
        <v/>
      </c>
      <c r="DA44">
        <f>IF(COUNTIFS(T_StockCount[Part Name],$A44,T_StockCount[WeekIndex],104)&gt;0,SUMIFS(T_StockCount[CountedQty],T_StockCount[Part Name],$A44,T_StockCount[WeekIndex],104),IF(('T_SelfStock'!DA48&lt;&gt;""),'T_SelfStock'!DA48,CZ44-'Grid_Requirement'!DA44+'Grid_TTAFOutgoing'!DA44))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Name],$A45,T_StockCount[WeekIndex],1),IF(('T_SelfStock'!B49&lt;&gt;""),'T_SelfStock'!B49,IFERROR(INDEX(T_OpeningStock[Opening_Qty],MATCH($A45,T_OpeningStock[Part Name],0)),0)-'Grid_Requirement'!B45+'Grid_TTAFOutgoing'!B45))</f>
        <v/>
      </c>
      <c r="C45">
        <f>IF(COUNTIFS(T_StockCount[Part Name],$A45,T_StockCount[WeekIndex],2)&gt;0,SUMIFS(T_StockCount[CountedQty],T_StockCount[Part Name],$A45,T_StockCount[WeekIndex],2),IF(('T_SelfStock'!C49&lt;&gt;""),'T_SelfStock'!C49,B45-'Grid_Requirement'!C45+'Grid_TTAFOutgoing'!C45))</f>
        <v/>
      </c>
      <c r="D45">
        <f>IF(COUNTIFS(T_StockCount[Part Name],$A45,T_StockCount[WeekIndex],3)&gt;0,SUMIFS(T_StockCount[CountedQty],T_StockCount[Part Name],$A45,T_StockCount[WeekIndex],3),IF(('T_SelfStock'!D49&lt;&gt;""),'T_SelfStock'!D49,C45-'Grid_Requirement'!D45+'Grid_TTAFOutgoing'!D45))</f>
        <v/>
      </c>
      <c r="E45">
        <f>IF(COUNTIFS(T_StockCount[Part Name],$A45,T_StockCount[WeekIndex],4)&gt;0,SUMIFS(T_StockCount[CountedQty],T_StockCount[Part Name],$A45,T_StockCount[WeekIndex],4),IF(('T_SelfStock'!E49&lt;&gt;""),'T_SelfStock'!E49,D45-'Grid_Requirement'!E45+'Grid_TTAFOutgoing'!E45))</f>
        <v/>
      </c>
      <c r="F45">
        <f>IF(COUNTIFS(T_StockCount[Part Name],$A45,T_StockCount[WeekIndex],5)&gt;0,SUMIFS(T_StockCount[CountedQty],T_StockCount[Part Name],$A45,T_StockCount[WeekIndex],5),IF(('T_SelfStock'!F49&lt;&gt;""),'T_SelfStock'!F49,E45-'Grid_Requirement'!F45+'Grid_TTAFOutgoing'!F45))</f>
        <v/>
      </c>
      <c r="G45">
        <f>IF(COUNTIFS(T_StockCount[Part Name],$A45,T_StockCount[WeekIndex],6)&gt;0,SUMIFS(T_StockCount[CountedQty],T_StockCount[Part Name],$A45,T_StockCount[WeekIndex],6),IF(('T_SelfStock'!G49&lt;&gt;""),'T_SelfStock'!G49,F45-'Grid_Requirement'!G45+'Grid_TTAFOutgoing'!G45))</f>
        <v/>
      </c>
      <c r="H45">
        <f>IF(COUNTIFS(T_StockCount[Part Name],$A45,T_StockCount[WeekIndex],7)&gt;0,SUMIFS(T_StockCount[CountedQty],T_StockCount[Part Name],$A45,T_StockCount[WeekIndex],7),IF(('T_SelfStock'!H49&lt;&gt;""),'T_SelfStock'!H49,G45-'Grid_Requirement'!H45+'Grid_TTAFOutgoing'!H45))</f>
        <v/>
      </c>
      <c r="I45">
        <f>IF(COUNTIFS(T_StockCount[Part Name],$A45,T_StockCount[WeekIndex],8)&gt;0,SUMIFS(T_StockCount[CountedQty],T_StockCount[Part Name],$A45,T_StockCount[WeekIndex],8),IF(('T_SelfStock'!I49&lt;&gt;""),'T_SelfStock'!I49,H45-'Grid_Requirement'!I45+'Grid_TTAFOutgoing'!I45))</f>
        <v/>
      </c>
      <c r="J45">
        <f>IF(COUNTIFS(T_StockCount[Part Name],$A45,T_StockCount[WeekIndex],9)&gt;0,SUMIFS(T_StockCount[CountedQty],T_StockCount[Part Name],$A45,T_StockCount[WeekIndex],9),IF(('T_SelfStock'!J49&lt;&gt;""),'T_SelfStock'!J49,I45-'Grid_Requirement'!J45+'Grid_TTAFOutgoing'!J45))</f>
        <v/>
      </c>
      <c r="K45">
        <f>IF(COUNTIFS(T_StockCount[Part Name],$A45,T_StockCount[WeekIndex],10)&gt;0,SUMIFS(T_StockCount[CountedQty],T_StockCount[Part Name],$A45,T_StockCount[WeekIndex],10),IF(('T_SelfStock'!K49&lt;&gt;""),'T_SelfStock'!K49,J45-'Grid_Requirement'!K45+'Grid_TTAFOutgoing'!K45))</f>
        <v/>
      </c>
      <c r="L45">
        <f>IF(COUNTIFS(T_StockCount[Part Name],$A45,T_StockCount[WeekIndex],11)&gt;0,SUMIFS(T_StockCount[CountedQty],T_StockCount[Part Name],$A45,T_StockCount[WeekIndex],11),IF(('T_SelfStock'!L49&lt;&gt;""),'T_SelfStock'!L49,K45-'Grid_Requirement'!L45+'Grid_TTAFOutgoing'!L45))</f>
        <v/>
      </c>
      <c r="M45">
        <f>IF(COUNTIFS(T_StockCount[Part Name],$A45,T_StockCount[WeekIndex],12)&gt;0,SUMIFS(T_StockCount[CountedQty],T_StockCount[Part Name],$A45,T_StockCount[WeekIndex],12),IF(('T_SelfStock'!M49&lt;&gt;""),'T_SelfStock'!M49,L45-'Grid_Requirement'!M45+'Grid_TTAFOutgoing'!M45))</f>
        <v/>
      </c>
      <c r="N45">
        <f>IF(COUNTIFS(T_StockCount[Part Name],$A45,T_StockCount[WeekIndex],13)&gt;0,SUMIFS(T_StockCount[CountedQty],T_StockCount[Part Name],$A45,T_StockCount[WeekIndex],13),IF(('T_SelfStock'!N49&lt;&gt;""),'T_SelfStock'!N49,M45-'Grid_Requirement'!N45+'Grid_TTAFOutgoing'!N45))</f>
        <v/>
      </c>
      <c r="O45">
        <f>IF(COUNTIFS(T_StockCount[Part Name],$A45,T_StockCount[WeekIndex],14)&gt;0,SUMIFS(T_StockCount[CountedQty],T_StockCount[Part Name],$A45,T_StockCount[WeekIndex],14),IF(('T_SelfStock'!O49&lt;&gt;""),'T_SelfStock'!O49,N45-'Grid_Requirement'!O45+'Grid_TTAFOutgoing'!O45))</f>
        <v/>
      </c>
      <c r="P45">
        <f>IF(COUNTIFS(T_StockCount[Part Name],$A45,T_StockCount[WeekIndex],15)&gt;0,SUMIFS(T_StockCount[CountedQty],T_StockCount[Part Name],$A45,T_StockCount[WeekIndex],15),IF(('T_SelfStock'!P49&lt;&gt;""),'T_SelfStock'!P49,O45-'Grid_Requirement'!P45+'Grid_TTAFOutgoing'!P45))</f>
        <v/>
      </c>
      <c r="Q45">
        <f>IF(COUNTIFS(T_StockCount[Part Name],$A45,T_StockCount[WeekIndex],16)&gt;0,SUMIFS(T_StockCount[CountedQty],T_StockCount[Part Name],$A45,T_StockCount[WeekIndex],16),IF(('T_SelfStock'!Q49&lt;&gt;""),'T_SelfStock'!Q49,P45-'Grid_Requirement'!Q45+'Grid_TTAFOutgoing'!Q45))</f>
        <v/>
      </c>
      <c r="R45">
        <f>IF(COUNTIFS(T_StockCount[Part Name],$A45,T_StockCount[WeekIndex],17)&gt;0,SUMIFS(T_StockCount[CountedQty],T_StockCount[Part Name],$A45,T_StockCount[WeekIndex],17),IF(('T_SelfStock'!R49&lt;&gt;""),'T_SelfStock'!R49,Q45-'Grid_Requirement'!R45+'Grid_TTAFOutgoing'!R45))</f>
        <v/>
      </c>
      <c r="S45">
        <f>IF(COUNTIFS(T_StockCount[Part Name],$A45,T_StockCount[WeekIndex],18)&gt;0,SUMIFS(T_StockCount[CountedQty],T_StockCount[Part Name],$A45,T_StockCount[WeekIndex],18),IF(('T_SelfStock'!S49&lt;&gt;""),'T_SelfStock'!S49,R45-'Grid_Requirement'!S45+'Grid_TTAFOutgoing'!S45))</f>
        <v/>
      </c>
      <c r="T45">
        <f>IF(COUNTIFS(T_StockCount[Part Name],$A45,T_StockCount[WeekIndex],19)&gt;0,SUMIFS(T_StockCount[CountedQty],T_StockCount[Part Name],$A45,T_StockCount[WeekIndex],19),IF(('T_SelfStock'!T49&lt;&gt;""),'T_SelfStock'!T49,S45-'Grid_Requirement'!T45+'Grid_TTAFOutgoing'!T45))</f>
        <v/>
      </c>
      <c r="U45">
        <f>IF(COUNTIFS(T_StockCount[Part Name],$A45,T_StockCount[WeekIndex],20)&gt;0,SUMIFS(T_StockCount[CountedQty],T_StockCount[Part Name],$A45,T_StockCount[WeekIndex],20),IF(('T_SelfStock'!U49&lt;&gt;""),'T_SelfStock'!U49,T45-'Grid_Requirement'!U45+'Grid_TTAFOutgoing'!U45))</f>
        <v/>
      </c>
      <c r="V45">
        <f>IF(COUNTIFS(T_StockCount[Part Name],$A45,T_StockCount[WeekIndex],21)&gt;0,SUMIFS(T_StockCount[CountedQty],T_StockCount[Part Name],$A45,T_StockCount[WeekIndex],21),IF(('T_SelfStock'!V49&lt;&gt;""),'T_SelfStock'!V49,U45-'Grid_Requirement'!V45+'Grid_TTAFOutgoing'!V45))</f>
        <v/>
      </c>
      <c r="W45">
        <f>IF(COUNTIFS(T_StockCount[Part Name],$A45,T_StockCount[WeekIndex],22)&gt;0,SUMIFS(T_StockCount[CountedQty],T_StockCount[Part Name],$A45,T_StockCount[WeekIndex],22),IF(('T_SelfStock'!W49&lt;&gt;""),'T_SelfStock'!W49,V45-'Grid_Requirement'!W45+'Grid_TTAFOutgoing'!W45))</f>
        <v/>
      </c>
      <c r="X45">
        <f>IF(COUNTIFS(T_StockCount[Part Name],$A45,T_StockCount[WeekIndex],23)&gt;0,SUMIFS(T_StockCount[CountedQty],T_StockCount[Part Name],$A45,T_StockCount[WeekIndex],23),IF(('T_SelfStock'!X49&lt;&gt;""),'T_SelfStock'!X49,W45-'Grid_Requirement'!X45+'Grid_TTAFOutgoing'!X45))</f>
        <v/>
      </c>
      <c r="Y45">
        <f>IF(COUNTIFS(T_StockCount[Part Name],$A45,T_StockCount[WeekIndex],24)&gt;0,SUMIFS(T_StockCount[CountedQty],T_StockCount[Part Name],$A45,T_StockCount[WeekIndex],24),IF(('T_SelfStock'!Y49&lt;&gt;""),'T_SelfStock'!Y49,X45-'Grid_Requirement'!Y45+'Grid_TTAFOutgoing'!Y45))</f>
        <v/>
      </c>
      <c r="Z45">
        <f>IF(COUNTIFS(T_StockCount[Part Name],$A45,T_StockCount[WeekIndex],25)&gt;0,SUMIFS(T_StockCount[CountedQty],T_StockCount[Part Name],$A45,T_StockCount[WeekIndex],25),IF(('T_SelfStock'!Z49&lt;&gt;""),'T_SelfStock'!Z49,Y45-'Grid_Requirement'!Z45+'Grid_TTAFOutgoing'!Z45))</f>
        <v/>
      </c>
      <c r="AA45">
        <f>IF(COUNTIFS(T_StockCount[Part Name],$A45,T_StockCount[WeekIndex],26)&gt;0,SUMIFS(T_StockCount[CountedQty],T_StockCount[Part Name],$A45,T_StockCount[WeekIndex],26),IF(('T_SelfStock'!AA49&lt;&gt;""),'T_SelfStock'!AA49,Z45-'Grid_Requirement'!AA45+'Grid_TTAFOutgoing'!AA45))</f>
        <v/>
      </c>
      <c r="AB45">
        <f>IF(COUNTIFS(T_StockCount[Part Name],$A45,T_StockCount[WeekIndex],27)&gt;0,SUMIFS(T_StockCount[CountedQty],T_StockCount[Part Name],$A45,T_StockCount[WeekIndex],27),IF(('T_SelfStock'!AB49&lt;&gt;""),'T_SelfStock'!AB49,AA45-'Grid_Requirement'!AB45+'Grid_TTAFOutgoing'!AB45))</f>
        <v/>
      </c>
      <c r="AC45">
        <f>IF(COUNTIFS(T_StockCount[Part Name],$A45,T_StockCount[WeekIndex],28)&gt;0,SUMIFS(T_StockCount[CountedQty],T_StockCount[Part Name],$A45,T_StockCount[WeekIndex],28),IF(('T_SelfStock'!AC49&lt;&gt;""),'T_SelfStock'!AC49,AB45-'Grid_Requirement'!AC45+'Grid_TTAFOutgoing'!AC45))</f>
        <v/>
      </c>
      <c r="AD45">
        <f>IF(COUNTIFS(T_StockCount[Part Name],$A45,T_StockCount[WeekIndex],29)&gt;0,SUMIFS(T_StockCount[CountedQty],T_StockCount[Part Name],$A45,T_StockCount[WeekIndex],29),IF(('T_SelfStock'!AD49&lt;&gt;""),'T_SelfStock'!AD49,AC45-'Grid_Requirement'!AD45+'Grid_TTAFOutgoing'!AD45))</f>
        <v/>
      </c>
      <c r="AE45">
        <f>IF(COUNTIFS(T_StockCount[Part Name],$A45,T_StockCount[WeekIndex],30)&gt;0,SUMIFS(T_StockCount[CountedQty],T_StockCount[Part Name],$A45,T_StockCount[WeekIndex],30),IF(('T_SelfStock'!AE49&lt;&gt;""),'T_SelfStock'!AE49,AD45-'Grid_Requirement'!AE45+'Grid_TTAFOutgoing'!AE45))</f>
        <v/>
      </c>
      <c r="AF45">
        <f>IF(COUNTIFS(T_StockCount[Part Name],$A45,T_StockCount[WeekIndex],31)&gt;0,SUMIFS(T_StockCount[CountedQty],T_StockCount[Part Name],$A45,T_StockCount[WeekIndex],31),IF(('T_SelfStock'!AF49&lt;&gt;""),'T_SelfStock'!AF49,AE45-'Grid_Requirement'!AF45+'Grid_TTAFOutgoing'!AF45))</f>
        <v/>
      </c>
      <c r="AG45">
        <f>IF(COUNTIFS(T_StockCount[Part Name],$A45,T_StockCount[WeekIndex],32)&gt;0,SUMIFS(T_StockCount[CountedQty],T_StockCount[Part Name],$A45,T_StockCount[WeekIndex],32),IF(('T_SelfStock'!AG49&lt;&gt;""),'T_SelfStock'!AG49,AF45-'Grid_Requirement'!AG45+'Grid_TTAFOutgoing'!AG45))</f>
        <v/>
      </c>
      <c r="AH45">
        <f>IF(COUNTIFS(T_StockCount[Part Name],$A45,T_StockCount[WeekIndex],33)&gt;0,SUMIFS(T_StockCount[CountedQty],T_StockCount[Part Name],$A45,T_StockCount[WeekIndex],33),IF(('T_SelfStock'!AH49&lt;&gt;""),'T_SelfStock'!AH49,AG45-'Grid_Requirement'!AH45+'Grid_TTAFOutgoing'!AH45))</f>
        <v/>
      </c>
      <c r="AI45">
        <f>IF(COUNTIFS(T_StockCount[Part Name],$A45,T_StockCount[WeekIndex],34)&gt;0,SUMIFS(T_StockCount[CountedQty],T_StockCount[Part Name],$A45,T_StockCount[WeekIndex],34),IF(('T_SelfStock'!AI49&lt;&gt;""),'T_SelfStock'!AI49,AH45-'Grid_Requirement'!AI45+'Grid_TTAFOutgoing'!AI45))</f>
        <v/>
      </c>
      <c r="AJ45">
        <f>IF(COUNTIFS(T_StockCount[Part Name],$A45,T_StockCount[WeekIndex],35)&gt;0,SUMIFS(T_StockCount[CountedQty],T_StockCount[Part Name],$A45,T_StockCount[WeekIndex],35),IF(('T_SelfStock'!AJ49&lt;&gt;""),'T_SelfStock'!AJ49,AI45-'Grid_Requirement'!AJ45+'Grid_TTAFOutgoing'!AJ45))</f>
        <v/>
      </c>
      <c r="AK45">
        <f>IF(COUNTIFS(T_StockCount[Part Name],$A45,T_StockCount[WeekIndex],36)&gt;0,SUMIFS(T_StockCount[CountedQty],T_StockCount[Part Name],$A45,T_StockCount[WeekIndex],36),IF(('T_SelfStock'!AK49&lt;&gt;""),'T_SelfStock'!AK49,AJ45-'Grid_Requirement'!AK45+'Grid_TTAFOutgoing'!AK45))</f>
        <v/>
      </c>
      <c r="AL45">
        <f>IF(COUNTIFS(T_StockCount[Part Name],$A45,T_StockCount[WeekIndex],37)&gt;0,SUMIFS(T_StockCount[CountedQty],T_StockCount[Part Name],$A45,T_StockCount[WeekIndex],37),IF(('T_SelfStock'!AL49&lt;&gt;""),'T_SelfStock'!AL49,AK45-'Grid_Requirement'!AL45+'Grid_TTAFOutgoing'!AL45))</f>
        <v/>
      </c>
      <c r="AM45">
        <f>IF(COUNTIFS(T_StockCount[Part Name],$A45,T_StockCount[WeekIndex],38)&gt;0,SUMIFS(T_StockCount[CountedQty],T_StockCount[Part Name],$A45,T_StockCount[WeekIndex],38),IF(('T_SelfStock'!AM49&lt;&gt;""),'T_SelfStock'!AM49,AL45-'Grid_Requirement'!AM45+'Grid_TTAFOutgoing'!AM45))</f>
        <v/>
      </c>
      <c r="AN45">
        <f>IF(COUNTIFS(T_StockCount[Part Name],$A45,T_StockCount[WeekIndex],39)&gt;0,SUMIFS(T_StockCount[CountedQty],T_StockCount[Part Name],$A45,T_StockCount[WeekIndex],39),IF(('T_SelfStock'!AN49&lt;&gt;""),'T_SelfStock'!AN49,AM45-'Grid_Requirement'!AN45+'Grid_TTAFOutgoing'!AN45))</f>
        <v/>
      </c>
      <c r="AO45">
        <f>IF(COUNTIFS(T_StockCount[Part Name],$A45,T_StockCount[WeekIndex],40)&gt;0,SUMIFS(T_StockCount[CountedQty],T_StockCount[Part Name],$A45,T_StockCount[WeekIndex],40),IF(('T_SelfStock'!AO49&lt;&gt;""),'T_SelfStock'!AO49,AN45-'Grid_Requirement'!AO45+'Grid_TTAFOutgoing'!AO45))</f>
        <v/>
      </c>
      <c r="AP45">
        <f>IF(COUNTIFS(T_StockCount[Part Name],$A45,T_StockCount[WeekIndex],41)&gt;0,SUMIFS(T_StockCount[CountedQty],T_StockCount[Part Name],$A45,T_StockCount[WeekIndex],41),IF(('T_SelfStock'!AP49&lt;&gt;""),'T_SelfStock'!AP49,AO45-'Grid_Requirement'!AP45+'Grid_TTAFOutgoing'!AP45))</f>
        <v/>
      </c>
      <c r="AQ45">
        <f>IF(COUNTIFS(T_StockCount[Part Name],$A45,T_StockCount[WeekIndex],42)&gt;0,SUMIFS(T_StockCount[CountedQty],T_StockCount[Part Name],$A45,T_StockCount[WeekIndex],42),IF(('T_SelfStock'!AQ49&lt;&gt;""),'T_SelfStock'!AQ49,AP45-'Grid_Requirement'!AQ45+'Grid_TTAFOutgoing'!AQ45))</f>
        <v/>
      </c>
      <c r="AR45">
        <f>IF(COUNTIFS(T_StockCount[Part Name],$A45,T_StockCount[WeekIndex],43)&gt;0,SUMIFS(T_StockCount[CountedQty],T_StockCount[Part Name],$A45,T_StockCount[WeekIndex],43),IF(('T_SelfStock'!AR49&lt;&gt;""),'T_SelfStock'!AR49,AQ45-'Grid_Requirement'!AR45+'Grid_TTAFOutgoing'!AR45))</f>
        <v/>
      </c>
      <c r="AS45">
        <f>IF(COUNTIFS(T_StockCount[Part Name],$A45,T_StockCount[WeekIndex],44)&gt;0,SUMIFS(T_StockCount[CountedQty],T_StockCount[Part Name],$A45,T_StockCount[WeekIndex],44),IF(('T_SelfStock'!AS49&lt;&gt;""),'T_SelfStock'!AS49,AR45-'Grid_Requirement'!AS45+'Grid_TTAFOutgoing'!AS45))</f>
        <v/>
      </c>
      <c r="AT45">
        <f>IF(COUNTIFS(T_StockCount[Part Name],$A45,T_StockCount[WeekIndex],45)&gt;0,SUMIFS(T_StockCount[CountedQty],T_StockCount[Part Name],$A45,T_StockCount[WeekIndex],45),IF(('T_SelfStock'!AT49&lt;&gt;""),'T_SelfStock'!AT49,AS45-'Grid_Requirement'!AT45+'Grid_TTAFOutgoing'!AT45))</f>
        <v/>
      </c>
      <c r="AU45">
        <f>IF(COUNTIFS(T_StockCount[Part Name],$A45,T_StockCount[WeekIndex],46)&gt;0,SUMIFS(T_StockCount[CountedQty],T_StockCount[Part Name],$A45,T_StockCount[WeekIndex],46),IF(('T_SelfStock'!AU49&lt;&gt;""),'T_SelfStock'!AU49,AT45-'Grid_Requirement'!AU45+'Grid_TTAFOutgoing'!AU45))</f>
        <v/>
      </c>
      <c r="AV45">
        <f>IF(COUNTIFS(T_StockCount[Part Name],$A45,T_StockCount[WeekIndex],47)&gt;0,SUMIFS(T_StockCount[CountedQty],T_StockCount[Part Name],$A45,T_StockCount[WeekIndex],47),IF(('T_SelfStock'!AV49&lt;&gt;""),'T_SelfStock'!AV49,AU45-'Grid_Requirement'!AV45+'Grid_TTAFOutgoing'!AV45))</f>
        <v/>
      </c>
      <c r="AW45">
        <f>IF(COUNTIFS(T_StockCount[Part Name],$A45,T_StockCount[WeekIndex],48)&gt;0,SUMIFS(T_StockCount[CountedQty],T_StockCount[Part Name],$A45,T_StockCount[WeekIndex],48),IF(('T_SelfStock'!AW49&lt;&gt;""),'T_SelfStock'!AW49,AV45-'Grid_Requirement'!AW45+'Grid_TTAFOutgoing'!AW45))</f>
        <v/>
      </c>
      <c r="AX45">
        <f>IF(COUNTIFS(T_StockCount[Part Name],$A45,T_StockCount[WeekIndex],49)&gt;0,SUMIFS(T_StockCount[CountedQty],T_StockCount[Part Name],$A45,T_StockCount[WeekIndex],49),IF(('T_SelfStock'!AX49&lt;&gt;""),'T_SelfStock'!AX49,AW45-'Grid_Requirement'!AX45+'Grid_TTAFOutgoing'!AX45))</f>
        <v/>
      </c>
      <c r="AY45">
        <f>IF(COUNTIFS(T_StockCount[Part Name],$A45,T_StockCount[WeekIndex],50)&gt;0,SUMIFS(T_StockCount[CountedQty],T_StockCount[Part Name],$A45,T_StockCount[WeekIndex],50),IF(('T_SelfStock'!AY49&lt;&gt;""),'T_SelfStock'!AY49,AX45-'Grid_Requirement'!AY45+'Grid_TTAFOutgoing'!AY45))</f>
        <v/>
      </c>
      <c r="AZ45">
        <f>IF(COUNTIFS(T_StockCount[Part Name],$A45,T_StockCount[WeekIndex],51)&gt;0,SUMIFS(T_StockCount[CountedQty],T_StockCount[Part Name],$A45,T_StockCount[WeekIndex],51),IF(('T_SelfStock'!AZ49&lt;&gt;""),'T_SelfStock'!AZ49,AY45-'Grid_Requirement'!AZ45+'Grid_TTAFOutgoing'!AZ45))</f>
        <v/>
      </c>
      <c r="BA45">
        <f>IF(COUNTIFS(T_StockCount[Part Name],$A45,T_StockCount[WeekIndex],52)&gt;0,SUMIFS(T_StockCount[CountedQty],T_StockCount[Part Name],$A45,T_StockCount[WeekIndex],52),IF(('T_SelfStock'!BA49&lt;&gt;""),'T_SelfStock'!BA49,AZ45-'Grid_Requirement'!BA45+'Grid_TTAFOutgoing'!BA45))</f>
        <v/>
      </c>
      <c r="BB45">
        <f>IF(COUNTIFS(T_StockCount[Part Name],$A45,T_StockCount[WeekIndex],53)&gt;0,SUMIFS(T_StockCount[CountedQty],T_StockCount[Part Name],$A45,T_StockCount[WeekIndex],53),IF(('T_SelfStock'!BB49&lt;&gt;""),'T_SelfStock'!BB49,BA45-'Grid_Requirement'!BB45+'Grid_TTAFOutgoing'!BB45))</f>
        <v/>
      </c>
      <c r="BC45">
        <f>IF(COUNTIFS(T_StockCount[Part Name],$A45,T_StockCount[WeekIndex],54)&gt;0,SUMIFS(T_StockCount[CountedQty],T_StockCount[Part Name],$A45,T_StockCount[WeekIndex],54),IF(('T_SelfStock'!BC49&lt;&gt;""),'T_SelfStock'!BC49,BB45-'Grid_Requirement'!BC45+'Grid_TTAFOutgoing'!BC45))</f>
        <v/>
      </c>
      <c r="BD45">
        <f>IF(COUNTIFS(T_StockCount[Part Name],$A45,T_StockCount[WeekIndex],55)&gt;0,SUMIFS(T_StockCount[CountedQty],T_StockCount[Part Name],$A45,T_StockCount[WeekIndex],55),IF(('T_SelfStock'!BD49&lt;&gt;""),'T_SelfStock'!BD49,BC45-'Grid_Requirement'!BD45+'Grid_TTAFOutgoing'!BD45))</f>
        <v/>
      </c>
      <c r="BE45">
        <f>IF(COUNTIFS(T_StockCount[Part Name],$A45,T_StockCount[WeekIndex],56)&gt;0,SUMIFS(T_StockCount[CountedQty],T_StockCount[Part Name],$A45,T_StockCount[WeekIndex],56),IF(('T_SelfStock'!BE49&lt;&gt;""),'T_SelfStock'!BE49,BD45-'Grid_Requirement'!BE45+'Grid_TTAFOutgoing'!BE45))</f>
        <v/>
      </c>
      <c r="BF45">
        <f>IF(COUNTIFS(T_StockCount[Part Name],$A45,T_StockCount[WeekIndex],57)&gt;0,SUMIFS(T_StockCount[CountedQty],T_StockCount[Part Name],$A45,T_StockCount[WeekIndex],57),IF(('T_SelfStock'!BF49&lt;&gt;""),'T_SelfStock'!BF49,BE45-'Grid_Requirement'!BF45+'Grid_TTAFOutgoing'!BF45))</f>
        <v/>
      </c>
      <c r="BG45">
        <f>IF(COUNTIFS(T_StockCount[Part Name],$A45,T_StockCount[WeekIndex],58)&gt;0,SUMIFS(T_StockCount[CountedQty],T_StockCount[Part Name],$A45,T_StockCount[WeekIndex],58),IF(('T_SelfStock'!BG49&lt;&gt;""),'T_SelfStock'!BG49,BF45-'Grid_Requirement'!BG45+'Grid_TTAFOutgoing'!BG45))</f>
        <v/>
      </c>
      <c r="BH45">
        <f>IF(COUNTIFS(T_StockCount[Part Name],$A45,T_StockCount[WeekIndex],59)&gt;0,SUMIFS(T_StockCount[CountedQty],T_StockCount[Part Name],$A45,T_StockCount[WeekIndex],59),IF(('T_SelfStock'!BH49&lt;&gt;""),'T_SelfStock'!BH49,BG45-'Grid_Requirement'!BH45+'Grid_TTAFOutgoing'!BH45))</f>
        <v/>
      </c>
      <c r="BI45">
        <f>IF(COUNTIFS(T_StockCount[Part Name],$A45,T_StockCount[WeekIndex],60)&gt;0,SUMIFS(T_StockCount[CountedQty],T_StockCount[Part Name],$A45,T_StockCount[WeekIndex],60),IF(('T_SelfStock'!BI49&lt;&gt;""),'T_SelfStock'!BI49,BH45-'Grid_Requirement'!BI45+'Grid_TTAFOutgoing'!BI45))</f>
        <v/>
      </c>
      <c r="BJ45">
        <f>IF(COUNTIFS(T_StockCount[Part Name],$A45,T_StockCount[WeekIndex],61)&gt;0,SUMIFS(T_StockCount[CountedQty],T_StockCount[Part Name],$A45,T_StockCount[WeekIndex],61),IF(('T_SelfStock'!BJ49&lt;&gt;""),'T_SelfStock'!BJ49,BI45-'Grid_Requirement'!BJ45+'Grid_TTAFOutgoing'!BJ45))</f>
        <v/>
      </c>
      <c r="BK45">
        <f>IF(COUNTIFS(T_StockCount[Part Name],$A45,T_StockCount[WeekIndex],62)&gt;0,SUMIFS(T_StockCount[CountedQty],T_StockCount[Part Name],$A45,T_StockCount[WeekIndex],62),IF(('T_SelfStock'!BK49&lt;&gt;""),'T_SelfStock'!BK49,BJ45-'Grid_Requirement'!BK45+'Grid_TTAFOutgoing'!BK45))</f>
        <v/>
      </c>
      <c r="BL45">
        <f>IF(COUNTIFS(T_StockCount[Part Name],$A45,T_StockCount[WeekIndex],63)&gt;0,SUMIFS(T_StockCount[CountedQty],T_StockCount[Part Name],$A45,T_StockCount[WeekIndex],63),IF(('T_SelfStock'!BL49&lt;&gt;""),'T_SelfStock'!BL49,BK45-'Grid_Requirement'!BL45+'Grid_TTAFOutgoing'!BL45))</f>
        <v/>
      </c>
      <c r="BM45">
        <f>IF(COUNTIFS(T_StockCount[Part Name],$A45,T_StockCount[WeekIndex],64)&gt;0,SUMIFS(T_StockCount[CountedQty],T_StockCount[Part Name],$A45,T_StockCount[WeekIndex],64),IF(('T_SelfStock'!BM49&lt;&gt;""),'T_SelfStock'!BM49,BL45-'Grid_Requirement'!BM45+'Grid_TTAFOutgoing'!BM45))</f>
        <v/>
      </c>
      <c r="BN45">
        <f>IF(COUNTIFS(T_StockCount[Part Name],$A45,T_StockCount[WeekIndex],65)&gt;0,SUMIFS(T_StockCount[CountedQty],T_StockCount[Part Name],$A45,T_StockCount[WeekIndex],65),IF(('T_SelfStock'!BN49&lt;&gt;""),'T_SelfStock'!BN49,BM45-'Grid_Requirement'!BN45+'Grid_TTAFOutgoing'!BN45))</f>
        <v/>
      </c>
      <c r="BO45">
        <f>IF(COUNTIFS(T_StockCount[Part Name],$A45,T_StockCount[WeekIndex],66)&gt;0,SUMIFS(T_StockCount[CountedQty],T_StockCount[Part Name],$A45,T_StockCount[WeekIndex],66),IF(('T_SelfStock'!BO49&lt;&gt;""),'T_SelfStock'!BO49,BN45-'Grid_Requirement'!BO45+'Grid_TTAFOutgoing'!BO45))</f>
        <v/>
      </c>
      <c r="BP45">
        <f>IF(COUNTIFS(T_StockCount[Part Name],$A45,T_StockCount[WeekIndex],67)&gt;0,SUMIFS(T_StockCount[CountedQty],T_StockCount[Part Name],$A45,T_StockCount[WeekIndex],67),IF(('T_SelfStock'!BP49&lt;&gt;""),'T_SelfStock'!BP49,BO45-'Grid_Requirement'!BP45+'Grid_TTAFOutgoing'!BP45))</f>
        <v/>
      </c>
      <c r="BQ45">
        <f>IF(COUNTIFS(T_StockCount[Part Name],$A45,T_StockCount[WeekIndex],68)&gt;0,SUMIFS(T_StockCount[CountedQty],T_StockCount[Part Name],$A45,T_StockCount[WeekIndex],68),IF(('T_SelfStock'!BQ49&lt;&gt;""),'T_SelfStock'!BQ49,BP45-'Grid_Requirement'!BQ45+'Grid_TTAFOutgoing'!BQ45))</f>
        <v/>
      </c>
      <c r="BR45">
        <f>IF(COUNTIFS(T_StockCount[Part Name],$A45,T_StockCount[WeekIndex],69)&gt;0,SUMIFS(T_StockCount[CountedQty],T_StockCount[Part Name],$A45,T_StockCount[WeekIndex],69),IF(('T_SelfStock'!BR49&lt;&gt;""),'T_SelfStock'!BR49,BQ45-'Grid_Requirement'!BR45+'Grid_TTAFOutgoing'!BR45))</f>
        <v/>
      </c>
      <c r="BS45">
        <f>IF(COUNTIFS(T_StockCount[Part Name],$A45,T_StockCount[WeekIndex],70)&gt;0,SUMIFS(T_StockCount[CountedQty],T_StockCount[Part Name],$A45,T_StockCount[WeekIndex],70),IF(('T_SelfStock'!BS49&lt;&gt;""),'T_SelfStock'!BS49,BR45-'Grid_Requirement'!BS45+'Grid_TTAFOutgoing'!BS45))</f>
        <v/>
      </c>
      <c r="BT45">
        <f>IF(COUNTIFS(T_StockCount[Part Name],$A45,T_StockCount[WeekIndex],71)&gt;0,SUMIFS(T_StockCount[CountedQty],T_StockCount[Part Name],$A45,T_StockCount[WeekIndex],71),IF(('T_SelfStock'!BT49&lt;&gt;""),'T_SelfStock'!BT49,BS45-'Grid_Requirement'!BT45+'Grid_TTAFOutgoing'!BT45))</f>
        <v/>
      </c>
      <c r="BU45">
        <f>IF(COUNTIFS(T_StockCount[Part Name],$A45,T_StockCount[WeekIndex],72)&gt;0,SUMIFS(T_StockCount[CountedQty],T_StockCount[Part Name],$A45,T_StockCount[WeekIndex],72),IF(('T_SelfStock'!BU49&lt;&gt;""),'T_SelfStock'!BU49,BT45-'Grid_Requirement'!BU45+'Grid_TTAFOutgoing'!BU45))</f>
        <v/>
      </c>
      <c r="BV45">
        <f>IF(COUNTIFS(T_StockCount[Part Name],$A45,T_StockCount[WeekIndex],73)&gt;0,SUMIFS(T_StockCount[CountedQty],T_StockCount[Part Name],$A45,T_StockCount[WeekIndex],73),IF(('T_SelfStock'!BV49&lt;&gt;""),'T_SelfStock'!BV49,BU45-'Grid_Requirement'!BV45+'Grid_TTAFOutgoing'!BV45))</f>
        <v/>
      </c>
      <c r="BW45">
        <f>IF(COUNTIFS(T_StockCount[Part Name],$A45,T_StockCount[WeekIndex],74)&gt;0,SUMIFS(T_StockCount[CountedQty],T_StockCount[Part Name],$A45,T_StockCount[WeekIndex],74),IF(('T_SelfStock'!BW49&lt;&gt;""),'T_SelfStock'!BW49,BV45-'Grid_Requirement'!BW45+'Grid_TTAFOutgoing'!BW45))</f>
        <v/>
      </c>
      <c r="BX45">
        <f>IF(COUNTIFS(T_StockCount[Part Name],$A45,T_StockCount[WeekIndex],75)&gt;0,SUMIFS(T_StockCount[CountedQty],T_StockCount[Part Name],$A45,T_StockCount[WeekIndex],75),IF(('T_SelfStock'!BX49&lt;&gt;""),'T_SelfStock'!BX49,BW45-'Grid_Requirement'!BX45+'Grid_TTAFOutgoing'!BX45))</f>
        <v/>
      </c>
      <c r="BY45">
        <f>IF(COUNTIFS(T_StockCount[Part Name],$A45,T_StockCount[WeekIndex],76)&gt;0,SUMIFS(T_StockCount[CountedQty],T_StockCount[Part Name],$A45,T_StockCount[WeekIndex],76),IF(('T_SelfStock'!BY49&lt;&gt;""),'T_SelfStock'!BY49,BX45-'Grid_Requirement'!BY45+'Grid_TTAFOutgoing'!BY45))</f>
        <v/>
      </c>
      <c r="BZ45">
        <f>IF(COUNTIFS(T_StockCount[Part Name],$A45,T_StockCount[WeekIndex],77)&gt;0,SUMIFS(T_StockCount[CountedQty],T_StockCount[Part Name],$A45,T_StockCount[WeekIndex],77),IF(('T_SelfStock'!BZ49&lt;&gt;""),'T_SelfStock'!BZ49,BY45-'Grid_Requirement'!BZ45+'Grid_TTAFOutgoing'!BZ45))</f>
        <v/>
      </c>
      <c r="CA45">
        <f>IF(COUNTIFS(T_StockCount[Part Name],$A45,T_StockCount[WeekIndex],78)&gt;0,SUMIFS(T_StockCount[CountedQty],T_StockCount[Part Name],$A45,T_StockCount[WeekIndex],78),IF(('T_SelfStock'!CA49&lt;&gt;""),'T_SelfStock'!CA49,BZ45-'Grid_Requirement'!CA45+'Grid_TTAFOutgoing'!CA45))</f>
        <v/>
      </c>
      <c r="CB45">
        <f>IF(COUNTIFS(T_StockCount[Part Name],$A45,T_StockCount[WeekIndex],79)&gt;0,SUMIFS(T_StockCount[CountedQty],T_StockCount[Part Name],$A45,T_StockCount[WeekIndex],79),IF(('T_SelfStock'!CB49&lt;&gt;""),'T_SelfStock'!CB49,CA45-'Grid_Requirement'!CB45+'Grid_TTAFOutgoing'!CB45))</f>
        <v/>
      </c>
      <c r="CC45">
        <f>IF(COUNTIFS(T_StockCount[Part Name],$A45,T_StockCount[WeekIndex],80)&gt;0,SUMIFS(T_StockCount[CountedQty],T_StockCount[Part Name],$A45,T_StockCount[WeekIndex],80),IF(('T_SelfStock'!CC49&lt;&gt;""),'T_SelfStock'!CC49,CB45-'Grid_Requirement'!CC45+'Grid_TTAFOutgoing'!CC45))</f>
        <v/>
      </c>
      <c r="CD45">
        <f>IF(COUNTIFS(T_StockCount[Part Name],$A45,T_StockCount[WeekIndex],81)&gt;0,SUMIFS(T_StockCount[CountedQty],T_StockCount[Part Name],$A45,T_StockCount[WeekIndex],81),IF(('T_SelfStock'!CD49&lt;&gt;""),'T_SelfStock'!CD49,CC45-'Grid_Requirement'!CD45+'Grid_TTAFOutgoing'!CD45))</f>
        <v/>
      </c>
      <c r="CE45">
        <f>IF(COUNTIFS(T_StockCount[Part Name],$A45,T_StockCount[WeekIndex],82)&gt;0,SUMIFS(T_StockCount[CountedQty],T_StockCount[Part Name],$A45,T_StockCount[WeekIndex],82),IF(('T_SelfStock'!CE49&lt;&gt;""),'T_SelfStock'!CE49,CD45-'Grid_Requirement'!CE45+'Grid_TTAFOutgoing'!CE45))</f>
        <v/>
      </c>
      <c r="CF45">
        <f>IF(COUNTIFS(T_StockCount[Part Name],$A45,T_StockCount[WeekIndex],83)&gt;0,SUMIFS(T_StockCount[CountedQty],T_StockCount[Part Name],$A45,T_StockCount[WeekIndex],83),IF(('T_SelfStock'!CF49&lt;&gt;""),'T_SelfStock'!CF49,CE45-'Grid_Requirement'!CF45+'Grid_TTAFOutgoing'!CF45))</f>
        <v/>
      </c>
      <c r="CG45">
        <f>IF(COUNTIFS(T_StockCount[Part Name],$A45,T_StockCount[WeekIndex],84)&gt;0,SUMIFS(T_StockCount[CountedQty],T_StockCount[Part Name],$A45,T_StockCount[WeekIndex],84),IF(('T_SelfStock'!CG49&lt;&gt;""),'T_SelfStock'!CG49,CF45-'Grid_Requirement'!CG45+'Grid_TTAFOutgoing'!CG45))</f>
        <v/>
      </c>
      <c r="CH45">
        <f>IF(COUNTIFS(T_StockCount[Part Name],$A45,T_StockCount[WeekIndex],85)&gt;0,SUMIFS(T_StockCount[CountedQty],T_StockCount[Part Name],$A45,T_StockCount[WeekIndex],85),IF(('T_SelfStock'!CH49&lt;&gt;""),'T_SelfStock'!CH49,CG45-'Grid_Requirement'!CH45+'Grid_TTAFOutgoing'!CH45))</f>
        <v/>
      </c>
      <c r="CI45">
        <f>IF(COUNTIFS(T_StockCount[Part Name],$A45,T_StockCount[WeekIndex],86)&gt;0,SUMIFS(T_StockCount[CountedQty],T_StockCount[Part Name],$A45,T_StockCount[WeekIndex],86),IF(('T_SelfStock'!CI49&lt;&gt;""),'T_SelfStock'!CI49,CH45-'Grid_Requirement'!CI45+'Grid_TTAFOutgoing'!CI45))</f>
        <v/>
      </c>
      <c r="CJ45">
        <f>IF(COUNTIFS(T_StockCount[Part Name],$A45,T_StockCount[WeekIndex],87)&gt;0,SUMIFS(T_StockCount[CountedQty],T_StockCount[Part Name],$A45,T_StockCount[WeekIndex],87),IF(('T_SelfStock'!CJ49&lt;&gt;""),'T_SelfStock'!CJ49,CI45-'Grid_Requirement'!CJ45+'Grid_TTAFOutgoing'!CJ45))</f>
        <v/>
      </c>
      <c r="CK45">
        <f>IF(COUNTIFS(T_StockCount[Part Name],$A45,T_StockCount[WeekIndex],88)&gt;0,SUMIFS(T_StockCount[CountedQty],T_StockCount[Part Name],$A45,T_StockCount[WeekIndex],88),IF(('T_SelfStock'!CK49&lt;&gt;""),'T_SelfStock'!CK49,CJ45-'Grid_Requirement'!CK45+'Grid_TTAFOutgoing'!CK45))</f>
        <v/>
      </c>
      <c r="CL45">
        <f>IF(COUNTIFS(T_StockCount[Part Name],$A45,T_StockCount[WeekIndex],89)&gt;0,SUMIFS(T_StockCount[CountedQty],T_StockCount[Part Name],$A45,T_StockCount[WeekIndex],89),IF(('T_SelfStock'!CL49&lt;&gt;""),'T_SelfStock'!CL49,CK45-'Grid_Requirement'!CL45+'Grid_TTAFOutgoing'!CL45))</f>
        <v/>
      </c>
      <c r="CM45">
        <f>IF(COUNTIFS(T_StockCount[Part Name],$A45,T_StockCount[WeekIndex],90)&gt;0,SUMIFS(T_StockCount[CountedQty],T_StockCount[Part Name],$A45,T_StockCount[WeekIndex],90),IF(('T_SelfStock'!CM49&lt;&gt;""),'T_SelfStock'!CM49,CL45-'Grid_Requirement'!CM45+'Grid_TTAFOutgoing'!CM45))</f>
        <v/>
      </c>
      <c r="CN45">
        <f>IF(COUNTIFS(T_StockCount[Part Name],$A45,T_StockCount[WeekIndex],91)&gt;0,SUMIFS(T_StockCount[CountedQty],T_StockCount[Part Name],$A45,T_StockCount[WeekIndex],91),IF(('T_SelfStock'!CN49&lt;&gt;""),'T_SelfStock'!CN49,CM45-'Grid_Requirement'!CN45+'Grid_TTAFOutgoing'!CN45))</f>
        <v/>
      </c>
      <c r="CO45">
        <f>IF(COUNTIFS(T_StockCount[Part Name],$A45,T_StockCount[WeekIndex],92)&gt;0,SUMIFS(T_StockCount[CountedQty],T_StockCount[Part Name],$A45,T_StockCount[WeekIndex],92),IF(('T_SelfStock'!CO49&lt;&gt;""),'T_SelfStock'!CO49,CN45-'Grid_Requirement'!CO45+'Grid_TTAFOutgoing'!CO45))</f>
        <v/>
      </c>
      <c r="CP45">
        <f>IF(COUNTIFS(T_StockCount[Part Name],$A45,T_StockCount[WeekIndex],93)&gt;0,SUMIFS(T_StockCount[CountedQty],T_StockCount[Part Name],$A45,T_StockCount[WeekIndex],93),IF(('T_SelfStock'!CP49&lt;&gt;""),'T_SelfStock'!CP49,CO45-'Grid_Requirement'!CP45+'Grid_TTAFOutgoing'!CP45))</f>
        <v/>
      </c>
      <c r="CQ45">
        <f>IF(COUNTIFS(T_StockCount[Part Name],$A45,T_StockCount[WeekIndex],94)&gt;0,SUMIFS(T_StockCount[CountedQty],T_StockCount[Part Name],$A45,T_StockCount[WeekIndex],94),IF(('T_SelfStock'!CQ49&lt;&gt;""),'T_SelfStock'!CQ49,CP45-'Grid_Requirement'!CQ45+'Grid_TTAFOutgoing'!CQ45))</f>
        <v/>
      </c>
      <c r="CR45">
        <f>IF(COUNTIFS(T_StockCount[Part Name],$A45,T_StockCount[WeekIndex],95)&gt;0,SUMIFS(T_StockCount[CountedQty],T_StockCount[Part Name],$A45,T_StockCount[WeekIndex],95),IF(('T_SelfStock'!CR49&lt;&gt;""),'T_SelfStock'!CR49,CQ45-'Grid_Requirement'!CR45+'Grid_TTAFOutgoing'!CR45))</f>
        <v/>
      </c>
      <c r="CS45">
        <f>IF(COUNTIFS(T_StockCount[Part Name],$A45,T_StockCount[WeekIndex],96)&gt;0,SUMIFS(T_StockCount[CountedQty],T_StockCount[Part Name],$A45,T_StockCount[WeekIndex],96),IF(('T_SelfStock'!CS49&lt;&gt;""),'T_SelfStock'!CS49,CR45-'Grid_Requirement'!CS45+'Grid_TTAFOutgoing'!CS45))</f>
        <v/>
      </c>
      <c r="CT45">
        <f>IF(COUNTIFS(T_StockCount[Part Name],$A45,T_StockCount[WeekIndex],97)&gt;0,SUMIFS(T_StockCount[CountedQty],T_StockCount[Part Name],$A45,T_StockCount[WeekIndex],97),IF(('T_SelfStock'!CT49&lt;&gt;""),'T_SelfStock'!CT49,CS45-'Grid_Requirement'!CT45+'Grid_TTAFOutgoing'!CT45))</f>
        <v/>
      </c>
      <c r="CU45">
        <f>IF(COUNTIFS(T_StockCount[Part Name],$A45,T_StockCount[WeekIndex],98)&gt;0,SUMIFS(T_StockCount[CountedQty],T_StockCount[Part Name],$A45,T_StockCount[WeekIndex],98),IF(('T_SelfStock'!CU49&lt;&gt;""),'T_SelfStock'!CU49,CT45-'Grid_Requirement'!CU45+'Grid_TTAFOutgoing'!CU45))</f>
        <v/>
      </c>
      <c r="CV45">
        <f>IF(COUNTIFS(T_StockCount[Part Name],$A45,T_StockCount[WeekIndex],99)&gt;0,SUMIFS(T_StockCount[CountedQty],T_StockCount[Part Name],$A45,T_StockCount[WeekIndex],99),IF(('T_SelfStock'!CV49&lt;&gt;""),'T_SelfStock'!CV49,CU45-'Grid_Requirement'!CV45+'Grid_TTAFOutgoing'!CV45))</f>
        <v/>
      </c>
      <c r="CW45">
        <f>IF(COUNTIFS(T_StockCount[Part Name],$A45,T_StockCount[WeekIndex],100)&gt;0,SUMIFS(T_StockCount[CountedQty],T_StockCount[Part Name],$A45,T_StockCount[WeekIndex],100),IF(('T_SelfStock'!CW49&lt;&gt;""),'T_SelfStock'!CW49,CV45-'Grid_Requirement'!CW45+'Grid_TTAFOutgoing'!CW45))</f>
        <v/>
      </c>
      <c r="CX45">
        <f>IF(COUNTIFS(T_StockCount[Part Name],$A45,T_StockCount[WeekIndex],101)&gt;0,SUMIFS(T_StockCount[CountedQty],T_StockCount[Part Name],$A45,T_StockCount[WeekIndex],101),IF(('T_SelfStock'!CX49&lt;&gt;""),'T_SelfStock'!CX49,CW45-'Grid_Requirement'!CX45+'Grid_TTAFOutgoing'!CX45))</f>
        <v/>
      </c>
      <c r="CY45">
        <f>IF(COUNTIFS(T_StockCount[Part Name],$A45,T_StockCount[WeekIndex],102)&gt;0,SUMIFS(T_StockCount[CountedQty],T_StockCount[Part Name],$A45,T_StockCount[WeekIndex],102),IF(('T_SelfStock'!CY49&lt;&gt;""),'T_SelfStock'!CY49,CX45-'Grid_Requirement'!CY45+'Grid_TTAFOutgoing'!CY45))</f>
        <v/>
      </c>
      <c r="CZ45">
        <f>IF(COUNTIFS(T_StockCount[Part Name],$A45,T_StockCount[WeekIndex],103)&gt;0,SUMIFS(T_StockCount[CountedQty],T_StockCount[Part Name],$A45,T_StockCount[WeekIndex],103),IF(('T_SelfStock'!CZ49&lt;&gt;""),'T_SelfStock'!CZ49,CY45-'Grid_Requirement'!CZ45+'Grid_TTAFOutgoing'!CZ45))</f>
        <v/>
      </c>
      <c r="DA45">
        <f>IF(COUNTIFS(T_StockCount[Part Name],$A45,T_StockCount[WeekIndex],104)&gt;0,SUMIFS(T_StockCount[CountedQty],T_StockCount[Part Name],$A45,T_StockCount[WeekIndex],104),IF(('T_SelfStock'!DA49&lt;&gt;""),'T_SelfStock'!DA49,CZ45-'Grid_Requirement'!DA45+'Grid_TTAFOutgoing'!DA45))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Name],$A2,T_StockCount[WeekIndex],1)&gt;0,0,IF(('T_TTAFStock'!B6&lt;&gt;""),'T_TTAFStock'!B6,0+'Grid_Incoming'!B2-'Grid_TTAFOutgoing'!B2))</f>
        <v/>
      </c>
      <c r="C2">
        <f>IF(COUNTIFS(T_StockCount[Part Name],$A2,T_StockCount[WeekIndex],2)&gt;0,0,IF(('T_TTAFStock'!C6&lt;&gt;""),'T_TTAFStock'!C6,B2+'Grid_Incoming'!C2-'Grid_TTAFOutgoing'!C2))</f>
        <v/>
      </c>
      <c r="D2">
        <f>IF(COUNTIFS(T_StockCount[Part Name],$A2,T_StockCount[WeekIndex],3)&gt;0,0,IF(('T_TTAFStock'!D6&lt;&gt;""),'T_TTAFStock'!D6,C2+'Grid_Incoming'!D2-'Grid_TTAFOutgoing'!D2))</f>
        <v/>
      </c>
      <c r="E2">
        <f>IF(COUNTIFS(T_StockCount[Part Name],$A2,T_StockCount[WeekIndex],4)&gt;0,0,IF(('T_TTAFStock'!E6&lt;&gt;""),'T_TTAFStock'!E6,D2+'Grid_Incoming'!E2-'Grid_TTAFOutgoing'!E2))</f>
        <v/>
      </c>
      <c r="F2">
        <f>IF(COUNTIFS(T_StockCount[Part Name],$A2,T_StockCount[WeekIndex],5)&gt;0,0,IF(('T_TTAFStock'!F6&lt;&gt;""),'T_TTAFStock'!F6,E2+'Grid_Incoming'!F2-'Grid_TTAFOutgoing'!F2))</f>
        <v/>
      </c>
      <c r="G2">
        <f>IF(COUNTIFS(T_StockCount[Part Name],$A2,T_StockCount[WeekIndex],6)&gt;0,0,IF(('T_TTAFStock'!G6&lt;&gt;""),'T_TTAFStock'!G6,F2+'Grid_Incoming'!G2-'Grid_TTAFOutgoing'!G2))</f>
        <v/>
      </c>
      <c r="H2">
        <f>IF(COUNTIFS(T_StockCount[Part Name],$A2,T_StockCount[WeekIndex],7)&gt;0,0,IF(('T_TTAFStock'!H6&lt;&gt;""),'T_TTAFStock'!H6,G2+'Grid_Incoming'!H2-'Grid_TTAFOutgoing'!H2))</f>
        <v/>
      </c>
      <c r="I2">
        <f>IF(COUNTIFS(T_StockCount[Part Name],$A2,T_StockCount[WeekIndex],8)&gt;0,0,IF(('T_TTAFStock'!I6&lt;&gt;""),'T_TTAFStock'!I6,H2+'Grid_Incoming'!I2-'Grid_TTAFOutgoing'!I2))</f>
        <v/>
      </c>
      <c r="J2">
        <f>IF(COUNTIFS(T_StockCount[Part Name],$A2,T_StockCount[WeekIndex],9)&gt;0,0,IF(('T_TTAFStock'!J6&lt;&gt;""),'T_TTAFStock'!J6,I2+'Grid_Incoming'!J2-'Grid_TTAFOutgoing'!J2))</f>
        <v/>
      </c>
      <c r="K2">
        <f>IF(COUNTIFS(T_StockCount[Part Name],$A2,T_StockCount[WeekIndex],10)&gt;0,0,IF(('T_TTAFStock'!K6&lt;&gt;""),'T_TTAFStock'!K6,J2+'Grid_Incoming'!K2-'Grid_TTAFOutgoing'!K2))</f>
        <v/>
      </c>
      <c r="L2">
        <f>IF(COUNTIFS(T_StockCount[Part Name],$A2,T_StockCount[WeekIndex],11)&gt;0,0,IF(('T_TTAFStock'!L6&lt;&gt;""),'T_TTAFStock'!L6,K2+'Grid_Incoming'!L2-'Grid_TTAFOutgoing'!L2))</f>
        <v/>
      </c>
      <c r="M2">
        <f>IF(COUNTIFS(T_StockCount[Part Name],$A2,T_StockCount[WeekIndex],12)&gt;0,0,IF(('T_TTAFStock'!M6&lt;&gt;""),'T_TTAFStock'!M6,L2+'Grid_Incoming'!M2-'Grid_TTAFOutgoing'!M2))</f>
        <v/>
      </c>
      <c r="N2">
        <f>IF(COUNTIFS(T_StockCount[Part Name],$A2,T_StockCount[WeekIndex],13)&gt;0,0,IF(('T_TTAFStock'!N6&lt;&gt;""),'T_TTAFStock'!N6,M2+'Grid_Incoming'!N2-'Grid_TTAFOutgoing'!N2))</f>
        <v/>
      </c>
      <c r="O2">
        <f>IF(COUNTIFS(T_StockCount[Part Name],$A2,T_StockCount[WeekIndex],14)&gt;0,0,IF(('T_TTAFStock'!O6&lt;&gt;""),'T_TTAFStock'!O6,N2+'Grid_Incoming'!O2-'Grid_TTAFOutgoing'!O2))</f>
        <v/>
      </c>
      <c r="P2">
        <f>IF(COUNTIFS(T_StockCount[Part Name],$A2,T_StockCount[WeekIndex],15)&gt;0,0,IF(('T_TTAFStock'!P6&lt;&gt;""),'T_TTAFStock'!P6,O2+'Grid_Incoming'!P2-'Grid_TTAFOutgoing'!P2))</f>
        <v/>
      </c>
      <c r="Q2">
        <f>IF(COUNTIFS(T_StockCount[Part Name],$A2,T_StockCount[WeekIndex],16)&gt;0,0,IF(('T_TTAFStock'!Q6&lt;&gt;""),'T_TTAFStock'!Q6,P2+'Grid_Incoming'!Q2-'Grid_TTAFOutgoing'!Q2))</f>
        <v/>
      </c>
      <c r="R2">
        <f>IF(COUNTIFS(T_StockCount[Part Name],$A2,T_StockCount[WeekIndex],17)&gt;0,0,IF(('T_TTAFStock'!R6&lt;&gt;""),'T_TTAFStock'!R6,Q2+'Grid_Incoming'!R2-'Grid_TTAFOutgoing'!R2))</f>
        <v/>
      </c>
      <c r="S2">
        <f>IF(COUNTIFS(T_StockCount[Part Name],$A2,T_StockCount[WeekIndex],18)&gt;0,0,IF(('T_TTAFStock'!S6&lt;&gt;""),'T_TTAFStock'!S6,R2+'Grid_Incoming'!S2-'Grid_TTAFOutgoing'!S2))</f>
        <v/>
      </c>
      <c r="T2">
        <f>IF(COUNTIFS(T_StockCount[Part Name],$A2,T_StockCount[WeekIndex],19)&gt;0,0,IF(('T_TTAFStock'!T6&lt;&gt;""),'T_TTAFStock'!T6,S2+'Grid_Incoming'!T2-'Grid_TTAFOutgoing'!T2))</f>
        <v/>
      </c>
      <c r="U2">
        <f>IF(COUNTIFS(T_StockCount[Part Name],$A2,T_StockCount[WeekIndex],20)&gt;0,0,IF(('T_TTAFStock'!U6&lt;&gt;""),'T_TTAFStock'!U6,T2+'Grid_Incoming'!U2-'Grid_TTAFOutgoing'!U2))</f>
        <v/>
      </c>
      <c r="V2">
        <f>IF(COUNTIFS(T_StockCount[Part Name],$A2,T_StockCount[WeekIndex],21)&gt;0,0,IF(('T_TTAFStock'!V6&lt;&gt;""),'T_TTAFStock'!V6,U2+'Grid_Incoming'!V2-'Grid_TTAFOutgoing'!V2))</f>
        <v/>
      </c>
      <c r="W2">
        <f>IF(COUNTIFS(T_StockCount[Part Name],$A2,T_StockCount[WeekIndex],22)&gt;0,0,IF(('T_TTAFStock'!W6&lt;&gt;""),'T_TTAFStock'!W6,V2+'Grid_Incoming'!W2-'Grid_TTAFOutgoing'!W2))</f>
        <v/>
      </c>
      <c r="X2">
        <f>IF(COUNTIFS(T_StockCount[Part Name],$A2,T_StockCount[WeekIndex],23)&gt;0,0,IF(('T_TTAFStock'!X6&lt;&gt;""),'T_TTAFStock'!X6,W2+'Grid_Incoming'!X2-'Grid_TTAFOutgoing'!X2))</f>
        <v/>
      </c>
      <c r="Y2">
        <f>IF(COUNTIFS(T_StockCount[Part Name],$A2,T_StockCount[WeekIndex],24)&gt;0,0,IF(('T_TTAFStock'!Y6&lt;&gt;""),'T_TTAFStock'!Y6,X2+'Grid_Incoming'!Y2-'Grid_TTAFOutgoing'!Y2))</f>
        <v/>
      </c>
      <c r="Z2">
        <f>IF(COUNTIFS(T_StockCount[Part Name],$A2,T_StockCount[WeekIndex],25)&gt;0,0,IF(('T_TTAFStock'!Z6&lt;&gt;""),'T_TTAFStock'!Z6,Y2+'Grid_Incoming'!Z2-'Grid_TTAFOutgoing'!Z2))</f>
        <v/>
      </c>
      <c r="AA2">
        <f>IF(COUNTIFS(T_StockCount[Part Name],$A2,T_StockCount[WeekIndex],26)&gt;0,0,IF(('T_TTAFStock'!AA6&lt;&gt;""),'T_TTAFStock'!AA6,Z2+'Grid_Incoming'!AA2-'Grid_TTAFOutgoing'!AA2))</f>
        <v/>
      </c>
      <c r="AB2">
        <f>IF(COUNTIFS(T_StockCount[Part Name],$A2,T_StockCount[WeekIndex],27)&gt;0,0,IF(('T_TTAFStock'!AB6&lt;&gt;""),'T_TTAFStock'!AB6,AA2+'Grid_Incoming'!AB2-'Grid_TTAFOutgoing'!AB2))</f>
        <v/>
      </c>
      <c r="AC2">
        <f>IF(COUNTIFS(T_StockCount[Part Name],$A2,T_StockCount[WeekIndex],28)&gt;0,0,IF(('T_TTAFStock'!AC6&lt;&gt;""),'T_TTAFStock'!AC6,AB2+'Grid_Incoming'!AC2-'Grid_TTAFOutgoing'!AC2))</f>
        <v/>
      </c>
      <c r="AD2">
        <f>IF(COUNTIFS(T_StockCount[Part Name],$A2,T_StockCount[WeekIndex],29)&gt;0,0,IF(('T_TTAFStock'!AD6&lt;&gt;""),'T_TTAFStock'!AD6,AC2+'Grid_Incoming'!AD2-'Grid_TTAFOutgoing'!AD2))</f>
        <v/>
      </c>
      <c r="AE2">
        <f>IF(COUNTIFS(T_StockCount[Part Name],$A2,T_StockCount[WeekIndex],30)&gt;0,0,IF(('T_TTAFStock'!AE6&lt;&gt;""),'T_TTAFStock'!AE6,AD2+'Grid_Incoming'!AE2-'Grid_TTAFOutgoing'!AE2))</f>
        <v/>
      </c>
      <c r="AF2">
        <f>IF(COUNTIFS(T_StockCount[Part Name],$A2,T_StockCount[WeekIndex],31)&gt;0,0,IF(('T_TTAFStock'!AF6&lt;&gt;""),'T_TTAFStock'!AF6,AE2+'Grid_Incoming'!AF2-'Grid_TTAFOutgoing'!AF2))</f>
        <v/>
      </c>
      <c r="AG2">
        <f>IF(COUNTIFS(T_StockCount[Part Name],$A2,T_StockCount[WeekIndex],32)&gt;0,0,IF(('T_TTAFStock'!AG6&lt;&gt;""),'T_TTAFStock'!AG6,AF2+'Grid_Incoming'!AG2-'Grid_TTAFOutgoing'!AG2))</f>
        <v/>
      </c>
      <c r="AH2">
        <f>IF(COUNTIFS(T_StockCount[Part Name],$A2,T_StockCount[WeekIndex],33)&gt;0,0,IF(('T_TTAFStock'!AH6&lt;&gt;""),'T_TTAFStock'!AH6,AG2+'Grid_Incoming'!AH2-'Grid_TTAFOutgoing'!AH2))</f>
        <v/>
      </c>
      <c r="AI2">
        <f>IF(COUNTIFS(T_StockCount[Part Name],$A2,T_StockCount[WeekIndex],34)&gt;0,0,IF(('T_TTAFStock'!AI6&lt;&gt;""),'T_TTAFStock'!AI6,AH2+'Grid_Incoming'!AI2-'Grid_TTAFOutgoing'!AI2))</f>
        <v/>
      </c>
      <c r="AJ2">
        <f>IF(COUNTIFS(T_StockCount[Part Name],$A2,T_StockCount[WeekIndex],35)&gt;0,0,IF(('T_TTAFStock'!AJ6&lt;&gt;""),'T_TTAFStock'!AJ6,AI2+'Grid_Incoming'!AJ2-'Grid_TTAFOutgoing'!AJ2))</f>
        <v/>
      </c>
      <c r="AK2">
        <f>IF(COUNTIFS(T_StockCount[Part Name],$A2,T_StockCount[WeekIndex],36)&gt;0,0,IF(('T_TTAFStock'!AK6&lt;&gt;""),'T_TTAFStock'!AK6,AJ2+'Grid_Incoming'!AK2-'Grid_TTAFOutgoing'!AK2))</f>
        <v/>
      </c>
      <c r="AL2">
        <f>IF(COUNTIFS(T_StockCount[Part Name],$A2,T_StockCount[WeekIndex],37)&gt;0,0,IF(('T_TTAFStock'!AL6&lt;&gt;""),'T_TTAFStock'!AL6,AK2+'Grid_Incoming'!AL2-'Grid_TTAFOutgoing'!AL2))</f>
        <v/>
      </c>
      <c r="AM2">
        <f>IF(COUNTIFS(T_StockCount[Part Name],$A2,T_StockCount[WeekIndex],38)&gt;0,0,IF(('T_TTAFStock'!AM6&lt;&gt;""),'T_TTAFStock'!AM6,AL2+'Grid_Incoming'!AM2-'Grid_TTAFOutgoing'!AM2))</f>
        <v/>
      </c>
      <c r="AN2">
        <f>IF(COUNTIFS(T_StockCount[Part Name],$A2,T_StockCount[WeekIndex],39)&gt;0,0,IF(('T_TTAFStock'!AN6&lt;&gt;""),'T_TTAFStock'!AN6,AM2+'Grid_Incoming'!AN2-'Grid_TTAFOutgoing'!AN2))</f>
        <v/>
      </c>
      <c r="AO2">
        <f>IF(COUNTIFS(T_StockCount[Part Name],$A2,T_StockCount[WeekIndex],40)&gt;0,0,IF(('T_TTAFStock'!AO6&lt;&gt;""),'T_TTAFStock'!AO6,AN2+'Grid_Incoming'!AO2-'Grid_TTAFOutgoing'!AO2))</f>
        <v/>
      </c>
      <c r="AP2">
        <f>IF(COUNTIFS(T_StockCount[Part Name],$A2,T_StockCount[WeekIndex],41)&gt;0,0,IF(('T_TTAFStock'!AP6&lt;&gt;""),'T_TTAFStock'!AP6,AO2+'Grid_Incoming'!AP2-'Grid_TTAFOutgoing'!AP2))</f>
        <v/>
      </c>
      <c r="AQ2">
        <f>IF(COUNTIFS(T_StockCount[Part Name],$A2,T_StockCount[WeekIndex],42)&gt;0,0,IF(('T_TTAFStock'!AQ6&lt;&gt;""),'T_TTAFStock'!AQ6,AP2+'Grid_Incoming'!AQ2-'Grid_TTAFOutgoing'!AQ2))</f>
        <v/>
      </c>
      <c r="AR2">
        <f>IF(COUNTIFS(T_StockCount[Part Name],$A2,T_StockCount[WeekIndex],43)&gt;0,0,IF(('T_TTAFStock'!AR6&lt;&gt;""),'T_TTAFStock'!AR6,AQ2+'Grid_Incoming'!AR2-'Grid_TTAFOutgoing'!AR2))</f>
        <v/>
      </c>
      <c r="AS2">
        <f>IF(COUNTIFS(T_StockCount[Part Name],$A2,T_StockCount[WeekIndex],44)&gt;0,0,IF(('T_TTAFStock'!AS6&lt;&gt;""),'T_TTAFStock'!AS6,AR2+'Grid_Incoming'!AS2-'Grid_TTAFOutgoing'!AS2))</f>
        <v/>
      </c>
      <c r="AT2">
        <f>IF(COUNTIFS(T_StockCount[Part Name],$A2,T_StockCount[WeekIndex],45)&gt;0,0,IF(('T_TTAFStock'!AT6&lt;&gt;""),'T_TTAFStock'!AT6,AS2+'Grid_Incoming'!AT2-'Grid_TTAFOutgoing'!AT2))</f>
        <v/>
      </c>
      <c r="AU2">
        <f>IF(COUNTIFS(T_StockCount[Part Name],$A2,T_StockCount[WeekIndex],46)&gt;0,0,IF(('T_TTAFStock'!AU6&lt;&gt;""),'T_TTAFStock'!AU6,AT2+'Grid_Incoming'!AU2-'Grid_TTAFOutgoing'!AU2))</f>
        <v/>
      </c>
      <c r="AV2">
        <f>IF(COUNTIFS(T_StockCount[Part Name],$A2,T_StockCount[WeekIndex],47)&gt;0,0,IF(('T_TTAFStock'!AV6&lt;&gt;""),'T_TTAFStock'!AV6,AU2+'Grid_Incoming'!AV2-'Grid_TTAFOutgoing'!AV2))</f>
        <v/>
      </c>
      <c r="AW2">
        <f>IF(COUNTIFS(T_StockCount[Part Name],$A2,T_StockCount[WeekIndex],48)&gt;0,0,IF(('T_TTAFStock'!AW6&lt;&gt;""),'T_TTAFStock'!AW6,AV2+'Grid_Incoming'!AW2-'Grid_TTAFOutgoing'!AW2))</f>
        <v/>
      </c>
      <c r="AX2">
        <f>IF(COUNTIFS(T_StockCount[Part Name],$A2,T_StockCount[WeekIndex],49)&gt;0,0,IF(('T_TTAFStock'!AX6&lt;&gt;""),'T_TTAFStock'!AX6,AW2+'Grid_Incoming'!AX2-'Grid_TTAFOutgoing'!AX2))</f>
        <v/>
      </c>
      <c r="AY2">
        <f>IF(COUNTIFS(T_StockCount[Part Name],$A2,T_StockCount[WeekIndex],50)&gt;0,0,IF(('T_TTAFStock'!AY6&lt;&gt;""),'T_TTAFStock'!AY6,AX2+'Grid_Incoming'!AY2-'Grid_TTAFOutgoing'!AY2))</f>
        <v/>
      </c>
      <c r="AZ2">
        <f>IF(COUNTIFS(T_StockCount[Part Name],$A2,T_StockCount[WeekIndex],51)&gt;0,0,IF(('T_TTAFStock'!AZ6&lt;&gt;""),'T_TTAFStock'!AZ6,AY2+'Grid_Incoming'!AZ2-'Grid_TTAFOutgoing'!AZ2))</f>
        <v/>
      </c>
      <c r="BA2">
        <f>IF(COUNTIFS(T_StockCount[Part Name],$A2,T_StockCount[WeekIndex],52)&gt;0,0,IF(('T_TTAFStock'!BA6&lt;&gt;""),'T_TTAFStock'!BA6,AZ2+'Grid_Incoming'!BA2-'Grid_TTAFOutgoing'!BA2))</f>
        <v/>
      </c>
      <c r="BB2">
        <f>IF(COUNTIFS(T_StockCount[Part Name],$A2,T_StockCount[WeekIndex],53)&gt;0,0,IF(('T_TTAFStock'!BB6&lt;&gt;""),'T_TTAFStock'!BB6,BA2+'Grid_Incoming'!BB2-'Grid_TTAFOutgoing'!BB2))</f>
        <v/>
      </c>
      <c r="BC2">
        <f>IF(COUNTIFS(T_StockCount[Part Name],$A2,T_StockCount[WeekIndex],54)&gt;0,0,IF(('T_TTAFStock'!BC6&lt;&gt;""),'T_TTAFStock'!BC6,BB2+'Grid_Incoming'!BC2-'Grid_TTAFOutgoing'!BC2))</f>
        <v/>
      </c>
      <c r="BD2">
        <f>IF(COUNTIFS(T_StockCount[Part Name],$A2,T_StockCount[WeekIndex],55)&gt;0,0,IF(('T_TTAFStock'!BD6&lt;&gt;""),'T_TTAFStock'!BD6,BC2+'Grid_Incoming'!BD2-'Grid_TTAFOutgoing'!BD2))</f>
        <v/>
      </c>
      <c r="BE2">
        <f>IF(COUNTIFS(T_StockCount[Part Name],$A2,T_StockCount[WeekIndex],56)&gt;0,0,IF(('T_TTAFStock'!BE6&lt;&gt;""),'T_TTAFStock'!BE6,BD2+'Grid_Incoming'!BE2-'Grid_TTAFOutgoing'!BE2))</f>
        <v/>
      </c>
      <c r="BF2">
        <f>IF(COUNTIFS(T_StockCount[Part Name],$A2,T_StockCount[WeekIndex],57)&gt;0,0,IF(('T_TTAFStock'!BF6&lt;&gt;""),'T_TTAFStock'!BF6,BE2+'Grid_Incoming'!BF2-'Grid_TTAFOutgoing'!BF2))</f>
        <v/>
      </c>
      <c r="BG2">
        <f>IF(COUNTIFS(T_StockCount[Part Name],$A2,T_StockCount[WeekIndex],58)&gt;0,0,IF(('T_TTAFStock'!BG6&lt;&gt;""),'T_TTAFStock'!BG6,BF2+'Grid_Incoming'!BG2-'Grid_TTAFOutgoing'!BG2))</f>
        <v/>
      </c>
      <c r="BH2">
        <f>IF(COUNTIFS(T_StockCount[Part Name],$A2,T_StockCount[WeekIndex],59)&gt;0,0,IF(('T_TTAFStock'!BH6&lt;&gt;""),'T_TTAFStock'!BH6,BG2+'Grid_Incoming'!BH2-'Grid_TTAFOutgoing'!BH2))</f>
        <v/>
      </c>
      <c r="BI2">
        <f>IF(COUNTIFS(T_StockCount[Part Name],$A2,T_StockCount[WeekIndex],60)&gt;0,0,IF(('T_TTAFStock'!BI6&lt;&gt;""),'T_TTAFStock'!BI6,BH2+'Grid_Incoming'!BI2-'Grid_TTAFOutgoing'!BI2))</f>
        <v/>
      </c>
      <c r="BJ2">
        <f>IF(COUNTIFS(T_StockCount[Part Name],$A2,T_StockCount[WeekIndex],61)&gt;0,0,IF(('T_TTAFStock'!BJ6&lt;&gt;""),'T_TTAFStock'!BJ6,BI2+'Grid_Incoming'!BJ2-'Grid_TTAFOutgoing'!BJ2))</f>
        <v/>
      </c>
      <c r="BK2">
        <f>IF(COUNTIFS(T_StockCount[Part Name],$A2,T_StockCount[WeekIndex],62)&gt;0,0,IF(('T_TTAFStock'!BK6&lt;&gt;""),'T_TTAFStock'!BK6,BJ2+'Grid_Incoming'!BK2-'Grid_TTAFOutgoing'!BK2))</f>
        <v/>
      </c>
      <c r="BL2">
        <f>IF(COUNTIFS(T_StockCount[Part Name],$A2,T_StockCount[WeekIndex],63)&gt;0,0,IF(('T_TTAFStock'!BL6&lt;&gt;""),'T_TTAFStock'!BL6,BK2+'Grid_Incoming'!BL2-'Grid_TTAFOutgoing'!BL2))</f>
        <v/>
      </c>
      <c r="BM2">
        <f>IF(COUNTIFS(T_StockCount[Part Name],$A2,T_StockCount[WeekIndex],64)&gt;0,0,IF(('T_TTAFStock'!BM6&lt;&gt;""),'T_TTAFStock'!BM6,BL2+'Grid_Incoming'!BM2-'Grid_TTAFOutgoing'!BM2))</f>
        <v/>
      </c>
      <c r="BN2">
        <f>IF(COUNTIFS(T_StockCount[Part Name],$A2,T_StockCount[WeekIndex],65)&gt;0,0,IF(('T_TTAFStock'!BN6&lt;&gt;""),'T_TTAFStock'!BN6,BM2+'Grid_Incoming'!BN2-'Grid_TTAFOutgoing'!BN2))</f>
        <v/>
      </c>
      <c r="BO2">
        <f>IF(COUNTIFS(T_StockCount[Part Name],$A2,T_StockCount[WeekIndex],66)&gt;0,0,IF(('T_TTAFStock'!BO6&lt;&gt;""),'T_TTAFStock'!BO6,BN2+'Grid_Incoming'!BO2-'Grid_TTAFOutgoing'!BO2))</f>
        <v/>
      </c>
      <c r="BP2">
        <f>IF(COUNTIFS(T_StockCount[Part Name],$A2,T_StockCount[WeekIndex],67)&gt;0,0,IF(('T_TTAFStock'!BP6&lt;&gt;""),'T_TTAFStock'!BP6,BO2+'Grid_Incoming'!BP2-'Grid_TTAFOutgoing'!BP2))</f>
        <v/>
      </c>
      <c r="BQ2">
        <f>IF(COUNTIFS(T_StockCount[Part Name],$A2,T_StockCount[WeekIndex],68)&gt;0,0,IF(('T_TTAFStock'!BQ6&lt;&gt;""),'T_TTAFStock'!BQ6,BP2+'Grid_Incoming'!BQ2-'Grid_TTAFOutgoing'!BQ2))</f>
        <v/>
      </c>
      <c r="BR2">
        <f>IF(COUNTIFS(T_StockCount[Part Name],$A2,T_StockCount[WeekIndex],69)&gt;0,0,IF(('T_TTAFStock'!BR6&lt;&gt;""),'T_TTAFStock'!BR6,BQ2+'Grid_Incoming'!BR2-'Grid_TTAFOutgoing'!BR2))</f>
        <v/>
      </c>
      <c r="BS2">
        <f>IF(COUNTIFS(T_StockCount[Part Name],$A2,T_StockCount[WeekIndex],70)&gt;0,0,IF(('T_TTAFStock'!BS6&lt;&gt;""),'T_TTAFStock'!BS6,BR2+'Grid_Incoming'!BS2-'Grid_TTAFOutgoing'!BS2))</f>
        <v/>
      </c>
      <c r="BT2">
        <f>IF(COUNTIFS(T_StockCount[Part Name],$A2,T_StockCount[WeekIndex],71)&gt;0,0,IF(('T_TTAFStock'!BT6&lt;&gt;""),'T_TTAFStock'!BT6,BS2+'Grid_Incoming'!BT2-'Grid_TTAFOutgoing'!BT2))</f>
        <v/>
      </c>
      <c r="BU2">
        <f>IF(COUNTIFS(T_StockCount[Part Name],$A2,T_StockCount[WeekIndex],72)&gt;0,0,IF(('T_TTAFStock'!BU6&lt;&gt;""),'T_TTAFStock'!BU6,BT2+'Grid_Incoming'!BU2-'Grid_TTAFOutgoing'!BU2))</f>
        <v/>
      </c>
      <c r="BV2">
        <f>IF(COUNTIFS(T_StockCount[Part Name],$A2,T_StockCount[WeekIndex],73)&gt;0,0,IF(('T_TTAFStock'!BV6&lt;&gt;""),'T_TTAFStock'!BV6,BU2+'Grid_Incoming'!BV2-'Grid_TTAFOutgoing'!BV2))</f>
        <v/>
      </c>
      <c r="BW2">
        <f>IF(COUNTIFS(T_StockCount[Part Name],$A2,T_StockCount[WeekIndex],74)&gt;0,0,IF(('T_TTAFStock'!BW6&lt;&gt;""),'T_TTAFStock'!BW6,BV2+'Grid_Incoming'!BW2-'Grid_TTAFOutgoing'!BW2))</f>
        <v/>
      </c>
      <c r="BX2">
        <f>IF(COUNTIFS(T_StockCount[Part Name],$A2,T_StockCount[WeekIndex],75)&gt;0,0,IF(('T_TTAFStock'!BX6&lt;&gt;""),'T_TTAFStock'!BX6,BW2+'Grid_Incoming'!BX2-'Grid_TTAFOutgoing'!BX2))</f>
        <v/>
      </c>
      <c r="BY2">
        <f>IF(COUNTIFS(T_StockCount[Part Name],$A2,T_StockCount[WeekIndex],76)&gt;0,0,IF(('T_TTAFStock'!BY6&lt;&gt;""),'T_TTAFStock'!BY6,BX2+'Grid_Incoming'!BY2-'Grid_TTAFOutgoing'!BY2))</f>
        <v/>
      </c>
      <c r="BZ2">
        <f>IF(COUNTIFS(T_StockCount[Part Name],$A2,T_StockCount[WeekIndex],77)&gt;0,0,IF(('T_TTAFStock'!BZ6&lt;&gt;""),'T_TTAFStock'!BZ6,BY2+'Grid_Incoming'!BZ2-'Grid_TTAFOutgoing'!BZ2))</f>
        <v/>
      </c>
      <c r="CA2">
        <f>IF(COUNTIFS(T_StockCount[Part Name],$A2,T_StockCount[WeekIndex],78)&gt;0,0,IF(('T_TTAFStock'!CA6&lt;&gt;""),'T_TTAFStock'!CA6,BZ2+'Grid_Incoming'!CA2-'Grid_TTAFOutgoing'!CA2))</f>
        <v/>
      </c>
      <c r="CB2">
        <f>IF(COUNTIFS(T_StockCount[Part Name],$A2,T_StockCount[WeekIndex],79)&gt;0,0,IF(('T_TTAFStock'!CB6&lt;&gt;""),'T_TTAFStock'!CB6,CA2+'Grid_Incoming'!CB2-'Grid_TTAFOutgoing'!CB2))</f>
        <v/>
      </c>
      <c r="CC2">
        <f>IF(COUNTIFS(T_StockCount[Part Name],$A2,T_StockCount[WeekIndex],80)&gt;0,0,IF(('T_TTAFStock'!CC6&lt;&gt;""),'T_TTAFStock'!CC6,CB2+'Grid_Incoming'!CC2-'Grid_TTAFOutgoing'!CC2))</f>
        <v/>
      </c>
      <c r="CD2">
        <f>IF(COUNTIFS(T_StockCount[Part Name],$A2,T_StockCount[WeekIndex],81)&gt;0,0,IF(('T_TTAFStock'!CD6&lt;&gt;""),'T_TTAFStock'!CD6,CC2+'Grid_Incoming'!CD2-'Grid_TTAFOutgoing'!CD2))</f>
        <v/>
      </c>
      <c r="CE2">
        <f>IF(COUNTIFS(T_StockCount[Part Name],$A2,T_StockCount[WeekIndex],82)&gt;0,0,IF(('T_TTAFStock'!CE6&lt;&gt;""),'T_TTAFStock'!CE6,CD2+'Grid_Incoming'!CE2-'Grid_TTAFOutgoing'!CE2))</f>
        <v/>
      </c>
      <c r="CF2">
        <f>IF(COUNTIFS(T_StockCount[Part Name],$A2,T_StockCount[WeekIndex],83)&gt;0,0,IF(('T_TTAFStock'!CF6&lt;&gt;""),'T_TTAFStock'!CF6,CE2+'Grid_Incoming'!CF2-'Grid_TTAFOutgoing'!CF2))</f>
        <v/>
      </c>
      <c r="CG2">
        <f>IF(COUNTIFS(T_StockCount[Part Name],$A2,T_StockCount[WeekIndex],84)&gt;0,0,IF(('T_TTAFStock'!CG6&lt;&gt;""),'T_TTAFStock'!CG6,CF2+'Grid_Incoming'!CG2-'Grid_TTAFOutgoing'!CG2))</f>
        <v/>
      </c>
      <c r="CH2">
        <f>IF(COUNTIFS(T_StockCount[Part Name],$A2,T_StockCount[WeekIndex],85)&gt;0,0,IF(('T_TTAFStock'!CH6&lt;&gt;""),'T_TTAFStock'!CH6,CG2+'Grid_Incoming'!CH2-'Grid_TTAFOutgoing'!CH2))</f>
        <v/>
      </c>
      <c r="CI2">
        <f>IF(COUNTIFS(T_StockCount[Part Name],$A2,T_StockCount[WeekIndex],86)&gt;0,0,IF(('T_TTAFStock'!CI6&lt;&gt;""),'T_TTAFStock'!CI6,CH2+'Grid_Incoming'!CI2-'Grid_TTAFOutgoing'!CI2))</f>
        <v/>
      </c>
      <c r="CJ2">
        <f>IF(COUNTIFS(T_StockCount[Part Name],$A2,T_StockCount[WeekIndex],87)&gt;0,0,IF(('T_TTAFStock'!CJ6&lt;&gt;""),'T_TTAFStock'!CJ6,CI2+'Grid_Incoming'!CJ2-'Grid_TTAFOutgoing'!CJ2))</f>
        <v/>
      </c>
      <c r="CK2">
        <f>IF(COUNTIFS(T_StockCount[Part Name],$A2,T_StockCount[WeekIndex],88)&gt;0,0,IF(('T_TTAFStock'!CK6&lt;&gt;""),'T_TTAFStock'!CK6,CJ2+'Grid_Incoming'!CK2-'Grid_TTAFOutgoing'!CK2))</f>
        <v/>
      </c>
      <c r="CL2">
        <f>IF(COUNTIFS(T_StockCount[Part Name],$A2,T_StockCount[WeekIndex],89)&gt;0,0,IF(('T_TTAFStock'!CL6&lt;&gt;""),'T_TTAFStock'!CL6,CK2+'Grid_Incoming'!CL2-'Grid_TTAFOutgoing'!CL2))</f>
        <v/>
      </c>
      <c r="CM2">
        <f>IF(COUNTIFS(T_StockCount[Part Name],$A2,T_StockCount[WeekIndex],90)&gt;0,0,IF(('T_TTAFStock'!CM6&lt;&gt;""),'T_TTAFStock'!CM6,CL2+'Grid_Incoming'!CM2-'Grid_TTAFOutgoing'!CM2))</f>
        <v/>
      </c>
      <c r="CN2">
        <f>IF(COUNTIFS(T_StockCount[Part Name],$A2,T_StockCount[WeekIndex],91)&gt;0,0,IF(('T_TTAFStock'!CN6&lt;&gt;""),'T_TTAFStock'!CN6,CM2+'Grid_Incoming'!CN2-'Grid_TTAFOutgoing'!CN2))</f>
        <v/>
      </c>
      <c r="CO2">
        <f>IF(COUNTIFS(T_StockCount[Part Name],$A2,T_StockCount[WeekIndex],92)&gt;0,0,IF(('T_TTAFStock'!CO6&lt;&gt;""),'T_TTAFStock'!CO6,CN2+'Grid_Incoming'!CO2-'Grid_TTAFOutgoing'!CO2))</f>
        <v/>
      </c>
      <c r="CP2">
        <f>IF(COUNTIFS(T_StockCount[Part Name],$A2,T_StockCount[WeekIndex],93)&gt;0,0,IF(('T_TTAFStock'!CP6&lt;&gt;""),'T_TTAFStock'!CP6,CO2+'Grid_Incoming'!CP2-'Grid_TTAFOutgoing'!CP2))</f>
        <v/>
      </c>
      <c r="CQ2">
        <f>IF(COUNTIFS(T_StockCount[Part Name],$A2,T_StockCount[WeekIndex],94)&gt;0,0,IF(('T_TTAFStock'!CQ6&lt;&gt;""),'T_TTAFStock'!CQ6,CP2+'Grid_Incoming'!CQ2-'Grid_TTAFOutgoing'!CQ2))</f>
        <v/>
      </c>
      <c r="CR2">
        <f>IF(COUNTIFS(T_StockCount[Part Name],$A2,T_StockCount[WeekIndex],95)&gt;0,0,IF(('T_TTAFStock'!CR6&lt;&gt;""),'T_TTAFStock'!CR6,CQ2+'Grid_Incoming'!CR2-'Grid_TTAFOutgoing'!CR2))</f>
        <v/>
      </c>
      <c r="CS2">
        <f>IF(COUNTIFS(T_StockCount[Part Name],$A2,T_StockCount[WeekIndex],96)&gt;0,0,IF(('T_TTAFStock'!CS6&lt;&gt;""),'T_TTAFStock'!CS6,CR2+'Grid_Incoming'!CS2-'Grid_TTAFOutgoing'!CS2))</f>
        <v/>
      </c>
      <c r="CT2">
        <f>IF(COUNTIFS(T_StockCount[Part Name],$A2,T_StockCount[WeekIndex],97)&gt;0,0,IF(('T_TTAFStock'!CT6&lt;&gt;""),'T_TTAFStock'!CT6,CS2+'Grid_Incoming'!CT2-'Grid_TTAFOutgoing'!CT2))</f>
        <v/>
      </c>
      <c r="CU2">
        <f>IF(COUNTIFS(T_StockCount[Part Name],$A2,T_StockCount[WeekIndex],98)&gt;0,0,IF(('T_TTAFStock'!CU6&lt;&gt;""),'T_TTAFStock'!CU6,CT2+'Grid_Incoming'!CU2-'Grid_TTAFOutgoing'!CU2))</f>
        <v/>
      </c>
      <c r="CV2">
        <f>IF(COUNTIFS(T_StockCount[Part Name],$A2,T_StockCount[WeekIndex],99)&gt;0,0,IF(('T_TTAFStock'!CV6&lt;&gt;""),'T_TTAFStock'!CV6,CU2+'Grid_Incoming'!CV2-'Grid_TTAFOutgoing'!CV2))</f>
        <v/>
      </c>
      <c r="CW2">
        <f>IF(COUNTIFS(T_StockCount[Part Name],$A2,T_StockCount[WeekIndex],100)&gt;0,0,IF(('T_TTAFStock'!CW6&lt;&gt;""),'T_TTAFStock'!CW6,CV2+'Grid_Incoming'!CW2-'Grid_TTAFOutgoing'!CW2))</f>
        <v/>
      </c>
      <c r="CX2">
        <f>IF(COUNTIFS(T_StockCount[Part Name],$A2,T_StockCount[WeekIndex],101)&gt;0,0,IF(('T_TTAFStock'!CX6&lt;&gt;""),'T_TTAFStock'!CX6,CW2+'Grid_Incoming'!CX2-'Grid_TTAFOutgoing'!CX2))</f>
        <v/>
      </c>
      <c r="CY2">
        <f>IF(COUNTIFS(T_StockCount[Part Name],$A2,T_StockCount[WeekIndex],102)&gt;0,0,IF(('T_TTAFStock'!CY6&lt;&gt;""),'T_TTAFStock'!CY6,CX2+'Grid_Incoming'!CY2-'Grid_TTAFOutgoing'!CY2))</f>
        <v/>
      </c>
      <c r="CZ2">
        <f>IF(COUNTIFS(T_StockCount[Part Name],$A2,T_StockCount[WeekIndex],103)&gt;0,0,IF(('T_TTAFStock'!CZ6&lt;&gt;""),'T_TTAFStock'!CZ6,CY2+'Grid_Incoming'!CZ2-'Grid_TTAFOutgoing'!CZ2))</f>
        <v/>
      </c>
      <c r="DA2">
        <f>IF(COUNTIFS(T_StockCount[Part Name],$A2,T_StockCount[WeekIndex],104)&gt;0,0,IF(('T_TTAFStock'!DA6&lt;&gt;""),'T_TTAFStock'!DA6,CZ2+'Grid_Incoming'!DA2-'Grid_TTAFOutgoing'!DA2))</f>
        <v/>
      </c>
    </row>
    <row r="3">
      <c r="A3" t="inlineStr">
        <is>
          <t>CHEM-1670</t>
        </is>
      </c>
      <c r="B3">
        <f>IF(COUNTIFS(T_StockCount[Part Name],$A3,T_StockCount[WeekIndex],1)&gt;0,0,IF(('T_TTAFStock'!B7&lt;&gt;""),'T_TTAFStock'!B7,0+'Grid_Incoming'!B3-'Grid_TTAFOutgoing'!B3))</f>
        <v/>
      </c>
      <c r="C3">
        <f>IF(COUNTIFS(T_StockCount[Part Name],$A3,T_StockCount[WeekIndex],2)&gt;0,0,IF(('T_TTAFStock'!C7&lt;&gt;""),'T_TTAFStock'!C7,B3+'Grid_Incoming'!C3-'Grid_TTAFOutgoing'!C3))</f>
        <v/>
      </c>
      <c r="D3">
        <f>IF(COUNTIFS(T_StockCount[Part Name],$A3,T_StockCount[WeekIndex],3)&gt;0,0,IF(('T_TTAFStock'!D7&lt;&gt;""),'T_TTAFStock'!D7,C3+'Grid_Incoming'!D3-'Grid_TTAFOutgoing'!D3))</f>
        <v/>
      </c>
      <c r="E3">
        <f>IF(COUNTIFS(T_StockCount[Part Name],$A3,T_StockCount[WeekIndex],4)&gt;0,0,IF(('T_TTAFStock'!E7&lt;&gt;""),'T_TTAFStock'!E7,D3+'Grid_Incoming'!E3-'Grid_TTAFOutgoing'!E3))</f>
        <v/>
      </c>
      <c r="F3">
        <f>IF(COUNTIFS(T_StockCount[Part Name],$A3,T_StockCount[WeekIndex],5)&gt;0,0,IF(('T_TTAFStock'!F7&lt;&gt;""),'T_TTAFStock'!F7,E3+'Grid_Incoming'!F3-'Grid_TTAFOutgoing'!F3))</f>
        <v/>
      </c>
      <c r="G3">
        <f>IF(COUNTIFS(T_StockCount[Part Name],$A3,T_StockCount[WeekIndex],6)&gt;0,0,IF(('T_TTAFStock'!G7&lt;&gt;""),'T_TTAFStock'!G7,F3+'Grid_Incoming'!G3-'Grid_TTAFOutgoing'!G3))</f>
        <v/>
      </c>
      <c r="H3">
        <f>IF(COUNTIFS(T_StockCount[Part Name],$A3,T_StockCount[WeekIndex],7)&gt;0,0,IF(('T_TTAFStock'!H7&lt;&gt;""),'T_TTAFStock'!H7,G3+'Grid_Incoming'!H3-'Grid_TTAFOutgoing'!H3))</f>
        <v/>
      </c>
      <c r="I3">
        <f>IF(COUNTIFS(T_StockCount[Part Name],$A3,T_StockCount[WeekIndex],8)&gt;0,0,IF(('T_TTAFStock'!I7&lt;&gt;""),'T_TTAFStock'!I7,H3+'Grid_Incoming'!I3-'Grid_TTAFOutgoing'!I3))</f>
        <v/>
      </c>
      <c r="J3">
        <f>IF(COUNTIFS(T_StockCount[Part Name],$A3,T_StockCount[WeekIndex],9)&gt;0,0,IF(('T_TTAFStock'!J7&lt;&gt;""),'T_TTAFStock'!J7,I3+'Grid_Incoming'!J3-'Grid_TTAFOutgoing'!J3))</f>
        <v/>
      </c>
      <c r="K3">
        <f>IF(COUNTIFS(T_StockCount[Part Name],$A3,T_StockCount[WeekIndex],10)&gt;0,0,IF(('T_TTAFStock'!K7&lt;&gt;""),'T_TTAFStock'!K7,J3+'Grid_Incoming'!K3-'Grid_TTAFOutgoing'!K3))</f>
        <v/>
      </c>
      <c r="L3">
        <f>IF(COUNTIFS(T_StockCount[Part Name],$A3,T_StockCount[WeekIndex],11)&gt;0,0,IF(('T_TTAFStock'!L7&lt;&gt;""),'T_TTAFStock'!L7,K3+'Grid_Incoming'!L3-'Grid_TTAFOutgoing'!L3))</f>
        <v/>
      </c>
      <c r="M3">
        <f>IF(COUNTIFS(T_StockCount[Part Name],$A3,T_StockCount[WeekIndex],12)&gt;0,0,IF(('T_TTAFStock'!M7&lt;&gt;""),'T_TTAFStock'!M7,L3+'Grid_Incoming'!M3-'Grid_TTAFOutgoing'!M3))</f>
        <v/>
      </c>
      <c r="N3">
        <f>IF(COUNTIFS(T_StockCount[Part Name],$A3,T_StockCount[WeekIndex],13)&gt;0,0,IF(('T_TTAFStock'!N7&lt;&gt;""),'T_TTAFStock'!N7,M3+'Grid_Incoming'!N3-'Grid_TTAFOutgoing'!N3))</f>
        <v/>
      </c>
      <c r="O3">
        <f>IF(COUNTIFS(T_StockCount[Part Name],$A3,T_StockCount[WeekIndex],14)&gt;0,0,IF(('T_TTAFStock'!O7&lt;&gt;""),'T_TTAFStock'!O7,N3+'Grid_Incoming'!O3-'Grid_TTAFOutgoing'!O3))</f>
        <v/>
      </c>
      <c r="P3">
        <f>IF(COUNTIFS(T_StockCount[Part Name],$A3,T_StockCount[WeekIndex],15)&gt;0,0,IF(('T_TTAFStock'!P7&lt;&gt;""),'T_TTAFStock'!P7,O3+'Grid_Incoming'!P3-'Grid_TTAFOutgoing'!P3))</f>
        <v/>
      </c>
      <c r="Q3">
        <f>IF(COUNTIFS(T_StockCount[Part Name],$A3,T_StockCount[WeekIndex],16)&gt;0,0,IF(('T_TTAFStock'!Q7&lt;&gt;""),'T_TTAFStock'!Q7,P3+'Grid_Incoming'!Q3-'Grid_TTAFOutgoing'!Q3))</f>
        <v/>
      </c>
      <c r="R3">
        <f>IF(COUNTIFS(T_StockCount[Part Name],$A3,T_StockCount[WeekIndex],17)&gt;0,0,IF(('T_TTAFStock'!R7&lt;&gt;""),'T_TTAFStock'!R7,Q3+'Grid_Incoming'!R3-'Grid_TTAFOutgoing'!R3))</f>
        <v/>
      </c>
      <c r="S3">
        <f>IF(COUNTIFS(T_StockCount[Part Name],$A3,T_StockCount[WeekIndex],18)&gt;0,0,IF(('T_TTAFStock'!S7&lt;&gt;""),'T_TTAFStock'!S7,R3+'Grid_Incoming'!S3-'Grid_TTAFOutgoing'!S3))</f>
        <v/>
      </c>
      <c r="T3">
        <f>IF(COUNTIFS(T_StockCount[Part Name],$A3,T_StockCount[WeekIndex],19)&gt;0,0,IF(('T_TTAFStock'!T7&lt;&gt;""),'T_TTAFStock'!T7,S3+'Grid_Incoming'!T3-'Grid_TTAFOutgoing'!T3))</f>
        <v/>
      </c>
      <c r="U3">
        <f>IF(COUNTIFS(T_StockCount[Part Name],$A3,T_StockCount[WeekIndex],20)&gt;0,0,IF(('T_TTAFStock'!U7&lt;&gt;""),'T_TTAFStock'!U7,T3+'Grid_Incoming'!U3-'Grid_TTAFOutgoing'!U3))</f>
        <v/>
      </c>
      <c r="V3">
        <f>IF(COUNTIFS(T_StockCount[Part Name],$A3,T_StockCount[WeekIndex],21)&gt;0,0,IF(('T_TTAFStock'!V7&lt;&gt;""),'T_TTAFStock'!V7,U3+'Grid_Incoming'!V3-'Grid_TTAFOutgoing'!V3))</f>
        <v/>
      </c>
      <c r="W3">
        <f>IF(COUNTIFS(T_StockCount[Part Name],$A3,T_StockCount[WeekIndex],22)&gt;0,0,IF(('T_TTAFStock'!W7&lt;&gt;""),'T_TTAFStock'!W7,V3+'Grid_Incoming'!W3-'Grid_TTAFOutgoing'!W3))</f>
        <v/>
      </c>
      <c r="X3">
        <f>IF(COUNTIFS(T_StockCount[Part Name],$A3,T_StockCount[WeekIndex],23)&gt;0,0,IF(('T_TTAFStock'!X7&lt;&gt;""),'T_TTAFStock'!X7,W3+'Grid_Incoming'!X3-'Grid_TTAFOutgoing'!X3))</f>
        <v/>
      </c>
      <c r="Y3">
        <f>IF(COUNTIFS(T_StockCount[Part Name],$A3,T_StockCount[WeekIndex],24)&gt;0,0,IF(('T_TTAFStock'!Y7&lt;&gt;""),'T_TTAFStock'!Y7,X3+'Grid_Incoming'!Y3-'Grid_TTAFOutgoing'!Y3))</f>
        <v/>
      </c>
      <c r="Z3">
        <f>IF(COUNTIFS(T_StockCount[Part Name],$A3,T_StockCount[WeekIndex],25)&gt;0,0,IF(('T_TTAFStock'!Z7&lt;&gt;""),'T_TTAFStock'!Z7,Y3+'Grid_Incoming'!Z3-'Grid_TTAFOutgoing'!Z3))</f>
        <v/>
      </c>
      <c r="AA3">
        <f>IF(COUNTIFS(T_StockCount[Part Name],$A3,T_StockCount[WeekIndex],26)&gt;0,0,IF(('T_TTAFStock'!AA7&lt;&gt;""),'T_TTAFStock'!AA7,Z3+'Grid_Incoming'!AA3-'Grid_TTAFOutgoing'!AA3))</f>
        <v/>
      </c>
      <c r="AB3">
        <f>IF(COUNTIFS(T_StockCount[Part Name],$A3,T_StockCount[WeekIndex],27)&gt;0,0,IF(('T_TTAFStock'!AB7&lt;&gt;""),'T_TTAFStock'!AB7,AA3+'Grid_Incoming'!AB3-'Grid_TTAFOutgoing'!AB3))</f>
        <v/>
      </c>
      <c r="AC3">
        <f>IF(COUNTIFS(T_StockCount[Part Name],$A3,T_StockCount[WeekIndex],28)&gt;0,0,IF(('T_TTAFStock'!AC7&lt;&gt;""),'T_TTAFStock'!AC7,AB3+'Grid_Incoming'!AC3-'Grid_TTAFOutgoing'!AC3))</f>
        <v/>
      </c>
      <c r="AD3">
        <f>IF(COUNTIFS(T_StockCount[Part Name],$A3,T_StockCount[WeekIndex],29)&gt;0,0,IF(('T_TTAFStock'!AD7&lt;&gt;""),'T_TTAFStock'!AD7,AC3+'Grid_Incoming'!AD3-'Grid_TTAFOutgoing'!AD3))</f>
        <v/>
      </c>
      <c r="AE3">
        <f>IF(COUNTIFS(T_StockCount[Part Name],$A3,T_StockCount[WeekIndex],30)&gt;0,0,IF(('T_TTAFStock'!AE7&lt;&gt;""),'T_TTAFStock'!AE7,AD3+'Grid_Incoming'!AE3-'Grid_TTAFOutgoing'!AE3))</f>
        <v/>
      </c>
      <c r="AF3">
        <f>IF(COUNTIFS(T_StockCount[Part Name],$A3,T_StockCount[WeekIndex],31)&gt;0,0,IF(('T_TTAFStock'!AF7&lt;&gt;""),'T_TTAFStock'!AF7,AE3+'Grid_Incoming'!AF3-'Grid_TTAFOutgoing'!AF3))</f>
        <v/>
      </c>
      <c r="AG3">
        <f>IF(COUNTIFS(T_StockCount[Part Name],$A3,T_StockCount[WeekIndex],32)&gt;0,0,IF(('T_TTAFStock'!AG7&lt;&gt;""),'T_TTAFStock'!AG7,AF3+'Grid_Incoming'!AG3-'Grid_TTAFOutgoing'!AG3))</f>
        <v/>
      </c>
      <c r="AH3">
        <f>IF(COUNTIFS(T_StockCount[Part Name],$A3,T_StockCount[WeekIndex],33)&gt;0,0,IF(('T_TTAFStock'!AH7&lt;&gt;""),'T_TTAFStock'!AH7,AG3+'Grid_Incoming'!AH3-'Grid_TTAFOutgoing'!AH3))</f>
        <v/>
      </c>
      <c r="AI3">
        <f>IF(COUNTIFS(T_StockCount[Part Name],$A3,T_StockCount[WeekIndex],34)&gt;0,0,IF(('T_TTAFStock'!AI7&lt;&gt;""),'T_TTAFStock'!AI7,AH3+'Grid_Incoming'!AI3-'Grid_TTAFOutgoing'!AI3))</f>
        <v/>
      </c>
      <c r="AJ3">
        <f>IF(COUNTIFS(T_StockCount[Part Name],$A3,T_StockCount[WeekIndex],35)&gt;0,0,IF(('T_TTAFStock'!AJ7&lt;&gt;""),'T_TTAFStock'!AJ7,AI3+'Grid_Incoming'!AJ3-'Grid_TTAFOutgoing'!AJ3))</f>
        <v/>
      </c>
      <c r="AK3">
        <f>IF(COUNTIFS(T_StockCount[Part Name],$A3,T_StockCount[WeekIndex],36)&gt;0,0,IF(('T_TTAFStock'!AK7&lt;&gt;""),'T_TTAFStock'!AK7,AJ3+'Grid_Incoming'!AK3-'Grid_TTAFOutgoing'!AK3))</f>
        <v/>
      </c>
      <c r="AL3">
        <f>IF(COUNTIFS(T_StockCount[Part Name],$A3,T_StockCount[WeekIndex],37)&gt;0,0,IF(('T_TTAFStock'!AL7&lt;&gt;""),'T_TTAFStock'!AL7,AK3+'Grid_Incoming'!AL3-'Grid_TTAFOutgoing'!AL3))</f>
        <v/>
      </c>
      <c r="AM3">
        <f>IF(COUNTIFS(T_StockCount[Part Name],$A3,T_StockCount[WeekIndex],38)&gt;0,0,IF(('T_TTAFStock'!AM7&lt;&gt;""),'T_TTAFStock'!AM7,AL3+'Grid_Incoming'!AM3-'Grid_TTAFOutgoing'!AM3))</f>
        <v/>
      </c>
      <c r="AN3">
        <f>IF(COUNTIFS(T_StockCount[Part Name],$A3,T_StockCount[WeekIndex],39)&gt;0,0,IF(('T_TTAFStock'!AN7&lt;&gt;""),'T_TTAFStock'!AN7,AM3+'Grid_Incoming'!AN3-'Grid_TTAFOutgoing'!AN3))</f>
        <v/>
      </c>
      <c r="AO3">
        <f>IF(COUNTIFS(T_StockCount[Part Name],$A3,T_StockCount[WeekIndex],40)&gt;0,0,IF(('T_TTAFStock'!AO7&lt;&gt;""),'T_TTAFStock'!AO7,AN3+'Grid_Incoming'!AO3-'Grid_TTAFOutgoing'!AO3))</f>
        <v/>
      </c>
      <c r="AP3">
        <f>IF(COUNTIFS(T_StockCount[Part Name],$A3,T_StockCount[WeekIndex],41)&gt;0,0,IF(('T_TTAFStock'!AP7&lt;&gt;""),'T_TTAFStock'!AP7,AO3+'Grid_Incoming'!AP3-'Grid_TTAFOutgoing'!AP3))</f>
        <v/>
      </c>
      <c r="AQ3">
        <f>IF(COUNTIFS(T_StockCount[Part Name],$A3,T_StockCount[WeekIndex],42)&gt;0,0,IF(('T_TTAFStock'!AQ7&lt;&gt;""),'T_TTAFStock'!AQ7,AP3+'Grid_Incoming'!AQ3-'Grid_TTAFOutgoing'!AQ3))</f>
        <v/>
      </c>
      <c r="AR3">
        <f>IF(COUNTIFS(T_StockCount[Part Name],$A3,T_StockCount[WeekIndex],43)&gt;0,0,IF(('T_TTAFStock'!AR7&lt;&gt;""),'T_TTAFStock'!AR7,AQ3+'Grid_Incoming'!AR3-'Grid_TTAFOutgoing'!AR3))</f>
        <v/>
      </c>
      <c r="AS3">
        <f>IF(COUNTIFS(T_StockCount[Part Name],$A3,T_StockCount[WeekIndex],44)&gt;0,0,IF(('T_TTAFStock'!AS7&lt;&gt;""),'T_TTAFStock'!AS7,AR3+'Grid_Incoming'!AS3-'Grid_TTAFOutgoing'!AS3))</f>
        <v/>
      </c>
      <c r="AT3">
        <f>IF(COUNTIFS(T_StockCount[Part Name],$A3,T_StockCount[WeekIndex],45)&gt;0,0,IF(('T_TTAFStock'!AT7&lt;&gt;""),'T_TTAFStock'!AT7,AS3+'Grid_Incoming'!AT3-'Grid_TTAFOutgoing'!AT3))</f>
        <v/>
      </c>
      <c r="AU3">
        <f>IF(COUNTIFS(T_StockCount[Part Name],$A3,T_StockCount[WeekIndex],46)&gt;0,0,IF(('T_TTAFStock'!AU7&lt;&gt;""),'T_TTAFStock'!AU7,AT3+'Grid_Incoming'!AU3-'Grid_TTAFOutgoing'!AU3))</f>
        <v/>
      </c>
      <c r="AV3">
        <f>IF(COUNTIFS(T_StockCount[Part Name],$A3,T_StockCount[WeekIndex],47)&gt;0,0,IF(('T_TTAFStock'!AV7&lt;&gt;""),'T_TTAFStock'!AV7,AU3+'Grid_Incoming'!AV3-'Grid_TTAFOutgoing'!AV3))</f>
        <v/>
      </c>
      <c r="AW3">
        <f>IF(COUNTIFS(T_StockCount[Part Name],$A3,T_StockCount[WeekIndex],48)&gt;0,0,IF(('T_TTAFStock'!AW7&lt;&gt;""),'T_TTAFStock'!AW7,AV3+'Grid_Incoming'!AW3-'Grid_TTAFOutgoing'!AW3))</f>
        <v/>
      </c>
      <c r="AX3">
        <f>IF(COUNTIFS(T_StockCount[Part Name],$A3,T_StockCount[WeekIndex],49)&gt;0,0,IF(('T_TTAFStock'!AX7&lt;&gt;""),'T_TTAFStock'!AX7,AW3+'Grid_Incoming'!AX3-'Grid_TTAFOutgoing'!AX3))</f>
        <v/>
      </c>
      <c r="AY3">
        <f>IF(COUNTIFS(T_StockCount[Part Name],$A3,T_StockCount[WeekIndex],50)&gt;0,0,IF(('T_TTAFStock'!AY7&lt;&gt;""),'T_TTAFStock'!AY7,AX3+'Grid_Incoming'!AY3-'Grid_TTAFOutgoing'!AY3))</f>
        <v/>
      </c>
      <c r="AZ3">
        <f>IF(COUNTIFS(T_StockCount[Part Name],$A3,T_StockCount[WeekIndex],51)&gt;0,0,IF(('T_TTAFStock'!AZ7&lt;&gt;""),'T_TTAFStock'!AZ7,AY3+'Grid_Incoming'!AZ3-'Grid_TTAFOutgoing'!AZ3))</f>
        <v/>
      </c>
      <c r="BA3">
        <f>IF(COUNTIFS(T_StockCount[Part Name],$A3,T_StockCount[WeekIndex],52)&gt;0,0,IF(('T_TTAFStock'!BA7&lt;&gt;""),'T_TTAFStock'!BA7,AZ3+'Grid_Incoming'!BA3-'Grid_TTAFOutgoing'!BA3))</f>
        <v/>
      </c>
      <c r="BB3">
        <f>IF(COUNTIFS(T_StockCount[Part Name],$A3,T_StockCount[WeekIndex],53)&gt;0,0,IF(('T_TTAFStock'!BB7&lt;&gt;""),'T_TTAFStock'!BB7,BA3+'Grid_Incoming'!BB3-'Grid_TTAFOutgoing'!BB3))</f>
        <v/>
      </c>
      <c r="BC3">
        <f>IF(COUNTIFS(T_StockCount[Part Name],$A3,T_StockCount[WeekIndex],54)&gt;0,0,IF(('T_TTAFStock'!BC7&lt;&gt;""),'T_TTAFStock'!BC7,BB3+'Grid_Incoming'!BC3-'Grid_TTAFOutgoing'!BC3))</f>
        <v/>
      </c>
      <c r="BD3">
        <f>IF(COUNTIFS(T_StockCount[Part Name],$A3,T_StockCount[WeekIndex],55)&gt;0,0,IF(('T_TTAFStock'!BD7&lt;&gt;""),'T_TTAFStock'!BD7,BC3+'Grid_Incoming'!BD3-'Grid_TTAFOutgoing'!BD3))</f>
        <v/>
      </c>
      <c r="BE3">
        <f>IF(COUNTIFS(T_StockCount[Part Name],$A3,T_StockCount[WeekIndex],56)&gt;0,0,IF(('T_TTAFStock'!BE7&lt;&gt;""),'T_TTAFStock'!BE7,BD3+'Grid_Incoming'!BE3-'Grid_TTAFOutgoing'!BE3))</f>
        <v/>
      </c>
      <c r="BF3">
        <f>IF(COUNTIFS(T_StockCount[Part Name],$A3,T_StockCount[WeekIndex],57)&gt;0,0,IF(('T_TTAFStock'!BF7&lt;&gt;""),'T_TTAFStock'!BF7,BE3+'Grid_Incoming'!BF3-'Grid_TTAFOutgoing'!BF3))</f>
        <v/>
      </c>
      <c r="BG3">
        <f>IF(COUNTIFS(T_StockCount[Part Name],$A3,T_StockCount[WeekIndex],58)&gt;0,0,IF(('T_TTAFStock'!BG7&lt;&gt;""),'T_TTAFStock'!BG7,BF3+'Grid_Incoming'!BG3-'Grid_TTAFOutgoing'!BG3))</f>
        <v/>
      </c>
      <c r="BH3">
        <f>IF(COUNTIFS(T_StockCount[Part Name],$A3,T_StockCount[WeekIndex],59)&gt;0,0,IF(('T_TTAFStock'!BH7&lt;&gt;""),'T_TTAFStock'!BH7,BG3+'Grid_Incoming'!BH3-'Grid_TTAFOutgoing'!BH3))</f>
        <v/>
      </c>
      <c r="BI3">
        <f>IF(COUNTIFS(T_StockCount[Part Name],$A3,T_StockCount[WeekIndex],60)&gt;0,0,IF(('T_TTAFStock'!BI7&lt;&gt;""),'T_TTAFStock'!BI7,BH3+'Grid_Incoming'!BI3-'Grid_TTAFOutgoing'!BI3))</f>
        <v/>
      </c>
      <c r="BJ3">
        <f>IF(COUNTIFS(T_StockCount[Part Name],$A3,T_StockCount[WeekIndex],61)&gt;0,0,IF(('T_TTAFStock'!BJ7&lt;&gt;""),'T_TTAFStock'!BJ7,BI3+'Grid_Incoming'!BJ3-'Grid_TTAFOutgoing'!BJ3))</f>
        <v/>
      </c>
      <c r="BK3">
        <f>IF(COUNTIFS(T_StockCount[Part Name],$A3,T_StockCount[WeekIndex],62)&gt;0,0,IF(('T_TTAFStock'!BK7&lt;&gt;""),'T_TTAFStock'!BK7,BJ3+'Grid_Incoming'!BK3-'Grid_TTAFOutgoing'!BK3))</f>
        <v/>
      </c>
      <c r="BL3">
        <f>IF(COUNTIFS(T_StockCount[Part Name],$A3,T_StockCount[WeekIndex],63)&gt;0,0,IF(('T_TTAFStock'!BL7&lt;&gt;""),'T_TTAFStock'!BL7,BK3+'Grid_Incoming'!BL3-'Grid_TTAFOutgoing'!BL3))</f>
        <v/>
      </c>
      <c r="BM3">
        <f>IF(COUNTIFS(T_StockCount[Part Name],$A3,T_StockCount[WeekIndex],64)&gt;0,0,IF(('T_TTAFStock'!BM7&lt;&gt;""),'T_TTAFStock'!BM7,BL3+'Grid_Incoming'!BM3-'Grid_TTAFOutgoing'!BM3))</f>
        <v/>
      </c>
      <c r="BN3">
        <f>IF(COUNTIFS(T_StockCount[Part Name],$A3,T_StockCount[WeekIndex],65)&gt;0,0,IF(('T_TTAFStock'!BN7&lt;&gt;""),'T_TTAFStock'!BN7,BM3+'Grid_Incoming'!BN3-'Grid_TTAFOutgoing'!BN3))</f>
        <v/>
      </c>
      <c r="BO3">
        <f>IF(COUNTIFS(T_StockCount[Part Name],$A3,T_StockCount[WeekIndex],66)&gt;0,0,IF(('T_TTAFStock'!BO7&lt;&gt;""),'T_TTAFStock'!BO7,BN3+'Grid_Incoming'!BO3-'Grid_TTAFOutgoing'!BO3))</f>
        <v/>
      </c>
      <c r="BP3">
        <f>IF(COUNTIFS(T_StockCount[Part Name],$A3,T_StockCount[WeekIndex],67)&gt;0,0,IF(('T_TTAFStock'!BP7&lt;&gt;""),'T_TTAFStock'!BP7,BO3+'Grid_Incoming'!BP3-'Grid_TTAFOutgoing'!BP3))</f>
        <v/>
      </c>
      <c r="BQ3">
        <f>IF(COUNTIFS(T_StockCount[Part Name],$A3,T_StockCount[WeekIndex],68)&gt;0,0,IF(('T_TTAFStock'!BQ7&lt;&gt;""),'T_TTAFStock'!BQ7,BP3+'Grid_Incoming'!BQ3-'Grid_TTAFOutgoing'!BQ3))</f>
        <v/>
      </c>
      <c r="BR3">
        <f>IF(COUNTIFS(T_StockCount[Part Name],$A3,T_StockCount[WeekIndex],69)&gt;0,0,IF(('T_TTAFStock'!BR7&lt;&gt;""),'T_TTAFStock'!BR7,BQ3+'Grid_Incoming'!BR3-'Grid_TTAFOutgoing'!BR3))</f>
        <v/>
      </c>
      <c r="BS3">
        <f>IF(COUNTIFS(T_StockCount[Part Name],$A3,T_StockCount[WeekIndex],70)&gt;0,0,IF(('T_TTAFStock'!BS7&lt;&gt;""),'T_TTAFStock'!BS7,BR3+'Grid_Incoming'!BS3-'Grid_TTAFOutgoing'!BS3))</f>
        <v/>
      </c>
      <c r="BT3">
        <f>IF(COUNTIFS(T_StockCount[Part Name],$A3,T_StockCount[WeekIndex],71)&gt;0,0,IF(('T_TTAFStock'!BT7&lt;&gt;""),'T_TTAFStock'!BT7,BS3+'Grid_Incoming'!BT3-'Grid_TTAFOutgoing'!BT3))</f>
        <v/>
      </c>
      <c r="BU3">
        <f>IF(COUNTIFS(T_StockCount[Part Name],$A3,T_StockCount[WeekIndex],72)&gt;0,0,IF(('T_TTAFStock'!BU7&lt;&gt;""),'T_TTAFStock'!BU7,BT3+'Grid_Incoming'!BU3-'Grid_TTAFOutgoing'!BU3))</f>
        <v/>
      </c>
      <c r="BV3">
        <f>IF(COUNTIFS(T_StockCount[Part Name],$A3,T_StockCount[WeekIndex],73)&gt;0,0,IF(('T_TTAFStock'!BV7&lt;&gt;""),'T_TTAFStock'!BV7,BU3+'Grid_Incoming'!BV3-'Grid_TTAFOutgoing'!BV3))</f>
        <v/>
      </c>
      <c r="BW3">
        <f>IF(COUNTIFS(T_StockCount[Part Name],$A3,T_StockCount[WeekIndex],74)&gt;0,0,IF(('T_TTAFStock'!BW7&lt;&gt;""),'T_TTAFStock'!BW7,BV3+'Grid_Incoming'!BW3-'Grid_TTAFOutgoing'!BW3))</f>
        <v/>
      </c>
      <c r="BX3">
        <f>IF(COUNTIFS(T_StockCount[Part Name],$A3,T_StockCount[WeekIndex],75)&gt;0,0,IF(('T_TTAFStock'!BX7&lt;&gt;""),'T_TTAFStock'!BX7,BW3+'Grid_Incoming'!BX3-'Grid_TTAFOutgoing'!BX3))</f>
        <v/>
      </c>
      <c r="BY3">
        <f>IF(COUNTIFS(T_StockCount[Part Name],$A3,T_StockCount[WeekIndex],76)&gt;0,0,IF(('T_TTAFStock'!BY7&lt;&gt;""),'T_TTAFStock'!BY7,BX3+'Grid_Incoming'!BY3-'Grid_TTAFOutgoing'!BY3))</f>
        <v/>
      </c>
      <c r="BZ3">
        <f>IF(COUNTIFS(T_StockCount[Part Name],$A3,T_StockCount[WeekIndex],77)&gt;0,0,IF(('T_TTAFStock'!BZ7&lt;&gt;""),'T_TTAFStock'!BZ7,BY3+'Grid_Incoming'!BZ3-'Grid_TTAFOutgoing'!BZ3))</f>
        <v/>
      </c>
      <c r="CA3">
        <f>IF(COUNTIFS(T_StockCount[Part Name],$A3,T_StockCount[WeekIndex],78)&gt;0,0,IF(('T_TTAFStock'!CA7&lt;&gt;""),'T_TTAFStock'!CA7,BZ3+'Grid_Incoming'!CA3-'Grid_TTAFOutgoing'!CA3))</f>
        <v/>
      </c>
      <c r="CB3">
        <f>IF(COUNTIFS(T_StockCount[Part Name],$A3,T_StockCount[WeekIndex],79)&gt;0,0,IF(('T_TTAFStock'!CB7&lt;&gt;""),'T_TTAFStock'!CB7,CA3+'Grid_Incoming'!CB3-'Grid_TTAFOutgoing'!CB3))</f>
        <v/>
      </c>
      <c r="CC3">
        <f>IF(COUNTIFS(T_StockCount[Part Name],$A3,T_StockCount[WeekIndex],80)&gt;0,0,IF(('T_TTAFStock'!CC7&lt;&gt;""),'T_TTAFStock'!CC7,CB3+'Grid_Incoming'!CC3-'Grid_TTAFOutgoing'!CC3))</f>
        <v/>
      </c>
      <c r="CD3">
        <f>IF(COUNTIFS(T_StockCount[Part Name],$A3,T_StockCount[WeekIndex],81)&gt;0,0,IF(('T_TTAFStock'!CD7&lt;&gt;""),'T_TTAFStock'!CD7,CC3+'Grid_Incoming'!CD3-'Grid_TTAFOutgoing'!CD3))</f>
        <v/>
      </c>
      <c r="CE3">
        <f>IF(COUNTIFS(T_StockCount[Part Name],$A3,T_StockCount[WeekIndex],82)&gt;0,0,IF(('T_TTAFStock'!CE7&lt;&gt;""),'T_TTAFStock'!CE7,CD3+'Grid_Incoming'!CE3-'Grid_TTAFOutgoing'!CE3))</f>
        <v/>
      </c>
      <c r="CF3">
        <f>IF(COUNTIFS(T_StockCount[Part Name],$A3,T_StockCount[WeekIndex],83)&gt;0,0,IF(('T_TTAFStock'!CF7&lt;&gt;""),'T_TTAFStock'!CF7,CE3+'Grid_Incoming'!CF3-'Grid_TTAFOutgoing'!CF3))</f>
        <v/>
      </c>
      <c r="CG3">
        <f>IF(COUNTIFS(T_StockCount[Part Name],$A3,T_StockCount[WeekIndex],84)&gt;0,0,IF(('T_TTAFStock'!CG7&lt;&gt;""),'T_TTAFStock'!CG7,CF3+'Grid_Incoming'!CG3-'Grid_TTAFOutgoing'!CG3))</f>
        <v/>
      </c>
      <c r="CH3">
        <f>IF(COUNTIFS(T_StockCount[Part Name],$A3,T_StockCount[WeekIndex],85)&gt;0,0,IF(('T_TTAFStock'!CH7&lt;&gt;""),'T_TTAFStock'!CH7,CG3+'Grid_Incoming'!CH3-'Grid_TTAFOutgoing'!CH3))</f>
        <v/>
      </c>
      <c r="CI3">
        <f>IF(COUNTIFS(T_StockCount[Part Name],$A3,T_StockCount[WeekIndex],86)&gt;0,0,IF(('T_TTAFStock'!CI7&lt;&gt;""),'T_TTAFStock'!CI7,CH3+'Grid_Incoming'!CI3-'Grid_TTAFOutgoing'!CI3))</f>
        <v/>
      </c>
      <c r="CJ3">
        <f>IF(COUNTIFS(T_StockCount[Part Name],$A3,T_StockCount[WeekIndex],87)&gt;0,0,IF(('T_TTAFStock'!CJ7&lt;&gt;""),'T_TTAFStock'!CJ7,CI3+'Grid_Incoming'!CJ3-'Grid_TTAFOutgoing'!CJ3))</f>
        <v/>
      </c>
      <c r="CK3">
        <f>IF(COUNTIFS(T_StockCount[Part Name],$A3,T_StockCount[WeekIndex],88)&gt;0,0,IF(('T_TTAFStock'!CK7&lt;&gt;""),'T_TTAFStock'!CK7,CJ3+'Grid_Incoming'!CK3-'Grid_TTAFOutgoing'!CK3))</f>
        <v/>
      </c>
      <c r="CL3">
        <f>IF(COUNTIFS(T_StockCount[Part Name],$A3,T_StockCount[WeekIndex],89)&gt;0,0,IF(('T_TTAFStock'!CL7&lt;&gt;""),'T_TTAFStock'!CL7,CK3+'Grid_Incoming'!CL3-'Grid_TTAFOutgoing'!CL3))</f>
        <v/>
      </c>
      <c r="CM3">
        <f>IF(COUNTIFS(T_StockCount[Part Name],$A3,T_StockCount[WeekIndex],90)&gt;0,0,IF(('T_TTAFStock'!CM7&lt;&gt;""),'T_TTAFStock'!CM7,CL3+'Grid_Incoming'!CM3-'Grid_TTAFOutgoing'!CM3))</f>
        <v/>
      </c>
      <c r="CN3">
        <f>IF(COUNTIFS(T_StockCount[Part Name],$A3,T_StockCount[WeekIndex],91)&gt;0,0,IF(('T_TTAFStock'!CN7&lt;&gt;""),'T_TTAFStock'!CN7,CM3+'Grid_Incoming'!CN3-'Grid_TTAFOutgoing'!CN3))</f>
        <v/>
      </c>
      <c r="CO3">
        <f>IF(COUNTIFS(T_StockCount[Part Name],$A3,T_StockCount[WeekIndex],92)&gt;0,0,IF(('T_TTAFStock'!CO7&lt;&gt;""),'T_TTAFStock'!CO7,CN3+'Grid_Incoming'!CO3-'Grid_TTAFOutgoing'!CO3))</f>
        <v/>
      </c>
      <c r="CP3">
        <f>IF(COUNTIFS(T_StockCount[Part Name],$A3,T_StockCount[WeekIndex],93)&gt;0,0,IF(('T_TTAFStock'!CP7&lt;&gt;""),'T_TTAFStock'!CP7,CO3+'Grid_Incoming'!CP3-'Grid_TTAFOutgoing'!CP3))</f>
        <v/>
      </c>
      <c r="CQ3">
        <f>IF(COUNTIFS(T_StockCount[Part Name],$A3,T_StockCount[WeekIndex],94)&gt;0,0,IF(('T_TTAFStock'!CQ7&lt;&gt;""),'T_TTAFStock'!CQ7,CP3+'Grid_Incoming'!CQ3-'Grid_TTAFOutgoing'!CQ3))</f>
        <v/>
      </c>
      <c r="CR3">
        <f>IF(COUNTIFS(T_StockCount[Part Name],$A3,T_StockCount[WeekIndex],95)&gt;0,0,IF(('T_TTAFStock'!CR7&lt;&gt;""),'T_TTAFStock'!CR7,CQ3+'Grid_Incoming'!CR3-'Grid_TTAFOutgoing'!CR3))</f>
        <v/>
      </c>
      <c r="CS3">
        <f>IF(COUNTIFS(T_StockCount[Part Name],$A3,T_StockCount[WeekIndex],96)&gt;0,0,IF(('T_TTAFStock'!CS7&lt;&gt;""),'T_TTAFStock'!CS7,CR3+'Grid_Incoming'!CS3-'Grid_TTAFOutgoing'!CS3))</f>
        <v/>
      </c>
      <c r="CT3">
        <f>IF(COUNTIFS(T_StockCount[Part Name],$A3,T_StockCount[WeekIndex],97)&gt;0,0,IF(('T_TTAFStock'!CT7&lt;&gt;""),'T_TTAFStock'!CT7,CS3+'Grid_Incoming'!CT3-'Grid_TTAFOutgoing'!CT3))</f>
        <v/>
      </c>
      <c r="CU3">
        <f>IF(COUNTIFS(T_StockCount[Part Name],$A3,T_StockCount[WeekIndex],98)&gt;0,0,IF(('T_TTAFStock'!CU7&lt;&gt;""),'T_TTAFStock'!CU7,CT3+'Grid_Incoming'!CU3-'Grid_TTAFOutgoing'!CU3))</f>
        <v/>
      </c>
      <c r="CV3">
        <f>IF(COUNTIFS(T_StockCount[Part Name],$A3,T_StockCount[WeekIndex],99)&gt;0,0,IF(('T_TTAFStock'!CV7&lt;&gt;""),'T_TTAFStock'!CV7,CU3+'Grid_Incoming'!CV3-'Grid_TTAFOutgoing'!CV3))</f>
        <v/>
      </c>
      <c r="CW3">
        <f>IF(COUNTIFS(T_StockCount[Part Name],$A3,T_StockCount[WeekIndex],100)&gt;0,0,IF(('T_TTAFStock'!CW7&lt;&gt;""),'T_TTAFStock'!CW7,CV3+'Grid_Incoming'!CW3-'Grid_TTAFOutgoing'!CW3))</f>
        <v/>
      </c>
      <c r="CX3">
        <f>IF(COUNTIFS(T_StockCount[Part Name],$A3,T_StockCount[WeekIndex],101)&gt;0,0,IF(('T_TTAFStock'!CX7&lt;&gt;""),'T_TTAFStock'!CX7,CW3+'Grid_Incoming'!CX3-'Grid_TTAFOutgoing'!CX3))</f>
        <v/>
      </c>
      <c r="CY3">
        <f>IF(COUNTIFS(T_StockCount[Part Name],$A3,T_StockCount[WeekIndex],102)&gt;0,0,IF(('T_TTAFStock'!CY7&lt;&gt;""),'T_TTAFStock'!CY7,CX3+'Grid_Incoming'!CY3-'Grid_TTAFOutgoing'!CY3))</f>
        <v/>
      </c>
      <c r="CZ3">
        <f>IF(COUNTIFS(T_StockCount[Part Name],$A3,T_StockCount[WeekIndex],103)&gt;0,0,IF(('T_TTAFStock'!CZ7&lt;&gt;""),'T_TTAFStock'!CZ7,CY3+'Grid_Incoming'!CZ3-'Grid_TTAFOutgoing'!CZ3))</f>
        <v/>
      </c>
      <c r="DA3">
        <f>IF(COUNTIFS(T_StockCount[Part Name],$A3,T_StockCount[WeekIndex],104)&gt;0,0,IF(('T_TTAFStock'!DA7&lt;&gt;""),'T_TTAFStock'!DA7,CZ3+'Grid_Incoming'!DA3-'Grid_TTAFOutgoing'!DA3))</f>
        <v/>
      </c>
    </row>
    <row r="4">
      <c r="A4" t="inlineStr">
        <is>
          <t>CHEM-1700</t>
        </is>
      </c>
      <c r="B4">
        <f>IF(COUNTIFS(T_StockCount[Part Name],$A4,T_StockCount[WeekIndex],1)&gt;0,0,IF(('T_TTAFStock'!B8&lt;&gt;""),'T_TTAFStock'!B8,0+'Grid_Incoming'!B4-'Grid_TTAFOutgoing'!B4))</f>
        <v/>
      </c>
      <c r="C4">
        <f>IF(COUNTIFS(T_StockCount[Part Name],$A4,T_StockCount[WeekIndex],2)&gt;0,0,IF(('T_TTAFStock'!C8&lt;&gt;""),'T_TTAFStock'!C8,B4+'Grid_Incoming'!C4-'Grid_TTAFOutgoing'!C4))</f>
        <v/>
      </c>
      <c r="D4">
        <f>IF(COUNTIFS(T_StockCount[Part Name],$A4,T_StockCount[WeekIndex],3)&gt;0,0,IF(('T_TTAFStock'!D8&lt;&gt;""),'T_TTAFStock'!D8,C4+'Grid_Incoming'!D4-'Grid_TTAFOutgoing'!D4))</f>
        <v/>
      </c>
      <c r="E4">
        <f>IF(COUNTIFS(T_StockCount[Part Name],$A4,T_StockCount[WeekIndex],4)&gt;0,0,IF(('T_TTAFStock'!E8&lt;&gt;""),'T_TTAFStock'!E8,D4+'Grid_Incoming'!E4-'Grid_TTAFOutgoing'!E4))</f>
        <v/>
      </c>
      <c r="F4">
        <f>IF(COUNTIFS(T_StockCount[Part Name],$A4,T_StockCount[WeekIndex],5)&gt;0,0,IF(('T_TTAFStock'!F8&lt;&gt;""),'T_TTAFStock'!F8,E4+'Grid_Incoming'!F4-'Grid_TTAFOutgoing'!F4))</f>
        <v/>
      </c>
      <c r="G4">
        <f>IF(COUNTIFS(T_StockCount[Part Name],$A4,T_StockCount[WeekIndex],6)&gt;0,0,IF(('T_TTAFStock'!G8&lt;&gt;""),'T_TTAFStock'!G8,F4+'Grid_Incoming'!G4-'Grid_TTAFOutgoing'!G4))</f>
        <v/>
      </c>
      <c r="H4">
        <f>IF(COUNTIFS(T_StockCount[Part Name],$A4,T_StockCount[WeekIndex],7)&gt;0,0,IF(('T_TTAFStock'!H8&lt;&gt;""),'T_TTAFStock'!H8,G4+'Grid_Incoming'!H4-'Grid_TTAFOutgoing'!H4))</f>
        <v/>
      </c>
      <c r="I4">
        <f>IF(COUNTIFS(T_StockCount[Part Name],$A4,T_StockCount[WeekIndex],8)&gt;0,0,IF(('T_TTAFStock'!I8&lt;&gt;""),'T_TTAFStock'!I8,H4+'Grid_Incoming'!I4-'Grid_TTAFOutgoing'!I4))</f>
        <v/>
      </c>
      <c r="J4">
        <f>IF(COUNTIFS(T_StockCount[Part Name],$A4,T_StockCount[WeekIndex],9)&gt;0,0,IF(('T_TTAFStock'!J8&lt;&gt;""),'T_TTAFStock'!J8,I4+'Grid_Incoming'!J4-'Grid_TTAFOutgoing'!J4))</f>
        <v/>
      </c>
      <c r="K4">
        <f>IF(COUNTIFS(T_StockCount[Part Name],$A4,T_StockCount[WeekIndex],10)&gt;0,0,IF(('T_TTAFStock'!K8&lt;&gt;""),'T_TTAFStock'!K8,J4+'Grid_Incoming'!K4-'Grid_TTAFOutgoing'!K4))</f>
        <v/>
      </c>
      <c r="L4">
        <f>IF(COUNTIFS(T_StockCount[Part Name],$A4,T_StockCount[WeekIndex],11)&gt;0,0,IF(('T_TTAFStock'!L8&lt;&gt;""),'T_TTAFStock'!L8,K4+'Grid_Incoming'!L4-'Grid_TTAFOutgoing'!L4))</f>
        <v/>
      </c>
      <c r="M4">
        <f>IF(COUNTIFS(T_StockCount[Part Name],$A4,T_StockCount[WeekIndex],12)&gt;0,0,IF(('T_TTAFStock'!M8&lt;&gt;""),'T_TTAFStock'!M8,L4+'Grid_Incoming'!M4-'Grid_TTAFOutgoing'!M4))</f>
        <v/>
      </c>
      <c r="N4">
        <f>IF(COUNTIFS(T_StockCount[Part Name],$A4,T_StockCount[WeekIndex],13)&gt;0,0,IF(('T_TTAFStock'!N8&lt;&gt;""),'T_TTAFStock'!N8,M4+'Grid_Incoming'!N4-'Grid_TTAFOutgoing'!N4))</f>
        <v/>
      </c>
      <c r="O4">
        <f>IF(COUNTIFS(T_StockCount[Part Name],$A4,T_StockCount[WeekIndex],14)&gt;0,0,IF(('T_TTAFStock'!O8&lt;&gt;""),'T_TTAFStock'!O8,N4+'Grid_Incoming'!O4-'Grid_TTAFOutgoing'!O4))</f>
        <v/>
      </c>
      <c r="P4">
        <f>IF(COUNTIFS(T_StockCount[Part Name],$A4,T_StockCount[WeekIndex],15)&gt;0,0,IF(('T_TTAFStock'!P8&lt;&gt;""),'T_TTAFStock'!P8,O4+'Grid_Incoming'!P4-'Grid_TTAFOutgoing'!P4))</f>
        <v/>
      </c>
      <c r="Q4">
        <f>IF(COUNTIFS(T_StockCount[Part Name],$A4,T_StockCount[WeekIndex],16)&gt;0,0,IF(('T_TTAFStock'!Q8&lt;&gt;""),'T_TTAFStock'!Q8,P4+'Grid_Incoming'!Q4-'Grid_TTAFOutgoing'!Q4))</f>
        <v/>
      </c>
      <c r="R4">
        <f>IF(COUNTIFS(T_StockCount[Part Name],$A4,T_StockCount[WeekIndex],17)&gt;0,0,IF(('T_TTAFStock'!R8&lt;&gt;""),'T_TTAFStock'!R8,Q4+'Grid_Incoming'!R4-'Grid_TTAFOutgoing'!R4))</f>
        <v/>
      </c>
      <c r="S4">
        <f>IF(COUNTIFS(T_StockCount[Part Name],$A4,T_StockCount[WeekIndex],18)&gt;0,0,IF(('T_TTAFStock'!S8&lt;&gt;""),'T_TTAFStock'!S8,R4+'Grid_Incoming'!S4-'Grid_TTAFOutgoing'!S4))</f>
        <v/>
      </c>
      <c r="T4">
        <f>IF(COUNTIFS(T_StockCount[Part Name],$A4,T_StockCount[WeekIndex],19)&gt;0,0,IF(('T_TTAFStock'!T8&lt;&gt;""),'T_TTAFStock'!T8,S4+'Grid_Incoming'!T4-'Grid_TTAFOutgoing'!T4))</f>
        <v/>
      </c>
      <c r="U4">
        <f>IF(COUNTIFS(T_StockCount[Part Name],$A4,T_StockCount[WeekIndex],20)&gt;0,0,IF(('T_TTAFStock'!U8&lt;&gt;""),'T_TTAFStock'!U8,T4+'Grid_Incoming'!U4-'Grid_TTAFOutgoing'!U4))</f>
        <v/>
      </c>
      <c r="V4">
        <f>IF(COUNTIFS(T_StockCount[Part Name],$A4,T_StockCount[WeekIndex],21)&gt;0,0,IF(('T_TTAFStock'!V8&lt;&gt;""),'T_TTAFStock'!V8,U4+'Grid_Incoming'!V4-'Grid_TTAFOutgoing'!V4))</f>
        <v/>
      </c>
      <c r="W4">
        <f>IF(COUNTIFS(T_StockCount[Part Name],$A4,T_StockCount[WeekIndex],22)&gt;0,0,IF(('T_TTAFStock'!W8&lt;&gt;""),'T_TTAFStock'!W8,V4+'Grid_Incoming'!W4-'Grid_TTAFOutgoing'!W4))</f>
        <v/>
      </c>
      <c r="X4">
        <f>IF(COUNTIFS(T_StockCount[Part Name],$A4,T_StockCount[WeekIndex],23)&gt;0,0,IF(('T_TTAFStock'!X8&lt;&gt;""),'T_TTAFStock'!X8,W4+'Grid_Incoming'!X4-'Grid_TTAFOutgoing'!X4))</f>
        <v/>
      </c>
      <c r="Y4">
        <f>IF(COUNTIFS(T_StockCount[Part Name],$A4,T_StockCount[WeekIndex],24)&gt;0,0,IF(('T_TTAFStock'!Y8&lt;&gt;""),'T_TTAFStock'!Y8,X4+'Grid_Incoming'!Y4-'Grid_TTAFOutgoing'!Y4))</f>
        <v/>
      </c>
      <c r="Z4">
        <f>IF(COUNTIFS(T_StockCount[Part Name],$A4,T_StockCount[WeekIndex],25)&gt;0,0,IF(('T_TTAFStock'!Z8&lt;&gt;""),'T_TTAFStock'!Z8,Y4+'Grid_Incoming'!Z4-'Grid_TTAFOutgoing'!Z4))</f>
        <v/>
      </c>
      <c r="AA4">
        <f>IF(COUNTIFS(T_StockCount[Part Name],$A4,T_StockCount[WeekIndex],26)&gt;0,0,IF(('T_TTAFStock'!AA8&lt;&gt;""),'T_TTAFStock'!AA8,Z4+'Grid_Incoming'!AA4-'Grid_TTAFOutgoing'!AA4))</f>
        <v/>
      </c>
      <c r="AB4">
        <f>IF(COUNTIFS(T_StockCount[Part Name],$A4,T_StockCount[WeekIndex],27)&gt;0,0,IF(('T_TTAFStock'!AB8&lt;&gt;""),'T_TTAFStock'!AB8,AA4+'Grid_Incoming'!AB4-'Grid_TTAFOutgoing'!AB4))</f>
        <v/>
      </c>
      <c r="AC4">
        <f>IF(COUNTIFS(T_StockCount[Part Name],$A4,T_StockCount[WeekIndex],28)&gt;0,0,IF(('T_TTAFStock'!AC8&lt;&gt;""),'T_TTAFStock'!AC8,AB4+'Grid_Incoming'!AC4-'Grid_TTAFOutgoing'!AC4))</f>
        <v/>
      </c>
      <c r="AD4">
        <f>IF(COUNTIFS(T_StockCount[Part Name],$A4,T_StockCount[WeekIndex],29)&gt;0,0,IF(('T_TTAFStock'!AD8&lt;&gt;""),'T_TTAFStock'!AD8,AC4+'Grid_Incoming'!AD4-'Grid_TTAFOutgoing'!AD4))</f>
        <v/>
      </c>
      <c r="AE4">
        <f>IF(COUNTIFS(T_StockCount[Part Name],$A4,T_StockCount[WeekIndex],30)&gt;0,0,IF(('T_TTAFStock'!AE8&lt;&gt;""),'T_TTAFStock'!AE8,AD4+'Grid_Incoming'!AE4-'Grid_TTAFOutgoing'!AE4))</f>
        <v/>
      </c>
      <c r="AF4">
        <f>IF(COUNTIFS(T_StockCount[Part Name],$A4,T_StockCount[WeekIndex],31)&gt;0,0,IF(('T_TTAFStock'!AF8&lt;&gt;""),'T_TTAFStock'!AF8,AE4+'Grid_Incoming'!AF4-'Grid_TTAFOutgoing'!AF4))</f>
        <v/>
      </c>
      <c r="AG4">
        <f>IF(COUNTIFS(T_StockCount[Part Name],$A4,T_StockCount[WeekIndex],32)&gt;0,0,IF(('T_TTAFStock'!AG8&lt;&gt;""),'T_TTAFStock'!AG8,AF4+'Grid_Incoming'!AG4-'Grid_TTAFOutgoing'!AG4))</f>
        <v/>
      </c>
      <c r="AH4">
        <f>IF(COUNTIFS(T_StockCount[Part Name],$A4,T_StockCount[WeekIndex],33)&gt;0,0,IF(('T_TTAFStock'!AH8&lt;&gt;""),'T_TTAFStock'!AH8,AG4+'Grid_Incoming'!AH4-'Grid_TTAFOutgoing'!AH4))</f>
        <v/>
      </c>
      <c r="AI4">
        <f>IF(COUNTIFS(T_StockCount[Part Name],$A4,T_StockCount[WeekIndex],34)&gt;0,0,IF(('T_TTAFStock'!AI8&lt;&gt;""),'T_TTAFStock'!AI8,AH4+'Grid_Incoming'!AI4-'Grid_TTAFOutgoing'!AI4))</f>
        <v/>
      </c>
      <c r="AJ4">
        <f>IF(COUNTIFS(T_StockCount[Part Name],$A4,T_StockCount[WeekIndex],35)&gt;0,0,IF(('T_TTAFStock'!AJ8&lt;&gt;""),'T_TTAFStock'!AJ8,AI4+'Grid_Incoming'!AJ4-'Grid_TTAFOutgoing'!AJ4))</f>
        <v/>
      </c>
      <c r="AK4">
        <f>IF(COUNTIFS(T_StockCount[Part Name],$A4,T_StockCount[WeekIndex],36)&gt;0,0,IF(('T_TTAFStock'!AK8&lt;&gt;""),'T_TTAFStock'!AK8,AJ4+'Grid_Incoming'!AK4-'Grid_TTAFOutgoing'!AK4))</f>
        <v/>
      </c>
      <c r="AL4">
        <f>IF(COUNTIFS(T_StockCount[Part Name],$A4,T_StockCount[WeekIndex],37)&gt;0,0,IF(('T_TTAFStock'!AL8&lt;&gt;""),'T_TTAFStock'!AL8,AK4+'Grid_Incoming'!AL4-'Grid_TTAFOutgoing'!AL4))</f>
        <v/>
      </c>
      <c r="AM4">
        <f>IF(COUNTIFS(T_StockCount[Part Name],$A4,T_StockCount[WeekIndex],38)&gt;0,0,IF(('T_TTAFStock'!AM8&lt;&gt;""),'T_TTAFStock'!AM8,AL4+'Grid_Incoming'!AM4-'Grid_TTAFOutgoing'!AM4))</f>
        <v/>
      </c>
      <c r="AN4">
        <f>IF(COUNTIFS(T_StockCount[Part Name],$A4,T_StockCount[WeekIndex],39)&gt;0,0,IF(('T_TTAFStock'!AN8&lt;&gt;""),'T_TTAFStock'!AN8,AM4+'Grid_Incoming'!AN4-'Grid_TTAFOutgoing'!AN4))</f>
        <v/>
      </c>
      <c r="AO4">
        <f>IF(COUNTIFS(T_StockCount[Part Name],$A4,T_StockCount[WeekIndex],40)&gt;0,0,IF(('T_TTAFStock'!AO8&lt;&gt;""),'T_TTAFStock'!AO8,AN4+'Grid_Incoming'!AO4-'Grid_TTAFOutgoing'!AO4))</f>
        <v/>
      </c>
      <c r="AP4">
        <f>IF(COUNTIFS(T_StockCount[Part Name],$A4,T_StockCount[WeekIndex],41)&gt;0,0,IF(('T_TTAFStock'!AP8&lt;&gt;""),'T_TTAFStock'!AP8,AO4+'Grid_Incoming'!AP4-'Grid_TTAFOutgoing'!AP4))</f>
        <v/>
      </c>
      <c r="AQ4">
        <f>IF(COUNTIFS(T_StockCount[Part Name],$A4,T_StockCount[WeekIndex],42)&gt;0,0,IF(('T_TTAFStock'!AQ8&lt;&gt;""),'T_TTAFStock'!AQ8,AP4+'Grid_Incoming'!AQ4-'Grid_TTAFOutgoing'!AQ4))</f>
        <v/>
      </c>
      <c r="AR4">
        <f>IF(COUNTIFS(T_StockCount[Part Name],$A4,T_StockCount[WeekIndex],43)&gt;0,0,IF(('T_TTAFStock'!AR8&lt;&gt;""),'T_TTAFStock'!AR8,AQ4+'Grid_Incoming'!AR4-'Grid_TTAFOutgoing'!AR4))</f>
        <v/>
      </c>
      <c r="AS4">
        <f>IF(COUNTIFS(T_StockCount[Part Name],$A4,T_StockCount[WeekIndex],44)&gt;0,0,IF(('T_TTAFStock'!AS8&lt;&gt;""),'T_TTAFStock'!AS8,AR4+'Grid_Incoming'!AS4-'Grid_TTAFOutgoing'!AS4))</f>
        <v/>
      </c>
      <c r="AT4">
        <f>IF(COUNTIFS(T_StockCount[Part Name],$A4,T_StockCount[WeekIndex],45)&gt;0,0,IF(('T_TTAFStock'!AT8&lt;&gt;""),'T_TTAFStock'!AT8,AS4+'Grid_Incoming'!AT4-'Grid_TTAFOutgoing'!AT4))</f>
        <v/>
      </c>
      <c r="AU4">
        <f>IF(COUNTIFS(T_StockCount[Part Name],$A4,T_StockCount[WeekIndex],46)&gt;0,0,IF(('T_TTAFStock'!AU8&lt;&gt;""),'T_TTAFStock'!AU8,AT4+'Grid_Incoming'!AU4-'Grid_TTAFOutgoing'!AU4))</f>
        <v/>
      </c>
      <c r="AV4">
        <f>IF(COUNTIFS(T_StockCount[Part Name],$A4,T_StockCount[WeekIndex],47)&gt;0,0,IF(('T_TTAFStock'!AV8&lt;&gt;""),'T_TTAFStock'!AV8,AU4+'Grid_Incoming'!AV4-'Grid_TTAFOutgoing'!AV4))</f>
        <v/>
      </c>
      <c r="AW4">
        <f>IF(COUNTIFS(T_StockCount[Part Name],$A4,T_StockCount[WeekIndex],48)&gt;0,0,IF(('T_TTAFStock'!AW8&lt;&gt;""),'T_TTAFStock'!AW8,AV4+'Grid_Incoming'!AW4-'Grid_TTAFOutgoing'!AW4))</f>
        <v/>
      </c>
      <c r="AX4">
        <f>IF(COUNTIFS(T_StockCount[Part Name],$A4,T_StockCount[WeekIndex],49)&gt;0,0,IF(('T_TTAFStock'!AX8&lt;&gt;""),'T_TTAFStock'!AX8,AW4+'Grid_Incoming'!AX4-'Grid_TTAFOutgoing'!AX4))</f>
        <v/>
      </c>
      <c r="AY4">
        <f>IF(COUNTIFS(T_StockCount[Part Name],$A4,T_StockCount[WeekIndex],50)&gt;0,0,IF(('T_TTAFStock'!AY8&lt;&gt;""),'T_TTAFStock'!AY8,AX4+'Grid_Incoming'!AY4-'Grid_TTAFOutgoing'!AY4))</f>
        <v/>
      </c>
      <c r="AZ4">
        <f>IF(COUNTIFS(T_StockCount[Part Name],$A4,T_StockCount[WeekIndex],51)&gt;0,0,IF(('T_TTAFStock'!AZ8&lt;&gt;""),'T_TTAFStock'!AZ8,AY4+'Grid_Incoming'!AZ4-'Grid_TTAFOutgoing'!AZ4))</f>
        <v/>
      </c>
      <c r="BA4">
        <f>IF(COUNTIFS(T_StockCount[Part Name],$A4,T_StockCount[WeekIndex],52)&gt;0,0,IF(('T_TTAFStock'!BA8&lt;&gt;""),'T_TTAFStock'!BA8,AZ4+'Grid_Incoming'!BA4-'Grid_TTAFOutgoing'!BA4))</f>
        <v/>
      </c>
      <c r="BB4">
        <f>IF(COUNTIFS(T_StockCount[Part Name],$A4,T_StockCount[WeekIndex],53)&gt;0,0,IF(('T_TTAFStock'!BB8&lt;&gt;""),'T_TTAFStock'!BB8,BA4+'Grid_Incoming'!BB4-'Grid_TTAFOutgoing'!BB4))</f>
        <v/>
      </c>
      <c r="BC4">
        <f>IF(COUNTIFS(T_StockCount[Part Name],$A4,T_StockCount[WeekIndex],54)&gt;0,0,IF(('T_TTAFStock'!BC8&lt;&gt;""),'T_TTAFStock'!BC8,BB4+'Grid_Incoming'!BC4-'Grid_TTAFOutgoing'!BC4))</f>
        <v/>
      </c>
      <c r="BD4">
        <f>IF(COUNTIFS(T_StockCount[Part Name],$A4,T_StockCount[WeekIndex],55)&gt;0,0,IF(('T_TTAFStock'!BD8&lt;&gt;""),'T_TTAFStock'!BD8,BC4+'Grid_Incoming'!BD4-'Grid_TTAFOutgoing'!BD4))</f>
        <v/>
      </c>
      <c r="BE4">
        <f>IF(COUNTIFS(T_StockCount[Part Name],$A4,T_StockCount[WeekIndex],56)&gt;0,0,IF(('T_TTAFStock'!BE8&lt;&gt;""),'T_TTAFStock'!BE8,BD4+'Grid_Incoming'!BE4-'Grid_TTAFOutgoing'!BE4))</f>
        <v/>
      </c>
      <c r="BF4">
        <f>IF(COUNTIFS(T_StockCount[Part Name],$A4,T_StockCount[WeekIndex],57)&gt;0,0,IF(('T_TTAFStock'!BF8&lt;&gt;""),'T_TTAFStock'!BF8,BE4+'Grid_Incoming'!BF4-'Grid_TTAFOutgoing'!BF4))</f>
        <v/>
      </c>
      <c r="BG4">
        <f>IF(COUNTIFS(T_StockCount[Part Name],$A4,T_StockCount[WeekIndex],58)&gt;0,0,IF(('T_TTAFStock'!BG8&lt;&gt;""),'T_TTAFStock'!BG8,BF4+'Grid_Incoming'!BG4-'Grid_TTAFOutgoing'!BG4))</f>
        <v/>
      </c>
      <c r="BH4">
        <f>IF(COUNTIFS(T_StockCount[Part Name],$A4,T_StockCount[WeekIndex],59)&gt;0,0,IF(('T_TTAFStock'!BH8&lt;&gt;""),'T_TTAFStock'!BH8,BG4+'Grid_Incoming'!BH4-'Grid_TTAFOutgoing'!BH4))</f>
        <v/>
      </c>
      <c r="BI4">
        <f>IF(COUNTIFS(T_StockCount[Part Name],$A4,T_StockCount[WeekIndex],60)&gt;0,0,IF(('T_TTAFStock'!BI8&lt;&gt;""),'T_TTAFStock'!BI8,BH4+'Grid_Incoming'!BI4-'Grid_TTAFOutgoing'!BI4))</f>
        <v/>
      </c>
      <c r="BJ4">
        <f>IF(COUNTIFS(T_StockCount[Part Name],$A4,T_StockCount[WeekIndex],61)&gt;0,0,IF(('T_TTAFStock'!BJ8&lt;&gt;""),'T_TTAFStock'!BJ8,BI4+'Grid_Incoming'!BJ4-'Grid_TTAFOutgoing'!BJ4))</f>
        <v/>
      </c>
      <c r="BK4">
        <f>IF(COUNTIFS(T_StockCount[Part Name],$A4,T_StockCount[WeekIndex],62)&gt;0,0,IF(('T_TTAFStock'!BK8&lt;&gt;""),'T_TTAFStock'!BK8,BJ4+'Grid_Incoming'!BK4-'Grid_TTAFOutgoing'!BK4))</f>
        <v/>
      </c>
      <c r="BL4">
        <f>IF(COUNTIFS(T_StockCount[Part Name],$A4,T_StockCount[WeekIndex],63)&gt;0,0,IF(('T_TTAFStock'!BL8&lt;&gt;""),'T_TTAFStock'!BL8,BK4+'Grid_Incoming'!BL4-'Grid_TTAFOutgoing'!BL4))</f>
        <v/>
      </c>
      <c r="BM4">
        <f>IF(COUNTIFS(T_StockCount[Part Name],$A4,T_StockCount[WeekIndex],64)&gt;0,0,IF(('T_TTAFStock'!BM8&lt;&gt;""),'T_TTAFStock'!BM8,BL4+'Grid_Incoming'!BM4-'Grid_TTAFOutgoing'!BM4))</f>
        <v/>
      </c>
      <c r="BN4">
        <f>IF(COUNTIFS(T_StockCount[Part Name],$A4,T_StockCount[WeekIndex],65)&gt;0,0,IF(('T_TTAFStock'!BN8&lt;&gt;""),'T_TTAFStock'!BN8,BM4+'Grid_Incoming'!BN4-'Grid_TTAFOutgoing'!BN4))</f>
        <v/>
      </c>
      <c r="BO4">
        <f>IF(COUNTIFS(T_StockCount[Part Name],$A4,T_StockCount[WeekIndex],66)&gt;0,0,IF(('T_TTAFStock'!BO8&lt;&gt;""),'T_TTAFStock'!BO8,BN4+'Grid_Incoming'!BO4-'Grid_TTAFOutgoing'!BO4))</f>
        <v/>
      </c>
      <c r="BP4">
        <f>IF(COUNTIFS(T_StockCount[Part Name],$A4,T_StockCount[WeekIndex],67)&gt;0,0,IF(('T_TTAFStock'!BP8&lt;&gt;""),'T_TTAFStock'!BP8,BO4+'Grid_Incoming'!BP4-'Grid_TTAFOutgoing'!BP4))</f>
        <v/>
      </c>
      <c r="BQ4">
        <f>IF(COUNTIFS(T_StockCount[Part Name],$A4,T_StockCount[WeekIndex],68)&gt;0,0,IF(('T_TTAFStock'!BQ8&lt;&gt;""),'T_TTAFStock'!BQ8,BP4+'Grid_Incoming'!BQ4-'Grid_TTAFOutgoing'!BQ4))</f>
        <v/>
      </c>
      <c r="BR4">
        <f>IF(COUNTIFS(T_StockCount[Part Name],$A4,T_StockCount[WeekIndex],69)&gt;0,0,IF(('T_TTAFStock'!BR8&lt;&gt;""),'T_TTAFStock'!BR8,BQ4+'Grid_Incoming'!BR4-'Grid_TTAFOutgoing'!BR4))</f>
        <v/>
      </c>
      <c r="BS4">
        <f>IF(COUNTIFS(T_StockCount[Part Name],$A4,T_StockCount[WeekIndex],70)&gt;0,0,IF(('T_TTAFStock'!BS8&lt;&gt;""),'T_TTAFStock'!BS8,BR4+'Grid_Incoming'!BS4-'Grid_TTAFOutgoing'!BS4))</f>
        <v/>
      </c>
      <c r="BT4">
        <f>IF(COUNTIFS(T_StockCount[Part Name],$A4,T_StockCount[WeekIndex],71)&gt;0,0,IF(('T_TTAFStock'!BT8&lt;&gt;""),'T_TTAFStock'!BT8,BS4+'Grid_Incoming'!BT4-'Grid_TTAFOutgoing'!BT4))</f>
        <v/>
      </c>
      <c r="BU4">
        <f>IF(COUNTIFS(T_StockCount[Part Name],$A4,T_StockCount[WeekIndex],72)&gt;0,0,IF(('T_TTAFStock'!BU8&lt;&gt;""),'T_TTAFStock'!BU8,BT4+'Grid_Incoming'!BU4-'Grid_TTAFOutgoing'!BU4))</f>
        <v/>
      </c>
      <c r="BV4">
        <f>IF(COUNTIFS(T_StockCount[Part Name],$A4,T_StockCount[WeekIndex],73)&gt;0,0,IF(('T_TTAFStock'!BV8&lt;&gt;""),'T_TTAFStock'!BV8,BU4+'Grid_Incoming'!BV4-'Grid_TTAFOutgoing'!BV4))</f>
        <v/>
      </c>
      <c r="BW4">
        <f>IF(COUNTIFS(T_StockCount[Part Name],$A4,T_StockCount[WeekIndex],74)&gt;0,0,IF(('T_TTAFStock'!BW8&lt;&gt;""),'T_TTAFStock'!BW8,BV4+'Grid_Incoming'!BW4-'Grid_TTAFOutgoing'!BW4))</f>
        <v/>
      </c>
      <c r="BX4">
        <f>IF(COUNTIFS(T_StockCount[Part Name],$A4,T_StockCount[WeekIndex],75)&gt;0,0,IF(('T_TTAFStock'!BX8&lt;&gt;""),'T_TTAFStock'!BX8,BW4+'Grid_Incoming'!BX4-'Grid_TTAFOutgoing'!BX4))</f>
        <v/>
      </c>
      <c r="BY4">
        <f>IF(COUNTIFS(T_StockCount[Part Name],$A4,T_StockCount[WeekIndex],76)&gt;0,0,IF(('T_TTAFStock'!BY8&lt;&gt;""),'T_TTAFStock'!BY8,BX4+'Grid_Incoming'!BY4-'Grid_TTAFOutgoing'!BY4))</f>
        <v/>
      </c>
      <c r="BZ4">
        <f>IF(COUNTIFS(T_StockCount[Part Name],$A4,T_StockCount[WeekIndex],77)&gt;0,0,IF(('T_TTAFStock'!BZ8&lt;&gt;""),'T_TTAFStock'!BZ8,BY4+'Grid_Incoming'!BZ4-'Grid_TTAFOutgoing'!BZ4))</f>
        <v/>
      </c>
      <c r="CA4">
        <f>IF(COUNTIFS(T_StockCount[Part Name],$A4,T_StockCount[WeekIndex],78)&gt;0,0,IF(('T_TTAFStock'!CA8&lt;&gt;""),'T_TTAFStock'!CA8,BZ4+'Grid_Incoming'!CA4-'Grid_TTAFOutgoing'!CA4))</f>
        <v/>
      </c>
      <c r="CB4">
        <f>IF(COUNTIFS(T_StockCount[Part Name],$A4,T_StockCount[WeekIndex],79)&gt;0,0,IF(('T_TTAFStock'!CB8&lt;&gt;""),'T_TTAFStock'!CB8,CA4+'Grid_Incoming'!CB4-'Grid_TTAFOutgoing'!CB4))</f>
        <v/>
      </c>
      <c r="CC4">
        <f>IF(COUNTIFS(T_StockCount[Part Name],$A4,T_StockCount[WeekIndex],80)&gt;0,0,IF(('T_TTAFStock'!CC8&lt;&gt;""),'T_TTAFStock'!CC8,CB4+'Grid_Incoming'!CC4-'Grid_TTAFOutgoing'!CC4))</f>
        <v/>
      </c>
      <c r="CD4">
        <f>IF(COUNTIFS(T_StockCount[Part Name],$A4,T_StockCount[WeekIndex],81)&gt;0,0,IF(('T_TTAFStock'!CD8&lt;&gt;""),'T_TTAFStock'!CD8,CC4+'Grid_Incoming'!CD4-'Grid_TTAFOutgoing'!CD4))</f>
        <v/>
      </c>
      <c r="CE4">
        <f>IF(COUNTIFS(T_StockCount[Part Name],$A4,T_StockCount[WeekIndex],82)&gt;0,0,IF(('T_TTAFStock'!CE8&lt;&gt;""),'T_TTAFStock'!CE8,CD4+'Grid_Incoming'!CE4-'Grid_TTAFOutgoing'!CE4))</f>
        <v/>
      </c>
      <c r="CF4">
        <f>IF(COUNTIFS(T_StockCount[Part Name],$A4,T_StockCount[WeekIndex],83)&gt;0,0,IF(('T_TTAFStock'!CF8&lt;&gt;""),'T_TTAFStock'!CF8,CE4+'Grid_Incoming'!CF4-'Grid_TTAFOutgoing'!CF4))</f>
        <v/>
      </c>
      <c r="CG4">
        <f>IF(COUNTIFS(T_StockCount[Part Name],$A4,T_StockCount[WeekIndex],84)&gt;0,0,IF(('T_TTAFStock'!CG8&lt;&gt;""),'T_TTAFStock'!CG8,CF4+'Grid_Incoming'!CG4-'Grid_TTAFOutgoing'!CG4))</f>
        <v/>
      </c>
      <c r="CH4">
        <f>IF(COUNTIFS(T_StockCount[Part Name],$A4,T_StockCount[WeekIndex],85)&gt;0,0,IF(('T_TTAFStock'!CH8&lt;&gt;""),'T_TTAFStock'!CH8,CG4+'Grid_Incoming'!CH4-'Grid_TTAFOutgoing'!CH4))</f>
        <v/>
      </c>
      <c r="CI4">
        <f>IF(COUNTIFS(T_StockCount[Part Name],$A4,T_StockCount[WeekIndex],86)&gt;0,0,IF(('T_TTAFStock'!CI8&lt;&gt;""),'T_TTAFStock'!CI8,CH4+'Grid_Incoming'!CI4-'Grid_TTAFOutgoing'!CI4))</f>
        <v/>
      </c>
      <c r="CJ4">
        <f>IF(COUNTIFS(T_StockCount[Part Name],$A4,T_StockCount[WeekIndex],87)&gt;0,0,IF(('T_TTAFStock'!CJ8&lt;&gt;""),'T_TTAFStock'!CJ8,CI4+'Grid_Incoming'!CJ4-'Grid_TTAFOutgoing'!CJ4))</f>
        <v/>
      </c>
      <c r="CK4">
        <f>IF(COUNTIFS(T_StockCount[Part Name],$A4,T_StockCount[WeekIndex],88)&gt;0,0,IF(('T_TTAFStock'!CK8&lt;&gt;""),'T_TTAFStock'!CK8,CJ4+'Grid_Incoming'!CK4-'Grid_TTAFOutgoing'!CK4))</f>
        <v/>
      </c>
      <c r="CL4">
        <f>IF(COUNTIFS(T_StockCount[Part Name],$A4,T_StockCount[WeekIndex],89)&gt;0,0,IF(('T_TTAFStock'!CL8&lt;&gt;""),'T_TTAFStock'!CL8,CK4+'Grid_Incoming'!CL4-'Grid_TTAFOutgoing'!CL4))</f>
        <v/>
      </c>
      <c r="CM4">
        <f>IF(COUNTIFS(T_StockCount[Part Name],$A4,T_StockCount[WeekIndex],90)&gt;0,0,IF(('T_TTAFStock'!CM8&lt;&gt;""),'T_TTAFStock'!CM8,CL4+'Grid_Incoming'!CM4-'Grid_TTAFOutgoing'!CM4))</f>
        <v/>
      </c>
      <c r="CN4">
        <f>IF(COUNTIFS(T_StockCount[Part Name],$A4,T_StockCount[WeekIndex],91)&gt;0,0,IF(('T_TTAFStock'!CN8&lt;&gt;""),'T_TTAFStock'!CN8,CM4+'Grid_Incoming'!CN4-'Grid_TTAFOutgoing'!CN4))</f>
        <v/>
      </c>
      <c r="CO4">
        <f>IF(COUNTIFS(T_StockCount[Part Name],$A4,T_StockCount[WeekIndex],92)&gt;0,0,IF(('T_TTAFStock'!CO8&lt;&gt;""),'T_TTAFStock'!CO8,CN4+'Grid_Incoming'!CO4-'Grid_TTAFOutgoing'!CO4))</f>
        <v/>
      </c>
      <c r="CP4">
        <f>IF(COUNTIFS(T_StockCount[Part Name],$A4,T_StockCount[WeekIndex],93)&gt;0,0,IF(('T_TTAFStock'!CP8&lt;&gt;""),'T_TTAFStock'!CP8,CO4+'Grid_Incoming'!CP4-'Grid_TTAFOutgoing'!CP4))</f>
        <v/>
      </c>
      <c r="CQ4">
        <f>IF(COUNTIFS(T_StockCount[Part Name],$A4,T_StockCount[WeekIndex],94)&gt;0,0,IF(('T_TTAFStock'!CQ8&lt;&gt;""),'T_TTAFStock'!CQ8,CP4+'Grid_Incoming'!CQ4-'Grid_TTAFOutgoing'!CQ4))</f>
        <v/>
      </c>
      <c r="CR4">
        <f>IF(COUNTIFS(T_StockCount[Part Name],$A4,T_StockCount[WeekIndex],95)&gt;0,0,IF(('T_TTAFStock'!CR8&lt;&gt;""),'T_TTAFStock'!CR8,CQ4+'Grid_Incoming'!CR4-'Grid_TTAFOutgoing'!CR4))</f>
        <v/>
      </c>
      <c r="CS4">
        <f>IF(COUNTIFS(T_StockCount[Part Name],$A4,T_StockCount[WeekIndex],96)&gt;0,0,IF(('T_TTAFStock'!CS8&lt;&gt;""),'T_TTAFStock'!CS8,CR4+'Grid_Incoming'!CS4-'Grid_TTAFOutgoing'!CS4))</f>
        <v/>
      </c>
      <c r="CT4">
        <f>IF(COUNTIFS(T_StockCount[Part Name],$A4,T_StockCount[WeekIndex],97)&gt;0,0,IF(('T_TTAFStock'!CT8&lt;&gt;""),'T_TTAFStock'!CT8,CS4+'Grid_Incoming'!CT4-'Grid_TTAFOutgoing'!CT4))</f>
        <v/>
      </c>
      <c r="CU4">
        <f>IF(COUNTIFS(T_StockCount[Part Name],$A4,T_StockCount[WeekIndex],98)&gt;0,0,IF(('T_TTAFStock'!CU8&lt;&gt;""),'T_TTAFStock'!CU8,CT4+'Grid_Incoming'!CU4-'Grid_TTAFOutgoing'!CU4))</f>
        <v/>
      </c>
      <c r="CV4">
        <f>IF(COUNTIFS(T_StockCount[Part Name],$A4,T_StockCount[WeekIndex],99)&gt;0,0,IF(('T_TTAFStock'!CV8&lt;&gt;""),'T_TTAFStock'!CV8,CU4+'Grid_Incoming'!CV4-'Grid_TTAFOutgoing'!CV4))</f>
        <v/>
      </c>
      <c r="CW4">
        <f>IF(COUNTIFS(T_StockCount[Part Name],$A4,T_StockCount[WeekIndex],100)&gt;0,0,IF(('T_TTAFStock'!CW8&lt;&gt;""),'T_TTAFStock'!CW8,CV4+'Grid_Incoming'!CW4-'Grid_TTAFOutgoing'!CW4))</f>
        <v/>
      </c>
      <c r="CX4">
        <f>IF(COUNTIFS(T_StockCount[Part Name],$A4,T_StockCount[WeekIndex],101)&gt;0,0,IF(('T_TTAFStock'!CX8&lt;&gt;""),'T_TTAFStock'!CX8,CW4+'Grid_Incoming'!CX4-'Grid_TTAFOutgoing'!CX4))</f>
        <v/>
      </c>
      <c r="CY4">
        <f>IF(COUNTIFS(T_StockCount[Part Name],$A4,T_StockCount[WeekIndex],102)&gt;0,0,IF(('T_TTAFStock'!CY8&lt;&gt;""),'T_TTAFStock'!CY8,CX4+'Grid_Incoming'!CY4-'Grid_TTAFOutgoing'!CY4))</f>
        <v/>
      </c>
      <c r="CZ4">
        <f>IF(COUNTIFS(T_StockCount[Part Name],$A4,T_StockCount[WeekIndex],103)&gt;0,0,IF(('T_TTAFStock'!CZ8&lt;&gt;""),'T_TTAFStock'!CZ8,CY4+'Grid_Incoming'!CZ4-'Grid_TTAFOutgoing'!CZ4))</f>
        <v/>
      </c>
      <c r="DA4">
        <f>IF(COUNTIFS(T_StockCount[Part Name],$A4,T_StockCount[WeekIndex],104)&gt;0,0,IF(('T_TTAFStock'!DA8&lt;&gt;""),'T_TTAFStock'!DA8,CZ4+'Grid_Incoming'!DA4-'Grid_TTAFOutgoing'!DA4))</f>
        <v/>
      </c>
    </row>
    <row r="5">
      <c r="A5" t="inlineStr">
        <is>
          <t>CHEM-1420</t>
        </is>
      </c>
      <c r="B5">
        <f>IF(COUNTIFS(T_StockCount[Part Name],$A5,T_StockCount[WeekIndex],1)&gt;0,0,IF(('T_TTAFStock'!B9&lt;&gt;""),'T_TTAFStock'!B9,0+'Grid_Incoming'!B5-'Grid_TTAFOutgoing'!B5))</f>
        <v/>
      </c>
      <c r="C5">
        <f>IF(COUNTIFS(T_StockCount[Part Name],$A5,T_StockCount[WeekIndex],2)&gt;0,0,IF(('T_TTAFStock'!C9&lt;&gt;""),'T_TTAFStock'!C9,B5+'Grid_Incoming'!C5-'Grid_TTAFOutgoing'!C5))</f>
        <v/>
      </c>
      <c r="D5">
        <f>IF(COUNTIFS(T_StockCount[Part Name],$A5,T_StockCount[WeekIndex],3)&gt;0,0,IF(('T_TTAFStock'!D9&lt;&gt;""),'T_TTAFStock'!D9,C5+'Grid_Incoming'!D5-'Grid_TTAFOutgoing'!D5))</f>
        <v/>
      </c>
      <c r="E5">
        <f>IF(COUNTIFS(T_StockCount[Part Name],$A5,T_StockCount[WeekIndex],4)&gt;0,0,IF(('T_TTAFStock'!E9&lt;&gt;""),'T_TTAFStock'!E9,D5+'Grid_Incoming'!E5-'Grid_TTAFOutgoing'!E5))</f>
        <v/>
      </c>
      <c r="F5">
        <f>IF(COUNTIFS(T_StockCount[Part Name],$A5,T_StockCount[WeekIndex],5)&gt;0,0,IF(('T_TTAFStock'!F9&lt;&gt;""),'T_TTAFStock'!F9,E5+'Grid_Incoming'!F5-'Grid_TTAFOutgoing'!F5))</f>
        <v/>
      </c>
      <c r="G5">
        <f>IF(COUNTIFS(T_StockCount[Part Name],$A5,T_StockCount[WeekIndex],6)&gt;0,0,IF(('T_TTAFStock'!G9&lt;&gt;""),'T_TTAFStock'!G9,F5+'Grid_Incoming'!G5-'Grid_TTAFOutgoing'!G5))</f>
        <v/>
      </c>
      <c r="H5">
        <f>IF(COUNTIFS(T_StockCount[Part Name],$A5,T_StockCount[WeekIndex],7)&gt;0,0,IF(('T_TTAFStock'!H9&lt;&gt;""),'T_TTAFStock'!H9,G5+'Grid_Incoming'!H5-'Grid_TTAFOutgoing'!H5))</f>
        <v/>
      </c>
      <c r="I5">
        <f>IF(COUNTIFS(T_StockCount[Part Name],$A5,T_StockCount[WeekIndex],8)&gt;0,0,IF(('T_TTAFStock'!I9&lt;&gt;""),'T_TTAFStock'!I9,H5+'Grid_Incoming'!I5-'Grid_TTAFOutgoing'!I5))</f>
        <v/>
      </c>
      <c r="J5">
        <f>IF(COUNTIFS(T_StockCount[Part Name],$A5,T_StockCount[WeekIndex],9)&gt;0,0,IF(('T_TTAFStock'!J9&lt;&gt;""),'T_TTAFStock'!J9,I5+'Grid_Incoming'!J5-'Grid_TTAFOutgoing'!J5))</f>
        <v/>
      </c>
      <c r="K5">
        <f>IF(COUNTIFS(T_StockCount[Part Name],$A5,T_StockCount[WeekIndex],10)&gt;0,0,IF(('T_TTAFStock'!K9&lt;&gt;""),'T_TTAFStock'!K9,J5+'Grid_Incoming'!K5-'Grid_TTAFOutgoing'!K5))</f>
        <v/>
      </c>
      <c r="L5">
        <f>IF(COUNTIFS(T_StockCount[Part Name],$A5,T_StockCount[WeekIndex],11)&gt;0,0,IF(('T_TTAFStock'!L9&lt;&gt;""),'T_TTAFStock'!L9,K5+'Grid_Incoming'!L5-'Grid_TTAFOutgoing'!L5))</f>
        <v/>
      </c>
      <c r="M5">
        <f>IF(COUNTIFS(T_StockCount[Part Name],$A5,T_StockCount[WeekIndex],12)&gt;0,0,IF(('T_TTAFStock'!M9&lt;&gt;""),'T_TTAFStock'!M9,L5+'Grid_Incoming'!M5-'Grid_TTAFOutgoing'!M5))</f>
        <v/>
      </c>
      <c r="N5">
        <f>IF(COUNTIFS(T_StockCount[Part Name],$A5,T_StockCount[WeekIndex],13)&gt;0,0,IF(('T_TTAFStock'!N9&lt;&gt;""),'T_TTAFStock'!N9,M5+'Grid_Incoming'!N5-'Grid_TTAFOutgoing'!N5))</f>
        <v/>
      </c>
      <c r="O5">
        <f>IF(COUNTIFS(T_StockCount[Part Name],$A5,T_StockCount[WeekIndex],14)&gt;0,0,IF(('T_TTAFStock'!O9&lt;&gt;""),'T_TTAFStock'!O9,N5+'Grid_Incoming'!O5-'Grid_TTAFOutgoing'!O5))</f>
        <v/>
      </c>
      <c r="P5">
        <f>IF(COUNTIFS(T_StockCount[Part Name],$A5,T_StockCount[WeekIndex],15)&gt;0,0,IF(('T_TTAFStock'!P9&lt;&gt;""),'T_TTAFStock'!P9,O5+'Grid_Incoming'!P5-'Grid_TTAFOutgoing'!P5))</f>
        <v/>
      </c>
      <c r="Q5">
        <f>IF(COUNTIFS(T_StockCount[Part Name],$A5,T_StockCount[WeekIndex],16)&gt;0,0,IF(('T_TTAFStock'!Q9&lt;&gt;""),'T_TTAFStock'!Q9,P5+'Grid_Incoming'!Q5-'Grid_TTAFOutgoing'!Q5))</f>
        <v/>
      </c>
      <c r="R5">
        <f>IF(COUNTIFS(T_StockCount[Part Name],$A5,T_StockCount[WeekIndex],17)&gt;0,0,IF(('T_TTAFStock'!R9&lt;&gt;""),'T_TTAFStock'!R9,Q5+'Grid_Incoming'!R5-'Grid_TTAFOutgoing'!R5))</f>
        <v/>
      </c>
      <c r="S5">
        <f>IF(COUNTIFS(T_StockCount[Part Name],$A5,T_StockCount[WeekIndex],18)&gt;0,0,IF(('T_TTAFStock'!S9&lt;&gt;""),'T_TTAFStock'!S9,R5+'Grid_Incoming'!S5-'Grid_TTAFOutgoing'!S5))</f>
        <v/>
      </c>
      <c r="T5">
        <f>IF(COUNTIFS(T_StockCount[Part Name],$A5,T_StockCount[WeekIndex],19)&gt;0,0,IF(('T_TTAFStock'!T9&lt;&gt;""),'T_TTAFStock'!T9,S5+'Grid_Incoming'!T5-'Grid_TTAFOutgoing'!T5))</f>
        <v/>
      </c>
      <c r="U5">
        <f>IF(COUNTIFS(T_StockCount[Part Name],$A5,T_StockCount[WeekIndex],20)&gt;0,0,IF(('T_TTAFStock'!U9&lt;&gt;""),'T_TTAFStock'!U9,T5+'Grid_Incoming'!U5-'Grid_TTAFOutgoing'!U5))</f>
        <v/>
      </c>
      <c r="V5">
        <f>IF(COUNTIFS(T_StockCount[Part Name],$A5,T_StockCount[WeekIndex],21)&gt;0,0,IF(('T_TTAFStock'!V9&lt;&gt;""),'T_TTAFStock'!V9,U5+'Grid_Incoming'!V5-'Grid_TTAFOutgoing'!V5))</f>
        <v/>
      </c>
      <c r="W5">
        <f>IF(COUNTIFS(T_StockCount[Part Name],$A5,T_StockCount[WeekIndex],22)&gt;0,0,IF(('T_TTAFStock'!W9&lt;&gt;""),'T_TTAFStock'!W9,V5+'Grid_Incoming'!W5-'Grid_TTAFOutgoing'!W5))</f>
        <v/>
      </c>
      <c r="X5">
        <f>IF(COUNTIFS(T_StockCount[Part Name],$A5,T_StockCount[WeekIndex],23)&gt;0,0,IF(('T_TTAFStock'!X9&lt;&gt;""),'T_TTAFStock'!X9,W5+'Grid_Incoming'!X5-'Grid_TTAFOutgoing'!X5))</f>
        <v/>
      </c>
      <c r="Y5">
        <f>IF(COUNTIFS(T_StockCount[Part Name],$A5,T_StockCount[WeekIndex],24)&gt;0,0,IF(('T_TTAFStock'!Y9&lt;&gt;""),'T_TTAFStock'!Y9,X5+'Grid_Incoming'!Y5-'Grid_TTAFOutgoing'!Y5))</f>
        <v/>
      </c>
      <c r="Z5">
        <f>IF(COUNTIFS(T_StockCount[Part Name],$A5,T_StockCount[WeekIndex],25)&gt;0,0,IF(('T_TTAFStock'!Z9&lt;&gt;""),'T_TTAFStock'!Z9,Y5+'Grid_Incoming'!Z5-'Grid_TTAFOutgoing'!Z5))</f>
        <v/>
      </c>
      <c r="AA5">
        <f>IF(COUNTIFS(T_StockCount[Part Name],$A5,T_StockCount[WeekIndex],26)&gt;0,0,IF(('T_TTAFStock'!AA9&lt;&gt;""),'T_TTAFStock'!AA9,Z5+'Grid_Incoming'!AA5-'Grid_TTAFOutgoing'!AA5))</f>
        <v/>
      </c>
      <c r="AB5">
        <f>IF(COUNTIFS(T_StockCount[Part Name],$A5,T_StockCount[WeekIndex],27)&gt;0,0,IF(('T_TTAFStock'!AB9&lt;&gt;""),'T_TTAFStock'!AB9,AA5+'Grid_Incoming'!AB5-'Grid_TTAFOutgoing'!AB5))</f>
        <v/>
      </c>
      <c r="AC5">
        <f>IF(COUNTIFS(T_StockCount[Part Name],$A5,T_StockCount[WeekIndex],28)&gt;0,0,IF(('T_TTAFStock'!AC9&lt;&gt;""),'T_TTAFStock'!AC9,AB5+'Grid_Incoming'!AC5-'Grid_TTAFOutgoing'!AC5))</f>
        <v/>
      </c>
      <c r="AD5">
        <f>IF(COUNTIFS(T_StockCount[Part Name],$A5,T_StockCount[WeekIndex],29)&gt;0,0,IF(('T_TTAFStock'!AD9&lt;&gt;""),'T_TTAFStock'!AD9,AC5+'Grid_Incoming'!AD5-'Grid_TTAFOutgoing'!AD5))</f>
        <v/>
      </c>
      <c r="AE5">
        <f>IF(COUNTIFS(T_StockCount[Part Name],$A5,T_StockCount[WeekIndex],30)&gt;0,0,IF(('T_TTAFStock'!AE9&lt;&gt;""),'T_TTAFStock'!AE9,AD5+'Grid_Incoming'!AE5-'Grid_TTAFOutgoing'!AE5))</f>
        <v/>
      </c>
      <c r="AF5">
        <f>IF(COUNTIFS(T_StockCount[Part Name],$A5,T_StockCount[WeekIndex],31)&gt;0,0,IF(('T_TTAFStock'!AF9&lt;&gt;""),'T_TTAFStock'!AF9,AE5+'Grid_Incoming'!AF5-'Grid_TTAFOutgoing'!AF5))</f>
        <v/>
      </c>
      <c r="AG5">
        <f>IF(COUNTIFS(T_StockCount[Part Name],$A5,T_StockCount[WeekIndex],32)&gt;0,0,IF(('T_TTAFStock'!AG9&lt;&gt;""),'T_TTAFStock'!AG9,AF5+'Grid_Incoming'!AG5-'Grid_TTAFOutgoing'!AG5))</f>
        <v/>
      </c>
      <c r="AH5">
        <f>IF(COUNTIFS(T_StockCount[Part Name],$A5,T_StockCount[WeekIndex],33)&gt;0,0,IF(('T_TTAFStock'!AH9&lt;&gt;""),'T_TTAFStock'!AH9,AG5+'Grid_Incoming'!AH5-'Grid_TTAFOutgoing'!AH5))</f>
        <v/>
      </c>
      <c r="AI5">
        <f>IF(COUNTIFS(T_StockCount[Part Name],$A5,T_StockCount[WeekIndex],34)&gt;0,0,IF(('T_TTAFStock'!AI9&lt;&gt;""),'T_TTAFStock'!AI9,AH5+'Grid_Incoming'!AI5-'Grid_TTAFOutgoing'!AI5))</f>
        <v/>
      </c>
      <c r="AJ5">
        <f>IF(COUNTIFS(T_StockCount[Part Name],$A5,T_StockCount[WeekIndex],35)&gt;0,0,IF(('T_TTAFStock'!AJ9&lt;&gt;""),'T_TTAFStock'!AJ9,AI5+'Grid_Incoming'!AJ5-'Grid_TTAFOutgoing'!AJ5))</f>
        <v/>
      </c>
      <c r="AK5">
        <f>IF(COUNTIFS(T_StockCount[Part Name],$A5,T_StockCount[WeekIndex],36)&gt;0,0,IF(('T_TTAFStock'!AK9&lt;&gt;""),'T_TTAFStock'!AK9,AJ5+'Grid_Incoming'!AK5-'Grid_TTAFOutgoing'!AK5))</f>
        <v/>
      </c>
      <c r="AL5">
        <f>IF(COUNTIFS(T_StockCount[Part Name],$A5,T_StockCount[WeekIndex],37)&gt;0,0,IF(('T_TTAFStock'!AL9&lt;&gt;""),'T_TTAFStock'!AL9,AK5+'Grid_Incoming'!AL5-'Grid_TTAFOutgoing'!AL5))</f>
        <v/>
      </c>
      <c r="AM5">
        <f>IF(COUNTIFS(T_StockCount[Part Name],$A5,T_StockCount[WeekIndex],38)&gt;0,0,IF(('T_TTAFStock'!AM9&lt;&gt;""),'T_TTAFStock'!AM9,AL5+'Grid_Incoming'!AM5-'Grid_TTAFOutgoing'!AM5))</f>
        <v/>
      </c>
      <c r="AN5">
        <f>IF(COUNTIFS(T_StockCount[Part Name],$A5,T_StockCount[WeekIndex],39)&gt;0,0,IF(('T_TTAFStock'!AN9&lt;&gt;""),'T_TTAFStock'!AN9,AM5+'Grid_Incoming'!AN5-'Grid_TTAFOutgoing'!AN5))</f>
        <v/>
      </c>
      <c r="AO5">
        <f>IF(COUNTIFS(T_StockCount[Part Name],$A5,T_StockCount[WeekIndex],40)&gt;0,0,IF(('T_TTAFStock'!AO9&lt;&gt;""),'T_TTAFStock'!AO9,AN5+'Grid_Incoming'!AO5-'Grid_TTAFOutgoing'!AO5))</f>
        <v/>
      </c>
      <c r="AP5">
        <f>IF(COUNTIFS(T_StockCount[Part Name],$A5,T_StockCount[WeekIndex],41)&gt;0,0,IF(('T_TTAFStock'!AP9&lt;&gt;""),'T_TTAFStock'!AP9,AO5+'Grid_Incoming'!AP5-'Grid_TTAFOutgoing'!AP5))</f>
        <v/>
      </c>
      <c r="AQ5">
        <f>IF(COUNTIFS(T_StockCount[Part Name],$A5,T_StockCount[WeekIndex],42)&gt;0,0,IF(('T_TTAFStock'!AQ9&lt;&gt;""),'T_TTAFStock'!AQ9,AP5+'Grid_Incoming'!AQ5-'Grid_TTAFOutgoing'!AQ5))</f>
        <v/>
      </c>
      <c r="AR5">
        <f>IF(COUNTIFS(T_StockCount[Part Name],$A5,T_StockCount[WeekIndex],43)&gt;0,0,IF(('T_TTAFStock'!AR9&lt;&gt;""),'T_TTAFStock'!AR9,AQ5+'Grid_Incoming'!AR5-'Grid_TTAFOutgoing'!AR5))</f>
        <v/>
      </c>
      <c r="AS5">
        <f>IF(COUNTIFS(T_StockCount[Part Name],$A5,T_StockCount[WeekIndex],44)&gt;0,0,IF(('T_TTAFStock'!AS9&lt;&gt;""),'T_TTAFStock'!AS9,AR5+'Grid_Incoming'!AS5-'Grid_TTAFOutgoing'!AS5))</f>
        <v/>
      </c>
      <c r="AT5">
        <f>IF(COUNTIFS(T_StockCount[Part Name],$A5,T_StockCount[WeekIndex],45)&gt;0,0,IF(('T_TTAFStock'!AT9&lt;&gt;""),'T_TTAFStock'!AT9,AS5+'Grid_Incoming'!AT5-'Grid_TTAFOutgoing'!AT5))</f>
        <v/>
      </c>
      <c r="AU5">
        <f>IF(COUNTIFS(T_StockCount[Part Name],$A5,T_StockCount[WeekIndex],46)&gt;0,0,IF(('T_TTAFStock'!AU9&lt;&gt;""),'T_TTAFStock'!AU9,AT5+'Grid_Incoming'!AU5-'Grid_TTAFOutgoing'!AU5))</f>
        <v/>
      </c>
      <c r="AV5">
        <f>IF(COUNTIFS(T_StockCount[Part Name],$A5,T_StockCount[WeekIndex],47)&gt;0,0,IF(('T_TTAFStock'!AV9&lt;&gt;""),'T_TTAFStock'!AV9,AU5+'Grid_Incoming'!AV5-'Grid_TTAFOutgoing'!AV5))</f>
        <v/>
      </c>
      <c r="AW5">
        <f>IF(COUNTIFS(T_StockCount[Part Name],$A5,T_StockCount[WeekIndex],48)&gt;0,0,IF(('T_TTAFStock'!AW9&lt;&gt;""),'T_TTAFStock'!AW9,AV5+'Grid_Incoming'!AW5-'Grid_TTAFOutgoing'!AW5))</f>
        <v/>
      </c>
      <c r="AX5">
        <f>IF(COUNTIFS(T_StockCount[Part Name],$A5,T_StockCount[WeekIndex],49)&gt;0,0,IF(('T_TTAFStock'!AX9&lt;&gt;""),'T_TTAFStock'!AX9,AW5+'Grid_Incoming'!AX5-'Grid_TTAFOutgoing'!AX5))</f>
        <v/>
      </c>
      <c r="AY5">
        <f>IF(COUNTIFS(T_StockCount[Part Name],$A5,T_StockCount[WeekIndex],50)&gt;0,0,IF(('T_TTAFStock'!AY9&lt;&gt;""),'T_TTAFStock'!AY9,AX5+'Grid_Incoming'!AY5-'Grid_TTAFOutgoing'!AY5))</f>
        <v/>
      </c>
      <c r="AZ5">
        <f>IF(COUNTIFS(T_StockCount[Part Name],$A5,T_StockCount[WeekIndex],51)&gt;0,0,IF(('T_TTAFStock'!AZ9&lt;&gt;""),'T_TTAFStock'!AZ9,AY5+'Grid_Incoming'!AZ5-'Grid_TTAFOutgoing'!AZ5))</f>
        <v/>
      </c>
      <c r="BA5">
        <f>IF(COUNTIFS(T_StockCount[Part Name],$A5,T_StockCount[WeekIndex],52)&gt;0,0,IF(('T_TTAFStock'!BA9&lt;&gt;""),'T_TTAFStock'!BA9,AZ5+'Grid_Incoming'!BA5-'Grid_TTAFOutgoing'!BA5))</f>
        <v/>
      </c>
      <c r="BB5">
        <f>IF(COUNTIFS(T_StockCount[Part Name],$A5,T_StockCount[WeekIndex],53)&gt;0,0,IF(('T_TTAFStock'!BB9&lt;&gt;""),'T_TTAFStock'!BB9,BA5+'Grid_Incoming'!BB5-'Grid_TTAFOutgoing'!BB5))</f>
        <v/>
      </c>
      <c r="BC5">
        <f>IF(COUNTIFS(T_StockCount[Part Name],$A5,T_StockCount[WeekIndex],54)&gt;0,0,IF(('T_TTAFStock'!BC9&lt;&gt;""),'T_TTAFStock'!BC9,BB5+'Grid_Incoming'!BC5-'Grid_TTAFOutgoing'!BC5))</f>
        <v/>
      </c>
      <c r="BD5">
        <f>IF(COUNTIFS(T_StockCount[Part Name],$A5,T_StockCount[WeekIndex],55)&gt;0,0,IF(('T_TTAFStock'!BD9&lt;&gt;""),'T_TTAFStock'!BD9,BC5+'Grid_Incoming'!BD5-'Grid_TTAFOutgoing'!BD5))</f>
        <v/>
      </c>
      <c r="BE5">
        <f>IF(COUNTIFS(T_StockCount[Part Name],$A5,T_StockCount[WeekIndex],56)&gt;0,0,IF(('T_TTAFStock'!BE9&lt;&gt;""),'T_TTAFStock'!BE9,BD5+'Grid_Incoming'!BE5-'Grid_TTAFOutgoing'!BE5))</f>
        <v/>
      </c>
      <c r="BF5">
        <f>IF(COUNTIFS(T_StockCount[Part Name],$A5,T_StockCount[WeekIndex],57)&gt;0,0,IF(('T_TTAFStock'!BF9&lt;&gt;""),'T_TTAFStock'!BF9,BE5+'Grid_Incoming'!BF5-'Grid_TTAFOutgoing'!BF5))</f>
        <v/>
      </c>
      <c r="BG5">
        <f>IF(COUNTIFS(T_StockCount[Part Name],$A5,T_StockCount[WeekIndex],58)&gt;0,0,IF(('T_TTAFStock'!BG9&lt;&gt;""),'T_TTAFStock'!BG9,BF5+'Grid_Incoming'!BG5-'Grid_TTAFOutgoing'!BG5))</f>
        <v/>
      </c>
      <c r="BH5">
        <f>IF(COUNTIFS(T_StockCount[Part Name],$A5,T_StockCount[WeekIndex],59)&gt;0,0,IF(('T_TTAFStock'!BH9&lt;&gt;""),'T_TTAFStock'!BH9,BG5+'Grid_Incoming'!BH5-'Grid_TTAFOutgoing'!BH5))</f>
        <v/>
      </c>
      <c r="BI5">
        <f>IF(COUNTIFS(T_StockCount[Part Name],$A5,T_StockCount[WeekIndex],60)&gt;0,0,IF(('T_TTAFStock'!BI9&lt;&gt;""),'T_TTAFStock'!BI9,BH5+'Grid_Incoming'!BI5-'Grid_TTAFOutgoing'!BI5))</f>
        <v/>
      </c>
      <c r="BJ5">
        <f>IF(COUNTIFS(T_StockCount[Part Name],$A5,T_StockCount[WeekIndex],61)&gt;0,0,IF(('T_TTAFStock'!BJ9&lt;&gt;""),'T_TTAFStock'!BJ9,BI5+'Grid_Incoming'!BJ5-'Grid_TTAFOutgoing'!BJ5))</f>
        <v/>
      </c>
      <c r="BK5">
        <f>IF(COUNTIFS(T_StockCount[Part Name],$A5,T_StockCount[WeekIndex],62)&gt;0,0,IF(('T_TTAFStock'!BK9&lt;&gt;""),'T_TTAFStock'!BK9,BJ5+'Grid_Incoming'!BK5-'Grid_TTAFOutgoing'!BK5))</f>
        <v/>
      </c>
      <c r="BL5">
        <f>IF(COUNTIFS(T_StockCount[Part Name],$A5,T_StockCount[WeekIndex],63)&gt;0,0,IF(('T_TTAFStock'!BL9&lt;&gt;""),'T_TTAFStock'!BL9,BK5+'Grid_Incoming'!BL5-'Grid_TTAFOutgoing'!BL5))</f>
        <v/>
      </c>
      <c r="BM5">
        <f>IF(COUNTIFS(T_StockCount[Part Name],$A5,T_StockCount[WeekIndex],64)&gt;0,0,IF(('T_TTAFStock'!BM9&lt;&gt;""),'T_TTAFStock'!BM9,BL5+'Grid_Incoming'!BM5-'Grid_TTAFOutgoing'!BM5))</f>
        <v/>
      </c>
      <c r="BN5">
        <f>IF(COUNTIFS(T_StockCount[Part Name],$A5,T_StockCount[WeekIndex],65)&gt;0,0,IF(('T_TTAFStock'!BN9&lt;&gt;""),'T_TTAFStock'!BN9,BM5+'Grid_Incoming'!BN5-'Grid_TTAFOutgoing'!BN5))</f>
        <v/>
      </c>
      <c r="BO5">
        <f>IF(COUNTIFS(T_StockCount[Part Name],$A5,T_StockCount[WeekIndex],66)&gt;0,0,IF(('T_TTAFStock'!BO9&lt;&gt;""),'T_TTAFStock'!BO9,BN5+'Grid_Incoming'!BO5-'Grid_TTAFOutgoing'!BO5))</f>
        <v/>
      </c>
      <c r="BP5">
        <f>IF(COUNTIFS(T_StockCount[Part Name],$A5,T_StockCount[WeekIndex],67)&gt;0,0,IF(('T_TTAFStock'!BP9&lt;&gt;""),'T_TTAFStock'!BP9,BO5+'Grid_Incoming'!BP5-'Grid_TTAFOutgoing'!BP5))</f>
        <v/>
      </c>
      <c r="BQ5">
        <f>IF(COUNTIFS(T_StockCount[Part Name],$A5,T_StockCount[WeekIndex],68)&gt;0,0,IF(('T_TTAFStock'!BQ9&lt;&gt;""),'T_TTAFStock'!BQ9,BP5+'Grid_Incoming'!BQ5-'Grid_TTAFOutgoing'!BQ5))</f>
        <v/>
      </c>
      <c r="BR5">
        <f>IF(COUNTIFS(T_StockCount[Part Name],$A5,T_StockCount[WeekIndex],69)&gt;0,0,IF(('T_TTAFStock'!BR9&lt;&gt;""),'T_TTAFStock'!BR9,BQ5+'Grid_Incoming'!BR5-'Grid_TTAFOutgoing'!BR5))</f>
        <v/>
      </c>
      <c r="BS5">
        <f>IF(COUNTIFS(T_StockCount[Part Name],$A5,T_StockCount[WeekIndex],70)&gt;0,0,IF(('T_TTAFStock'!BS9&lt;&gt;""),'T_TTAFStock'!BS9,BR5+'Grid_Incoming'!BS5-'Grid_TTAFOutgoing'!BS5))</f>
        <v/>
      </c>
      <c r="BT5">
        <f>IF(COUNTIFS(T_StockCount[Part Name],$A5,T_StockCount[WeekIndex],71)&gt;0,0,IF(('T_TTAFStock'!BT9&lt;&gt;""),'T_TTAFStock'!BT9,BS5+'Grid_Incoming'!BT5-'Grid_TTAFOutgoing'!BT5))</f>
        <v/>
      </c>
      <c r="BU5">
        <f>IF(COUNTIFS(T_StockCount[Part Name],$A5,T_StockCount[WeekIndex],72)&gt;0,0,IF(('T_TTAFStock'!BU9&lt;&gt;""),'T_TTAFStock'!BU9,BT5+'Grid_Incoming'!BU5-'Grid_TTAFOutgoing'!BU5))</f>
        <v/>
      </c>
      <c r="BV5">
        <f>IF(COUNTIFS(T_StockCount[Part Name],$A5,T_StockCount[WeekIndex],73)&gt;0,0,IF(('T_TTAFStock'!BV9&lt;&gt;""),'T_TTAFStock'!BV9,BU5+'Grid_Incoming'!BV5-'Grid_TTAFOutgoing'!BV5))</f>
        <v/>
      </c>
      <c r="BW5">
        <f>IF(COUNTIFS(T_StockCount[Part Name],$A5,T_StockCount[WeekIndex],74)&gt;0,0,IF(('T_TTAFStock'!BW9&lt;&gt;""),'T_TTAFStock'!BW9,BV5+'Grid_Incoming'!BW5-'Grid_TTAFOutgoing'!BW5))</f>
        <v/>
      </c>
      <c r="BX5">
        <f>IF(COUNTIFS(T_StockCount[Part Name],$A5,T_StockCount[WeekIndex],75)&gt;0,0,IF(('T_TTAFStock'!BX9&lt;&gt;""),'T_TTAFStock'!BX9,BW5+'Grid_Incoming'!BX5-'Grid_TTAFOutgoing'!BX5))</f>
        <v/>
      </c>
      <c r="BY5">
        <f>IF(COUNTIFS(T_StockCount[Part Name],$A5,T_StockCount[WeekIndex],76)&gt;0,0,IF(('T_TTAFStock'!BY9&lt;&gt;""),'T_TTAFStock'!BY9,BX5+'Grid_Incoming'!BY5-'Grid_TTAFOutgoing'!BY5))</f>
        <v/>
      </c>
      <c r="BZ5">
        <f>IF(COUNTIFS(T_StockCount[Part Name],$A5,T_StockCount[WeekIndex],77)&gt;0,0,IF(('T_TTAFStock'!BZ9&lt;&gt;""),'T_TTAFStock'!BZ9,BY5+'Grid_Incoming'!BZ5-'Grid_TTAFOutgoing'!BZ5))</f>
        <v/>
      </c>
      <c r="CA5">
        <f>IF(COUNTIFS(T_StockCount[Part Name],$A5,T_StockCount[WeekIndex],78)&gt;0,0,IF(('T_TTAFStock'!CA9&lt;&gt;""),'T_TTAFStock'!CA9,BZ5+'Grid_Incoming'!CA5-'Grid_TTAFOutgoing'!CA5))</f>
        <v/>
      </c>
      <c r="CB5">
        <f>IF(COUNTIFS(T_StockCount[Part Name],$A5,T_StockCount[WeekIndex],79)&gt;0,0,IF(('T_TTAFStock'!CB9&lt;&gt;""),'T_TTAFStock'!CB9,CA5+'Grid_Incoming'!CB5-'Grid_TTAFOutgoing'!CB5))</f>
        <v/>
      </c>
      <c r="CC5">
        <f>IF(COUNTIFS(T_StockCount[Part Name],$A5,T_StockCount[WeekIndex],80)&gt;0,0,IF(('T_TTAFStock'!CC9&lt;&gt;""),'T_TTAFStock'!CC9,CB5+'Grid_Incoming'!CC5-'Grid_TTAFOutgoing'!CC5))</f>
        <v/>
      </c>
      <c r="CD5">
        <f>IF(COUNTIFS(T_StockCount[Part Name],$A5,T_StockCount[WeekIndex],81)&gt;0,0,IF(('T_TTAFStock'!CD9&lt;&gt;""),'T_TTAFStock'!CD9,CC5+'Grid_Incoming'!CD5-'Grid_TTAFOutgoing'!CD5))</f>
        <v/>
      </c>
      <c r="CE5">
        <f>IF(COUNTIFS(T_StockCount[Part Name],$A5,T_StockCount[WeekIndex],82)&gt;0,0,IF(('T_TTAFStock'!CE9&lt;&gt;""),'T_TTAFStock'!CE9,CD5+'Grid_Incoming'!CE5-'Grid_TTAFOutgoing'!CE5))</f>
        <v/>
      </c>
      <c r="CF5">
        <f>IF(COUNTIFS(T_StockCount[Part Name],$A5,T_StockCount[WeekIndex],83)&gt;0,0,IF(('T_TTAFStock'!CF9&lt;&gt;""),'T_TTAFStock'!CF9,CE5+'Grid_Incoming'!CF5-'Grid_TTAFOutgoing'!CF5))</f>
        <v/>
      </c>
      <c r="CG5">
        <f>IF(COUNTIFS(T_StockCount[Part Name],$A5,T_StockCount[WeekIndex],84)&gt;0,0,IF(('T_TTAFStock'!CG9&lt;&gt;""),'T_TTAFStock'!CG9,CF5+'Grid_Incoming'!CG5-'Grid_TTAFOutgoing'!CG5))</f>
        <v/>
      </c>
      <c r="CH5">
        <f>IF(COUNTIFS(T_StockCount[Part Name],$A5,T_StockCount[WeekIndex],85)&gt;0,0,IF(('T_TTAFStock'!CH9&lt;&gt;""),'T_TTAFStock'!CH9,CG5+'Grid_Incoming'!CH5-'Grid_TTAFOutgoing'!CH5))</f>
        <v/>
      </c>
      <c r="CI5">
        <f>IF(COUNTIFS(T_StockCount[Part Name],$A5,T_StockCount[WeekIndex],86)&gt;0,0,IF(('T_TTAFStock'!CI9&lt;&gt;""),'T_TTAFStock'!CI9,CH5+'Grid_Incoming'!CI5-'Grid_TTAFOutgoing'!CI5))</f>
        <v/>
      </c>
      <c r="CJ5">
        <f>IF(COUNTIFS(T_StockCount[Part Name],$A5,T_StockCount[WeekIndex],87)&gt;0,0,IF(('T_TTAFStock'!CJ9&lt;&gt;""),'T_TTAFStock'!CJ9,CI5+'Grid_Incoming'!CJ5-'Grid_TTAFOutgoing'!CJ5))</f>
        <v/>
      </c>
      <c r="CK5">
        <f>IF(COUNTIFS(T_StockCount[Part Name],$A5,T_StockCount[WeekIndex],88)&gt;0,0,IF(('T_TTAFStock'!CK9&lt;&gt;""),'T_TTAFStock'!CK9,CJ5+'Grid_Incoming'!CK5-'Grid_TTAFOutgoing'!CK5))</f>
        <v/>
      </c>
      <c r="CL5">
        <f>IF(COUNTIFS(T_StockCount[Part Name],$A5,T_StockCount[WeekIndex],89)&gt;0,0,IF(('T_TTAFStock'!CL9&lt;&gt;""),'T_TTAFStock'!CL9,CK5+'Grid_Incoming'!CL5-'Grid_TTAFOutgoing'!CL5))</f>
        <v/>
      </c>
      <c r="CM5">
        <f>IF(COUNTIFS(T_StockCount[Part Name],$A5,T_StockCount[WeekIndex],90)&gt;0,0,IF(('T_TTAFStock'!CM9&lt;&gt;""),'T_TTAFStock'!CM9,CL5+'Grid_Incoming'!CM5-'Grid_TTAFOutgoing'!CM5))</f>
        <v/>
      </c>
      <c r="CN5">
        <f>IF(COUNTIFS(T_StockCount[Part Name],$A5,T_StockCount[WeekIndex],91)&gt;0,0,IF(('T_TTAFStock'!CN9&lt;&gt;""),'T_TTAFStock'!CN9,CM5+'Grid_Incoming'!CN5-'Grid_TTAFOutgoing'!CN5))</f>
        <v/>
      </c>
      <c r="CO5">
        <f>IF(COUNTIFS(T_StockCount[Part Name],$A5,T_StockCount[WeekIndex],92)&gt;0,0,IF(('T_TTAFStock'!CO9&lt;&gt;""),'T_TTAFStock'!CO9,CN5+'Grid_Incoming'!CO5-'Grid_TTAFOutgoing'!CO5))</f>
        <v/>
      </c>
      <c r="CP5">
        <f>IF(COUNTIFS(T_StockCount[Part Name],$A5,T_StockCount[WeekIndex],93)&gt;0,0,IF(('T_TTAFStock'!CP9&lt;&gt;""),'T_TTAFStock'!CP9,CO5+'Grid_Incoming'!CP5-'Grid_TTAFOutgoing'!CP5))</f>
        <v/>
      </c>
      <c r="CQ5">
        <f>IF(COUNTIFS(T_StockCount[Part Name],$A5,T_StockCount[WeekIndex],94)&gt;0,0,IF(('T_TTAFStock'!CQ9&lt;&gt;""),'T_TTAFStock'!CQ9,CP5+'Grid_Incoming'!CQ5-'Grid_TTAFOutgoing'!CQ5))</f>
        <v/>
      </c>
      <c r="CR5">
        <f>IF(COUNTIFS(T_StockCount[Part Name],$A5,T_StockCount[WeekIndex],95)&gt;0,0,IF(('T_TTAFStock'!CR9&lt;&gt;""),'T_TTAFStock'!CR9,CQ5+'Grid_Incoming'!CR5-'Grid_TTAFOutgoing'!CR5))</f>
        <v/>
      </c>
      <c r="CS5">
        <f>IF(COUNTIFS(T_StockCount[Part Name],$A5,T_StockCount[WeekIndex],96)&gt;0,0,IF(('T_TTAFStock'!CS9&lt;&gt;""),'T_TTAFStock'!CS9,CR5+'Grid_Incoming'!CS5-'Grid_TTAFOutgoing'!CS5))</f>
        <v/>
      </c>
      <c r="CT5">
        <f>IF(COUNTIFS(T_StockCount[Part Name],$A5,T_StockCount[WeekIndex],97)&gt;0,0,IF(('T_TTAFStock'!CT9&lt;&gt;""),'T_TTAFStock'!CT9,CS5+'Grid_Incoming'!CT5-'Grid_TTAFOutgoing'!CT5))</f>
        <v/>
      </c>
      <c r="CU5">
        <f>IF(COUNTIFS(T_StockCount[Part Name],$A5,T_StockCount[WeekIndex],98)&gt;0,0,IF(('T_TTAFStock'!CU9&lt;&gt;""),'T_TTAFStock'!CU9,CT5+'Grid_Incoming'!CU5-'Grid_TTAFOutgoing'!CU5))</f>
        <v/>
      </c>
      <c r="CV5">
        <f>IF(COUNTIFS(T_StockCount[Part Name],$A5,T_StockCount[WeekIndex],99)&gt;0,0,IF(('T_TTAFStock'!CV9&lt;&gt;""),'T_TTAFStock'!CV9,CU5+'Grid_Incoming'!CV5-'Grid_TTAFOutgoing'!CV5))</f>
        <v/>
      </c>
      <c r="CW5">
        <f>IF(COUNTIFS(T_StockCount[Part Name],$A5,T_StockCount[WeekIndex],100)&gt;0,0,IF(('T_TTAFStock'!CW9&lt;&gt;""),'T_TTAFStock'!CW9,CV5+'Grid_Incoming'!CW5-'Grid_TTAFOutgoing'!CW5))</f>
        <v/>
      </c>
      <c r="CX5">
        <f>IF(COUNTIFS(T_StockCount[Part Name],$A5,T_StockCount[WeekIndex],101)&gt;0,0,IF(('T_TTAFStock'!CX9&lt;&gt;""),'T_TTAFStock'!CX9,CW5+'Grid_Incoming'!CX5-'Grid_TTAFOutgoing'!CX5))</f>
        <v/>
      </c>
      <c r="CY5">
        <f>IF(COUNTIFS(T_StockCount[Part Name],$A5,T_StockCount[WeekIndex],102)&gt;0,0,IF(('T_TTAFStock'!CY9&lt;&gt;""),'T_TTAFStock'!CY9,CX5+'Grid_Incoming'!CY5-'Grid_TTAFOutgoing'!CY5))</f>
        <v/>
      </c>
      <c r="CZ5">
        <f>IF(COUNTIFS(T_StockCount[Part Name],$A5,T_StockCount[WeekIndex],103)&gt;0,0,IF(('T_TTAFStock'!CZ9&lt;&gt;""),'T_TTAFStock'!CZ9,CY5+'Grid_Incoming'!CZ5-'Grid_TTAFOutgoing'!CZ5))</f>
        <v/>
      </c>
      <c r="DA5">
        <f>IF(COUNTIFS(T_StockCount[Part Name],$A5,T_StockCount[WeekIndex],104)&gt;0,0,IF(('T_TTAFStock'!DA9&lt;&gt;""),'T_TTAFStock'!DA9,CZ5+'Grid_Incoming'!DA5-'Grid_TTAFOutgoing'!DA5))</f>
        <v/>
      </c>
    </row>
    <row r="6">
      <c r="A6" t="inlineStr">
        <is>
          <t>CHEM-1530</t>
        </is>
      </c>
      <c r="B6">
        <f>IF(COUNTIFS(T_StockCount[Part Name],$A6,T_StockCount[WeekIndex],1)&gt;0,0,IF(('T_TTAFStock'!B10&lt;&gt;""),'T_TTAFStock'!B10,0+'Grid_Incoming'!B6-'Grid_TTAFOutgoing'!B6))</f>
        <v/>
      </c>
      <c r="C6">
        <f>IF(COUNTIFS(T_StockCount[Part Name],$A6,T_StockCount[WeekIndex],2)&gt;0,0,IF(('T_TTAFStock'!C10&lt;&gt;""),'T_TTAFStock'!C10,B6+'Grid_Incoming'!C6-'Grid_TTAFOutgoing'!C6))</f>
        <v/>
      </c>
      <c r="D6">
        <f>IF(COUNTIFS(T_StockCount[Part Name],$A6,T_StockCount[WeekIndex],3)&gt;0,0,IF(('T_TTAFStock'!D10&lt;&gt;""),'T_TTAFStock'!D10,C6+'Grid_Incoming'!D6-'Grid_TTAFOutgoing'!D6))</f>
        <v/>
      </c>
      <c r="E6">
        <f>IF(COUNTIFS(T_StockCount[Part Name],$A6,T_StockCount[WeekIndex],4)&gt;0,0,IF(('T_TTAFStock'!E10&lt;&gt;""),'T_TTAFStock'!E10,D6+'Grid_Incoming'!E6-'Grid_TTAFOutgoing'!E6))</f>
        <v/>
      </c>
      <c r="F6">
        <f>IF(COUNTIFS(T_StockCount[Part Name],$A6,T_StockCount[WeekIndex],5)&gt;0,0,IF(('T_TTAFStock'!F10&lt;&gt;""),'T_TTAFStock'!F10,E6+'Grid_Incoming'!F6-'Grid_TTAFOutgoing'!F6))</f>
        <v/>
      </c>
      <c r="G6">
        <f>IF(COUNTIFS(T_StockCount[Part Name],$A6,T_StockCount[WeekIndex],6)&gt;0,0,IF(('T_TTAFStock'!G10&lt;&gt;""),'T_TTAFStock'!G10,F6+'Grid_Incoming'!G6-'Grid_TTAFOutgoing'!G6))</f>
        <v/>
      </c>
      <c r="H6">
        <f>IF(COUNTIFS(T_StockCount[Part Name],$A6,T_StockCount[WeekIndex],7)&gt;0,0,IF(('T_TTAFStock'!H10&lt;&gt;""),'T_TTAFStock'!H10,G6+'Grid_Incoming'!H6-'Grid_TTAFOutgoing'!H6))</f>
        <v/>
      </c>
      <c r="I6">
        <f>IF(COUNTIFS(T_StockCount[Part Name],$A6,T_StockCount[WeekIndex],8)&gt;0,0,IF(('T_TTAFStock'!I10&lt;&gt;""),'T_TTAFStock'!I10,H6+'Grid_Incoming'!I6-'Grid_TTAFOutgoing'!I6))</f>
        <v/>
      </c>
      <c r="J6">
        <f>IF(COUNTIFS(T_StockCount[Part Name],$A6,T_StockCount[WeekIndex],9)&gt;0,0,IF(('T_TTAFStock'!J10&lt;&gt;""),'T_TTAFStock'!J10,I6+'Grid_Incoming'!J6-'Grid_TTAFOutgoing'!J6))</f>
        <v/>
      </c>
      <c r="K6">
        <f>IF(COUNTIFS(T_StockCount[Part Name],$A6,T_StockCount[WeekIndex],10)&gt;0,0,IF(('T_TTAFStock'!K10&lt;&gt;""),'T_TTAFStock'!K10,J6+'Grid_Incoming'!K6-'Grid_TTAFOutgoing'!K6))</f>
        <v/>
      </c>
      <c r="L6">
        <f>IF(COUNTIFS(T_StockCount[Part Name],$A6,T_StockCount[WeekIndex],11)&gt;0,0,IF(('T_TTAFStock'!L10&lt;&gt;""),'T_TTAFStock'!L10,K6+'Grid_Incoming'!L6-'Grid_TTAFOutgoing'!L6))</f>
        <v/>
      </c>
      <c r="M6">
        <f>IF(COUNTIFS(T_StockCount[Part Name],$A6,T_StockCount[WeekIndex],12)&gt;0,0,IF(('T_TTAFStock'!M10&lt;&gt;""),'T_TTAFStock'!M10,L6+'Grid_Incoming'!M6-'Grid_TTAFOutgoing'!M6))</f>
        <v/>
      </c>
      <c r="N6">
        <f>IF(COUNTIFS(T_StockCount[Part Name],$A6,T_StockCount[WeekIndex],13)&gt;0,0,IF(('T_TTAFStock'!N10&lt;&gt;""),'T_TTAFStock'!N10,M6+'Grid_Incoming'!N6-'Grid_TTAFOutgoing'!N6))</f>
        <v/>
      </c>
      <c r="O6">
        <f>IF(COUNTIFS(T_StockCount[Part Name],$A6,T_StockCount[WeekIndex],14)&gt;0,0,IF(('T_TTAFStock'!O10&lt;&gt;""),'T_TTAFStock'!O10,N6+'Grid_Incoming'!O6-'Grid_TTAFOutgoing'!O6))</f>
        <v/>
      </c>
      <c r="P6">
        <f>IF(COUNTIFS(T_StockCount[Part Name],$A6,T_StockCount[WeekIndex],15)&gt;0,0,IF(('T_TTAFStock'!P10&lt;&gt;""),'T_TTAFStock'!P10,O6+'Grid_Incoming'!P6-'Grid_TTAFOutgoing'!P6))</f>
        <v/>
      </c>
      <c r="Q6">
        <f>IF(COUNTIFS(T_StockCount[Part Name],$A6,T_StockCount[WeekIndex],16)&gt;0,0,IF(('T_TTAFStock'!Q10&lt;&gt;""),'T_TTAFStock'!Q10,P6+'Grid_Incoming'!Q6-'Grid_TTAFOutgoing'!Q6))</f>
        <v/>
      </c>
      <c r="R6">
        <f>IF(COUNTIFS(T_StockCount[Part Name],$A6,T_StockCount[WeekIndex],17)&gt;0,0,IF(('T_TTAFStock'!R10&lt;&gt;""),'T_TTAFStock'!R10,Q6+'Grid_Incoming'!R6-'Grid_TTAFOutgoing'!R6))</f>
        <v/>
      </c>
      <c r="S6">
        <f>IF(COUNTIFS(T_StockCount[Part Name],$A6,T_StockCount[WeekIndex],18)&gt;0,0,IF(('T_TTAFStock'!S10&lt;&gt;""),'T_TTAFStock'!S10,R6+'Grid_Incoming'!S6-'Grid_TTAFOutgoing'!S6))</f>
        <v/>
      </c>
      <c r="T6">
        <f>IF(COUNTIFS(T_StockCount[Part Name],$A6,T_StockCount[WeekIndex],19)&gt;0,0,IF(('T_TTAFStock'!T10&lt;&gt;""),'T_TTAFStock'!T10,S6+'Grid_Incoming'!T6-'Grid_TTAFOutgoing'!T6))</f>
        <v/>
      </c>
      <c r="U6">
        <f>IF(COUNTIFS(T_StockCount[Part Name],$A6,T_StockCount[WeekIndex],20)&gt;0,0,IF(('T_TTAFStock'!U10&lt;&gt;""),'T_TTAFStock'!U10,T6+'Grid_Incoming'!U6-'Grid_TTAFOutgoing'!U6))</f>
        <v/>
      </c>
      <c r="V6">
        <f>IF(COUNTIFS(T_StockCount[Part Name],$A6,T_StockCount[WeekIndex],21)&gt;0,0,IF(('T_TTAFStock'!V10&lt;&gt;""),'T_TTAFStock'!V10,U6+'Grid_Incoming'!V6-'Grid_TTAFOutgoing'!V6))</f>
        <v/>
      </c>
      <c r="W6">
        <f>IF(COUNTIFS(T_StockCount[Part Name],$A6,T_StockCount[WeekIndex],22)&gt;0,0,IF(('T_TTAFStock'!W10&lt;&gt;""),'T_TTAFStock'!W10,V6+'Grid_Incoming'!W6-'Grid_TTAFOutgoing'!W6))</f>
        <v/>
      </c>
      <c r="X6">
        <f>IF(COUNTIFS(T_StockCount[Part Name],$A6,T_StockCount[WeekIndex],23)&gt;0,0,IF(('T_TTAFStock'!X10&lt;&gt;""),'T_TTAFStock'!X10,W6+'Grid_Incoming'!X6-'Grid_TTAFOutgoing'!X6))</f>
        <v/>
      </c>
      <c r="Y6">
        <f>IF(COUNTIFS(T_StockCount[Part Name],$A6,T_StockCount[WeekIndex],24)&gt;0,0,IF(('T_TTAFStock'!Y10&lt;&gt;""),'T_TTAFStock'!Y10,X6+'Grid_Incoming'!Y6-'Grid_TTAFOutgoing'!Y6))</f>
        <v/>
      </c>
      <c r="Z6">
        <f>IF(COUNTIFS(T_StockCount[Part Name],$A6,T_StockCount[WeekIndex],25)&gt;0,0,IF(('T_TTAFStock'!Z10&lt;&gt;""),'T_TTAFStock'!Z10,Y6+'Grid_Incoming'!Z6-'Grid_TTAFOutgoing'!Z6))</f>
        <v/>
      </c>
      <c r="AA6">
        <f>IF(COUNTIFS(T_StockCount[Part Name],$A6,T_StockCount[WeekIndex],26)&gt;0,0,IF(('T_TTAFStock'!AA10&lt;&gt;""),'T_TTAFStock'!AA10,Z6+'Grid_Incoming'!AA6-'Grid_TTAFOutgoing'!AA6))</f>
        <v/>
      </c>
      <c r="AB6">
        <f>IF(COUNTIFS(T_StockCount[Part Name],$A6,T_StockCount[WeekIndex],27)&gt;0,0,IF(('T_TTAFStock'!AB10&lt;&gt;""),'T_TTAFStock'!AB10,AA6+'Grid_Incoming'!AB6-'Grid_TTAFOutgoing'!AB6))</f>
        <v/>
      </c>
      <c r="AC6">
        <f>IF(COUNTIFS(T_StockCount[Part Name],$A6,T_StockCount[WeekIndex],28)&gt;0,0,IF(('T_TTAFStock'!AC10&lt;&gt;""),'T_TTAFStock'!AC10,AB6+'Grid_Incoming'!AC6-'Grid_TTAFOutgoing'!AC6))</f>
        <v/>
      </c>
      <c r="AD6">
        <f>IF(COUNTIFS(T_StockCount[Part Name],$A6,T_StockCount[WeekIndex],29)&gt;0,0,IF(('T_TTAFStock'!AD10&lt;&gt;""),'T_TTAFStock'!AD10,AC6+'Grid_Incoming'!AD6-'Grid_TTAFOutgoing'!AD6))</f>
        <v/>
      </c>
      <c r="AE6">
        <f>IF(COUNTIFS(T_StockCount[Part Name],$A6,T_StockCount[WeekIndex],30)&gt;0,0,IF(('T_TTAFStock'!AE10&lt;&gt;""),'T_TTAFStock'!AE10,AD6+'Grid_Incoming'!AE6-'Grid_TTAFOutgoing'!AE6))</f>
        <v/>
      </c>
      <c r="AF6">
        <f>IF(COUNTIFS(T_StockCount[Part Name],$A6,T_StockCount[WeekIndex],31)&gt;0,0,IF(('T_TTAFStock'!AF10&lt;&gt;""),'T_TTAFStock'!AF10,AE6+'Grid_Incoming'!AF6-'Grid_TTAFOutgoing'!AF6))</f>
        <v/>
      </c>
      <c r="AG6">
        <f>IF(COUNTIFS(T_StockCount[Part Name],$A6,T_StockCount[WeekIndex],32)&gt;0,0,IF(('T_TTAFStock'!AG10&lt;&gt;""),'T_TTAFStock'!AG10,AF6+'Grid_Incoming'!AG6-'Grid_TTAFOutgoing'!AG6))</f>
        <v/>
      </c>
      <c r="AH6">
        <f>IF(COUNTIFS(T_StockCount[Part Name],$A6,T_StockCount[WeekIndex],33)&gt;0,0,IF(('T_TTAFStock'!AH10&lt;&gt;""),'T_TTAFStock'!AH10,AG6+'Grid_Incoming'!AH6-'Grid_TTAFOutgoing'!AH6))</f>
        <v/>
      </c>
      <c r="AI6">
        <f>IF(COUNTIFS(T_StockCount[Part Name],$A6,T_StockCount[WeekIndex],34)&gt;0,0,IF(('T_TTAFStock'!AI10&lt;&gt;""),'T_TTAFStock'!AI10,AH6+'Grid_Incoming'!AI6-'Grid_TTAFOutgoing'!AI6))</f>
        <v/>
      </c>
      <c r="AJ6">
        <f>IF(COUNTIFS(T_StockCount[Part Name],$A6,T_StockCount[WeekIndex],35)&gt;0,0,IF(('T_TTAFStock'!AJ10&lt;&gt;""),'T_TTAFStock'!AJ10,AI6+'Grid_Incoming'!AJ6-'Grid_TTAFOutgoing'!AJ6))</f>
        <v/>
      </c>
      <c r="AK6">
        <f>IF(COUNTIFS(T_StockCount[Part Name],$A6,T_StockCount[WeekIndex],36)&gt;0,0,IF(('T_TTAFStock'!AK10&lt;&gt;""),'T_TTAFStock'!AK10,AJ6+'Grid_Incoming'!AK6-'Grid_TTAFOutgoing'!AK6))</f>
        <v/>
      </c>
      <c r="AL6">
        <f>IF(COUNTIFS(T_StockCount[Part Name],$A6,T_StockCount[WeekIndex],37)&gt;0,0,IF(('T_TTAFStock'!AL10&lt;&gt;""),'T_TTAFStock'!AL10,AK6+'Grid_Incoming'!AL6-'Grid_TTAFOutgoing'!AL6))</f>
        <v/>
      </c>
      <c r="AM6">
        <f>IF(COUNTIFS(T_StockCount[Part Name],$A6,T_StockCount[WeekIndex],38)&gt;0,0,IF(('T_TTAFStock'!AM10&lt;&gt;""),'T_TTAFStock'!AM10,AL6+'Grid_Incoming'!AM6-'Grid_TTAFOutgoing'!AM6))</f>
        <v/>
      </c>
      <c r="AN6">
        <f>IF(COUNTIFS(T_StockCount[Part Name],$A6,T_StockCount[WeekIndex],39)&gt;0,0,IF(('T_TTAFStock'!AN10&lt;&gt;""),'T_TTAFStock'!AN10,AM6+'Grid_Incoming'!AN6-'Grid_TTAFOutgoing'!AN6))</f>
        <v/>
      </c>
      <c r="AO6">
        <f>IF(COUNTIFS(T_StockCount[Part Name],$A6,T_StockCount[WeekIndex],40)&gt;0,0,IF(('T_TTAFStock'!AO10&lt;&gt;""),'T_TTAFStock'!AO10,AN6+'Grid_Incoming'!AO6-'Grid_TTAFOutgoing'!AO6))</f>
        <v/>
      </c>
      <c r="AP6">
        <f>IF(COUNTIFS(T_StockCount[Part Name],$A6,T_StockCount[WeekIndex],41)&gt;0,0,IF(('T_TTAFStock'!AP10&lt;&gt;""),'T_TTAFStock'!AP10,AO6+'Grid_Incoming'!AP6-'Grid_TTAFOutgoing'!AP6))</f>
        <v/>
      </c>
      <c r="AQ6">
        <f>IF(COUNTIFS(T_StockCount[Part Name],$A6,T_StockCount[WeekIndex],42)&gt;0,0,IF(('T_TTAFStock'!AQ10&lt;&gt;""),'T_TTAFStock'!AQ10,AP6+'Grid_Incoming'!AQ6-'Grid_TTAFOutgoing'!AQ6))</f>
        <v/>
      </c>
      <c r="AR6">
        <f>IF(COUNTIFS(T_StockCount[Part Name],$A6,T_StockCount[WeekIndex],43)&gt;0,0,IF(('T_TTAFStock'!AR10&lt;&gt;""),'T_TTAFStock'!AR10,AQ6+'Grid_Incoming'!AR6-'Grid_TTAFOutgoing'!AR6))</f>
        <v/>
      </c>
      <c r="AS6">
        <f>IF(COUNTIFS(T_StockCount[Part Name],$A6,T_StockCount[WeekIndex],44)&gt;0,0,IF(('T_TTAFStock'!AS10&lt;&gt;""),'T_TTAFStock'!AS10,AR6+'Grid_Incoming'!AS6-'Grid_TTAFOutgoing'!AS6))</f>
        <v/>
      </c>
      <c r="AT6">
        <f>IF(COUNTIFS(T_StockCount[Part Name],$A6,T_StockCount[WeekIndex],45)&gt;0,0,IF(('T_TTAFStock'!AT10&lt;&gt;""),'T_TTAFStock'!AT10,AS6+'Grid_Incoming'!AT6-'Grid_TTAFOutgoing'!AT6))</f>
        <v/>
      </c>
      <c r="AU6">
        <f>IF(COUNTIFS(T_StockCount[Part Name],$A6,T_StockCount[WeekIndex],46)&gt;0,0,IF(('T_TTAFStock'!AU10&lt;&gt;""),'T_TTAFStock'!AU10,AT6+'Grid_Incoming'!AU6-'Grid_TTAFOutgoing'!AU6))</f>
        <v/>
      </c>
      <c r="AV6">
        <f>IF(COUNTIFS(T_StockCount[Part Name],$A6,T_StockCount[WeekIndex],47)&gt;0,0,IF(('T_TTAFStock'!AV10&lt;&gt;""),'T_TTAFStock'!AV10,AU6+'Grid_Incoming'!AV6-'Grid_TTAFOutgoing'!AV6))</f>
        <v/>
      </c>
      <c r="AW6">
        <f>IF(COUNTIFS(T_StockCount[Part Name],$A6,T_StockCount[WeekIndex],48)&gt;0,0,IF(('T_TTAFStock'!AW10&lt;&gt;""),'T_TTAFStock'!AW10,AV6+'Grid_Incoming'!AW6-'Grid_TTAFOutgoing'!AW6))</f>
        <v/>
      </c>
      <c r="AX6">
        <f>IF(COUNTIFS(T_StockCount[Part Name],$A6,T_StockCount[WeekIndex],49)&gt;0,0,IF(('T_TTAFStock'!AX10&lt;&gt;""),'T_TTAFStock'!AX10,AW6+'Grid_Incoming'!AX6-'Grid_TTAFOutgoing'!AX6))</f>
        <v/>
      </c>
      <c r="AY6">
        <f>IF(COUNTIFS(T_StockCount[Part Name],$A6,T_StockCount[WeekIndex],50)&gt;0,0,IF(('T_TTAFStock'!AY10&lt;&gt;""),'T_TTAFStock'!AY10,AX6+'Grid_Incoming'!AY6-'Grid_TTAFOutgoing'!AY6))</f>
        <v/>
      </c>
      <c r="AZ6">
        <f>IF(COUNTIFS(T_StockCount[Part Name],$A6,T_StockCount[WeekIndex],51)&gt;0,0,IF(('T_TTAFStock'!AZ10&lt;&gt;""),'T_TTAFStock'!AZ10,AY6+'Grid_Incoming'!AZ6-'Grid_TTAFOutgoing'!AZ6))</f>
        <v/>
      </c>
      <c r="BA6">
        <f>IF(COUNTIFS(T_StockCount[Part Name],$A6,T_StockCount[WeekIndex],52)&gt;0,0,IF(('T_TTAFStock'!BA10&lt;&gt;""),'T_TTAFStock'!BA10,AZ6+'Grid_Incoming'!BA6-'Grid_TTAFOutgoing'!BA6))</f>
        <v/>
      </c>
      <c r="BB6">
        <f>IF(COUNTIFS(T_StockCount[Part Name],$A6,T_StockCount[WeekIndex],53)&gt;0,0,IF(('T_TTAFStock'!BB10&lt;&gt;""),'T_TTAFStock'!BB10,BA6+'Grid_Incoming'!BB6-'Grid_TTAFOutgoing'!BB6))</f>
        <v/>
      </c>
      <c r="BC6">
        <f>IF(COUNTIFS(T_StockCount[Part Name],$A6,T_StockCount[WeekIndex],54)&gt;0,0,IF(('T_TTAFStock'!BC10&lt;&gt;""),'T_TTAFStock'!BC10,BB6+'Grid_Incoming'!BC6-'Grid_TTAFOutgoing'!BC6))</f>
        <v/>
      </c>
      <c r="BD6">
        <f>IF(COUNTIFS(T_StockCount[Part Name],$A6,T_StockCount[WeekIndex],55)&gt;0,0,IF(('T_TTAFStock'!BD10&lt;&gt;""),'T_TTAFStock'!BD10,BC6+'Grid_Incoming'!BD6-'Grid_TTAFOutgoing'!BD6))</f>
        <v/>
      </c>
      <c r="BE6">
        <f>IF(COUNTIFS(T_StockCount[Part Name],$A6,T_StockCount[WeekIndex],56)&gt;0,0,IF(('T_TTAFStock'!BE10&lt;&gt;""),'T_TTAFStock'!BE10,BD6+'Grid_Incoming'!BE6-'Grid_TTAFOutgoing'!BE6))</f>
        <v/>
      </c>
      <c r="BF6">
        <f>IF(COUNTIFS(T_StockCount[Part Name],$A6,T_StockCount[WeekIndex],57)&gt;0,0,IF(('T_TTAFStock'!BF10&lt;&gt;""),'T_TTAFStock'!BF10,BE6+'Grid_Incoming'!BF6-'Grid_TTAFOutgoing'!BF6))</f>
        <v/>
      </c>
      <c r="BG6">
        <f>IF(COUNTIFS(T_StockCount[Part Name],$A6,T_StockCount[WeekIndex],58)&gt;0,0,IF(('T_TTAFStock'!BG10&lt;&gt;""),'T_TTAFStock'!BG10,BF6+'Grid_Incoming'!BG6-'Grid_TTAFOutgoing'!BG6))</f>
        <v/>
      </c>
      <c r="BH6">
        <f>IF(COUNTIFS(T_StockCount[Part Name],$A6,T_StockCount[WeekIndex],59)&gt;0,0,IF(('T_TTAFStock'!BH10&lt;&gt;""),'T_TTAFStock'!BH10,BG6+'Grid_Incoming'!BH6-'Grid_TTAFOutgoing'!BH6))</f>
        <v/>
      </c>
      <c r="BI6">
        <f>IF(COUNTIFS(T_StockCount[Part Name],$A6,T_StockCount[WeekIndex],60)&gt;0,0,IF(('T_TTAFStock'!BI10&lt;&gt;""),'T_TTAFStock'!BI10,BH6+'Grid_Incoming'!BI6-'Grid_TTAFOutgoing'!BI6))</f>
        <v/>
      </c>
      <c r="BJ6">
        <f>IF(COUNTIFS(T_StockCount[Part Name],$A6,T_StockCount[WeekIndex],61)&gt;0,0,IF(('T_TTAFStock'!BJ10&lt;&gt;""),'T_TTAFStock'!BJ10,BI6+'Grid_Incoming'!BJ6-'Grid_TTAFOutgoing'!BJ6))</f>
        <v/>
      </c>
      <c r="BK6">
        <f>IF(COUNTIFS(T_StockCount[Part Name],$A6,T_StockCount[WeekIndex],62)&gt;0,0,IF(('T_TTAFStock'!BK10&lt;&gt;""),'T_TTAFStock'!BK10,BJ6+'Grid_Incoming'!BK6-'Grid_TTAFOutgoing'!BK6))</f>
        <v/>
      </c>
      <c r="BL6">
        <f>IF(COUNTIFS(T_StockCount[Part Name],$A6,T_StockCount[WeekIndex],63)&gt;0,0,IF(('T_TTAFStock'!BL10&lt;&gt;""),'T_TTAFStock'!BL10,BK6+'Grid_Incoming'!BL6-'Grid_TTAFOutgoing'!BL6))</f>
        <v/>
      </c>
      <c r="BM6">
        <f>IF(COUNTIFS(T_StockCount[Part Name],$A6,T_StockCount[WeekIndex],64)&gt;0,0,IF(('T_TTAFStock'!BM10&lt;&gt;""),'T_TTAFStock'!BM10,BL6+'Grid_Incoming'!BM6-'Grid_TTAFOutgoing'!BM6))</f>
        <v/>
      </c>
      <c r="BN6">
        <f>IF(COUNTIFS(T_StockCount[Part Name],$A6,T_StockCount[WeekIndex],65)&gt;0,0,IF(('T_TTAFStock'!BN10&lt;&gt;""),'T_TTAFStock'!BN10,BM6+'Grid_Incoming'!BN6-'Grid_TTAFOutgoing'!BN6))</f>
        <v/>
      </c>
      <c r="BO6">
        <f>IF(COUNTIFS(T_StockCount[Part Name],$A6,T_StockCount[WeekIndex],66)&gt;0,0,IF(('T_TTAFStock'!BO10&lt;&gt;""),'T_TTAFStock'!BO10,BN6+'Grid_Incoming'!BO6-'Grid_TTAFOutgoing'!BO6))</f>
        <v/>
      </c>
      <c r="BP6">
        <f>IF(COUNTIFS(T_StockCount[Part Name],$A6,T_StockCount[WeekIndex],67)&gt;0,0,IF(('T_TTAFStock'!BP10&lt;&gt;""),'T_TTAFStock'!BP10,BO6+'Grid_Incoming'!BP6-'Grid_TTAFOutgoing'!BP6))</f>
        <v/>
      </c>
      <c r="BQ6">
        <f>IF(COUNTIFS(T_StockCount[Part Name],$A6,T_StockCount[WeekIndex],68)&gt;0,0,IF(('T_TTAFStock'!BQ10&lt;&gt;""),'T_TTAFStock'!BQ10,BP6+'Grid_Incoming'!BQ6-'Grid_TTAFOutgoing'!BQ6))</f>
        <v/>
      </c>
      <c r="BR6">
        <f>IF(COUNTIFS(T_StockCount[Part Name],$A6,T_StockCount[WeekIndex],69)&gt;0,0,IF(('T_TTAFStock'!BR10&lt;&gt;""),'T_TTAFStock'!BR10,BQ6+'Grid_Incoming'!BR6-'Grid_TTAFOutgoing'!BR6))</f>
        <v/>
      </c>
      <c r="BS6">
        <f>IF(COUNTIFS(T_StockCount[Part Name],$A6,T_StockCount[WeekIndex],70)&gt;0,0,IF(('T_TTAFStock'!BS10&lt;&gt;""),'T_TTAFStock'!BS10,BR6+'Grid_Incoming'!BS6-'Grid_TTAFOutgoing'!BS6))</f>
        <v/>
      </c>
      <c r="BT6">
        <f>IF(COUNTIFS(T_StockCount[Part Name],$A6,T_StockCount[WeekIndex],71)&gt;0,0,IF(('T_TTAFStock'!BT10&lt;&gt;""),'T_TTAFStock'!BT10,BS6+'Grid_Incoming'!BT6-'Grid_TTAFOutgoing'!BT6))</f>
        <v/>
      </c>
      <c r="BU6">
        <f>IF(COUNTIFS(T_StockCount[Part Name],$A6,T_StockCount[WeekIndex],72)&gt;0,0,IF(('T_TTAFStock'!BU10&lt;&gt;""),'T_TTAFStock'!BU10,BT6+'Grid_Incoming'!BU6-'Grid_TTAFOutgoing'!BU6))</f>
        <v/>
      </c>
      <c r="BV6">
        <f>IF(COUNTIFS(T_StockCount[Part Name],$A6,T_StockCount[WeekIndex],73)&gt;0,0,IF(('T_TTAFStock'!BV10&lt;&gt;""),'T_TTAFStock'!BV10,BU6+'Grid_Incoming'!BV6-'Grid_TTAFOutgoing'!BV6))</f>
        <v/>
      </c>
      <c r="BW6">
        <f>IF(COUNTIFS(T_StockCount[Part Name],$A6,T_StockCount[WeekIndex],74)&gt;0,0,IF(('T_TTAFStock'!BW10&lt;&gt;""),'T_TTAFStock'!BW10,BV6+'Grid_Incoming'!BW6-'Grid_TTAFOutgoing'!BW6))</f>
        <v/>
      </c>
      <c r="BX6">
        <f>IF(COUNTIFS(T_StockCount[Part Name],$A6,T_StockCount[WeekIndex],75)&gt;0,0,IF(('T_TTAFStock'!BX10&lt;&gt;""),'T_TTAFStock'!BX10,BW6+'Grid_Incoming'!BX6-'Grid_TTAFOutgoing'!BX6))</f>
        <v/>
      </c>
      <c r="BY6">
        <f>IF(COUNTIFS(T_StockCount[Part Name],$A6,T_StockCount[WeekIndex],76)&gt;0,0,IF(('T_TTAFStock'!BY10&lt;&gt;""),'T_TTAFStock'!BY10,BX6+'Grid_Incoming'!BY6-'Grid_TTAFOutgoing'!BY6))</f>
        <v/>
      </c>
      <c r="BZ6">
        <f>IF(COUNTIFS(T_StockCount[Part Name],$A6,T_StockCount[WeekIndex],77)&gt;0,0,IF(('T_TTAFStock'!BZ10&lt;&gt;""),'T_TTAFStock'!BZ10,BY6+'Grid_Incoming'!BZ6-'Grid_TTAFOutgoing'!BZ6))</f>
        <v/>
      </c>
      <c r="CA6">
        <f>IF(COUNTIFS(T_StockCount[Part Name],$A6,T_StockCount[WeekIndex],78)&gt;0,0,IF(('T_TTAFStock'!CA10&lt;&gt;""),'T_TTAFStock'!CA10,BZ6+'Grid_Incoming'!CA6-'Grid_TTAFOutgoing'!CA6))</f>
        <v/>
      </c>
      <c r="CB6">
        <f>IF(COUNTIFS(T_StockCount[Part Name],$A6,T_StockCount[WeekIndex],79)&gt;0,0,IF(('T_TTAFStock'!CB10&lt;&gt;""),'T_TTAFStock'!CB10,CA6+'Grid_Incoming'!CB6-'Grid_TTAFOutgoing'!CB6))</f>
        <v/>
      </c>
      <c r="CC6">
        <f>IF(COUNTIFS(T_StockCount[Part Name],$A6,T_StockCount[WeekIndex],80)&gt;0,0,IF(('T_TTAFStock'!CC10&lt;&gt;""),'T_TTAFStock'!CC10,CB6+'Grid_Incoming'!CC6-'Grid_TTAFOutgoing'!CC6))</f>
        <v/>
      </c>
      <c r="CD6">
        <f>IF(COUNTIFS(T_StockCount[Part Name],$A6,T_StockCount[WeekIndex],81)&gt;0,0,IF(('T_TTAFStock'!CD10&lt;&gt;""),'T_TTAFStock'!CD10,CC6+'Grid_Incoming'!CD6-'Grid_TTAFOutgoing'!CD6))</f>
        <v/>
      </c>
      <c r="CE6">
        <f>IF(COUNTIFS(T_StockCount[Part Name],$A6,T_StockCount[WeekIndex],82)&gt;0,0,IF(('T_TTAFStock'!CE10&lt;&gt;""),'T_TTAFStock'!CE10,CD6+'Grid_Incoming'!CE6-'Grid_TTAFOutgoing'!CE6))</f>
        <v/>
      </c>
      <c r="CF6">
        <f>IF(COUNTIFS(T_StockCount[Part Name],$A6,T_StockCount[WeekIndex],83)&gt;0,0,IF(('T_TTAFStock'!CF10&lt;&gt;""),'T_TTAFStock'!CF10,CE6+'Grid_Incoming'!CF6-'Grid_TTAFOutgoing'!CF6))</f>
        <v/>
      </c>
      <c r="CG6">
        <f>IF(COUNTIFS(T_StockCount[Part Name],$A6,T_StockCount[WeekIndex],84)&gt;0,0,IF(('T_TTAFStock'!CG10&lt;&gt;""),'T_TTAFStock'!CG10,CF6+'Grid_Incoming'!CG6-'Grid_TTAFOutgoing'!CG6))</f>
        <v/>
      </c>
      <c r="CH6">
        <f>IF(COUNTIFS(T_StockCount[Part Name],$A6,T_StockCount[WeekIndex],85)&gt;0,0,IF(('T_TTAFStock'!CH10&lt;&gt;""),'T_TTAFStock'!CH10,CG6+'Grid_Incoming'!CH6-'Grid_TTAFOutgoing'!CH6))</f>
        <v/>
      </c>
      <c r="CI6">
        <f>IF(COUNTIFS(T_StockCount[Part Name],$A6,T_StockCount[WeekIndex],86)&gt;0,0,IF(('T_TTAFStock'!CI10&lt;&gt;""),'T_TTAFStock'!CI10,CH6+'Grid_Incoming'!CI6-'Grid_TTAFOutgoing'!CI6))</f>
        <v/>
      </c>
      <c r="CJ6">
        <f>IF(COUNTIFS(T_StockCount[Part Name],$A6,T_StockCount[WeekIndex],87)&gt;0,0,IF(('T_TTAFStock'!CJ10&lt;&gt;""),'T_TTAFStock'!CJ10,CI6+'Grid_Incoming'!CJ6-'Grid_TTAFOutgoing'!CJ6))</f>
        <v/>
      </c>
      <c r="CK6">
        <f>IF(COUNTIFS(T_StockCount[Part Name],$A6,T_StockCount[WeekIndex],88)&gt;0,0,IF(('T_TTAFStock'!CK10&lt;&gt;""),'T_TTAFStock'!CK10,CJ6+'Grid_Incoming'!CK6-'Grid_TTAFOutgoing'!CK6))</f>
        <v/>
      </c>
      <c r="CL6">
        <f>IF(COUNTIFS(T_StockCount[Part Name],$A6,T_StockCount[WeekIndex],89)&gt;0,0,IF(('T_TTAFStock'!CL10&lt;&gt;""),'T_TTAFStock'!CL10,CK6+'Grid_Incoming'!CL6-'Grid_TTAFOutgoing'!CL6))</f>
        <v/>
      </c>
      <c r="CM6">
        <f>IF(COUNTIFS(T_StockCount[Part Name],$A6,T_StockCount[WeekIndex],90)&gt;0,0,IF(('T_TTAFStock'!CM10&lt;&gt;""),'T_TTAFStock'!CM10,CL6+'Grid_Incoming'!CM6-'Grid_TTAFOutgoing'!CM6))</f>
        <v/>
      </c>
      <c r="CN6">
        <f>IF(COUNTIFS(T_StockCount[Part Name],$A6,T_StockCount[WeekIndex],91)&gt;0,0,IF(('T_TTAFStock'!CN10&lt;&gt;""),'T_TTAFStock'!CN10,CM6+'Grid_Incoming'!CN6-'Grid_TTAFOutgoing'!CN6))</f>
        <v/>
      </c>
      <c r="CO6">
        <f>IF(COUNTIFS(T_StockCount[Part Name],$A6,T_StockCount[WeekIndex],92)&gt;0,0,IF(('T_TTAFStock'!CO10&lt;&gt;""),'T_TTAFStock'!CO10,CN6+'Grid_Incoming'!CO6-'Grid_TTAFOutgoing'!CO6))</f>
        <v/>
      </c>
      <c r="CP6">
        <f>IF(COUNTIFS(T_StockCount[Part Name],$A6,T_StockCount[WeekIndex],93)&gt;0,0,IF(('T_TTAFStock'!CP10&lt;&gt;""),'T_TTAFStock'!CP10,CO6+'Grid_Incoming'!CP6-'Grid_TTAFOutgoing'!CP6))</f>
        <v/>
      </c>
      <c r="CQ6">
        <f>IF(COUNTIFS(T_StockCount[Part Name],$A6,T_StockCount[WeekIndex],94)&gt;0,0,IF(('T_TTAFStock'!CQ10&lt;&gt;""),'T_TTAFStock'!CQ10,CP6+'Grid_Incoming'!CQ6-'Grid_TTAFOutgoing'!CQ6))</f>
        <v/>
      </c>
      <c r="CR6">
        <f>IF(COUNTIFS(T_StockCount[Part Name],$A6,T_StockCount[WeekIndex],95)&gt;0,0,IF(('T_TTAFStock'!CR10&lt;&gt;""),'T_TTAFStock'!CR10,CQ6+'Grid_Incoming'!CR6-'Grid_TTAFOutgoing'!CR6))</f>
        <v/>
      </c>
      <c r="CS6">
        <f>IF(COUNTIFS(T_StockCount[Part Name],$A6,T_StockCount[WeekIndex],96)&gt;0,0,IF(('T_TTAFStock'!CS10&lt;&gt;""),'T_TTAFStock'!CS10,CR6+'Grid_Incoming'!CS6-'Grid_TTAFOutgoing'!CS6))</f>
        <v/>
      </c>
      <c r="CT6">
        <f>IF(COUNTIFS(T_StockCount[Part Name],$A6,T_StockCount[WeekIndex],97)&gt;0,0,IF(('T_TTAFStock'!CT10&lt;&gt;""),'T_TTAFStock'!CT10,CS6+'Grid_Incoming'!CT6-'Grid_TTAFOutgoing'!CT6))</f>
        <v/>
      </c>
      <c r="CU6">
        <f>IF(COUNTIFS(T_StockCount[Part Name],$A6,T_StockCount[WeekIndex],98)&gt;0,0,IF(('T_TTAFStock'!CU10&lt;&gt;""),'T_TTAFStock'!CU10,CT6+'Grid_Incoming'!CU6-'Grid_TTAFOutgoing'!CU6))</f>
        <v/>
      </c>
      <c r="CV6">
        <f>IF(COUNTIFS(T_StockCount[Part Name],$A6,T_StockCount[WeekIndex],99)&gt;0,0,IF(('T_TTAFStock'!CV10&lt;&gt;""),'T_TTAFStock'!CV10,CU6+'Grid_Incoming'!CV6-'Grid_TTAFOutgoing'!CV6))</f>
        <v/>
      </c>
      <c r="CW6">
        <f>IF(COUNTIFS(T_StockCount[Part Name],$A6,T_StockCount[WeekIndex],100)&gt;0,0,IF(('T_TTAFStock'!CW10&lt;&gt;""),'T_TTAFStock'!CW10,CV6+'Grid_Incoming'!CW6-'Grid_TTAFOutgoing'!CW6))</f>
        <v/>
      </c>
      <c r="CX6">
        <f>IF(COUNTIFS(T_StockCount[Part Name],$A6,T_StockCount[WeekIndex],101)&gt;0,0,IF(('T_TTAFStock'!CX10&lt;&gt;""),'T_TTAFStock'!CX10,CW6+'Grid_Incoming'!CX6-'Grid_TTAFOutgoing'!CX6))</f>
        <v/>
      </c>
      <c r="CY6">
        <f>IF(COUNTIFS(T_StockCount[Part Name],$A6,T_StockCount[WeekIndex],102)&gt;0,0,IF(('T_TTAFStock'!CY10&lt;&gt;""),'T_TTAFStock'!CY10,CX6+'Grid_Incoming'!CY6-'Grid_TTAFOutgoing'!CY6))</f>
        <v/>
      </c>
      <c r="CZ6">
        <f>IF(COUNTIFS(T_StockCount[Part Name],$A6,T_StockCount[WeekIndex],103)&gt;0,0,IF(('T_TTAFStock'!CZ10&lt;&gt;""),'T_TTAFStock'!CZ10,CY6+'Grid_Incoming'!CZ6-'Grid_TTAFOutgoing'!CZ6))</f>
        <v/>
      </c>
      <c r="DA6">
        <f>IF(COUNTIFS(T_StockCount[Part Name],$A6,T_StockCount[WeekIndex],104)&gt;0,0,IF(('T_TTAFStock'!DA10&lt;&gt;""),'T_TTAFStock'!DA10,CZ6+'Grid_Incoming'!DA6-'Grid_TTAFOutgoing'!DA6))</f>
        <v/>
      </c>
    </row>
    <row r="7">
      <c r="A7" t="inlineStr">
        <is>
          <t>CHEM-1540</t>
        </is>
      </c>
      <c r="B7">
        <f>IF(COUNTIFS(T_StockCount[Part Name],$A7,T_StockCount[WeekIndex],1)&gt;0,0,IF(('T_TTAFStock'!B11&lt;&gt;""),'T_TTAFStock'!B11,0+'Grid_Incoming'!B7-'Grid_TTAFOutgoing'!B7))</f>
        <v/>
      </c>
      <c r="C7">
        <f>IF(COUNTIFS(T_StockCount[Part Name],$A7,T_StockCount[WeekIndex],2)&gt;0,0,IF(('T_TTAFStock'!C11&lt;&gt;""),'T_TTAFStock'!C11,B7+'Grid_Incoming'!C7-'Grid_TTAFOutgoing'!C7))</f>
        <v/>
      </c>
      <c r="D7">
        <f>IF(COUNTIFS(T_StockCount[Part Name],$A7,T_StockCount[WeekIndex],3)&gt;0,0,IF(('T_TTAFStock'!D11&lt;&gt;""),'T_TTAFStock'!D11,C7+'Grid_Incoming'!D7-'Grid_TTAFOutgoing'!D7))</f>
        <v/>
      </c>
      <c r="E7">
        <f>IF(COUNTIFS(T_StockCount[Part Name],$A7,T_StockCount[WeekIndex],4)&gt;0,0,IF(('T_TTAFStock'!E11&lt;&gt;""),'T_TTAFStock'!E11,D7+'Grid_Incoming'!E7-'Grid_TTAFOutgoing'!E7))</f>
        <v/>
      </c>
      <c r="F7">
        <f>IF(COUNTIFS(T_StockCount[Part Name],$A7,T_StockCount[WeekIndex],5)&gt;0,0,IF(('T_TTAFStock'!F11&lt;&gt;""),'T_TTAFStock'!F11,E7+'Grid_Incoming'!F7-'Grid_TTAFOutgoing'!F7))</f>
        <v/>
      </c>
      <c r="G7">
        <f>IF(COUNTIFS(T_StockCount[Part Name],$A7,T_StockCount[WeekIndex],6)&gt;0,0,IF(('T_TTAFStock'!G11&lt;&gt;""),'T_TTAFStock'!G11,F7+'Grid_Incoming'!G7-'Grid_TTAFOutgoing'!G7))</f>
        <v/>
      </c>
      <c r="H7">
        <f>IF(COUNTIFS(T_StockCount[Part Name],$A7,T_StockCount[WeekIndex],7)&gt;0,0,IF(('T_TTAFStock'!H11&lt;&gt;""),'T_TTAFStock'!H11,G7+'Grid_Incoming'!H7-'Grid_TTAFOutgoing'!H7))</f>
        <v/>
      </c>
      <c r="I7">
        <f>IF(COUNTIFS(T_StockCount[Part Name],$A7,T_StockCount[WeekIndex],8)&gt;0,0,IF(('T_TTAFStock'!I11&lt;&gt;""),'T_TTAFStock'!I11,H7+'Grid_Incoming'!I7-'Grid_TTAFOutgoing'!I7))</f>
        <v/>
      </c>
      <c r="J7">
        <f>IF(COUNTIFS(T_StockCount[Part Name],$A7,T_StockCount[WeekIndex],9)&gt;0,0,IF(('T_TTAFStock'!J11&lt;&gt;""),'T_TTAFStock'!J11,I7+'Grid_Incoming'!J7-'Grid_TTAFOutgoing'!J7))</f>
        <v/>
      </c>
      <c r="K7">
        <f>IF(COUNTIFS(T_StockCount[Part Name],$A7,T_StockCount[WeekIndex],10)&gt;0,0,IF(('T_TTAFStock'!K11&lt;&gt;""),'T_TTAFStock'!K11,J7+'Grid_Incoming'!K7-'Grid_TTAFOutgoing'!K7))</f>
        <v/>
      </c>
      <c r="L7">
        <f>IF(COUNTIFS(T_StockCount[Part Name],$A7,T_StockCount[WeekIndex],11)&gt;0,0,IF(('T_TTAFStock'!L11&lt;&gt;""),'T_TTAFStock'!L11,K7+'Grid_Incoming'!L7-'Grid_TTAFOutgoing'!L7))</f>
        <v/>
      </c>
      <c r="M7">
        <f>IF(COUNTIFS(T_StockCount[Part Name],$A7,T_StockCount[WeekIndex],12)&gt;0,0,IF(('T_TTAFStock'!M11&lt;&gt;""),'T_TTAFStock'!M11,L7+'Grid_Incoming'!M7-'Grid_TTAFOutgoing'!M7))</f>
        <v/>
      </c>
      <c r="N7">
        <f>IF(COUNTIFS(T_StockCount[Part Name],$A7,T_StockCount[WeekIndex],13)&gt;0,0,IF(('T_TTAFStock'!N11&lt;&gt;""),'T_TTAFStock'!N11,M7+'Grid_Incoming'!N7-'Grid_TTAFOutgoing'!N7))</f>
        <v/>
      </c>
      <c r="O7">
        <f>IF(COUNTIFS(T_StockCount[Part Name],$A7,T_StockCount[WeekIndex],14)&gt;0,0,IF(('T_TTAFStock'!O11&lt;&gt;""),'T_TTAFStock'!O11,N7+'Grid_Incoming'!O7-'Grid_TTAFOutgoing'!O7))</f>
        <v/>
      </c>
      <c r="P7">
        <f>IF(COUNTIFS(T_StockCount[Part Name],$A7,T_StockCount[WeekIndex],15)&gt;0,0,IF(('T_TTAFStock'!P11&lt;&gt;""),'T_TTAFStock'!P11,O7+'Grid_Incoming'!P7-'Grid_TTAFOutgoing'!P7))</f>
        <v/>
      </c>
      <c r="Q7">
        <f>IF(COUNTIFS(T_StockCount[Part Name],$A7,T_StockCount[WeekIndex],16)&gt;0,0,IF(('T_TTAFStock'!Q11&lt;&gt;""),'T_TTAFStock'!Q11,P7+'Grid_Incoming'!Q7-'Grid_TTAFOutgoing'!Q7))</f>
        <v/>
      </c>
      <c r="R7">
        <f>IF(COUNTIFS(T_StockCount[Part Name],$A7,T_StockCount[WeekIndex],17)&gt;0,0,IF(('T_TTAFStock'!R11&lt;&gt;""),'T_TTAFStock'!R11,Q7+'Grid_Incoming'!R7-'Grid_TTAFOutgoing'!R7))</f>
        <v/>
      </c>
      <c r="S7">
        <f>IF(COUNTIFS(T_StockCount[Part Name],$A7,T_StockCount[WeekIndex],18)&gt;0,0,IF(('T_TTAFStock'!S11&lt;&gt;""),'T_TTAFStock'!S11,R7+'Grid_Incoming'!S7-'Grid_TTAFOutgoing'!S7))</f>
        <v/>
      </c>
      <c r="T7">
        <f>IF(COUNTIFS(T_StockCount[Part Name],$A7,T_StockCount[WeekIndex],19)&gt;0,0,IF(('T_TTAFStock'!T11&lt;&gt;""),'T_TTAFStock'!T11,S7+'Grid_Incoming'!T7-'Grid_TTAFOutgoing'!T7))</f>
        <v/>
      </c>
      <c r="U7">
        <f>IF(COUNTIFS(T_StockCount[Part Name],$A7,T_StockCount[WeekIndex],20)&gt;0,0,IF(('T_TTAFStock'!U11&lt;&gt;""),'T_TTAFStock'!U11,T7+'Grid_Incoming'!U7-'Grid_TTAFOutgoing'!U7))</f>
        <v/>
      </c>
      <c r="V7">
        <f>IF(COUNTIFS(T_StockCount[Part Name],$A7,T_StockCount[WeekIndex],21)&gt;0,0,IF(('T_TTAFStock'!V11&lt;&gt;""),'T_TTAFStock'!V11,U7+'Grid_Incoming'!V7-'Grid_TTAFOutgoing'!V7))</f>
        <v/>
      </c>
      <c r="W7">
        <f>IF(COUNTIFS(T_StockCount[Part Name],$A7,T_StockCount[WeekIndex],22)&gt;0,0,IF(('T_TTAFStock'!W11&lt;&gt;""),'T_TTAFStock'!W11,V7+'Grid_Incoming'!W7-'Grid_TTAFOutgoing'!W7))</f>
        <v/>
      </c>
      <c r="X7">
        <f>IF(COUNTIFS(T_StockCount[Part Name],$A7,T_StockCount[WeekIndex],23)&gt;0,0,IF(('T_TTAFStock'!X11&lt;&gt;""),'T_TTAFStock'!X11,W7+'Grid_Incoming'!X7-'Grid_TTAFOutgoing'!X7))</f>
        <v/>
      </c>
      <c r="Y7">
        <f>IF(COUNTIFS(T_StockCount[Part Name],$A7,T_StockCount[WeekIndex],24)&gt;0,0,IF(('T_TTAFStock'!Y11&lt;&gt;""),'T_TTAFStock'!Y11,X7+'Grid_Incoming'!Y7-'Grid_TTAFOutgoing'!Y7))</f>
        <v/>
      </c>
      <c r="Z7">
        <f>IF(COUNTIFS(T_StockCount[Part Name],$A7,T_StockCount[WeekIndex],25)&gt;0,0,IF(('T_TTAFStock'!Z11&lt;&gt;""),'T_TTAFStock'!Z11,Y7+'Grid_Incoming'!Z7-'Grid_TTAFOutgoing'!Z7))</f>
        <v/>
      </c>
      <c r="AA7">
        <f>IF(COUNTIFS(T_StockCount[Part Name],$A7,T_StockCount[WeekIndex],26)&gt;0,0,IF(('T_TTAFStock'!AA11&lt;&gt;""),'T_TTAFStock'!AA11,Z7+'Grid_Incoming'!AA7-'Grid_TTAFOutgoing'!AA7))</f>
        <v/>
      </c>
      <c r="AB7">
        <f>IF(COUNTIFS(T_StockCount[Part Name],$A7,T_StockCount[WeekIndex],27)&gt;0,0,IF(('T_TTAFStock'!AB11&lt;&gt;""),'T_TTAFStock'!AB11,AA7+'Grid_Incoming'!AB7-'Grid_TTAFOutgoing'!AB7))</f>
        <v/>
      </c>
      <c r="AC7">
        <f>IF(COUNTIFS(T_StockCount[Part Name],$A7,T_StockCount[WeekIndex],28)&gt;0,0,IF(('T_TTAFStock'!AC11&lt;&gt;""),'T_TTAFStock'!AC11,AB7+'Grid_Incoming'!AC7-'Grid_TTAFOutgoing'!AC7))</f>
        <v/>
      </c>
      <c r="AD7">
        <f>IF(COUNTIFS(T_StockCount[Part Name],$A7,T_StockCount[WeekIndex],29)&gt;0,0,IF(('T_TTAFStock'!AD11&lt;&gt;""),'T_TTAFStock'!AD11,AC7+'Grid_Incoming'!AD7-'Grid_TTAFOutgoing'!AD7))</f>
        <v/>
      </c>
      <c r="AE7">
        <f>IF(COUNTIFS(T_StockCount[Part Name],$A7,T_StockCount[WeekIndex],30)&gt;0,0,IF(('T_TTAFStock'!AE11&lt;&gt;""),'T_TTAFStock'!AE11,AD7+'Grid_Incoming'!AE7-'Grid_TTAFOutgoing'!AE7))</f>
        <v/>
      </c>
      <c r="AF7">
        <f>IF(COUNTIFS(T_StockCount[Part Name],$A7,T_StockCount[WeekIndex],31)&gt;0,0,IF(('T_TTAFStock'!AF11&lt;&gt;""),'T_TTAFStock'!AF11,AE7+'Grid_Incoming'!AF7-'Grid_TTAFOutgoing'!AF7))</f>
        <v/>
      </c>
      <c r="AG7">
        <f>IF(COUNTIFS(T_StockCount[Part Name],$A7,T_StockCount[WeekIndex],32)&gt;0,0,IF(('T_TTAFStock'!AG11&lt;&gt;""),'T_TTAFStock'!AG11,AF7+'Grid_Incoming'!AG7-'Grid_TTAFOutgoing'!AG7))</f>
        <v/>
      </c>
      <c r="AH7">
        <f>IF(COUNTIFS(T_StockCount[Part Name],$A7,T_StockCount[WeekIndex],33)&gt;0,0,IF(('T_TTAFStock'!AH11&lt;&gt;""),'T_TTAFStock'!AH11,AG7+'Grid_Incoming'!AH7-'Grid_TTAFOutgoing'!AH7))</f>
        <v/>
      </c>
      <c r="AI7">
        <f>IF(COUNTIFS(T_StockCount[Part Name],$A7,T_StockCount[WeekIndex],34)&gt;0,0,IF(('T_TTAFStock'!AI11&lt;&gt;""),'T_TTAFStock'!AI11,AH7+'Grid_Incoming'!AI7-'Grid_TTAFOutgoing'!AI7))</f>
        <v/>
      </c>
      <c r="AJ7">
        <f>IF(COUNTIFS(T_StockCount[Part Name],$A7,T_StockCount[WeekIndex],35)&gt;0,0,IF(('T_TTAFStock'!AJ11&lt;&gt;""),'T_TTAFStock'!AJ11,AI7+'Grid_Incoming'!AJ7-'Grid_TTAFOutgoing'!AJ7))</f>
        <v/>
      </c>
      <c r="AK7">
        <f>IF(COUNTIFS(T_StockCount[Part Name],$A7,T_StockCount[WeekIndex],36)&gt;0,0,IF(('T_TTAFStock'!AK11&lt;&gt;""),'T_TTAFStock'!AK11,AJ7+'Grid_Incoming'!AK7-'Grid_TTAFOutgoing'!AK7))</f>
        <v/>
      </c>
      <c r="AL7">
        <f>IF(COUNTIFS(T_StockCount[Part Name],$A7,T_StockCount[WeekIndex],37)&gt;0,0,IF(('T_TTAFStock'!AL11&lt;&gt;""),'T_TTAFStock'!AL11,AK7+'Grid_Incoming'!AL7-'Grid_TTAFOutgoing'!AL7))</f>
        <v/>
      </c>
      <c r="AM7">
        <f>IF(COUNTIFS(T_StockCount[Part Name],$A7,T_StockCount[WeekIndex],38)&gt;0,0,IF(('T_TTAFStock'!AM11&lt;&gt;""),'T_TTAFStock'!AM11,AL7+'Grid_Incoming'!AM7-'Grid_TTAFOutgoing'!AM7))</f>
        <v/>
      </c>
      <c r="AN7">
        <f>IF(COUNTIFS(T_StockCount[Part Name],$A7,T_StockCount[WeekIndex],39)&gt;0,0,IF(('T_TTAFStock'!AN11&lt;&gt;""),'T_TTAFStock'!AN11,AM7+'Grid_Incoming'!AN7-'Grid_TTAFOutgoing'!AN7))</f>
        <v/>
      </c>
      <c r="AO7">
        <f>IF(COUNTIFS(T_StockCount[Part Name],$A7,T_StockCount[WeekIndex],40)&gt;0,0,IF(('T_TTAFStock'!AO11&lt;&gt;""),'T_TTAFStock'!AO11,AN7+'Grid_Incoming'!AO7-'Grid_TTAFOutgoing'!AO7))</f>
        <v/>
      </c>
      <c r="AP7">
        <f>IF(COUNTIFS(T_StockCount[Part Name],$A7,T_StockCount[WeekIndex],41)&gt;0,0,IF(('T_TTAFStock'!AP11&lt;&gt;""),'T_TTAFStock'!AP11,AO7+'Grid_Incoming'!AP7-'Grid_TTAFOutgoing'!AP7))</f>
        <v/>
      </c>
      <c r="AQ7">
        <f>IF(COUNTIFS(T_StockCount[Part Name],$A7,T_StockCount[WeekIndex],42)&gt;0,0,IF(('T_TTAFStock'!AQ11&lt;&gt;""),'T_TTAFStock'!AQ11,AP7+'Grid_Incoming'!AQ7-'Grid_TTAFOutgoing'!AQ7))</f>
        <v/>
      </c>
      <c r="AR7">
        <f>IF(COUNTIFS(T_StockCount[Part Name],$A7,T_StockCount[WeekIndex],43)&gt;0,0,IF(('T_TTAFStock'!AR11&lt;&gt;""),'T_TTAFStock'!AR11,AQ7+'Grid_Incoming'!AR7-'Grid_TTAFOutgoing'!AR7))</f>
        <v/>
      </c>
      <c r="AS7">
        <f>IF(COUNTIFS(T_StockCount[Part Name],$A7,T_StockCount[WeekIndex],44)&gt;0,0,IF(('T_TTAFStock'!AS11&lt;&gt;""),'T_TTAFStock'!AS11,AR7+'Grid_Incoming'!AS7-'Grid_TTAFOutgoing'!AS7))</f>
        <v/>
      </c>
      <c r="AT7">
        <f>IF(COUNTIFS(T_StockCount[Part Name],$A7,T_StockCount[WeekIndex],45)&gt;0,0,IF(('T_TTAFStock'!AT11&lt;&gt;""),'T_TTAFStock'!AT11,AS7+'Grid_Incoming'!AT7-'Grid_TTAFOutgoing'!AT7))</f>
        <v/>
      </c>
      <c r="AU7">
        <f>IF(COUNTIFS(T_StockCount[Part Name],$A7,T_StockCount[WeekIndex],46)&gt;0,0,IF(('T_TTAFStock'!AU11&lt;&gt;""),'T_TTAFStock'!AU11,AT7+'Grid_Incoming'!AU7-'Grid_TTAFOutgoing'!AU7))</f>
        <v/>
      </c>
      <c r="AV7">
        <f>IF(COUNTIFS(T_StockCount[Part Name],$A7,T_StockCount[WeekIndex],47)&gt;0,0,IF(('T_TTAFStock'!AV11&lt;&gt;""),'T_TTAFStock'!AV11,AU7+'Grid_Incoming'!AV7-'Grid_TTAFOutgoing'!AV7))</f>
        <v/>
      </c>
      <c r="AW7">
        <f>IF(COUNTIFS(T_StockCount[Part Name],$A7,T_StockCount[WeekIndex],48)&gt;0,0,IF(('T_TTAFStock'!AW11&lt;&gt;""),'T_TTAFStock'!AW11,AV7+'Grid_Incoming'!AW7-'Grid_TTAFOutgoing'!AW7))</f>
        <v/>
      </c>
      <c r="AX7">
        <f>IF(COUNTIFS(T_StockCount[Part Name],$A7,T_StockCount[WeekIndex],49)&gt;0,0,IF(('T_TTAFStock'!AX11&lt;&gt;""),'T_TTAFStock'!AX11,AW7+'Grid_Incoming'!AX7-'Grid_TTAFOutgoing'!AX7))</f>
        <v/>
      </c>
      <c r="AY7">
        <f>IF(COUNTIFS(T_StockCount[Part Name],$A7,T_StockCount[WeekIndex],50)&gt;0,0,IF(('T_TTAFStock'!AY11&lt;&gt;""),'T_TTAFStock'!AY11,AX7+'Grid_Incoming'!AY7-'Grid_TTAFOutgoing'!AY7))</f>
        <v/>
      </c>
      <c r="AZ7">
        <f>IF(COUNTIFS(T_StockCount[Part Name],$A7,T_StockCount[WeekIndex],51)&gt;0,0,IF(('T_TTAFStock'!AZ11&lt;&gt;""),'T_TTAFStock'!AZ11,AY7+'Grid_Incoming'!AZ7-'Grid_TTAFOutgoing'!AZ7))</f>
        <v/>
      </c>
      <c r="BA7">
        <f>IF(COUNTIFS(T_StockCount[Part Name],$A7,T_StockCount[WeekIndex],52)&gt;0,0,IF(('T_TTAFStock'!BA11&lt;&gt;""),'T_TTAFStock'!BA11,AZ7+'Grid_Incoming'!BA7-'Grid_TTAFOutgoing'!BA7))</f>
        <v/>
      </c>
      <c r="BB7">
        <f>IF(COUNTIFS(T_StockCount[Part Name],$A7,T_StockCount[WeekIndex],53)&gt;0,0,IF(('T_TTAFStock'!BB11&lt;&gt;""),'T_TTAFStock'!BB11,BA7+'Grid_Incoming'!BB7-'Grid_TTAFOutgoing'!BB7))</f>
        <v/>
      </c>
      <c r="BC7">
        <f>IF(COUNTIFS(T_StockCount[Part Name],$A7,T_StockCount[WeekIndex],54)&gt;0,0,IF(('T_TTAFStock'!BC11&lt;&gt;""),'T_TTAFStock'!BC11,BB7+'Grid_Incoming'!BC7-'Grid_TTAFOutgoing'!BC7))</f>
        <v/>
      </c>
      <c r="BD7">
        <f>IF(COUNTIFS(T_StockCount[Part Name],$A7,T_StockCount[WeekIndex],55)&gt;0,0,IF(('T_TTAFStock'!BD11&lt;&gt;""),'T_TTAFStock'!BD11,BC7+'Grid_Incoming'!BD7-'Grid_TTAFOutgoing'!BD7))</f>
        <v/>
      </c>
      <c r="BE7">
        <f>IF(COUNTIFS(T_StockCount[Part Name],$A7,T_StockCount[WeekIndex],56)&gt;0,0,IF(('T_TTAFStock'!BE11&lt;&gt;""),'T_TTAFStock'!BE11,BD7+'Grid_Incoming'!BE7-'Grid_TTAFOutgoing'!BE7))</f>
        <v/>
      </c>
      <c r="BF7">
        <f>IF(COUNTIFS(T_StockCount[Part Name],$A7,T_StockCount[WeekIndex],57)&gt;0,0,IF(('T_TTAFStock'!BF11&lt;&gt;""),'T_TTAFStock'!BF11,BE7+'Grid_Incoming'!BF7-'Grid_TTAFOutgoing'!BF7))</f>
        <v/>
      </c>
      <c r="BG7">
        <f>IF(COUNTIFS(T_StockCount[Part Name],$A7,T_StockCount[WeekIndex],58)&gt;0,0,IF(('T_TTAFStock'!BG11&lt;&gt;""),'T_TTAFStock'!BG11,BF7+'Grid_Incoming'!BG7-'Grid_TTAFOutgoing'!BG7))</f>
        <v/>
      </c>
      <c r="BH7">
        <f>IF(COUNTIFS(T_StockCount[Part Name],$A7,T_StockCount[WeekIndex],59)&gt;0,0,IF(('T_TTAFStock'!BH11&lt;&gt;""),'T_TTAFStock'!BH11,BG7+'Grid_Incoming'!BH7-'Grid_TTAFOutgoing'!BH7))</f>
        <v/>
      </c>
      <c r="BI7">
        <f>IF(COUNTIFS(T_StockCount[Part Name],$A7,T_StockCount[WeekIndex],60)&gt;0,0,IF(('T_TTAFStock'!BI11&lt;&gt;""),'T_TTAFStock'!BI11,BH7+'Grid_Incoming'!BI7-'Grid_TTAFOutgoing'!BI7))</f>
        <v/>
      </c>
      <c r="BJ7">
        <f>IF(COUNTIFS(T_StockCount[Part Name],$A7,T_StockCount[WeekIndex],61)&gt;0,0,IF(('T_TTAFStock'!BJ11&lt;&gt;""),'T_TTAFStock'!BJ11,BI7+'Grid_Incoming'!BJ7-'Grid_TTAFOutgoing'!BJ7))</f>
        <v/>
      </c>
      <c r="BK7">
        <f>IF(COUNTIFS(T_StockCount[Part Name],$A7,T_StockCount[WeekIndex],62)&gt;0,0,IF(('T_TTAFStock'!BK11&lt;&gt;""),'T_TTAFStock'!BK11,BJ7+'Grid_Incoming'!BK7-'Grid_TTAFOutgoing'!BK7))</f>
        <v/>
      </c>
      <c r="BL7">
        <f>IF(COUNTIFS(T_StockCount[Part Name],$A7,T_StockCount[WeekIndex],63)&gt;0,0,IF(('T_TTAFStock'!BL11&lt;&gt;""),'T_TTAFStock'!BL11,BK7+'Grid_Incoming'!BL7-'Grid_TTAFOutgoing'!BL7))</f>
        <v/>
      </c>
      <c r="BM7">
        <f>IF(COUNTIFS(T_StockCount[Part Name],$A7,T_StockCount[WeekIndex],64)&gt;0,0,IF(('T_TTAFStock'!BM11&lt;&gt;""),'T_TTAFStock'!BM11,BL7+'Grid_Incoming'!BM7-'Grid_TTAFOutgoing'!BM7))</f>
        <v/>
      </c>
      <c r="BN7">
        <f>IF(COUNTIFS(T_StockCount[Part Name],$A7,T_StockCount[WeekIndex],65)&gt;0,0,IF(('T_TTAFStock'!BN11&lt;&gt;""),'T_TTAFStock'!BN11,BM7+'Grid_Incoming'!BN7-'Grid_TTAFOutgoing'!BN7))</f>
        <v/>
      </c>
      <c r="BO7">
        <f>IF(COUNTIFS(T_StockCount[Part Name],$A7,T_StockCount[WeekIndex],66)&gt;0,0,IF(('T_TTAFStock'!BO11&lt;&gt;""),'T_TTAFStock'!BO11,BN7+'Grid_Incoming'!BO7-'Grid_TTAFOutgoing'!BO7))</f>
        <v/>
      </c>
      <c r="BP7">
        <f>IF(COUNTIFS(T_StockCount[Part Name],$A7,T_StockCount[WeekIndex],67)&gt;0,0,IF(('T_TTAFStock'!BP11&lt;&gt;""),'T_TTAFStock'!BP11,BO7+'Grid_Incoming'!BP7-'Grid_TTAFOutgoing'!BP7))</f>
        <v/>
      </c>
      <c r="BQ7">
        <f>IF(COUNTIFS(T_StockCount[Part Name],$A7,T_StockCount[WeekIndex],68)&gt;0,0,IF(('T_TTAFStock'!BQ11&lt;&gt;""),'T_TTAFStock'!BQ11,BP7+'Grid_Incoming'!BQ7-'Grid_TTAFOutgoing'!BQ7))</f>
        <v/>
      </c>
      <c r="BR7">
        <f>IF(COUNTIFS(T_StockCount[Part Name],$A7,T_StockCount[WeekIndex],69)&gt;0,0,IF(('T_TTAFStock'!BR11&lt;&gt;""),'T_TTAFStock'!BR11,BQ7+'Grid_Incoming'!BR7-'Grid_TTAFOutgoing'!BR7))</f>
        <v/>
      </c>
      <c r="BS7">
        <f>IF(COUNTIFS(T_StockCount[Part Name],$A7,T_StockCount[WeekIndex],70)&gt;0,0,IF(('T_TTAFStock'!BS11&lt;&gt;""),'T_TTAFStock'!BS11,BR7+'Grid_Incoming'!BS7-'Grid_TTAFOutgoing'!BS7))</f>
        <v/>
      </c>
      <c r="BT7">
        <f>IF(COUNTIFS(T_StockCount[Part Name],$A7,T_StockCount[WeekIndex],71)&gt;0,0,IF(('T_TTAFStock'!BT11&lt;&gt;""),'T_TTAFStock'!BT11,BS7+'Grid_Incoming'!BT7-'Grid_TTAFOutgoing'!BT7))</f>
        <v/>
      </c>
      <c r="BU7">
        <f>IF(COUNTIFS(T_StockCount[Part Name],$A7,T_StockCount[WeekIndex],72)&gt;0,0,IF(('T_TTAFStock'!BU11&lt;&gt;""),'T_TTAFStock'!BU11,BT7+'Grid_Incoming'!BU7-'Grid_TTAFOutgoing'!BU7))</f>
        <v/>
      </c>
      <c r="BV7">
        <f>IF(COUNTIFS(T_StockCount[Part Name],$A7,T_StockCount[WeekIndex],73)&gt;0,0,IF(('T_TTAFStock'!BV11&lt;&gt;""),'T_TTAFStock'!BV11,BU7+'Grid_Incoming'!BV7-'Grid_TTAFOutgoing'!BV7))</f>
        <v/>
      </c>
      <c r="BW7">
        <f>IF(COUNTIFS(T_StockCount[Part Name],$A7,T_StockCount[WeekIndex],74)&gt;0,0,IF(('T_TTAFStock'!BW11&lt;&gt;""),'T_TTAFStock'!BW11,BV7+'Grid_Incoming'!BW7-'Grid_TTAFOutgoing'!BW7))</f>
        <v/>
      </c>
      <c r="BX7">
        <f>IF(COUNTIFS(T_StockCount[Part Name],$A7,T_StockCount[WeekIndex],75)&gt;0,0,IF(('T_TTAFStock'!BX11&lt;&gt;""),'T_TTAFStock'!BX11,BW7+'Grid_Incoming'!BX7-'Grid_TTAFOutgoing'!BX7))</f>
        <v/>
      </c>
      <c r="BY7">
        <f>IF(COUNTIFS(T_StockCount[Part Name],$A7,T_StockCount[WeekIndex],76)&gt;0,0,IF(('T_TTAFStock'!BY11&lt;&gt;""),'T_TTAFStock'!BY11,BX7+'Grid_Incoming'!BY7-'Grid_TTAFOutgoing'!BY7))</f>
        <v/>
      </c>
      <c r="BZ7">
        <f>IF(COUNTIFS(T_StockCount[Part Name],$A7,T_StockCount[WeekIndex],77)&gt;0,0,IF(('T_TTAFStock'!BZ11&lt;&gt;""),'T_TTAFStock'!BZ11,BY7+'Grid_Incoming'!BZ7-'Grid_TTAFOutgoing'!BZ7))</f>
        <v/>
      </c>
      <c r="CA7">
        <f>IF(COUNTIFS(T_StockCount[Part Name],$A7,T_StockCount[WeekIndex],78)&gt;0,0,IF(('T_TTAFStock'!CA11&lt;&gt;""),'T_TTAFStock'!CA11,BZ7+'Grid_Incoming'!CA7-'Grid_TTAFOutgoing'!CA7))</f>
        <v/>
      </c>
      <c r="CB7">
        <f>IF(COUNTIFS(T_StockCount[Part Name],$A7,T_StockCount[WeekIndex],79)&gt;0,0,IF(('T_TTAFStock'!CB11&lt;&gt;""),'T_TTAFStock'!CB11,CA7+'Grid_Incoming'!CB7-'Grid_TTAFOutgoing'!CB7))</f>
        <v/>
      </c>
      <c r="CC7">
        <f>IF(COUNTIFS(T_StockCount[Part Name],$A7,T_StockCount[WeekIndex],80)&gt;0,0,IF(('T_TTAFStock'!CC11&lt;&gt;""),'T_TTAFStock'!CC11,CB7+'Grid_Incoming'!CC7-'Grid_TTAFOutgoing'!CC7))</f>
        <v/>
      </c>
      <c r="CD7">
        <f>IF(COUNTIFS(T_StockCount[Part Name],$A7,T_StockCount[WeekIndex],81)&gt;0,0,IF(('T_TTAFStock'!CD11&lt;&gt;""),'T_TTAFStock'!CD11,CC7+'Grid_Incoming'!CD7-'Grid_TTAFOutgoing'!CD7))</f>
        <v/>
      </c>
      <c r="CE7">
        <f>IF(COUNTIFS(T_StockCount[Part Name],$A7,T_StockCount[WeekIndex],82)&gt;0,0,IF(('T_TTAFStock'!CE11&lt;&gt;""),'T_TTAFStock'!CE11,CD7+'Grid_Incoming'!CE7-'Grid_TTAFOutgoing'!CE7))</f>
        <v/>
      </c>
      <c r="CF7">
        <f>IF(COUNTIFS(T_StockCount[Part Name],$A7,T_StockCount[WeekIndex],83)&gt;0,0,IF(('T_TTAFStock'!CF11&lt;&gt;""),'T_TTAFStock'!CF11,CE7+'Grid_Incoming'!CF7-'Grid_TTAFOutgoing'!CF7))</f>
        <v/>
      </c>
      <c r="CG7">
        <f>IF(COUNTIFS(T_StockCount[Part Name],$A7,T_StockCount[WeekIndex],84)&gt;0,0,IF(('T_TTAFStock'!CG11&lt;&gt;""),'T_TTAFStock'!CG11,CF7+'Grid_Incoming'!CG7-'Grid_TTAFOutgoing'!CG7))</f>
        <v/>
      </c>
      <c r="CH7">
        <f>IF(COUNTIFS(T_StockCount[Part Name],$A7,T_StockCount[WeekIndex],85)&gt;0,0,IF(('T_TTAFStock'!CH11&lt;&gt;""),'T_TTAFStock'!CH11,CG7+'Grid_Incoming'!CH7-'Grid_TTAFOutgoing'!CH7))</f>
        <v/>
      </c>
      <c r="CI7">
        <f>IF(COUNTIFS(T_StockCount[Part Name],$A7,T_StockCount[WeekIndex],86)&gt;0,0,IF(('T_TTAFStock'!CI11&lt;&gt;""),'T_TTAFStock'!CI11,CH7+'Grid_Incoming'!CI7-'Grid_TTAFOutgoing'!CI7))</f>
        <v/>
      </c>
      <c r="CJ7">
        <f>IF(COUNTIFS(T_StockCount[Part Name],$A7,T_StockCount[WeekIndex],87)&gt;0,0,IF(('T_TTAFStock'!CJ11&lt;&gt;""),'T_TTAFStock'!CJ11,CI7+'Grid_Incoming'!CJ7-'Grid_TTAFOutgoing'!CJ7))</f>
        <v/>
      </c>
      <c r="CK7">
        <f>IF(COUNTIFS(T_StockCount[Part Name],$A7,T_StockCount[WeekIndex],88)&gt;0,0,IF(('T_TTAFStock'!CK11&lt;&gt;""),'T_TTAFStock'!CK11,CJ7+'Grid_Incoming'!CK7-'Grid_TTAFOutgoing'!CK7))</f>
        <v/>
      </c>
      <c r="CL7">
        <f>IF(COUNTIFS(T_StockCount[Part Name],$A7,T_StockCount[WeekIndex],89)&gt;0,0,IF(('T_TTAFStock'!CL11&lt;&gt;""),'T_TTAFStock'!CL11,CK7+'Grid_Incoming'!CL7-'Grid_TTAFOutgoing'!CL7))</f>
        <v/>
      </c>
      <c r="CM7">
        <f>IF(COUNTIFS(T_StockCount[Part Name],$A7,T_StockCount[WeekIndex],90)&gt;0,0,IF(('T_TTAFStock'!CM11&lt;&gt;""),'T_TTAFStock'!CM11,CL7+'Grid_Incoming'!CM7-'Grid_TTAFOutgoing'!CM7))</f>
        <v/>
      </c>
      <c r="CN7">
        <f>IF(COUNTIFS(T_StockCount[Part Name],$A7,T_StockCount[WeekIndex],91)&gt;0,0,IF(('T_TTAFStock'!CN11&lt;&gt;""),'T_TTAFStock'!CN11,CM7+'Grid_Incoming'!CN7-'Grid_TTAFOutgoing'!CN7))</f>
        <v/>
      </c>
      <c r="CO7">
        <f>IF(COUNTIFS(T_StockCount[Part Name],$A7,T_StockCount[WeekIndex],92)&gt;0,0,IF(('T_TTAFStock'!CO11&lt;&gt;""),'T_TTAFStock'!CO11,CN7+'Grid_Incoming'!CO7-'Grid_TTAFOutgoing'!CO7))</f>
        <v/>
      </c>
      <c r="CP7">
        <f>IF(COUNTIFS(T_StockCount[Part Name],$A7,T_StockCount[WeekIndex],93)&gt;0,0,IF(('T_TTAFStock'!CP11&lt;&gt;""),'T_TTAFStock'!CP11,CO7+'Grid_Incoming'!CP7-'Grid_TTAFOutgoing'!CP7))</f>
        <v/>
      </c>
      <c r="CQ7">
        <f>IF(COUNTIFS(T_StockCount[Part Name],$A7,T_StockCount[WeekIndex],94)&gt;0,0,IF(('T_TTAFStock'!CQ11&lt;&gt;""),'T_TTAFStock'!CQ11,CP7+'Grid_Incoming'!CQ7-'Grid_TTAFOutgoing'!CQ7))</f>
        <v/>
      </c>
      <c r="CR7">
        <f>IF(COUNTIFS(T_StockCount[Part Name],$A7,T_StockCount[WeekIndex],95)&gt;0,0,IF(('T_TTAFStock'!CR11&lt;&gt;""),'T_TTAFStock'!CR11,CQ7+'Grid_Incoming'!CR7-'Grid_TTAFOutgoing'!CR7))</f>
        <v/>
      </c>
      <c r="CS7">
        <f>IF(COUNTIFS(T_StockCount[Part Name],$A7,T_StockCount[WeekIndex],96)&gt;0,0,IF(('T_TTAFStock'!CS11&lt;&gt;""),'T_TTAFStock'!CS11,CR7+'Grid_Incoming'!CS7-'Grid_TTAFOutgoing'!CS7))</f>
        <v/>
      </c>
      <c r="CT7">
        <f>IF(COUNTIFS(T_StockCount[Part Name],$A7,T_StockCount[WeekIndex],97)&gt;0,0,IF(('T_TTAFStock'!CT11&lt;&gt;""),'T_TTAFStock'!CT11,CS7+'Grid_Incoming'!CT7-'Grid_TTAFOutgoing'!CT7))</f>
        <v/>
      </c>
      <c r="CU7">
        <f>IF(COUNTIFS(T_StockCount[Part Name],$A7,T_StockCount[WeekIndex],98)&gt;0,0,IF(('T_TTAFStock'!CU11&lt;&gt;""),'T_TTAFStock'!CU11,CT7+'Grid_Incoming'!CU7-'Grid_TTAFOutgoing'!CU7))</f>
        <v/>
      </c>
      <c r="CV7">
        <f>IF(COUNTIFS(T_StockCount[Part Name],$A7,T_StockCount[WeekIndex],99)&gt;0,0,IF(('T_TTAFStock'!CV11&lt;&gt;""),'T_TTAFStock'!CV11,CU7+'Grid_Incoming'!CV7-'Grid_TTAFOutgoing'!CV7))</f>
        <v/>
      </c>
      <c r="CW7">
        <f>IF(COUNTIFS(T_StockCount[Part Name],$A7,T_StockCount[WeekIndex],100)&gt;0,0,IF(('T_TTAFStock'!CW11&lt;&gt;""),'T_TTAFStock'!CW11,CV7+'Grid_Incoming'!CW7-'Grid_TTAFOutgoing'!CW7))</f>
        <v/>
      </c>
      <c r="CX7">
        <f>IF(COUNTIFS(T_StockCount[Part Name],$A7,T_StockCount[WeekIndex],101)&gt;0,0,IF(('T_TTAFStock'!CX11&lt;&gt;""),'T_TTAFStock'!CX11,CW7+'Grid_Incoming'!CX7-'Grid_TTAFOutgoing'!CX7))</f>
        <v/>
      </c>
      <c r="CY7">
        <f>IF(COUNTIFS(T_StockCount[Part Name],$A7,T_StockCount[WeekIndex],102)&gt;0,0,IF(('T_TTAFStock'!CY11&lt;&gt;""),'T_TTAFStock'!CY11,CX7+'Grid_Incoming'!CY7-'Grid_TTAFOutgoing'!CY7))</f>
        <v/>
      </c>
      <c r="CZ7">
        <f>IF(COUNTIFS(T_StockCount[Part Name],$A7,T_StockCount[WeekIndex],103)&gt;0,0,IF(('T_TTAFStock'!CZ11&lt;&gt;""),'T_TTAFStock'!CZ11,CY7+'Grid_Incoming'!CZ7-'Grid_TTAFOutgoing'!CZ7))</f>
        <v/>
      </c>
      <c r="DA7">
        <f>IF(COUNTIFS(T_StockCount[Part Name],$A7,T_StockCount[WeekIndex],104)&gt;0,0,IF(('T_TTAFStock'!DA11&lt;&gt;""),'T_TTAFStock'!DA11,CZ7+'Grid_Incoming'!DA7-'Grid_TTAFOutgoing'!DA7))</f>
        <v/>
      </c>
    </row>
    <row r="8">
      <c r="A8" t="inlineStr">
        <is>
          <t>CHEM-1690</t>
        </is>
      </c>
      <c r="B8">
        <f>IF(COUNTIFS(T_StockCount[Part Name],$A8,T_StockCount[WeekIndex],1)&gt;0,0,IF(('T_TTAFStock'!B12&lt;&gt;""),'T_TTAFStock'!B12,0+'Grid_Incoming'!B8-'Grid_TTAFOutgoing'!B8))</f>
        <v/>
      </c>
      <c r="C8">
        <f>IF(COUNTIFS(T_StockCount[Part Name],$A8,T_StockCount[WeekIndex],2)&gt;0,0,IF(('T_TTAFStock'!C12&lt;&gt;""),'T_TTAFStock'!C12,B8+'Grid_Incoming'!C8-'Grid_TTAFOutgoing'!C8))</f>
        <v/>
      </c>
      <c r="D8">
        <f>IF(COUNTIFS(T_StockCount[Part Name],$A8,T_StockCount[WeekIndex],3)&gt;0,0,IF(('T_TTAFStock'!D12&lt;&gt;""),'T_TTAFStock'!D12,C8+'Grid_Incoming'!D8-'Grid_TTAFOutgoing'!D8))</f>
        <v/>
      </c>
      <c r="E8">
        <f>IF(COUNTIFS(T_StockCount[Part Name],$A8,T_StockCount[WeekIndex],4)&gt;0,0,IF(('T_TTAFStock'!E12&lt;&gt;""),'T_TTAFStock'!E12,D8+'Grid_Incoming'!E8-'Grid_TTAFOutgoing'!E8))</f>
        <v/>
      </c>
      <c r="F8">
        <f>IF(COUNTIFS(T_StockCount[Part Name],$A8,T_StockCount[WeekIndex],5)&gt;0,0,IF(('T_TTAFStock'!F12&lt;&gt;""),'T_TTAFStock'!F12,E8+'Grid_Incoming'!F8-'Grid_TTAFOutgoing'!F8))</f>
        <v/>
      </c>
      <c r="G8">
        <f>IF(COUNTIFS(T_StockCount[Part Name],$A8,T_StockCount[WeekIndex],6)&gt;0,0,IF(('T_TTAFStock'!G12&lt;&gt;""),'T_TTAFStock'!G12,F8+'Grid_Incoming'!G8-'Grid_TTAFOutgoing'!G8))</f>
        <v/>
      </c>
      <c r="H8">
        <f>IF(COUNTIFS(T_StockCount[Part Name],$A8,T_StockCount[WeekIndex],7)&gt;0,0,IF(('T_TTAFStock'!H12&lt;&gt;""),'T_TTAFStock'!H12,G8+'Grid_Incoming'!H8-'Grid_TTAFOutgoing'!H8))</f>
        <v/>
      </c>
      <c r="I8">
        <f>IF(COUNTIFS(T_StockCount[Part Name],$A8,T_StockCount[WeekIndex],8)&gt;0,0,IF(('T_TTAFStock'!I12&lt;&gt;""),'T_TTAFStock'!I12,H8+'Grid_Incoming'!I8-'Grid_TTAFOutgoing'!I8))</f>
        <v/>
      </c>
      <c r="J8">
        <f>IF(COUNTIFS(T_StockCount[Part Name],$A8,T_StockCount[WeekIndex],9)&gt;0,0,IF(('T_TTAFStock'!J12&lt;&gt;""),'T_TTAFStock'!J12,I8+'Grid_Incoming'!J8-'Grid_TTAFOutgoing'!J8))</f>
        <v/>
      </c>
      <c r="K8">
        <f>IF(COUNTIFS(T_StockCount[Part Name],$A8,T_StockCount[WeekIndex],10)&gt;0,0,IF(('T_TTAFStock'!K12&lt;&gt;""),'T_TTAFStock'!K12,J8+'Grid_Incoming'!K8-'Grid_TTAFOutgoing'!K8))</f>
        <v/>
      </c>
      <c r="L8">
        <f>IF(COUNTIFS(T_StockCount[Part Name],$A8,T_StockCount[WeekIndex],11)&gt;0,0,IF(('T_TTAFStock'!L12&lt;&gt;""),'T_TTAFStock'!L12,K8+'Grid_Incoming'!L8-'Grid_TTAFOutgoing'!L8))</f>
        <v/>
      </c>
      <c r="M8">
        <f>IF(COUNTIFS(T_StockCount[Part Name],$A8,T_StockCount[WeekIndex],12)&gt;0,0,IF(('T_TTAFStock'!M12&lt;&gt;""),'T_TTAFStock'!M12,L8+'Grid_Incoming'!M8-'Grid_TTAFOutgoing'!M8))</f>
        <v/>
      </c>
      <c r="N8">
        <f>IF(COUNTIFS(T_StockCount[Part Name],$A8,T_StockCount[WeekIndex],13)&gt;0,0,IF(('T_TTAFStock'!N12&lt;&gt;""),'T_TTAFStock'!N12,M8+'Grid_Incoming'!N8-'Grid_TTAFOutgoing'!N8))</f>
        <v/>
      </c>
      <c r="O8">
        <f>IF(COUNTIFS(T_StockCount[Part Name],$A8,T_StockCount[WeekIndex],14)&gt;0,0,IF(('T_TTAFStock'!O12&lt;&gt;""),'T_TTAFStock'!O12,N8+'Grid_Incoming'!O8-'Grid_TTAFOutgoing'!O8))</f>
        <v/>
      </c>
      <c r="P8">
        <f>IF(COUNTIFS(T_StockCount[Part Name],$A8,T_StockCount[WeekIndex],15)&gt;0,0,IF(('T_TTAFStock'!P12&lt;&gt;""),'T_TTAFStock'!P12,O8+'Grid_Incoming'!P8-'Grid_TTAFOutgoing'!P8))</f>
        <v/>
      </c>
      <c r="Q8">
        <f>IF(COUNTIFS(T_StockCount[Part Name],$A8,T_StockCount[WeekIndex],16)&gt;0,0,IF(('T_TTAFStock'!Q12&lt;&gt;""),'T_TTAFStock'!Q12,P8+'Grid_Incoming'!Q8-'Grid_TTAFOutgoing'!Q8))</f>
        <v/>
      </c>
      <c r="R8">
        <f>IF(COUNTIFS(T_StockCount[Part Name],$A8,T_StockCount[WeekIndex],17)&gt;0,0,IF(('T_TTAFStock'!R12&lt;&gt;""),'T_TTAFStock'!R12,Q8+'Grid_Incoming'!R8-'Grid_TTAFOutgoing'!R8))</f>
        <v/>
      </c>
      <c r="S8">
        <f>IF(COUNTIFS(T_StockCount[Part Name],$A8,T_StockCount[WeekIndex],18)&gt;0,0,IF(('T_TTAFStock'!S12&lt;&gt;""),'T_TTAFStock'!S12,R8+'Grid_Incoming'!S8-'Grid_TTAFOutgoing'!S8))</f>
        <v/>
      </c>
      <c r="T8">
        <f>IF(COUNTIFS(T_StockCount[Part Name],$A8,T_StockCount[WeekIndex],19)&gt;0,0,IF(('T_TTAFStock'!T12&lt;&gt;""),'T_TTAFStock'!T12,S8+'Grid_Incoming'!T8-'Grid_TTAFOutgoing'!T8))</f>
        <v/>
      </c>
      <c r="U8">
        <f>IF(COUNTIFS(T_StockCount[Part Name],$A8,T_StockCount[WeekIndex],20)&gt;0,0,IF(('T_TTAFStock'!U12&lt;&gt;""),'T_TTAFStock'!U12,T8+'Grid_Incoming'!U8-'Grid_TTAFOutgoing'!U8))</f>
        <v/>
      </c>
      <c r="V8">
        <f>IF(COUNTIFS(T_StockCount[Part Name],$A8,T_StockCount[WeekIndex],21)&gt;0,0,IF(('T_TTAFStock'!V12&lt;&gt;""),'T_TTAFStock'!V12,U8+'Grid_Incoming'!V8-'Grid_TTAFOutgoing'!V8))</f>
        <v/>
      </c>
      <c r="W8">
        <f>IF(COUNTIFS(T_StockCount[Part Name],$A8,T_StockCount[WeekIndex],22)&gt;0,0,IF(('T_TTAFStock'!W12&lt;&gt;""),'T_TTAFStock'!W12,V8+'Grid_Incoming'!W8-'Grid_TTAFOutgoing'!W8))</f>
        <v/>
      </c>
      <c r="X8">
        <f>IF(COUNTIFS(T_StockCount[Part Name],$A8,T_StockCount[WeekIndex],23)&gt;0,0,IF(('T_TTAFStock'!X12&lt;&gt;""),'T_TTAFStock'!X12,W8+'Grid_Incoming'!X8-'Grid_TTAFOutgoing'!X8))</f>
        <v/>
      </c>
      <c r="Y8">
        <f>IF(COUNTIFS(T_StockCount[Part Name],$A8,T_StockCount[WeekIndex],24)&gt;0,0,IF(('T_TTAFStock'!Y12&lt;&gt;""),'T_TTAFStock'!Y12,X8+'Grid_Incoming'!Y8-'Grid_TTAFOutgoing'!Y8))</f>
        <v/>
      </c>
      <c r="Z8">
        <f>IF(COUNTIFS(T_StockCount[Part Name],$A8,T_StockCount[WeekIndex],25)&gt;0,0,IF(('T_TTAFStock'!Z12&lt;&gt;""),'T_TTAFStock'!Z12,Y8+'Grid_Incoming'!Z8-'Grid_TTAFOutgoing'!Z8))</f>
        <v/>
      </c>
      <c r="AA8">
        <f>IF(COUNTIFS(T_StockCount[Part Name],$A8,T_StockCount[WeekIndex],26)&gt;0,0,IF(('T_TTAFStock'!AA12&lt;&gt;""),'T_TTAFStock'!AA12,Z8+'Grid_Incoming'!AA8-'Grid_TTAFOutgoing'!AA8))</f>
        <v/>
      </c>
      <c r="AB8">
        <f>IF(COUNTIFS(T_StockCount[Part Name],$A8,T_StockCount[WeekIndex],27)&gt;0,0,IF(('T_TTAFStock'!AB12&lt;&gt;""),'T_TTAFStock'!AB12,AA8+'Grid_Incoming'!AB8-'Grid_TTAFOutgoing'!AB8))</f>
        <v/>
      </c>
      <c r="AC8">
        <f>IF(COUNTIFS(T_StockCount[Part Name],$A8,T_StockCount[WeekIndex],28)&gt;0,0,IF(('T_TTAFStock'!AC12&lt;&gt;""),'T_TTAFStock'!AC12,AB8+'Grid_Incoming'!AC8-'Grid_TTAFOutgoing'!AC8))</f>
        <v/>
      </c>
      <c r="AD8">
        <f>IF(COUNTIFS(T_StockCount[Part Name],$A8,T_StockCount[WeekIndex],29)&gt;0,0,IF(('T_TTAFStock'!AD12&lt;&gt;""),'T_TTAFStock'!AD12,AC8+'Grid_Incoming'!AD8-'Grid_TTAFOutgoing'!AD8))</f>
        <v/>
      </c>
      <c r="AE8">
        <f>IF(COUNTIFS(T_StockCount[Part Name],$A8,T_StockCount[WeekIndex],30)&gt;0,0,IF(('T_TTAFStock'!AE12&lt;&gt;""),'T_TTAFStock'!AE12,AD8+'Grid_Incoming'!AE8-'Grid_TTAFOutgoing'!AE8))</f>
        <v/>
      </c>
      <c r="AF8">
        <f>IF(COUNTIFS(T_StockCount[Part Name],$A8,T_StockCount[WeekIndex],31)&gt;0,0,IF(('T_TTAFStock'!AF12&lt;&gt;""),'T_TTAFStock'!AF12,AE8+'Grid_Incoming'!AF8-'Grid_TTAFOutgoing'!AF8))</f>
        <v/>
      </c>
      <c r="AG8">
        <f>IF(COUNTIFS(T_StockCount[Part Name],$A8,T_StockCount[WeekIndex],32)&gt;0,0,IF(('T_TTAFStock'!AG12&lt;&gt;""),'T_TTAFStock'!AG12,AF8+'Grid_Incoming'!AG8-'Grid_TTAFOutgoing'!AG8))</f>
        <v/>
      </c>
      <c r="AH8">
        <f>IF(COUNTIFS(T_StockCount[Part Name],$A8,T_StockCount[WeekIndex],33)&gt;0,0,IF(('T_TTAFStock'!AH12&lt;&gt;""),'T_TTAFStock'!AH12,AG8+'Grid_Incoming'!AH8-'Grid_TTAFOutgoing'!AH8))</f>
        <v/>
      </c>
      <c r="AI8">
        <f>IF(COUNTIFS(T_StockCount[Part Name],$A8,T_StockCount[WeekIndex],34)&gt;0,0,IF(('T_TTAFStock'!AI12&lt;&gt;""),'T_TTAFStock'!AI12,AH8+'Grid_Incoming'!AI8-'Grid_TTAFOutgoing'!AI8))</f>
        <v/>
      </c>
      <c r="AJ8">
        <f>IF(COUNTIFS(T_StockCount[Part Name],$A8,T_StockCount[WeekIndex],35)&gt;0,0,IF(('T_TTAFStock'!AJ12&lt;&gt;""),'T_TTAFStock'!AJ12,AI8+'Grid_Incoming'!AJ8-'Grid_TTAFOutgoing'!AJ8))</f>
        <v/>
      </c>
      <c r="AK8">
        <f>IF(COUNTIFS(T_StockCount[Part Name],$A8,T_StockCount[WeekIndex],36)&gt;0,0,IF(('T_TTAFStock'!AK12&lt;&gt;""),'T_TTAFStock'!AK12,AJ8+'Grid_Incoming'!AK8-'Grid_TTAFOutgoing'!AK8))</f>
        <v/>
      </c>
      <c r="AL8">
        <f>IF(COUNTIFS(T_StockCount[Part Name],$A8,T_StockCount[WeekIndex],37)&gt;0,0,IF(('T_TTAFStock'!AL12&lt;&gt;""),'T_TTAFStock'!AL12,AK8+'Grid_Incoming'!AL8-'Grid_TTAFOutgoing'!AL8))</f>
        <v/>
      </c>
      <c r="AM8">
        <f>IF(COUNTIFS(T_StockCount[Part Name],$A8,T_StockCount[WeekIndex],38)&gt;0,0,IF(('T_TTAFStock'!AM12&lt;&gt;""),'T_TTAFStock'!AM12,AL8+'Grid_Incoming'!AM8-'Grid_TTAFOutgoing'!AM8))</f>
        <v/>
      </c>
      <c r="AN8">
        <f>IF(COUNTIFS(T_StockCount[Part Name],$A8,T_StockCount[WeekIndex],39)&gt;0,0,IF(('T_TTAFStock'!AN12&lt;&gt;""),'T_TTAFStock'!AN12,AM8+'Grid_Incoming'!AN8-'Grid_TTAFOutgoing'!AN8))</f>
        <v/>
      </c>
      <c r="AO8">
        <f>IF(COUNTIFS(T_StockCount[Part Name],$A8,T_StockCount[WeekIndex],40)&gt;0,0,IF(('T_TTAFStock'!AO12&lt;&gt;""),'T_TTAFStock'!AO12,AN8+'Grid_Incoming'!AO8-'Grid_TTAFOutgoing'!AO8))</f>
        <v/>
      </c>
      <c r="AP8">
        <f>IF(COUNTIFS(T_StockCount[Part Name],$A8,T_StockCount[WeekIndex],41)&gt;0,0,IF(('T_TTAFStock'!AP12&lt;&gt;""),'T_TTAFStock'!AP12,AO8+'Grid_Incoming'!AP8-'Grid_TTAFOutgoing'!AP8))</f>
        <v/>
      </c>
      <c r="AQ8">
        <f>IF(COUNTIFS(T_StockCount[Part Name],$A8,T_StockCount[WeekIndex],42)&gt;0,0,IF(('T_TTAFStock'!AQ12&lt;&gt;""),'T_TTAFStock'!AQ12,AP8+'Grid_Incoming'!AQ8-'Grid_TTAFOutgoing'!AQ8))</f>
        <v/>
      </c>
      <c r="AR8">
        <f>IF(COUNTIFS(T_StockCount[Part Name],$A8,T_StockCount[WeekIndex],43)&gt;0,0,IF(('T_TTAFStock'!AR12&lt;&gt;""),'T_TTAFStock'!AR12,AQ8+'Grid_Incoming'!AR8-'Grid_TTAFOutgoing'!AR8))</f>
        <v/>
      </c>
      <c r="AS8">
        <f>IF(COUNTIFS(T_StockCount[Part Name],$A8,T_StockCount[WeekIndex],44)&gt;0,0,IF(('T_TTAFStock'!AS12&lt;&gt;""),'T_TTAFStock'!AS12,AR8+'Grid_Incoming'!AS8-'Grid_TTAFOutgoing'!AS8))</f>
        <v/>
      </c>
      <c r="AT8">
        <f>IF(COUNTIFS(T_StockCount[Part Name],$A8,T_StockCount[WeekIndex],45)&gt;0,0,IF(('T_TTAFStock'!AT12&lt;&gt;""),'T_TTAFStock'!AT12,AS8+'Grid_Incoming'!AT8-'Grid_TTAFOutgoing'!AT8))</f>
        <v/>
      </c>
      <c r="AU8">
        <f>IF(COUNTIFS(T_StockCount[Part Name],$A8,T_StockCount[WeekIndex],46)&gt;0,0,IF(('T_TTAFStock'!AU12&lt;&gt;""),'T_TTAFStock'!AU12,AT8+'Grid_Incoming'!AU8-'Grid_TTAFOutgoing'!AU8))</f>
        <v/>
      </c>
      <c r="AV8">
        <f>IF(COUNTIFS(T_StockCount[Part Name],$A8,T_StockCount[WeekIndex],47)&gt;0,0,IF(('T_TTAFStock'!AV12&lt;&gt;""),'T_TTAFStock'!AV12,AU8+'Grid_Incoming'!AV8-'Grid_TTAFOutgoing'!AV8))</f>
        <v/>
      </c>
      <c r="AW8">
        <f>IF(COUNTIFS(T_StockCount[Part Name],$A8,T_StockCount[WeekIndex],48)&gt;0,0,IF(('T_TTAFStock'!AW12&lt;&gt;""),'T_TTAFStock'!AW12,AV8+'Grid_Incoming'!AW8-'Grid_TTAFOutgoing'!AW8))</f>
        <v/>
      </c>
      <c r="AX8">
        <f>IF(COUNTIFS(T_StockCount[Part Name],$A8,T_StockCount[WeekIndex],49)&gt;0,0,IF(('T_TTAFStock'!AX12&lt;&gt;""),'T_TTAFStock'!AX12,AW8+'Grid_Incoming'!AX8-'Grid_TTAFOutgoing'!AX8))</f>
        <v/>
      </c>
      <c r="AY8">
        <f>IF(COUNTIFS(T_StockCount[Part Name],$A8,T_StockCount[WeekIndex],50)&gt;0,0,IF(('T_TTAFStock'!AY12&lt;&gt;""),'T_TTAFStock'!AY12,AX8+'Grid_Incoming'!AY8-'Grid_TTAFOutgoing'!AY8))</f>
        <v/>
      </c>
      <c r="AZ8">
        <f>IF(COUNTIFS(T_StockCount[Part Name],$A8,T_StockCount[WeekIndex],51)&gt;0,0,IF(('T_TTAFStock'!AZ12&lt;&gt;""),'T_TTAFStock'!AZ12,AY8+'Grid_Incoming'!AZ8-'Grid_TTAFOutgoing'!AZ8))</f>
        <v/>
      </c>
      <c r="BA8">
        <f>IF(COUNTIFS(T_StockCount[Part Name],$A8,T_StockCount[WeekIndex],52)&gt;0,0,IF(('T_TTAFStock'!BA12&lt;&gt;""),'T_TTAFStock'!BA12,AZ8+'Grid_Incoming'!BA8-'Grid_TTAFOutgoing'!BA8))</f>
        <v/>
      </c>
      <c r="BB8">
        <f>IF(COUNTIFS(T_StockCount[Part Name],$A8,T_StockCount[WeekIndex],53)&gt;0,0,IF(('T_TTAFStock'!BB12&lt;&gt;""),'T_TTAFStock'!BB12,BA8+'Grid_Incoming'!BB8-'Grid_TTAFOutgoing'!BB8))</f>
        <v/>
      </c>
      <c r="BC8">
        <f>IF(COUNTIFS(T_StockCount[Part Name],$A8,T_StockCount[WeekIndex],54)&gt;0,0,IF(('T_TTAFStock'!BC12&lt;&gt;""),'T_TTAFStock'!BC12,BB8+'Grid_Incoming'!BC8-'Grid_TTAFOutgoing'!BC8))</f>
        <v/>
      </c>
      <c r="BD8">
        <f>IF(COUNTIFS(T_StockCount[Part Name],$A8,T_StockCount[WeekIndex],55)&gt;0,0,IF(('T_TTAFStock'!BD12&lt;&gt;""),'T_TTAFStock'!BD12,BC8+'Grid_Incoming'!BD8-'Grid_TTAFOutgoing'!BD8))</f>
        <v/>
      </c>
      <c r="BE8">
        <f>IF(COUNTIFS(T_StockCount[Part Name],$A8,T_StockCount[WeekIndex],56)&gt;0,0,IF(('T_TTAFStock'!BE12&lt;&gt;""),'T_TTAFStock'!BE12,BD8+'Grid_Incoming'!BE8-'Grid_TTAFOutgoing'!BE8))</f>
        <v/>
      </c>
      <c r="BF8">
        <f>IF(COUNTIFS(T_StockCount[Part Name],$A8,T_StockCount[WeekIndex],57)&gt;0,0,IF(('T_TTAFStock'!BF12&lt;&gt;""),'T_TTAFStock'!BF12,BE8+'Grid_Incoming'!BF8-'Grid_TTAFOutgoing'!BF8))</f>
        <v/>
      </c>
      <c r="BG8">
        <f>IF(COUNTIFS(T_StockCount[Part Name],$A8,T_StockCount[WeekIndex],58)&gt;0,0,IF(('T_TTAFStock'!BG12&lt;&gt;""),'T_TTAFStock'!BG12,BF8+'Grid_Incoming'!BG8-'Grid_TTAFOutgoing'!BG8))</f>
        <v/>
      </c>
      <c r="BH8">
        <f>IF(COUNTIFS(T_StockCount[Part Name],$A8,T_StockCount[WeekIndex],59)&gt;0,0,IF(('T_TTAFStock'!BH12&lt;&gt;""),'T_TTAFStock'!BH12,BG8+'Grid_Incoming'!BH8-'Grid_TTAFOutgoing'!BH8))</f>
        <v/>
      </c>
      <c r="BI8">
        <f>IF(COUNTIFS(T_StockCount[Part Name],$A8,T_StockCount[WeekIndex],60)&gt;0,0,IF(('T_TTAFStock'!BI12&lt;&gt;""),'T_TTAFStock'!BI12,BH8+'Grid_Incoming'!BI8-'Grid_TTAFOutgoing'!BI8))</f>
        <v/>
      </c>
      <c r="BJ8">
        <f>IF(COUNTIFS(T_StockCount[Part Name],$A8,T_StockCount[WeekIndex],61)&gt;0,0,IF(('T_TTAFStock'!BJ12&lt;&gt;""),'T_TTAFStock'!BJ12,BI8+'Grid_Incoming'!BJ8-'Grid_TTAFOutgoing'!BJ8))</f>
        <v/>
      </c>
      <c r="BK8">
        <f>IF(COUNTIFS(T_StockCount[Part Name],$A8,T_StockCount[WeekIndex],62)&gt;0,0,IF(('T_TTAFStock'!BK12&lt;&gt;""),'T_TTAFStock'!BK12,BJ8+'Grid_Incoming'!BK8-'Grid_TTAFOutgoing'!BK8))</f>
        <v/>
      </c>
      <c r="BL8">
        <f>IF(COUNTIFS(T_StockCount[Part Name],$A8,T_StockCount[WeekIndex],63)&gt;0,0,IF(('T_TTAFStock'!BL12&lt;&gt;""),'T_TTAFStock'!BL12,BK8+'Grid_Incoming'!BL8-'Grid_TTAFOutgoing'!BL8))</f>
        <v/>
      </c>
      <c r="BM8">
        <f>IF(COUNTIFS(T_StockCount[Part Name],$A8,T_StockCount[WeekIndex],64)&gt;0,0,IF(('T_TTAFStock'!BM12&lt;&gt;""),'T_TTAFStock'!BM12,BL8+'Grid_Incoming'!BM8-'Grid_TTAFOutgoing'!BM8))</f>
        <v/>
      </c>
      <c r="BN8">
        <f>IF(COUNTIFS(T_StockCount[Part Name],$A8,T_StockCount[WeekIndex],65)&gt;0,0,IF(('T_TTAFStock'!BN12&lt;&gt;""),'T_TTAFStock'!BN12,BM8+'Grid_Incoming'!BN8-'Grid_TTAFOutgoing'!BN8))</f>
        <v/>
      </c>
      <c r="BO8">
        <f>IF(COUNTIFS(T_StockCount[Part Name],$A8,T_StockCount[WeekIndex],66)&gt;0,0,IF(('T_TTAFStock'!BO12&lt;&gt;""),'T_TTAFStock'!BO12,BN8+'Grid_Incoming'!BO8-'Grid_TTAFOutgoing'!BO8))</f>
        <v/>
      </c>
      <c r="BP8">
        <f>IF(COUNTIFS(T_StockCount[Part Name],$A8,T_StockCount[WeekIndex],67)&gt;0,0,IF(('T_TTAFStock'!BP12&lt;&gt;""),'T_TTAFStock'!BP12,BO8+'Grid_Incoming'!BP8-'Grid_TTAFOutgoing'!BP8))</f>
        <v/>
      </c>
      <c r="BQ8">
        <f>IF(COUNTIFS(T_StockCount[Part Name],$A8,T_StockCount[WeekIndex],68)&gt;0,0,IF(('T_TTAFStock'!BQ12&lt;&gt;""),'T_TTAFStock'!BQ12,BP8+'Grid_Incoming'!BQ8-'Grid_TTAFOutgoing'!BQ8))</f>
        <v/>
      </c>
      <c r="BR8">
        <f>IF(COUNTIFS(T_StockCount[Part Name],$A8,T_StockCount[WeekIndex],69)&gt;0,0,IF(('T_TTAFStock'!BR12&lt;&gt;""),'T_TTAFStock'!BR12,BQ8+'Grid_Incoming'!BR8-'Grid_TTAFOutgoing'!BR8))</f>
        <v/>
      </c>
      <c r="BS8">
        <f>IF(COUNTIFS(T_StockCount[Part Name],$A8,T_StockCount[WeekIndex],70)&gt;0,0,IF(('T_TTAFStock'!BS12&lt;&gt;""),'T_TTAFStock'!BS12,BR8+'Grid_Incoming'!BS8-'Grid_TTAFOutgoing'!BS8))</f>
        <v/>
      </c>
      <c r="BT8">
        <f>IF(COUNTIFS(T_StockCount[Part Name],$A8,T_StockCount[WeekIndex],71)&gt;0,0,IF(('T_TTAFStock'!BT12&lt;&gt;""),'T_TTAFStock'!BT12,BS8+'Grid_Incoming'!BT8-'Grid_TTAFOutgoing'!BT8))</f>
        <v/>
      </c>
      <c r="BU8">
        <f>IF(COUNTIFS(T_StockCount[Part Name],$A8,T_StockCount[WeekIndex],72)&gt;0,0,IF(('T_TTAFStock'!BU12&lt;&gt;""),'T_TTAFStock'!BU12,BT8+'Grid_Incoming'!BU8-'Grid_TTAFOutgoing'!BU8))</f>
        <v/>
      </c>
      <c r="BV8">
        <f>IF(COUNTIFS(T_StockCount[Part Name],$A8,T_StockCount[WeekIndex],73)&gt;0,0,IF(('T_TTAFStock'!BV12&lt;&gt;""),'T_TTAFStock'!BV12,BU8+'Grid_Incoming'!BV8-'Grid_TTAFOutgoing'!BV8))</f>
        <v/>
      </c>
      <c r="BW8">
        <f>IF(COUNTIFS(T_StockCount[Part Name],$A8,T_StockCount[WeekIndex],74)&gt;0,0,IF(('T_TTAFStock'!BW12&lt;&gt;""),'T_TTAFStock'!BW12,BV8+'Grid_Incoming'!BW8-'Grid_TTAFOutgoing'!BW8))</f>
        <v/>
      </c>
      <c r="BX8">
        <f>IF(COUNTIFS(T_StockCount[Part Name],$A8,T_StockCount[WeekIndex],75)&gt;0,0,IF(('T_TTAFStock'!BX12&lt;&gt;""),'T_TTAFStock'!BX12,BW8+'Grid_Incoming'!BX8-'Grid_TTAFOutgoing'!BX8))</f>
        <v/>
      </c>
      <c r="BY8">
        <f>IF(COUNTIFS(T_StockCount[Part Name],$A8,T_StockCount[WeekIndex],76)&gt;0,0,IF(('T_TTAFStock'!BY12&lt;&gt;""),'T_TTAFStock'!BY12,BX8+'Grid_Incoming'!BY8-'Grid_TTAFOutgoing'!BY8))</f>
        <v/>
      </c>
      <c r="BZ8">
        <f>IF(COUNTIFS(T_StockCount[Part Name],$A8,T_StockCount[WeekIndex],77)&gt;0,0,IF(('T_TTAFStock'!BZ12&lt;&gt;""),'T_TTAFStock'!BZ12,BY8+'Grid_Incoming'!BZ8-'Grid_TTAFOutgoing'!BZ8))</f>
        <v/>
      </c>
      <c r="CA8">
        <f>IF(COUNTIFS(T_StockCount[Part Name],$A8,T_StockCount[WeekIndex],78)&gt;0,0,IF(('T_TTAFStock'!CA12&lt;&gt;""),'T_TTAFStock'!CA12,BZ8+'Grid_Incoming'!CA8-'Grid_TTAFOutgoing'!CA8))</f>
        <v/>
      </c>
      <c r="CB8">
        <f>IF(COUNTIFS(T_StockCount[Part Name],$A8,T_StockCount[WeekIndex],79)&gt;0,0,IF(('T_TTAFStock'!CB12&lt;&gt;""),'T_TTAFStock'!CB12,CA8+'Grid_Incoming'!CB8-'Grid_TTAFOutgoing'!CB8))</f>
        <v/>
      </c>
      <c r="CC8">
        <f>IF(COUNTIFS(T_StockCount[Part Name],$A8,T_StockCount[WeekIndex],80)&gt;0,0,IF(('T_TTAFStock'!CC12&lt;&gt;""),'T_TTAFStock'!CC12,CB8+'Grid_Incoming'!CC8-'Grid_TTAFOutgoing'!CC8))</f>
        <v/>
      </c>
      <c r="CD8">
        <f>IF(COUNTIFS(T_StockCount[Part Name],$A8,T_StockCount[WeekIndex],81)&gt;0,0,IF(('T_TTAFStock'!CD12&lt;&gt;""),'T_TTAFStock'!CD12,CC8+'Grid_Incoming'!CD8-'Grid_TTAFOutgoing'!CD8))</f>
        <v/>
      </c>
      <c r="CE8">
        <f>IF(COUNTIFS(T_StockCount[Part Name],$A8,T_StockCount[WeekIndex],82)&gt;0,0,IF(('T_TTAFStock'!CE12&lt;&gt;""),'T_TTAFStock'!CE12,CD8+'Grid_Incoming'!CE8-'Grid_TTAFOutgoing'!CE8))</f>
        <v/>
      </c>
      <c r="CF8">
        <f>IF(COUNTIFS(T_StockCount[Part Name],$A8,T_StockCount[WeekIndex],83)&gt;0,0,IF(('T_TTAFStock'!CF12&lt;&gt;""),'T_TTAFStock'!CF12,CE8+'Grid_Incoming'!CF8-'Grid_TTAFOutgoing'!CF8))</f>
        <v/>
      </c>
      <c r="CG8">
        <f>IF(COUNTIFS(T_StockCount[Part Name],$A8,T_StockCount[WeekIndex],84)&gt;0,0,IF(('T_TTAFStock'!CG12&lt;&gt;""),'T_TTAFStock'!CG12,CF8+'Grid_Incoming'!CG8-'Grid_TTAFOutgoing'!CG8))</f>
        <v/>
      </c>
      <c r="CH8">
        <f>IF(COUNTIFS(T_StockCount[Part Name],$A8,T_StockCount[WeekIndex],85)&gt;0,0,IF(('T_TTAFStock'!CH12&lt;&gt;""),'T_TTAFStock'!CH12,CG8+'Grid_Incoming'!CH8-'Grid_TTAFOutgoing'!CH8))</f>
        <v/>
      </c>
      <c r="CI8">
        <f>IF(COUNTIFS(T_StockCount[Part Name],$A8,T_StockCount[WeekIndex],86)&gt;0,0,IF(('T_TTAFStock'!CI12&lt;&gt;""),'T_TTAFStock'!CI12,CH8+'Grid_Incoming'!CI8-'Grid_TTAFOutgoing'!CI8))</f>
        <v/>
      </c>
      <c r="CJ8">
        <f>IF(COUNTIFS(T_StockCount[Part Name],$A8,T_StockCount[WeekIndex],87)&gt;0,0,IF(('T_TTAFStock'!CJ12&lt;&gt;""),'T_TTAFStock'!CJ12,CI8+'Grid_Incoming'!CJ8-'Grid_TTAFOutgoing'!CJ8))</f>
        <v/>
      </c>
      <c r="CK8">
        <f>IF(COUNTIFS(T_StockCount[Part Name],$A8,T_StockCount[WeekIndex],88)&gt;0,0,IF(('T_TTAFStock'!CK12&lt;&gt;""),'T_TTAFStock'!CK12,CJ8+'Grid_Incoming'!CK8-'Grid_TTAFOutgoing'!CK8))</f>
        <v/>
      </c>
      <c r="CL8">
        <f>IF(COUNTIFS(T_StockCount[Part Name],$A8,T_StockCount[WeekIndex],89)&gt;0,0,IF(('T_TTAFStock'!CL12&lt;&gt;""),'T_TTAFStock'!CL12,CK8+'Grid_Incoming'!CL8-'Grid_TTAFOutgoing'!CL8))</f>
        <v/>
      </c>
      <c r="CM8">
        <f>IF(COUNTIFS(T_StockCount[Part Name],$A8,T_StockCount[WeekIndex],90)&gt;0,0,IF(('T_TTAFStock'!CM12&lt;&gt;""),'T_TTAFStock'!CM12,CL8+'Grid_Incoming'!CM8-'Grid_TTAFOutgoing'!CM8))</f>
        <v/>
      </c>
      <c r="CN8">
        <f>IF(COUNTIFS(T_StockCount[Part Name],$A8,T_StockCount[WeekIndex],91)&gt;0,0,IF(('T_TTAFStock'!CN12&lt;&gt;""),'T_TTAFStock'!CN12,CM8+'Grid_Incoming'!CN8-'Grid_TTAFOutgoing'!CN8))</f>
        <v/>
      </c>
      <c r="CO8">
        <f>IF(COUNTIFS(T_StockCount[Part Name],$A8,T_StockCount[WeekIndex],92)&gt;0,0,IF(('T_TTAFStock'!CO12&lt;&gt;""),'T_TTAFStock'!CO12,CN8+'Grid_Incoming'!CO8-'Grid_TTAFOutgoing'!CO8))</f>
        <v/>
      </c>
      <c r="CP8">
        <f>IF(COUNTIFS(T_StockCount[Part Name],$A8,T_StockCount[WeekIndex],93)&gt;0,0,IF(('T_TTAFStock'!CP12&lt;&gt;""),'T_TTAFStock'!CP12,CO8+'Grid_Incoming'!CP8-'Grid_TTAFOutgoing'!CP8))</f>
        <v/>
      </c>
      <c r="CQ8">
        <f>IF(COUNTIFS(T_StockCount[Part Name],$A8,T_StockCount[WeekIndex],94)&gt;0,0,IF(('T_TTAFStock'!CQ12&lt;&gt;""),'T_TTAFStock'!CQ12,CP8+'Grid_Incoming'!CQ8-'Grid_TTAFOutgoing'!CQ8))</f>
        <v/>
      </c>
      <c r="CR8">
        <f>IF(COUNTIFS(T_StockCount[Part Name],$A8,T_StockCount[WeekIndex],95)&gt;0,0,IF(('T_TTAFStock'!CR12&lt;&gt;""),'T_TTAFStock'!CR12,CQ8+'Grid_Incoming'!CR8-'Grid_TTAFOutgoing'!CR8))</f>
        <v/>
      </c>
      <c r="CS8">
        <f>IF(COUNTIFS(T_StockCount[Part Name],$A8,T_StockCount[WeekIndex],96)&gt;0,0,IF(('T_TTAFStock'!CS12&lt;&gt;""),'T_TTAFStock'!CS12,CR8+'Grid_Incoming'!CS8-'Grid_TTAFOutgoing'!CS8))</f>
        <v/>
      </c>
      <c r="CT8">
        <f>IF(COUNTIFS(T_StockCount[Part Name],$A8,T_StockCount[WeekIndex],97)&gt;0,0,IF(('T_TTAFStock'!CT12&lt;&gt;""),'T_TTAFStock'!CT12,CS8+'Grid_Incoming'!CT8-'Grid_TTAFOutgoing'!CT8))</f>
        <v/>
      </c>
      <c r="CU8">
        <f>IF(COUNTIFS(T_StockCount[Part Name],$A8,T_StockCount[WeekIndex],98)&gt;0,0,IF(('T_TTAFStock'!CU12&lt;&gt;""),'T_TTAFStock'!CU12,CT8+'Grid_Incoming'!CU8-'Grid_TTAFOutgoing'!CU8))</f>
        <v/>
      </c>
      <c r="CV8">
        <f>IF(COUNTIFS(T_StockCount[Part Name],$A8,T_StockCount[WeekIndex],99)&gt;0,0,IF(('T_TTAFStock'!CV12&lt;&gt;""),'T_TTAFStock'!CV12,CU8+'Grid_Incoming'!CV8-'Grid_TTAFOutgoing'!CV8))</f>
        <v/>
      </c>
      <c r="CW8">
        <f>IF(COUNTIFS(T_StockCount[Part Name],$A8,T_StockCount[WeekIndex],100)&gt;0,0,IF(('T_TTAFStock'!CW12&lt;&gt;""),'T_TTAFStock'!CW12,CV8+'Grid_Incoming'!CW8-'Grid_TTAFOutgoing'!CW8))</f>
        <v/>
      </c>
      <c r="CX8">
        <f>IF(COUNTIFS(T_StockCount[Part Name],$A8,T_StockCount[WeekIndex],101)&gt;0,0,IF(('T_TTAFStock'!CX12&lt;&gt;""),'T_TTAFStock'!CX12,CW8+'Grid_Incoming'!CX8-'Grid_TTAFOutgoing'!CX8))</f>
        <v/>
      </c>
      <c r="CY8">
        <f>IF(COUNTIFS(T_StockCount[Part Name],$A8,T_StockCount[WeekIndex],102)&gt;0,0,IF(('T_TTAFStock'!CY12&lt;&gt;""),'T_TTAFStock'!CY12,CX8+'Grid_Incoming'!CY8-'Grid_TTAFOutgoing'!CY8))</f>
        <v/>
      </c>
      <c r="CZ8">
        <f>IF(COUNTIFS(T_StockCount[Part Name],$A8,T_StockCount[WeekIndex],103)&gt;0,0,IF(('T_TTAFStock'!CZ12&lt;&gt;""),'T_TTAFStock'!CZ12,CY8+'Grid_Incoming'!CZ8-'Grid_TTAFOutgoing'!CZ8))</f>
        <v/>
      </c>
      <c r="DA8">
        <f>IF(COUNTIFS(T_StockCount[Part Name],$A8,T_StockCount[WeekIndex],104)&gt;0,0,IF(('T_TTAFStock'!DA12&lt;&gt;""),'T_TTAFStock'!DA12,CZ8+'Grid_Incoming'!DA8-'Grid_TTAFOutgoing'!DA8))</f>
        <v/>
      </c>
    </row>
    <row r="9">
      <c r="A9" t="inlineStr">
        <is>
          <t>CHEM-1720</t>
        </is>
      </c>
      <c r="B9">
        <f>IF(COUNTIFS(T_StockCount[Part Name],$A9,T_StockCount[WeekIndex],1)&gt;0,0,IF(('T_TTAFStock'!B13&lt;&gt;""),'T_TTAFStock'!B13,0+'Grid_Incoming'!B9-'Grid_TTAFOutgoing'!B9))</f>
        <v/>
      </c>
      <c r="C9">
        <f>IF(COUNTIFS(T_StockCount[Part Name],$A9,T_StockCount[WeekIndex],2)&gt;0,0,IF(('T_TTAFStock'!C13&lt;&gt;""),'T_TTAFStock'!C13,B9+'Grid_Incoming'!C9-'Grid_TTAFOutgoing'!C9))</f>
        <v/>
      </c>
      <c r="D9">
        <f>IF(COUNTIFS(T_StockCount[Part Name],$A9,T_StockCount[WeekIndex],3)&gt;0,0,IF(('T_TTAFStock'!D13&lt;&gt;""),'T_TTAFStock'!D13,C9+'Grid_Incoming'!D9-'Grid_TTAFOutgoing'!D9))</f>
        <v/>
      </c>
      <c r="E9">
        <f>IF(COUNTIFS(T_StockCount[Part Name],$A9,T_StockCount[WeekIndex],4)&gt;0,0,IF(('T_TTAFStock'!E13&lt;&gt;""),'T_TTAFStock'!E13,D9+'Grid_Incoming'!E9-'Grid_TTAFOutgoing'!E9))</f>
        <v/>
      </c>
      <c r="F9">
        <f>IF(COUNTIFS(T_StockCount[Part Name],$A9,T_StockCount[WeekIndex],5)&gt;0,0,IF(('T_TTAFStock'!F13&lt;&gt;""),'T_TTAFStock'!F13,E9+'Grid_Incoming'!F9-'Grid_TTAFOutgoing'!F9))</f>
        <v/>
      </c>
      <c r="G9">
        <f>IF(COUNTIFS(T_StockCount[Part Name],$A9,T_StockCount[WeekIndex],6)&gt;0,0,IF(('T_TTAFStock'!G13&lt;&gt;""),'T_TTAFStock'!G13,F9+'Grid_Incoming'!G9-'Grid_TTAFOutgoing'!G9))</f>
        <v/>
      </c>
      <c r="H9">
        <f>IF(COUNTIFS(T_StockCount[Part Name],$A9,T_StockCount[WeekIndex],7)&gt;0,0,IF(('T_TTAFStock'!H13&lt;&gt;""),'T_TTAFStock'!H13,G9+'Grid_Incoming'!H9-'Grid_TTAFOutgoing'!H9))</f>
        <v/>
      </c>
      <c r="I9">
        <f>IF(COUNTIFS(T_StockCount[Part Name],$A9,T_StockCount[WeekIndex],8)&gt;0,0,IF(('T_TTAFStock'!I13&lt;&gt;""),'T_TTAFStock'!I13,H9+'Grid_Incoming'!I9-'Grid_TTAFOutgoing'!I9))</f>
        <v/>
      </c>
      <c r="J9">
        <f>IF(COUNTIFS(T_StockCount[Part Name],$A9,T_StockCount[WeekIndex],9)&gt;0,0,IF(('T_TTAFStock'!J13&lt;&gt;""),'T_TTAFStock'!J13,I9+'Grid_Incoming'!J9-'Grid_TTAFOutgoing'!J9))</f>
        <v/>
      </c>
      <c r="K9">
        <f>IF(COUNTIFS(T_StockCount[Part Name],$A9,T_StockCount[WeekIndex],10)&gt;0,0,IF(('T_TTAFStock'!K13&lt;&gt;""),'T_TTAFStock'!K13,J9+'Grid_Incoming'!K9-'Grid_TTAFOutgoing'!K9))</f>
        <v/>
      </c>
      <c r="L9">
        <f>IF(COUNTIFS(T_StockCount[Part Name],$A9,T_StockCount[WeekIndex],11)&gt;0,0,IF(('T_TTAFStock'!L13&lt;&gt;""),'T_TTAFStock'!L13,K9+'Grid_Incoming'!L9-'Grid_TTAFOutgoing'!L9))</f>
        <v/>
      </c>
      <c r="M9">
        <f>IF(COUNTIFS(T_StockCount[Part Name],$A9,T_StockCount[WeekIndex],12)&gt;0,0,IF(('T_TTAFStock'!M13&lt;&gt;""),'T_TTAFStock'!M13,L9+'Grid_Incoming'!M9-'Grid_TTAFOutgoing'!M9))</f>
        <v/>
      </c>
      <c r="N9">
        <f>IF(COUNTIFS(T_StockCount[Part Name],$A9,T_StockCount[WeekIndex],13)&gt;0,0,IF(('T_TTAFStock'!N13&lt;&gt;""),'T_TTAFStock'!N13,M9+'Grid_Incoming'!N9-'Grid_TTAFOutgoing'!N9))</f>
        <v/>
      </c>
      <c r="O9">
        <f>IF(COUNTIFS(T_StockCount[Part Name],$A9,T_StockCount[WeekIndex],14)&gt;0,0,IF(('T_TTAFStock'!O13&lt;&gt;""),'T_TTAFStock'!O13,N9+'Grid_Incoming'!O9-'Grid_TTAFOutgoing'!O9))</f>
        <v/>
      </c>
      <c r="P9">
        <f>IF(COUNTIFS(T_StockCount[Part Name],$A9,T_StockCount[WeekIndex],15)&gt;0,0,IF(('T_TTAFStock'!P13&lt;&gt;""),'T_TTAFStock'!P13,O9+'Grid_Incoming'!P9-'Grid_TTAFOutgoing'!P9))</f>
        <v/>
      </c>
      <c r="Q9">
        <f>IF(COUNTIFS(T_StockCount[Part Name],$A9,T_StockCount[WeekIndex],16)&gt;0,0,IF(('T_TTAFStock'!Q13&lt;&gt;""),'T_TTAFStock'!Q13,P9+'Grid_Incoming'!Q9-'Grid_TTAFOutgoing'!Q9))</f>
        <v/>
      </c>
      <c r="R9">
        <f>IF(COUNTIFS(T_StockCount[Part Name],$A9,T_StockCount[WeekIndex],17)&gt;0,0,IF(('T_TTAFStock'!R13&lt;&gt;""),'T_TTAFStock'!R13,Q9+'Grid_Incoming'!R9-'Grid_TTAFOutgoing'!R9))</f>
        <v/>
      </c>
      <c r="S9">
        <f>IF(COUNTIFS(T_StockCount[Part Name],$A9,T_StockCount[WeekIndex],18)&gt;0,0,IF(('T_TTAFStock'!S13&lt;&gt;""),'T_TTAFStock'!S13,R9+'Grid_Incoming'!S9-'Grid_TTAFOutgoing'!S9))</f>
        <v/>
      </c>
      <c r="T9">
        <f>IF(COUNTIFS(T_StockCount[Part Name],$A9,T_StockCount[WeekIndex],19)&gt;0,0,IF(('T_TTAFStock'!T13&lt;&gt;""),'T_TTAFStock'!T13,S9+'Grid_Incoming'!T9-'Grid_TTAFOutgoing'!T9))</f>
        <v/>
      </c>
      <c r="U9">
        <f>IF(COUNTIFS(T_StockCount[Part Name],$A9,T_StockCount[WeekIndex],20)&gt;0,0,IF(('T_TTAFStock'!U13&lt;&gt;""),'T_TTAFStock'!U13,T9+'Grid_Incoming'!U9-'Grid_TTAFOutgoing'!U9))</f>
        <v/>
      </c>
      <c r="V9">
        <f>IF(COUNTIFS(T_StockCount[Part Name],$A9,T_StockCount[WeekIndex],21)&gt;0,0,IF(('T_TTAFStock'!V13&lt;&gt;""),'T_TTAFStock'!V13,U9+'Grid_Incoming'!V9-'Grid_TTAFOutgoing'!V9))</f>
        <v/>
      </c>
      <c r="W9">
        <f>IF(COUNTIFS(T_StockCount[Part Name],$A9,T_StockCount[WeekIndex],22)&gt;0,0,IF(('T_TTAFStock'!W13&lt;&gt;""),'T_TTAFStock'!W13,V9+'Grid_Incoming'!W9-'Grid_TTAFOutgoing'!W9))</f>
        <v/>
      </c>
      <c r="X9">
        <f>IF(COUNTIFS(T_StockCount[Part Name],$A9,T_StockCount[WeekIndex],23)&gt;0,0,IF(('T_TTAFStock'!X13&lt;&gt;""),'T_TTAFStock'!X13,W9+'Grid_Incoming'!X9-'Grid_TTAFOutgoing'!X9))</f>
        <v/>
      </c>
      <c r="Y9">
        <f>IF(COUNTIFS(T_StockCount[Part Name],$A9,T_StockCount[WeekIndex],24)&gt;0,0,IF(('T_TTAFStock'!Y13&lt;&gt;""),'T_TTAFStock'!Y13,X9+'Grid_Incoming'!Y9-'Grid_TTAFOutgoing'!Y9))</f>
        <v/>
      </c>
      <c r="Z9">
        <f>IF(COUNTIFS(T_StockCount[Part Name],$A9,T_StockCount[WeekIndex],25)&gt;0,0,IF(('T_TTAFStock'!Z13&lt;&gt;""),'T_TTAFStock'!Z13,Y9+'Grid_Incoming'!Z9-'Grid_TTAFOutgoing'!Z9))</f>
        <v/>
      </c>
      <c r="AA9">
        <f>IF(COUNTIFS(T_StockCount[Part Name],$A9,T_StockCount[WeekIndex],26)&gt;0,0,IF(('T_TTAFStock'!AA13&lt;&gt;""),'T_TTAFStock'!AA13,Z9+'Grid_Incoming'!AA9-'Grid_TTAFOutgoing'!AA9))</f>
        <v/>
      </c>
      <c r="AB9">
        <f>IF(COUNTIFS(T_StockCount[Part Name],$A9,T_StockCount[WeekIndex],27)&gt;0,0,IF(('T_TTAFStock'!AB13&lt;&gt;""),'T_TTAFStock'!AB13,AA9+'Grid_Incoming'!AB9-'Grid_TTAFOutgoing'!AB9))</f>
        <v/>
      </c>
      <c r="AC9">
        <f>IF(COUNTIFS(T_StockCount[Part Name],$A9,T_StockCount[WeekIndex],28)&gt;0,0,IF(('T_TTAFStock'!AC13&lt;&gt;""),'T_TTAFStock'!AC13,AB9+'Grid_Incoming'!AC9-'Grid_TTAFOutgoing'!AC9))</f>
        <v/>
      </c>
      <c r="AD9">
        <f>IF(COUNTIFS(T_StockCount[Part Name],$A9,T_StockCount[WeekIndex],29)&gt;0,0,IF(('T_TTAFStock'!AD13&lt;&gt;""),'T_TTAFStock'!AD13,AC9+'Grid_Incoming'!AD9-'Grid_TTAFOutgoing'!AD9))</f>
        <v/>
      </c>
      <c r="AE9">
        <f>IF(COUNTIFS(T_StockCount[Part Name],$A9,T_StockCount[WeekIndex],30)&gt;0,0,IF(('T_TTAFStock'!AE13&lt;&gt;""),'T_TTAFStock'!AE13,AD9+'Grid_Incoming'!AE9-'Grid_TTAFOutgoing'!AE9))</f>
        <v/>
      </c>
      <c r="AF9">
        <f>IF(COUNTIFS(T_StockCount[Part Name],$A9,T_StockCount[WeekIndex],31)&gt;0,0,IF(('T_TTAFStock'!AF13&lt;&gt;""),'T_TTAFStock'!AF13,AE9+'Grid_Incoming'!AF9-'Grid_TTAFOutgoing'!AF9))</f>
        <v/>
      </c>
      <c r="AG9">
        <f>IF(COUNTIFS(T_StockCount[Part Name],$A9,T_StockCount[WeekIndex],32)&gt;0,0,IF(('T_TTAFStock'!AG13&lt;&gt;""),'T_TTAFStock'!AG13,AF9+'Grid_Incoming'!AG9-'Grid_TTAFOutgoing'!AG9))</f>
        <v/>
      </c>
      <c r="AH9">
        <f>IF(COUNTIFS(T_StockCount[Part Name],$A9,T_StockCount[WeekIndex],33)&gt;0,0,IF(('T_TTAFStock'!AH13&lt;&gt;""),'T_TTAFStock'!AH13,AG9+'Grid_Incoming'!AH9-'Grid_TTAFOutgoing'!AH9))</f>
        <v/>
      </c>
      <c r="AI9">
        <f>IF(COUNTIFS(T_StockCount[Part Name],$A9,T_StockCount[WeekIndex],34)&gt;0,0,IF(('T_TTAFStock'!AI13&lt;&gt;""),'T_TTAFStock'!AI13,AH9+'Grid_Incoming'!AI9-'Grid_TTAFOutgoing'!AI9))</f>
        <v/>
      </c>
      <c r="AJ9">
        <f>IF(COUNTIFS(T_StockCount[Part Name],$A9,T_StockCount[WeekIndex],35)&gt;0,0,IF(('T_TTAFStock'!AJ13&lt;&gt;""),'T_TTAFStock'!AJ13,AI9+'Grid_Incoming'!AJ9-'Grid_TTAFOutgoing'!AJ9))</f>
        <v/>
      </c>
      <c r="AK9">
        <f>IF(COUNTIFS(T_StockCount[Part Name],$A9,T_StockCount[WeekIndex],36)&gt;0,0,IF(('T_TTAFStock'!AK13&lt;&gt;""),'T_TTAFStock'!AK13,AJ9+'Grid_Incoming'!AK9-'Grid_TTAFOutgoing'!AK9))</f>
        <v/>
      </c>
      <c r="AL9">
        <f>IF(COUNTIFS(T_StockCount[Part Name],$A9,T_StockCount[WeekIndex],37)&gt;0,0,IF(('T_TTAFStock'!AL13&lt;&gt;""),'T_TTAFStock'!AL13,AK9+'Grid_Incoming'!AL9-'Grid_TTAFOutgoing'!AL9))</f>
        <v/>
      </c>
      <c r="AM9">
        <f>IF(COUNTIFS(T_StockCount[Part Name],$A9,T_StockCount[WeekIndex],38)&gt;0,0,IF(('T_TTAFStock'!AM13&lt;&gt;""),'T_TTAFStock'!AM13,AL9+'Grid_Incoming'!AM9-'Grid_TTAFOutgoing'!AM9))</f>
        <v/>
      </c>
      <c r="AN9">
        <f>IF(COUNTIFS(T_StockCount[Part Name],$A9,T_StockCount[WeekIndex],39)&gt;0,0,IF(('T_TTAFStock'!AN13&lt;&gt;""),'T_TTAFStock'!AN13,AM9+'Grid_Incoming'!AN9-'Grid_TTAFOutgoing'!AN9))</f>
        <v/>
      </c>
      <c r="AO9">
        <f>IF(COUNTIFS(T_StockCount[Part Name],$A9,T_StockCount[WeekIndex],40)&gt;0,0,IF(('T_TTAFStock'!AO13&lt;&gt;""),'T_TTAFStock'!AO13,AN9+'Grid_Incoming'!AO9-'Grid_TTAFOutgoing'!AO9))</f>
        <v/>
      </c>
      <c r="AP9">
        <f>IF(COUNTIFS(T_StockCount[Part Name],$A9,T_StockCount[WeekIndex],41)&gt;0,0,IF(('T_TTAFStock'!AP13&lt;&gt;""),'T_TTAFStock'!AP13,AO9+'Grid_Incoming'!AP9-'Grid_TTAFOutgoing'!AP9))</f>
        <v/>
      </c>
      <c r="AQ9">
        <f>IF(COUNTIFS(T_StockCount[Part Name],$A9,T_StockCount[WeekIndex],42)&gt;0,0,IF(('T_TTAFStock'!AQ13&lt;&gt;""),'T_TTAFStock'!AQ13,AP9+'Grid_Incoming'!AQ9-'Grid_TTAFOutgoing'!AQ9))</f>
        <v/>
      </c>
      <c r="AR9">
        <f>IF(COUNTIFS(T_StockCount[Part Name],$A9,T_StockCount[WeekIndex],43)&gt;0,0,IF(('T_TTAFStock'!AR13&lt;&gt;""),'T_TTAFStock'!AR13,AQ9+'Grid_Incoming'!AR9-'Grid_TTAFOutgoing'!AR9))</f>
        <v/>
      </c>
      <c r="AS9">
        <f>IF(COUNTIFS(T_StockCount[Part Name],$A9,T_StockCount[WeekIndex],44)&gt;0,0,IF(('T_TTAFStock'!AS13&lt;&gt;""),'T_TTAFStock'!AS13,AR9+'Grid_Incoming'!AS9-'Grid_TTAFOutgoing'!AS9))</f>
        <v/>
      </c>
      <c r="AT9">
        <f>IF(COUNTIFS(T_StockCount[Part Name],$A9,T_StockCount[WeekIndex],45)&gt;0,0,IF(('T_TTAFStock'!AT13&lt;&gt;""),'T_TTAFStock'!AT13,AS9+'Grid_Incoming'!AT9-'Grid_TTAFOutgoing'!AT9))</f>
        <v/>
      </c>
      <c r="AU9">
        <f>IF(COUNTIFS(T_StockCount[Part Name],$A9,T_StockCount[WeekIndex],46)&gt;0,0,IF(('T_TTAFStock'!AU13&lt;&gt;""),'T_TTAFStock'!AU13,AT9+'Grid_Incoming'!AU9-'Grid_TTAFOutgoing'!AU9))</f>
        <v/>
      </c>
      <c r="AV9">
        <f>IF(COUNTIFS(T_StockCount[Part Name],$A9,T_StockCount[WeekIndex],47)&gt;0,0,IF(('T_TTAFStock'!AV13&lt;&gt;""),'T_TTAFStock'!AV13,AU9+'Grid_Incoming'!AV9-'Grid_TTAFOutgoing'!AV9))</f>
        <v/>
      </c>
      <c r="AW9">
        <f>IF(COUNTIFS(T_StockCount[Part Name],$A9,T_StockCount[WeekIndex],48)&gt;0,0,IF(('T_TTAFStock'!AW13&lt;&gt;""),'T_TTAFStock'!AW13,AV9+'Grid_Incoming'!AW9-'Grid_TTAFOutgoing'!AW9))</f>
        <v/>
      </c>
      <c r="AX9">
        <f>IF(COUNTIFS(T_StockCount[Part Name],$A9,T_StockCount[WeekIndex],49)&gt;0,0,IF(('T_TTAFStock'!AX13&lt;&gt;""),'T_TTAFStock'!AX13,AW9+'Grid_Incoming'!AX9-'Grid_TTAFOutgoing'!AX9))</f>
        <v/>
      </c>
      <c r="AY9">
        <f>IF(COUNTIFS(T_StockCount[Part Name],$A9,T_StockCount[WeekIndex],50)&gt;0,0,IF(('T_TTAFStock'!AY13&lt;&gt;""),'T_TTAFStock'!AY13,AX9+'Grid_Incoming'!AY9-'Grid_TTAFOutgoing'!AY9))</f>
        <v/>
      </c>
      <c r="AZ9">
        <f>IF(COUNTIFS(T_StockCount[Part Name],$A9,T_StockCount[WeekIndex],51)&gt;0,0,IF(('T_TTAFStock'!AZ13&lt;&gt;""),'T_TTAFStock'!AZ13,AY9+'Grid_Incoming'!AZ9-'Grid_TTAFOutgoing'!AZ9))</f>
        <v/>
      </c>
      <c r="BA9">
        <f>IF(COUNTIFS(T_StockCount[Part Name],$A9,T_StockCount[WeekIndex],52)&gt;0,0,IF(('T_TTAFStock'!BA13&lt;&gt;""),'T_TTAFStock'!BA13,AZ9+'Grid_Incoming'!BA9-'Grid_TTAFOutgoing'!BA9))</f>
        <v/>
      </c>
      <c r="BB9">
        <f>IF(COUNTIFS(T_StockCount[Part Name],$A9,T_StockCount[WeekIndex],53)&gt;0,0,IF(('T_TTAFStock'!BB13&lt;&gt;""),'T_TTAFStock'!BB13,BA9+'Grid_Incoming'!BB9-'Grid_TTAFOutgoing'!BB9))</f>
        <v/>
      </c>
      <c r="BC9">
        <f>IF(COUNTIFS(T_StockCount[Part Name],$A9,T_StockCount[WeekIndex],54)&gt;0,0,IF(('T_TTAFStock'!BC13&lt;&gt;""),'T_TTAFStock'!BC13,BB9+'Grid_Incoming'!BC9-'Grid_TTAFOutgoing'!BC9))</f>
        <v/>
      </c>
      <c r="BD9">
        <f>IF(COUNTIFS(T_StockCount[Part Name],$A9,T_StockCount[WeekIndex],55)&gt;0,0,IF(('T_TTAFStock'!BD13&lt;&gt;""),'T_TTAFStock'!BD13,BC9+'Grid_Incoming'!BD9-'Grid_TTAFOutgoing'!BD9))</f>
        <v/>
      </c>
      <c r="BE9">
        <f>IF(COUNTIFS(T_StockCount[Part Name],$A9,T_StockCount[WeekIndex],56)&gt;0,0,IF(('T_TTAFStock'!BE13&lt;&gt;""),'T_TTAFStock'!BE13,BD9+'Grid_Incoming'!BE9-'Grid_TTAFOutgoing'!BE9))</f>
        <v/>
      </c>
      <c r="BF9">
        <f>IF(COUNTIFS(T_StockCount[Part Name],$A9,T_StockCount[WeekIndex],57)&gt;0,0,IF(('T_TTAFStock'!BF13&lt;&gt;""),'T_TTAFStock'!BF13,BE9+'Grid_Incoming'!BF9-'Grid_TTAFOutgoing'!BF9))</f>
        <v/>
      </c>
      <c r="BG9">
        <f>IF(COUNTIFS(T_StockCount[Part Name],$A9,T_StockCount[WeekIndex],58)&gt;0,0,IF(('T_TTAFStock'!BG13&lt;&gt;""),'T_TTAFStock'!BG13,BF9+'Grid_Incoming'!BG9-'Grid_TTAFOutgoing'!BG9))</f>
        <v/>
      </c>
      <c r="BH9">
        <f>IF(COUNTIFS(T_StockCount[Part Name],$A9,T_StockCount[WeekIndex],59)&gt;0,0,IF(('T_TTAFStock'!BH13&lt;&gt;""),'T_TTAFStock'!BH13,BG9+'Grid_Incoming'!BH9-'Grid_TTAFOutgoing'!BH9))</f>
        <v/>
      </c>
      <c r="BI9">
        <f>IF(COUNTIFS(T_StockCount[Part Name],$A9,T_StockCount[WeekIndex],60)&gt;0,0,IF(('T_TTAFStock'!BI13&lt;&gt;""),'T_TTAFStock'!BI13,BH9+'Grid_Incoming'!BI9-'Grid_TTAFOutgoing'!BI9))</f>
        <v/>
      </c>
      <c r="BJ9">
        <f>IF(COUNTIFS(T_StockCount[Part Name],$A9,T_StockCount[WeekIndex],61)&gt;0,0,IF(('T_TTAFStock'!BJ13&lt;&gt;""),'T_TTAFStock'!BJ13,BI9+'Grid_Incoming'!BJ9-'Grid_TTAFOutgoing'!BJ9))</f>
        <v/>
      </c>
      <c r="BK9">
        <f>IF(COUNTIFS(T_StockCount[Part Name],$A9,T_StockCount[WeekIndex],62)&gt;0,0,IF(('T_TTAFStock'!BK13&lt;&gt;""),'T_TTAFStock'!BK13,BJ9+'Grid_Incoming'!BK9-'Grid_TTAFOutgoing'!BK9))</f>
        <v/>
      </c>
      <c r="BL9">
        <f>IF(COUNTIFS(T_StockCount[Part Name],$A9,T_StockCount[WeekIndex],63)&gt;0,0,IF(('T_TTAFStock'!BL13&lt;&gt;""),'T_TTAFStock'!BL13,BK9+'Grid_Incoming'!BL9-'Grid_TTAFOutgoing'!BL9))</f>
        <v/>
      </c>
      <c r="BM9">
        <f>IF(COUNTIFS(T_StockCount[Part Name],$A9,T_StockCount[WeekIndex],64)&gt;0,0,IF(('T_TTAFStock'!BM13&lt;&gt;""),'T_TTAFStock'!BM13,BL9+'Grid_Incoming'!BM9-'Grid_TTAFOutgoing'!BM9))</f>
        <v/>
      </c>
      <c r="BN9">
        <f>IF(COUNTIFS(T_StockCount[Part Name],$A9,T_StockCount[WeekIndex],65)&gt;0,0,IF(('T_TTAFStock'!BN13&lt;&gt;""),'T_TTAFStock'!BN13,BM9+'Grid_Incoming'!BN9-'Grid_TTAFOutgoing'!BN9))</f>
        <v/>
      </c>
      <c r="BO9">
        <f>IF(COUNTIFS(T_StockCount[Part Name],$A9,T_StockCount[WeekIndex],66)&gt;0,0,IF(('T_TTAFStock'!BO13&lt;&gt;""),'T_TTAFStock'!BO13,BN9+'Grid_Incoming'!BO9-'Grid_TTAFOutgoing'!BO9))</f>
        <v/>
      </c>
      <c r="BP9">
        <f>IF(COUNTIFS(T_StockCount[Part Name],$A9,T_StockCount[WeekIndex],67)&gt;0,0,IF(('T_TTAFStock'!BP13&lt;&gt;""),'T_TTAFStock'!BP13,BO9+'Grid_Incoming'!BP9-'Grid_TTAFOutgoing'!BP9))</f>
        <v/>
      </c>
      <c r="BQ9">
        <f>IF(COUNTIFS(T_StockCount[Part Name],$A9,T_StockCount[WeekIndex],68)&gt;0,0,IF(('T_TTAFStock'!BQ13&lt;&gt;""),'T_TTAFStock'!BQ13,BP9+'Grid_Incoming'!BQ9-'Grid_TTAFOutgoing'!BQ9))</f>
        <v/>
      </c>
      <c r="BR9">
        <f>IF(COUNTIFS(T_StockCount[Part Name],$A9,T_StockCount[WeekIndex],69)&gt;0,0,IF(('T_TTAFStock'!BR13&lt;&gt;""),'T_TTAFStock'!BR13,BQ9+'Grid_Incoming'!BR9-'Grid_TTAFOutgoing'!BR9))</f>
        <v/>
      </c>
      <c r="BS9">
        <f>IF(COUNTIFS(T_StockCount[Part Name],$A9,T_StockCount[WeekIndex],70)&gt;0,0,IF(('T_TTAFStock'!BS13&lt;&gt;""),'T_TTAFStock'!BS13,BR9+'Grid_Incoming'!BS9-'Grid_TTAFOutgoing'!BS9))</f>
        <v/>
      </c>
      <c r="BT9">
        <f>IF(COUNTIFS(T_StockCount[Part Name],$A9,T_StockCount[WeekIndex],71)&gt;0,0,IF(('T_TTAFStock'!BT13&lt;&gt;""),'T_TTAFStock'!BT13,BS9+'Grid_Incoming'!BT9-'Grid_TTAFOutgoing'!BT9))</f>
        <v/>
      </c>
      <c r="BU9">
        <f>IF(COUNTIFS(T_StockCount[Part Name],$A9,T_StockCount[WeekIndex],72)&gt;0,0,IF(('T_TTAFStock'!BU13&lt;&gt;""),'T_TTAFStock'!BU13,BT9+'Grid_Incoming'!BU9-'Grid_TTAFOutgoing'!BU9))</f>
        <v/>
      </c>
      <c r="BV9">
        <f>IF(COUNTIFS(T_StockCount[Part Name],$A9,T_StockCount[WeekIndex],73)&gt;0,0,IF(('T_TTAFStock'!BV13&lt;&gt;""),'T_TTAFStock'!BV13,BU9+'Grid_Incoming'!BV9-'Grid_TTAFOutgoing'!BV9))</f>
        <v/>
      </c>
      <c r="BW9">
        <f>IF(COUNTIFS(T_StockCount[Part Name],$A9,T_StockCount[WeekIndex],74)&gt;0,0,IF(('T_TTAFStock'!BW13&lt;&gt;""),'T_TTAFStock'!BW13,BV9+'Grid_Incoming'!BW9-'Grid_TTAFOutgoing'!BW9))</f>
        <v/>
      </c>
      <c r="BX9">
        <f>IF(COUNTIFS(T_StockCount[Part Name],$A9,T_StockCount[WeekIndex],75)&gt;0,0,IF(('T_TTAFStock'!BX13&lt;&gt;""),'T_TTAFStock'!BX13,BW9+'Grid_Incoming'!BX9-'Grid_TTAFOutgoing'!BX9))</f>
        <v/>
      </c>
      <c r="BY9">
        <f>IF(COUNTIFS(T_StockCount[Part Name],$A9,T_StockCount[WeekIndex],76)&gt;0,0,IF(('T_TTAFStock'!BY13&lt;&gt;""),'T_TTAFStock'!BY13,BX9+'Grid_Incoming'!BY9-'Grid_TTAFOutgoing'!BY9))</f>
        <v/>
      </c>
      <c r="BZ9">
        <f>IF(COUNTIFS(T_StockCount[Part Name],$A9,T_StockCount[WeekIndex],77)&gt;0,0,IF(('T_TTAFStock'!BZ13&lt;&gt;""),'T_TTAFStock'!BZ13,BY9+'Grid_Incoming'!BZ9-'Grid_TTAFOutgoing'!BZ9))</f>
        <v/>
      </c>
      <c r="CA9">
        <f>IF(COUNTIFS(T_StockCount[Part Name],$A9,T_StockCount[WeekIndex],78)&gt;0,0,IF(('T_TTAFStock'!CA13&lt;&gt;""),'T_TTAFStock'!CA13,BZ9+'Grid_Incoming'!CA9-'Grid_TTAFOutgoing'!CA9))</f>
        <v/>
      </c>
      <c r="CB9">
        <f>IF(COUNTIFS(T_StockCount[Part Name],$A9,T_StockCount[WeekIndex],79)&gt;0,0,IF(('T_TTAFStock'!CB13&lt;&gt;""),'T_TTAFStock'!CB13,CA9+'Grid_Incoming'!CB9-'Grid_TTAFOutgoing'!CB9))</f>
        <v/>
      </c>
      <c r="CC9">
        <f>IF(COUNTIFS(T_StockCount[Part Name],$A9,T_StockCount[WeekIndex],80)&gt;0,0,IF(('T_TTAFStock'!CC13&lt;&gt;""),'T_TTAFStock'!CC13,CB9+'Grid_Incoming'!CC9-'Grid_TTAFOutgoing'!CC9))</f>
        <v/>
      </c>
      <c r="CD9">
        <f>IF(COUNTIFS(T_StockCount[Part Name],$A9,T_StockCount[WeekIndex],81)&gt;0,0,IF(('T_TTAFStock'!CD13&lt;&gt;""),'T_TTAFStock'!CD13,CC9+'Grid_Incoming'!CD9-'Grid_TTAFOutgoing'!CD9))</f>
        <v/>
      </c>
      <c r="CE9">
        <f>IF(COUNTIFS(T_StockCount[Part Name],$A9,T_StockCount[WeekIndex],82)&gt;0,0,IF(('T_TTAFStock'!CE13&lt;&gt;""),'T_TTAFStock'!CE13,CD9+'Grid_Incoming'!CE9-'Grid_TTAFOutgoing'!CE9))</f>
        <v/>
      </c>
      <c r="CF9">
        <f>IF(COUNTIFS(T_StockCount[Part Name],$A9,T_StockCount[WeekIndex],83)&gt;0,0,IF(('T_TTAFStock'!CF13&lt;&gt;""),'T_TTAFStock'!CF13,CE9+'Grid_Incoming'!CF9-'Grid_TTAFOutgoing'!CF9))</f>
        <v/>
      </c>
      <c r="CG9">
        <f>IF(COUNTIFS(T_StockCount[Part Name],$A9,T_StockCount[WeekIndex],84)&gt;0,0,IF(('T_TTAFStock'!CG13&lt;&gt;""),'T_TTAFStock'!CG13,CF9+'Grid_Incoming'!CG9-'Grid_TTAFOutgoing'!CG9))</f>
        <v/>
      </c>
      <c r="CH9">
        <f>IF(COUNTIFS(T_StockCount[Part Name],$A9,T_StockCount[WeekIndex],85)&gt;0,0,IF(('T_TTAFStock'!CH13&lt;&gt;""),'T_TTAFStock'!CH13,CG9+'Grid_Incoming'!CH9-'Grid_TTAFOutgoing'!CH9))</f>
        <v/>
      </c>
      <c r="CI9">
        <f>IF(COUNTIFS(T_StockCount[Part Name],$A9,T_StockCount[WeekIndex],86)&gt;0,0,IF(('T_TTAFStock'!CI13&lt;&gt;""),'T_TTAFStock'!CI13,CH9+'Grid_Incoming'!CI9-'Grid_TTAFOutgoing'!CI9))</f>
        <v/>
      </c>
      <c r="CJ9">
        <f>IF(COUNTIFS(T_StockCount[Part Name],$A9,T_StockCount[WeekIndex],87)&gt;0,0,IF(('T_TTAFStock'!CJ13&lt;&gt;""),'T_TTAFStock'!CJ13,CI9+'Grid_Incoming'!CJ9-'Grid_TTAFOutgoing'!CJ9))</f>
        <v/>
      </c>
      <c r="CK9">
        <f>IF(COUNTIFS(T_StockCount[Part Name],$A9,T_StockCount[WeekIndex],88)&gt;0,0,IF(('T_TTAFStock'!CK13&lt;&gt;""),'T_TTAFStock'!CK13,CJ9+'Grid_Incoming'!CK9-'Grid_TTAFOutgoing'!CK9))</f>
        <v/>
      </c>
      <c r="CL9">
        <f>IF(COUNTIFS(T_StockCount[Part Name],$A9,T_StockCount[WeekIndex],89)&gt;0,0,IF(('T_TTAFStock'!CL13&lt;&gt;""),'T_TTAFStock'!CL13,CK9+'Grid_Incoming'!CL9-'Grid_TTAFOutgoing'!CL9))</f>
        <v/>
      </c>
      <c r="CM9">
        <f>IF(COUNTIFS(T_StockCount[Part Name],$A9,T_StockCount[WeekIndex],90)&gt;0,0,IF(('T_TTAFStock'!CM13&lt;&gt;""),'T_TTAFStock'!CM13,CL9+'Grid_Incoming'!CM9-'Grid_TTAFOutgoing'!CM9))</f>
        <v/>
      </c>
      <c r="CN9">
        <f>IF(COUNTIFS(T_StockCount[Part Name],$A9,T_StockCount[WeekIndex],91)&gt;0,0,IF(('T_TTAFStock'!CN13&lt;&gt;""),'T_TTAFStock'!CN13,CM9+'Grid_Incoming'!CN9-'Grid_TTAFOutgoing'!CN9))</f>
        <v/>
      </c>
      <c r="CO9">
        <f>IF(COUNTIFS(T_StockCount[Part Name],$A9,T_StockCount[WeekIndex],92)&gt;0,0,IF(('T_TTAFStock'!CO13&lt;&gt;""),'T_TTAFStock'!CO13,CN9+'Grid_Incoming'!CO9-'Grid_TTAFOutgoing'!CO9))</f>
        <v/>
      </c>
      <c r="CP9">
        <f>IF(COUNTIFS(T_StockCount[Part Name],$A9,T_StockCount[WeekIndex],93)&gt;0,0,IF(('T_TTAFStock'!CP13&lt;&gt;""),'T_TTAFStock'!CP13,CO9+'Grid_Incoming'!CP9-'Grid_TTAFOutgoing'!CP9))</f>
        <v/>
      </c>
      <c r="CQ9">
        <f>IF(COUNTIFS(T_StockCount[Part Name],$A9,T_StockCount[WeekIndex],94)&gt;0,0,IF(('T_TTAFStock'!CQ13&lt;&gt;""),'T_TTAFStock'!CQ13,CP9+'Grid_Incoming'!CQ9-'Grid_TTAFOutgoing'!CQ9))</f>
        <v/>
      </c>
      <c r="CR9">
        <f>IF(COUNTIFS(T_StockCount[Part Name],$A9,T_StockCount[WeekIndex],95)&gt;0,0,IF(('T_TTAFStock'!CR13&lt;&gt;""),'T_TTAFStock'!CR13,CQ9+'Grid_Incoming'!CR9-'Grid_TTAFOutgoing'!CR9))</f>
        <v/>
      </c>
      <c r="CS9">
        <f>IF(COUNTIFS(T_StockCount[Part Name],$A9,T_StockCount[WeekIndex],96)&gt;0,0,IF(('T_TTAFStock'!CS13&lt;&gt;""),'T_TTAFStock'!CS13,CR9+'Grid_Incoming'!CS9-'Grid_TTAFOutgoing'!CS9))</f>
        <v/>
      </c>
      <c r="CT9">
        <f>IF(COUNTIFS(T_StockCount[Part Name],$A9,T_StockCount[WeekIndex],97)&gt;0,0,IF(('T_TTAFStock'!CT13&lt;&gt;""),'T_TTAFStock'!CT13,CS9+'Grid_Incoming'!CT9-'Grid_TTAFOutgoing'!CT9))</f>
        <v/>
      </c>
      <c r="CU9">
        <f>IF(COUNTIFS(T_StockCount[Part Name],$A9,T_StockCount[WeekIndex],98)&gt;0,0,IF(('T_TTAFStock'!CU13&lt;&gt;""),'T_TTAFStock'!CU13,CT9+'Grid_Incoming'!CU9-'Grid_TTAFOutgoing'!CU9))</f>
        <v/>
      </c>
      <c r="CV9">
        <f>IF(COUNTIFS(T_StockCount[Part Name],$A9,T_StockCount[WeekIndex],99)&gt;0,0,IF(('T_TTAFStock'!CV13&lt;&gt;""),'T_TTAFStock'!CV13,CU9+'Grid_Incoming'!CV9-'Grid_TTAFOutgoing'!CV9))</f>
        <v/>
      </c>
      <c r="CW9">
        <f>IF(COUNTIFS(T_StockCount[Part Name],$A9,T_StockCount[WeekIndex],100)&gt;0,0,IF(('T_TTAFStock'!CW13&lt;&gt;""),'T_TTAFStock'!CW13,CV9+'Grid_Incoming'!CW9-'Grid_TTAFOutgoing'!CW9))</f>
        <v/>
      </c>
      <c r="CX9">
        <f>IF(COUNTIFS(T_StockCount[Part Name],$A9,T_StockCount[WeekIndex],101)&gt;0,0,IF(('T_TTAFStock'!CX13&lt;&gt;""),'T_TTAFStock'!CX13,CW9+'Grid_Incoming'!CX9-'Grid_TTAFOutgoing'!CX9))</f>
        <v/>
      </c>
      <c r="CY9">
        <f>IF(COUNTIFS(T_StockCount[Part Name],$A9,T_StockCount[WeekIndex],102)&gt;0,0,IF(('T_TTAFStock'!CY13&lt;&gt;""),'T_TTAFStock'!CY13,CX9+'Grid_Incoming'!CY9-'Grid_TTAFOutgoing'!CY9))</f>
        <v/>
      </c>
      <c r="CZ9">
        <f>IF(COUNTIFS(T_StockCount[Part Name],$A9,T_StockCount[WeekIndex],103)&gt;0,0,IF(('T_TTAFStock'!CZ13&lt;&gt;""),'T_TTAFStock'!CZ13,CY9+'Grid_Incoming'!CZ9-'Grid_TTAFOutgoing'!CZ9))</f>
        <v/>
      </c>
      <c r="DA9">
        <f>IF(COUNTIFS(T_StockCount[Part Name],$A9,T_StockCount[WeekIndex],104)&gt;0,0,IF(('T_TTAFStock'!DA13&lt;&gt;""),'T_TTAFStock'!DA13,CZ9+'Grid_Incoming'!DA9-'Grid_TTAFOutgoing'!DA9))</f>
        <v/>
      </c>
    </row>
    <row r="10">
      <c r="A10" t="inlineStr">
        <is>
          <t>CHEM-1440</t>
        </is>
      </c>
      <c r="B10">
        <f>IF(COUNTIFS(T_StockCount[Part Name],$A10,T_StockCount[WeekIndex],1)&gt;0,0,IF(('T_TTAFStock'!B14&lt;&gt;""),'T_TTAFStock'!B14,0+'Grid_Incoming'!B10-'Grid_TTAFOutgoing'!B10))</f>
        <v/>
      </c>
      <c r="C10">
        <f>IF(COUNTIFS(T_StockCount[Part Name],$A10,T_StockCount[WeekIndex],2)&gt;0,0,IF(('T_TTAFStock'!C14&lt;&gt;""),'T_TTAFStock'!C14,B10+'Grid_Incoming'!C10-'Grid_TTAFOutgoing'!C10))</f>
        <v/>
      </c>
      <c r="D10">
        <f>IF(COUNTIFS(T_StockCount[Part Name],$A10,T_StockCount[WeekIndex],3)&gt;0,0,IF(('T_TTAFStock'!D14&lt;&gt;""),'T_TTAFStock'!D14,C10+'Grid_Incoming'!D10-'Grid_TTAFOutgoing'!D10))</f>
        <v/>
      </c>
      <c r="E10">
        <f>IF(COUNTIFS(T_StockCount[Part Name],$A10,T_StockCount[WeekIndex],4)&gt;0,0,IF(('T_TTAFStock'!E14&lt;&gt;""),'T_TTAFStock'!E14,D10+'Grid_Incoming'!E10-'Grid_TTAFOutgoing'!E10))</f>
        <v/>
      </c>
      <c r="F10">
        <f>IF(COUNTIFS(T_StockCount[Part Name],$A10,T_StockCount[WeekIndex],5)&gt;0,0,IF(('T_TTAFStock'!F14&lt;&gt;""),'T_TTAFStock'!F14,E10+'Grid_Incoming'!F10-'Grid_TTAFOutgoing'!F10))</f>
        <v/>
      </c>
      <c r="G10">
        <f>IF(COUNTIFS(T_StockCount[Part Name],$A10,T_StockCount[WeekIndex],6)&gt;0,0,IF(('T_TTAFStock'!G14&lt;&gt;""),'T_TTAFStock'!G14,F10+'Grid_Incoming'!G10-'Grid_TTAFOutgoing'!G10))</f>
        <v/>
      </c>
      <c r="H10">
        <f>IF(COUNTIFS(T_StockCount[Part Name],$A10,T_StockCount[WeekIndex],7)&gt;0,0,IF(('T_TTAFStock'!H14&lt;&gt;""),'T_TTAFStock'!H14,G10+'Grid_Incoming'!H10-'Grid_TTAFOutgoing'!H10))</f>
        <v/>
      </c>
      <c r="I10">
        <f>IF(COUNTIFS(T_StockCount[Part Name],$A10,T_StockCount[WeekIndex],8)&gt;0,0,IF(('T_TTAFStock'!I14&lt;&gt;""),'T_TTAFStock'!I14,H10+'Grid_Incoming'!I10-'Grid_TTAFOutgoing'!I10))</f>
        <v/>
      </c>
      <c r="J10">
        <f>IF(COUNTIFS(T_StockCount[Part Name],$A10,T_StockCount[WeekIndex],9)&gt;0,0,IF(('T_TTAFStock'!J14&lt;&gt;""),'T_TTAFStock'!J14,I10+'Grid_Incoming'!J10-'Grid_TTAFOutgoing'!J10))</f>
        <v/>
      </c>
      <c r="K10">
        <f>IF(COUNTIFS(T_StockCount[Part Name],$A10,T_StockCount[WeekIndex],10)&gt;0,0,IF(('T_TTAFStock'!K14&lt;&gt;""),'T_TTAFStock'!K14,J10+'Grid_Incoming'!K10-'Grid_TTAFOutgoing'!K10))</f>
        <v/>
      </c>
      <c r="L10">
        <f>IF(COUNTIFS(T_StockCount[Part Name],$A10,T_StockCount[WeekIndex],11)&gt;0,0,IF(('T_TTAFStock'!L14&lt;&gt;""),'T_TTAFStock'!L14,K10+'Grid_Incoming'!L10-'Grid_TTAFOutgoing'!L10))</f>
        <v/>
      </c>
      <c r="M10">
        <f>IF(COUNTIFS(T_StockCount[Part Name],$A10,T_StockCount[WeekIndex],12)&gt;0,0,IF(('T_TTAFStock'!M14&lt;&gt;""),'T_TTAFStock'!M14,L10+'Grid_Incoming'!M10-'Grid_TTAFOutgoing'!M10))</f>
        <v/>
      </c>
      <c r="N10">
        <f>IF(COUNTIFS(T_StockCount[Part Name],$A10,T_StockCount[WeekIndex],13)&gt;0,0,IF(('T_TTAFStock'!N14&lt;&gt;""),'T_TTAFStock'!N14,M10+'Grid_Incoming'!N10-'Grid_TTAFOutgoing'!N10))</f>
        <v/>
      </c>
      <c r="O10">
        <f>IF(COUNTIFS(T_StockCount[Part Name],$A10,T_StockCount[WeekIndex],14)&gt;0,0,IF(('T_TTAFStock'!O14&lt;&gt;""),'T_TTAFStock'!O14,N10+'Grid_Incoming'!O10-'Grid_TTAFOutgoing'!O10))</f>
        <v/>
      </c>
      <c r="P10">
        <f>IF(COUNTIFS(T_StockCount[Part Name],$A10,T_StockCount[WeekIndex],15)&gt;0,0,IF(('T_TTAFStock'!P14&lt;&gt;""),'T_TTAFStock'!P14,O10+'Grid_Incoming'!P10-'Grid_TTAFOutgoing'!P10))</f>
        <v/>
      </c>
      <c r="Q10">
        <f>IF(COUNTIFS(T_StockCount[Part Name],$A10,T_StockCount[WeekIndex],16)&gt;0,0,IF(('T_TTAFStock'!Q14&lt;&gt;""),'T_TTAFStock'!Q14,P10+'Grid_Incoming'!Q10-'Grid_TTAFOutgoing'!Q10))</f>
        <v/>
      </c>
      <c r="R10">
        <f>IF(COUNTIFS(T_StockCount[Part Name],$A10,T_StockCount[WeekIndex],17)&gt;0,0,IF(('T_TTAFStock'!R14&lt;&gt;""),'T_TTAFStock'!R14,Q10+'Grid_Incoming'!R10-'Grid_TTAFOutgoing'!R10))</f>
        <v/>
      </c>
      <c r="S10">
        <f>IF(COUNTIFS(T_StockCount[Part Name],$A10,T_StockCount[WeekIndex],18)&gt;0,0,IF(('T_TTAFStock'!S14&lt;&gt;""),'T_TTAFStock'!S14,R10+'Grid_Incoming'!S10-'Grid_TTAFOutgoing'!S10))</f>
        <v/>
      </c>
      <c r="T10">
        <f>IF(COUNTIFS(T_StockCount[Part Name],$A10,T_StockCount[WeekIndex],19)&gt;0,0,IF(('T_TTAFStock'!T14&lt;&gt;""),'T_TTAFStock'!T14,S10+'Grid_Incoming'!T10-'Grid_TTAFOutgoing'!T10))</f>
        <v/>
      </c>
      <c r="U10">
        <f>IF(COUNTIFS(T_StockCount[Part Name],$A10,T_StockCount[WeekIndex],20)&gt;0,0,IF(('T_TTAFStock'!U14&lt;&gt;""),'T_TTAFStock'!U14,T10+'Grid_Incoming'!U10-'Grid_TTAFOutgoing'!U10))</f>
        <v/>
      </c>
      <c r="V10">
        <f>IF(COUNTIFS(T_StockCount[Part Name],$A10,T_StockCount[WeekIndex],21)&gt;0,0,IF(('T_TTAFStock'!V14&lt;&gt;""),'T_TTAFStock'!V14,U10+'Grid_Incoming'!V10-'Grid_TTAFOutgoing'!V10))</f>
        <v/>
      </c>
      <c r="W10">
        <f>IF(COUNTIFS(T_StockCount[Part Name],$A10,T_StockCount[WeekIndex],22)&gt;0,0,IF(('T_TTAFStock'!W14&lt;&gt;""),'T_TTAFStock'!W14,V10+'Grid_Incoming'!W10-'Grid_TTAFOutgoing'!W10))</f>
        <v/>
      </c>
      <c r="X10">
        <f>IF(COUNTIFS(T_StockCount[Part Name],$A10,T_StockCount[WeekIndex],23)&gt;0,0,IF(('T_TTAFStock'!X14&lt;&gt;""),'T_TTAFStock'!X14,W10+'Grid_Incoming'!X10-'Grid_TTAFOutgoing'!X10))</f>
        <v/>
      </c>
      <c r="Y10">
        <f>IF(COUNTIFS(T_StockCount[Part Name],$A10,T_StockCount[WeekIndex],24)&gt;0,0,IF(('T_TTAFStock'!Y14&lt;&gt;""),'T_TTAFStock'!Y14,X10+'Grid_Incoming'!Y10-'Grid_TTAFOutgoing'!Y10))</f>
        <v/>
      </c>
      <c r="Z10">
        <f>IF(COUNTIFS(T_StockCount[Part Name],$A10,T_StockCount[WeekIndex],25)&gt;0,0,IF(('T_TTAFStock'!Z14&lt;&gt;""),'T_TTAFStock'!Z14,Y10+'Grid_Incoming'!Z10-'Grid_TTAFOutgoing'!Z10))</f>
        <v/>
      </c>
      <c r="AA10">
        <f>IF(COUNTIFS(T_StockCount[Part Name],$A10,T_StockCount[WeekIndex],26)&gt;0,0,IF(('T_TTAFStock'!AA14&lt;&gt;""),'T_TTAFStock'!AA14,Z10+'Grid_Incoming'!AA10-'Grid_TTAFOutgoing'!AA10))</f>
        <v/>
      </c>
      <c r="AB10">
        <f>IF(COUNTIFS(T_StockCount[Part Name],$A10,T_StockCount[WeekIndex],27)&gt;0,0,IF(('T_TTAFStock'!AB14&lt;&gt;""),'T_TTAFStock'!AB14,AA10+'Grid_Incoming'!AB10-'Grid_TTAFOutgoing'!AB10))</f>
        <v/>
      </c>
      <c r="AC10">
        <f>IF(COUNTIFS(T_StockCount[Part Name],$A10,T_StockCount[WeekIndex],28)&gt;0,0,IF(('T_TTAFStock'!AC14&lt;&gt;""),'T_TTAFStock'!AC14,AB10+'Grid_Incoming'!AC10-'Grid_TTAFOutgoing'!AC10))</f>
        <v/>
      </c>
      <c r="AD10">
        <f>IF(COUNTIFS(T_StockCount[Part Name],$A10,T_StockCount[WeekIndex],29)&gt;0,0,IF(('T_TTAFStock'!AD14&lt;&gt;""),'T_TTAFStock'!AD14,AC10+'Grid_Incoming'!AD10-'Grid_TTAFOutgoing'!AD10))</f>
        <v/>
      </c>
      <c r="AE10">
        <f>IF(COUNTIFS(T_StockCount[Part Name],$A10,T_StockCount[WeekIndex],30)&gt;0,0,IF(('T_TTAFStock'!AE14&lt;&gt;""),'T_TTAFStock'!AE14,AD10+'Grid_Incoming'!AE10-'Grid_TTAFOutgoing'!AE10))</f>
        <v/>
      </c>
      <c r="AF10">
        <f>IF(COUNTIFS(T_StockCount[Part Name],$A10,T_StockCount[WeekIndex],31)&gt;0,0,IF(('T_TTAFStock'!AF14&lt;&gt;""),'T_TTAFStock'!AF14,AE10+'Grid_Incoming'!AF10-'Grid_TTAFOutgoing'!AF10))</f>
        <v/>
      </c>
      <c r="AG10">
        <f>IF(COUNTIFS(T_StockCount[Part Name],$A10,T_StockCount[WeekIndex],32)&gt;0,0,IF(('T_TTAFStock'!AG14&lt;&gt;""),'T_TTAFStock'!AG14,AF10+'Grid_Incoming'!AG10-'Grid_TTAFOutgoing'!AG10))</f>
        <v/>
      </c>
      <c r="AH10">
        <f>IF(COUNTIFS(T_StockCount[Part Name],$A10,T_StockCount[WeekIndex],33)&gt;0,0,IF(('T_TTAFStock'!AH14&lt;&gt;""),'T_TTAFStock'!AH14,AG10+'Grid_Incoming'!AH10-'Grid_TTAFOutgoing'!AH10))</f>
        <v/>
      </c>
      <c r="AI10">
        <f>IF(COUNTIFS(T_StockCount[Part Name],$A10,T_StockCount[WeekIndex],34)&gt;0,0,IF(('T_TTAFStock'!AI14&lt;&gt;""),'T_TTAFStock'!AI14,AH10+'Grid_Incoming'!AI10-'Grid_TTAFOutgoing'!AI10))</f>
        <v/>
      </c>
      <c r="AJ10">
        <f>IF(COUNTIFS(T_StockCount[Part Name],$A10,T_StockCount[WeekIndex],35)&gt;0,0,IF(('T_TTAFStock'!AJ14&lt;&gt;""),'T_TTAFStock'!AJ14,AI10+'Grid_Incoming'!AJ10-'Grid_TTAFOutgoing'!AJ10))</f>
        <v/>
      </c>
      <c r="AK10">
        <f>IF(COUNTIFS(T_StockCount[Part Name],$A10,T_StockCount[WeekIndex],36)&gt;0,0,IF(('T_TTAFStock'!AK14&lt;&gt;""),'T_TTAFStock'!AK14,AJ10+'Grid_Incoming'!AK10-'Grid_TTAFOutgoing'!AK10))</f>
        <v/>
      </c>
      <c r="AL10">
        <f>IF(COUNTIFS(T_StockCount[Part Name],$A10,T_StockCount[WeekIndex],37)&gt;0,0,IF(('T_TTAFStock'!AL14&lt;&gt;""),'T_TTAFStock'!AL14,AK10+'Grid_Incoming'!AL10-'Grid_TTAFOutgoing'!AL10))</f>
        <v/>
      </c>
      <c r="AM10">
        <f>IF(COUNTIFS(T_StockCount[Part Name],$A10,T_StockCount[WeekIndex],38)&gt;0,0,IF(('T_TTAFStock'!AM14&lt;&gt;""),'T_TTAFStock'!AM14,AL10+'Grid_Incoming'!AM10-'Grid_TTAFOutgoing'!AM10))</f>
        <v/>
      </c>
      <c r="AN10">
        <f>IF(COUNTIFS(T_StockCount[Part Name],$A10,T_StockCount[WeekIndex],39)&gt;0,0,IF(('T_TTAFStock'!AN14&lt;&gt;""),'T_TTAFStock'!AN14,AM10+'Grid_Incoming'!AN10-'Grid_TTAFOutgoing'!AN10))</f>
        <v/>
      </c>
      <c r="AO10">
        <f>IF(COUNTIFS(T_StockCount[Part Name],$A10,T_StockCount[WeekIndex],40)&gt;0,0,IF(('T_TTAFStock'!AO14&lt;&gt;""),'T_TTAFStock'!AO14,AN10+'Grid_Incoming'!AO10-'Grid_TTAFOutgoing'!AO10))</f>
        <v/>
      </c>
      <c r="AP10">
        <f>IF(COUNTIFS(T_StockCount[Part Name],$A10,T_StockCount[WeekIndex],41)&gt;0,0,IF(('T_TTAFStock'!AP14&lt;&gt;""),'T_TTAFStock'!AP14,AO10+'Grid_Incoming'!AP10-'Grid_TTAFOutgoing'!AP10))</f>
        <v/>
      </c>
      <c r="AQ10">
        <f>IF(COUNTIFS(T_StockCount[Part Name],$A10,T_StockCount[WeekIndex],42)&gt;0,0,IF(('T_TTAFStock'!AQ14&lt;&gt;""),'T_TTAFStock'!AQ14,AP10+'Grid_Incoming'!AQ10-'Grid_TTAFOutgoing'!AQ10))</f>
        <v/>
      </c>
      <c r="AR10">
        <f>IF(COUNTIFS(T_StockCount[Part Name],$A10,T_StockCount[WeekIndex],43)&gt;0,0,IF(('T_TTAFStock'!AR14&lt;&gt;""),'T_TTAFStock'!AR14,AQ10+'Grid_Incoming'!AR10-'Grid_TTAFOutgoing'!AR10))</f>
        <v/>
      </c>
      <c r="AS10">
        <f>IF(COUNTIFS(T_StockCount[Part Name],$A10,T_StockCount[WeekIndex],44)&gt;0,0,IF(('T_TTAFStock'!AS14&lt;&gt;""),'T_TTAFStock'!AS14,AR10+'Grid_Incoming'!AS10-'Grid_TTAFOutgoing'!AS10))</f>
        <v/>
      </c>
      <c r="AT10">
        <f>IF(COUNTIFS(T_StockCount[Part Name],$A10,T_StockCount[WeekIndex],45)&gt;0,0,IF(('T_TTAFStock'!AT14&lt;&gt;""),'T_TTAFStock'!AT14,AS10+'Grid_Incoming'!AT10-'Grid_TTAFOutgoing'!AT10))</f>
        <v/>
      </c>
      <c r="AU10">
        <f>IF(COUNTIFS(T_StockCount[Part Name],$A10,T_StockCount[WeekIndex],46)&gt;0,0,IF(('T_TTAFStock'!AU14&lt;&gt;""),'T_TTAFStock'!AU14,AT10+'Grid_Incoming'!AU10-'Grid_TTAFOutgoing'!AU10))</f>
        <v/>
      </c>
      <c r="AV10">
        <f>IF(COUNTIFS(T_StockCount[Part Name],$A10,T_StockCount[WeekIndex],47)&gt;0,0,IF(('T_TTAFStock'!AV14&lt;&gt;""),'T_TTAFStock'!AV14,AU10+'Grid_Incoming'!AV10-'Grid_TTAFOutgoing'!AV10))</f>
        <v/>
      </c>
      <c r="AW10">
        <f>IF(COUNTIFS(T_StockCount[Part Name],$A10,T_StockCount[WeekIndex],48)&gt;0,0,IF(('T_TTAFStock'!AW14&lt;&gt;""),'T_TTAFStock'!AW14,AV10+'Grid_Incoming'!AW10-'Grid_TTAFOutgoing'!AW10))</f>
        <v/>
      </c>
      <c r="AX10">
        <f>IF(COUNTIFS(T_StockCount[Part Name],$A10,T_StockCount[WeekIndex],49)&gt;0,0,IF(('T_TTAFStock'!AX14&lt;&gt;""),'T_TTAFStock'!AX14,AW10+'Grid_Incoming'!AX10-'Grid_TTAFOutgoing'!AX10))</f>
        <v/>
      </c>
      <c r="AY10">
        <f>IF(COUNTIFS(T_StockCount[Part Name],$A10,T_StockCount[WeekIndex],50)&gt;0,0,IF(('T_TTAFStock'!AY14&lt;&gt;""),'T_TTAFStock'!AY14,AX10+'Grid_Incoming'!AY10-'Grid_TTAFOutgoing'!AY10))</f>
        <v/>
      </c>
      <c r="AZ10">
        <f>IF(COUNTIFS(T_StockCount[Part Name],$A10,T_StockCount[WeekIndex],51)&gt;0,0,IF(('T_TTAFStock'!AZ14&lt;&gt;""),'T_TTAFStock'!AZ14,AY10+'Grid_Incoming'!AZ10-'Grid_TTAFOutgoing'!AZ10))</f>
        <v/>
      </c>
      <c r="BA10">
        <f>IF(COUNTIFS(T_StockCount[Part Name],$A10,T_StockCount[WeekIndex],52)&gt;0,0,IF(('T_TTAFStock'!BA14&lt;&gt;""),'T_TTAFStock'!BA14,AZ10+'Grid_Incoming'!BA10-'Grid_TTAFOutgoing'!BA10))</f>
        <v/>
      </c>
      <c r="BB10">
        <f>IF(COUNTIFS(T_StockCount[Part Name],$A10,T_StockCount[WeekIndex],53)&gt;0,0,IF(('T_TTAFStock'!BB14&lt;&gt;""),'T_TTAFStock'!BB14,BA10+'Grid_Incoming'!BB10-'Grid_TTAFOutgoing'!BB10))</f>
        <v/>
      </c>
      <c r="BC10">
        <f>IF(COUNTIFS(T_StockCount[Part Name],$A10,T_StockCount[WeekIndex],54)&gt;0,0,IF(('T_TTAFStock'!BC14&lt;&gt;""),'T_TTAFStock'!BC14,BB10+'Grid_Incoming'!BC10-'Grid_TTAFOutgoing'!BC10))</f>
        <v/>
      </c>
      <c r="BD10">
        <f>IF(COUNTIFS(T_StockCount[Part Name],$A10,T_StockCount[WeekIndex],55)&gt;0,0,IF(('T_TTAFStock'!BD14&lt;&gt;""),'T_TTAFStock'!BD14,BC10+'Grid_Incoming'!BD10-'Grid_TTAFOutgoing'!BD10))</f>
        <v/>
      </c>
      <c r="BE10">
        <f>IF(COUNTIFS(T_StockCount[Part Name],$A10,T_StockCount[WeekIndex],56)&gt;0,0,IF(('T_TTAFStock'!BE14&lt;&gt;""),'T_TTAFStock'!BE14,BD10+'Grid_Incoming'!BE10-'Grid_TTAFOutgoing'!BE10))</f>
        <v/>
      </c>
      <c r="BF10">
        <f>IF(COUNTIFS(T_StockCount[Part Name],$A10,T_StockCount[WeekIndex],57)&gt;0,0,IF(('T_TTAFStock'!BF14&lt;&gt;""),'T_TTAFStock'!BF14,BE10+'Grid_Incoming'!BF10-'Grid_TTAFOutgoing'!BF10))</f>
        <v/>
      </c>
      <c r="BG10">
        <f>IF(COUNTIFS(T_StockCount[Part Name],$A10,T_StockCount[WeekIndex],58)&gt;0,0,IF(('T_TTAFStock'!BG14&lt;&gt;""),'T_TTAFStock'!BG14,BF10+'Grid_Incoming'!BG10-'Grid_TTAFOutgoing'!BG10))</f>
        <v/>
      </c>
      <c r="BH10">
        <f>IF(COUNTIFS(T_StockCount[Part Name],$A10,T_StockCount[WeekIndex],59)&gt;0,0,IF(('T_TTAFStock'!BH14&lt;&gt;""),'T_TTAFStock'!BH14,BG10+'Grid_Incoming'!BH10-'Grid_TTAFOutgoing'!BH10))</f>
        <v/>
      </c>
      <c r="BI10">
        <f>IF(COUNTIFS(T_StockCount[Part Name],$A10,T_StockCount[WeekIndex],60)&gt;0,0,IF(('T_TTAFStock'!BI14&lt;&gt;""),'T_TTAFStock'!BI14,BH10+'Grid_Incoming'!BI10-'Grid_TTAFOutgoing'!BI10))</f>
        <v/>
      </c>
      <c r="BJ10">
        <f>IF(COUNTIFS(T_StockCount[Part Name],$A10,T_StockCount[WeekIndex],61)&gt;0,0,IF(('T_TTAFStock'!BJ14&lt;&gt;""),'T_TTAFStock'!BJ14,BI10+'Grid_Incoming'!BJ10-'Grid_TTAFOutgoing'!BJ10))</f>
        <v/>
      </c>
      <c r="BK10">
        <f>IF(COUNTIFS(T_StockCount[Part Name],$A10,T_StockCount[WeekIndex],62)&gt;0,0,IF(('T_TTAFStock'!BK14&lt;&gt;""),'T_TTAFStock'!BK14,BJ10+'Grid_Incoming'!BK10-'Grid_TTAFOutgoing'!BK10))</f>
        <v/>
      </c>
      <c r="BL10">
        <f>IF(COUNTIFS(T_StockCount[Part Name],$A10,T_StockCount[WeekIndex],63)&gt;0,0,IF(('T_TTAFStock'!BL14&lt;&gt;""),'T_TTAFStock'!BL14,BK10+'Grid_Incoming'!BL10-'Grid_TTAFOutgoing'!BL10))</f>
        <v/>
      </c>
      <c r="BM10">
        <f>IF(COUNTIFS(T_StockCount[Part Name],$A10,T_StockCount[WeekIndex],64)&gt;0,0,IF(('T_TTAFStock'!BM14&lt;&gt;""),'T_TTAFStock'!BM14,BL10+'Grid_Incoming'!BM10-'Grid_TTAFOutgoing'!BM10))</f>
        <v/>
      </c>
      <c r="BN10">
        <f>IF(COUNTIFS(T_StockCount[Part Name],$A10,T_StockCount[WeekIndex],65)&gt;0,0,IF(('T_TTAFStock'!BN14&lt;&gt;""),'T_TTAFStock'!BN14,BM10+'Grid_Incoming'!BN10-'Grid_TTAFOutgoing'!BN10))</f>
        <v/>
      </c>
      <c r="BO10">
        <f>IF(COUNTIFS(T_StockCount[Part Name],$A10,T_StockCount[WeekIndex],66)&gt;0,0,IF(('T_TTAFStock'!BO14&lt;&gt;""),'T_TTAFStock'!BO14,BN10+'Grid_Incoming'!BO10-'Grid_TTAFOutgoing'!BO10))</f>
        <v/>
      </c>
      <c r="BP10">
        <f>IF(COUNTIFS(T_StockCount[Part Name],$A10,T_StockCount[WeekIndex],67)&gt;0,0,IF(('T_TTAFStock'!BP14&lt;&gt;""),'T_TTAFStock'!BP14,BO10+'Grid_Incoming'!BP10-'Grid_TTAFOutgoing'!BP10))</f>
        <v/>
      </c>
      <c r="BQ10">
        <f>IF(COUNTIFS(T_StockCount[Part Name],$A10,T_StockCount[WeekIndex],68)&gt;0,0,IF(('T_TTAFStock'!BQ14&lt;&gt;""),'T_TTAFStock'!BQ14,BP10+'Grid_Incoming'!BQ10-'Grid_TTAFOutgoing'!BQ10))</f>
        <v/>
      </c>
      <c r="BR10">
        <f>IF(COUNTIFS(T_StockCount[Part Name],$A10,T_StockCount[WeekIndex],69)&gt;0,0,IF(('T_TTAFStock'!BR14&lt;&gt;""),'T_TTAFStock'!BR14,BQ10+'Grid_Incoming'!BR10-'Grid_TTAFOutgoing'!BR10))</f>
        <v/>
      </c>
      <c r="BS10">
        <f>IF(COUNTIFS(T_StockCount[Part Name],$A10,T_StockCount[WeekIndex],70)&gt;0,0,IF(('T_TTAFStock'!BS14&lt;&gt;""),'T_TTAFStock'!BS14,BR10+'Grid_Incoming'!BS10-'Grid_TTAFOutgoing'!BS10))</f>
        <v/>
      </c>
      <c r="BT10">
        <f>IF(COUNTIFS(T_StockCount[Part Name],$A10,T_StockCount[WeekIndex],71)&gt;0,0,IF(('T_TTAFStock'!BT14&lt;&gt;""),'T_TTAFStock'!BT14,BS10+'Grid_Incoming'!BT10-'Grid_TTAFOutgoing'!BT10))</f>
        <v/>
      </c>
      <c r="BU10">
        <f>IF(COUNTIFS(T_StockCount[Part Name],$A10,T_StockCount[WeekIndex],72)&gt;0,0,IF(('T_TTAFStock'!BU14&lt;&gt;""),'T_TTAFStock'!BU14,BT10+'Grid_Incoming'!BU10-'Grid_TTAFOutgoing'!BU10))</f>
        <v/>
      </c>
      <c r="BV10">
        <f>IF(COUNTIFS(T_StockCount[Part Name],$A10,T_StockCount[WeekIndex],73)&gt;0,0,IF(('T_TTAFStock'!BV14&lt;&gt;""),'T_TTAFStock'!BV14,BU10+'Grid_Incoming'!BV10-'Grid_TTAFOutgoing'!BV10))</f>
        <v/>
      </c>
      <c r="BW10">
        <f>IF(COUNTIFS(T_StockCount[Part Name],$A10,T_StockCount[WeekIndex],74)&gt;0,0,IF(('T_TTAFStock'!BW14&lt;&gt;""),'T_TTAFStock'!BW14,BV10+'Grid_Incoming'!BW10-'Grid_TTAFOutgoing'!BW10))</f>
        <v/>
      </c>
      <c r="BX10">
        <f>IF(COUNTIFS(T_StockCount[Part Name],$A10,T_StockCount[WeekIndex],75)&gt;0,0,IF(('T_TTAFStock'!BX14&lt;&gt;""),'T_TTAFStock'!BX14,BW10+'Grid_Incoming'!BX10-'Grid_TTAFOutgoing'!BX10))</f>
        <v/>
      </c>
      <c r="BY10">
        <f>IF(COUNTIFS(T_StockCount[Part Name],$A10,T_StockCount[WeekIndex],76)&gt;0,0,IF(('T_TTAFStock'!BY14&lt;&gt;""),'T_TTAFStock'!BY14,BX10+'Grid_Incoming'!BY10-'Grid_TTAFOutgoing'!BY10))</f>
        <v/>
      </c>
      <c r="BZ10">
        <f>IF(COUNTIFS(T_StockCount[Part Name],$A10,T_StockCount[WeekIndex],77)&gt;0,0,IF(('T_TTAFStock'!BZ14&lt;&gt;""),'T_TTAFStock'!BZ14,BY10+'Grid_Incoming'!BZ10-'Grid_TTAFOutgoing'!BZ10))</f>
        <v/>
      </c>
      <c r="CA10">
        <f>IF(COUNTIFS(T_StockCount[Part Name],$A10,T_StockCount[WeekIndex],78)&gt;0,0,IF(('T_TTAFStock'!CA14&lt;&gt;""),'T_TTAFStock'!CA14,BZ10+'Grid_Incoming'!CA10-'Grid_TTAFOutgoing'!CA10))</f>
        <v/>
      </c>
      <c r="CB10">
        <f>IF(COUNTIFS(T_StockCount[Part Name],$A10,T_StockCount[WeekIndex],79)&gt;0,0,IF(('T_TTAFStock'!CB14&lt;&gt;""),'T_TTAFStock'!CB14,CA10+'Grid_Incoming'!CB10-'Grid_TTAFOutgoing'!CB10))</f>
        <v/>
      </c>
      <c r="CC10">
        <f>IF(COUNTIFS(T_StockCount[Part Name],$A10,T_StockCount[WeekIndex],80)&gt;0,0,IF(('T_TTAFStock'!CC14&lt;&gt;""),'T_TTAFStock'!CC14,CB10+'Grid_Incoming'!CC10-'Grid_TTAFOutgoing'!CC10))</f>
        <v/>
      </c>
      <c r="CD10">
        <f>IF(COUNTIFS(T_StockCount[Part Name],$A10,T_StockCount[WeekIndex],81)&gt;0,0,IF(('T_TTAFStock'!CD14&lt;&gt;""),'T_TTAFStock'!CD14,CC10+'Grid_Incoming'!CD10-'Grid_TTAFOutgoing'!CD10))</f>
        <v/>
      </c>
      <c r="CE10">
        <f>IF(COUNTIFS(T_StockCount[Part Name],$A10,T_StockCount[WeekIndex],82)&gt;0,0,IF(('T_TTAFStock'!CE14&lt;&gt;""),'T_TTAFStock'!CE14,CD10+'Grid_Incoming'!CE10-'Grid_TTAFOutgoing'!CE10))</f>
        <v/>
      </c>
      <c r="CF10">
        <f>IF(COUNTIFS(T_StockCount[Part Name],$A10,T_StockCount[WeekIndex],83)&gt;0,0,IF(('T_TTAFStock'!CF14&lt;&gt;""),'T_TTAFStock'!CF14,CE10+'Grid_Incoming'!CF10-'Grid_TTAFOutgoing'!CF10))</f>
        <v/>
      </c>
      <c r="CG10">
        <f>IF(COUNTIFS(T_StockCount[Part Name],$A10,T_StockCount[WeekIndex],84)&gt;0,0,IF(('T_TTAFStock'!CG14&lt;&gt;""),'T_TTAFStock'!CG14,CF10+'Grid_Incoming'!CG10-'Grid_TTAFOutgoing'!CG10))</f>
        <v/>
      </c>
      <c r="CH10">
        <f>IF(COUNTIFS(T_StockCount[Part Name],$A10,T_StockCount[WeekIndex],85)&gt;0,0,IF(('T_TTAFStock'!CH14&lt;&gt;""),'T_TTAFStock'!CH14,CG10+'Grid_Incoming'!CH10-'Grid_TTAFOutgoing'!CH10))</f>
        <v/>
      </c>
      <c r="CI10">
        <f>IF(COUNTIFS(T_StockCount[Part Name],$A10,T_StockCount[WeekIndex],86)&gt;0,0,IF(('T_TTAFStock'!CI14&lt;&gt;""),'T_TTAFStock'!CI14,CH10+'Grid_Incoming'!CI10-'Grid_TTAFOutgoing'!CI10))</f>
        <v/>
      </c>
      <c r="CJ10">
        <f>IF(COUNTIFS(T_StockCount[Part Name],$A10,T_StockCount[WeekIndex],87)&gt;0,0,IF(('T_TTAFStock'!CJ14&lt;&gt;""),'T_TTAFStock'!CJ14,CI10+'Grid_Incoming'!CJ10-'Grid_TTAFOutgoing'!CJ10))</f>
        <v/>
      </c>
      <c r="CK10">
        <f>IF(COUNTIFS(T_StockCount[Part Name],$A10,T_StockCount[WeekIndex],88)&gt;0,0,IF(('T_TTAFStock'!CK14&lt;&gt;""),'T_TTAFStock'!CK14,CJ10+'Grid_Incoming'!CK10-'Grid_TTAFOutgoing'!CK10))</f>
        <v/>
      </c>
      <c r="CL10">
        <f>IF(COUNTIFS(T_StockCount[Part Name],$A10,T_StockCount[WeekIndex],89)&gt;0,0,IF(('T_TTAFStock'!CL14&lt;&gt;""),'T_TTAFStock'!CL14,CK10+'Grid_Incoming'!CL10-'Grid_TTAFOutgoing'!CL10))</f>
        <v/>
      </c>
      <c r="CM10">
        <f>IF(COUNTIFS(T_StockCount[Part Name],$A10,T_StockCount[WeekIndex],90)&gt;0,0,IF(('T_TTAFStock'!CM14&lt;&gt;""),'T_TTAFStock'!CM14,CL10+'Grid_Incoming'!CM10-'Grid_TTAFOutgoing'!CM10))</f>
        <v/>
      </c>
      <c r="CN10">
        <f>IF(COUNTIFS(T_StockCount[Part Name],$A10,T_StockCount[WeekIndex],91)&gt;0,0,IF(('T_TTAFStock'!CN14&lt;&gt;""),'T_TTAFStock'!CN14,CM10+'Grid_Incoming'!CN10-'Grid_TTAFOutgoing'!CN10))</f>
        <v/>
      </c>
      <c r="CO10">
        <f>IF(COUNTIFS(T_StockCount[Part Name],$A10,T_StockCount[WeekIndex],92)&gt;0,0,IF(('T_TTAFStock'!CO14&lt;&gt;""),'T_TTAFStock'!CO14,CN10+'Grid_Incoming'!CO10-'Grid_TTAFOutgoing'!CO10))</f>
        <v/>
      </c>
      <c r="CP10">
        <f>IF(COUNTIFS(T_StockCount[Part Name],$A10,T_StockCount[WeekIndex],93)&gt;0,0,IF(('T_TTAFStock'!CP14&lt;&gt;""),'T_TTAFStock'!CP14,CO10+'Grid_Incoming'!CP10-'Grid_TTAFOutgoing'!CP10))</f>
        <v/>
      </c>
      <c r="CQ10">
        <f>IF(COUNTIFS(T_StockCount[Part Name],$A10,T_StockCount[WeekIndex],94)&gt;0,0,IF(('T_TTAFStock'!CQ14&lt;&gt;""),'T_TTAFStock'!CQ14,CP10+'Grid_Incoming'!CQ10-'Grid_TTAFOutgoing'!CQ10))</f>
        <v/>
      </c>
      <c r="CR10">
        <f>IF(COUNTIFS(T_StockCount[Part Name],$A10,T_StockCount[WeekIndex],95)&gt;0,0,IF(('T_TTAFStock'!CR14&lt;&gt;""),'T_TTAFStock'!CR14,CQ10+'Grid_Incoming'!CR10-'Grid_TTAFOutgoing'!CR10))</f>
        <v/>
      </c>
      <c r="CS10">
        <f>IF(COUNTIFS(T_StockCount[Part Name],$A10,T_StockCount[WeekIndex],96)&gt;0,0,IF(('T_TTAFStock'!CS14&lt;&gt;""),'T_TTAFStock'!CS14,CR10+'Grid_Incoming'!CS10-'Grid_TTAFOutgoing'!CS10))</f>
        <v/>
      </c>
      <c r="CT10">
        <f>IF(COUNTIFS(T_StockCount[Part Name],$A10,T_StockCount[WeekIndex],97)&gt;0,0,IF(('T_TTAFStock'!CT14&lt;&gt;""),'T_TTAFStock'!CT14,CS10+'Grid_Incoming'!CT10-'Grid_TTAFOutgoing'!CT10))</f>
        <v/>
      </c>
      <c r="CU10">
        <f>IF(COUNTIFS(T_StockCount[Part Name],$A10,T_StockCount[WeekIndex],98)&gt;0,0,IF(('T_TTAFStock'!CU14&lt;&gt;""),'T_TTAFStock'!CU14,CT10+'Grid_Incoming'!CU10-'Grid_TTAFOutgoing'!CU10))</f>
        <v/>
      </c>
      <c r="CV10">
        <f>IF(COUNTIFS(T_StockCount[Part Name],$A10,T_StockCount[WeekIndex],99)&gt;0,0,IF(('T_TTAFStock'!CV14&lt;&gt;""),'T_TTAFStock'!CV14,CU10+'Grid_Incoming'!CV10-'Grid_TTAFOutgoing'!CV10))</f>
        <v/>
      </c>
      <c r="CW10">
        <f>IF(COUNTIFS(T_StockCount[Part Name],$A10,T_StockCount[WeekIndex],100)&gt;0,0,IF(('T_TTAFStock'!CW14&lt;&gt;""),'T_TTAFStock'!CW14,CV10+'Grid_Incoming'!CW10-'Grid_TTAFOutgoing'!CW10))</f>
        <v/>
      </c>
      <c r="CX10">
        <f>IF(COUNTIFS(T_StockCount[Part Name],$A10,T_StockCount[WeekIndex],101)&gt;0,0,IF(('T_TTAFStock'!CX14&lt;&gt;""),'T_TTAFStock'!CX14,CW10+'Grid_Incoming'!CX10-'Grid_TTAFOutgoing'!CX10))</f>
        <v/>
      </c>
      <c r="CY10">
        <f>IF(COUNTIFS(T_StockCount[Part Name],$A10,T_StockCount[WeekIndex],102)&gt;0,0,IF(('T_TTAFStock'!CY14&lt;&gt;""),'T_TTAFStock'!CY14,CX10+'Grid_Incoming'!CY10-'Grid_TTAFOutgoing'!CY10))</f>
        <v/>
      </c>
      <c r="CZ10">
        <f>IF(COUNTIFS(T_StockCount[Part Name],$A10,T_StockCount[WeekIndex],103)&gt;0,0,IF(('T_TTAFStock'!CZ14&lt;&gt;""),'T_TTAFStock'!CZ14,CY10+'Grid_Incoming'!CZ10-'Grid_TTAFOutgoing'!CZ10))</f>
        <v/>
      </c>
      <c r="DA10">
        <f>IF(COUNTIFS(T_StockCount[Part Name],$A10,T_StockCount[WeekIndex],104)&gt;0,0,IF(('T_TTAFStock'!DA14&lt;&gt;""),'T_TTAFStock'!DA14,CZ10+'Grid_Incoming'!DA10-'Grid_TTAFOutgoing'!DA10))</f>
        <v/>
      </c>
    </row>
    <row r="11">
      <c r="A11" t="inlineStr">
        <is>
          <t>4HL</t>
        </is>
      </c>
      <c r="B11">
        <f>IF(COUNTIFS(T_StockCount[Part Name],$A11,T_StockCount[WeekIndex],1)&gt;0,0,IF(('T_TTAFStock'!B15&lt;&gt;""),'T_TTAFStock'!B15,0+'Grid_Incoming'!B11-'Grid_TTAFOutgoing'!B11))</f>
        <v/>
      </c>
      <c r="C11">
        <f>IF(COUNTIFS(T_StockCount[Part Name],$A11,T_StockCount[WeekIndex],2)&gt;0,0,IF(('T_TTAFStock'!C15&lt;&gt;""),'T_TTAFStock'!C15,B11+'Grid_Incoming'!C11-'Grid_TTAFOutgoing'!C11))</f>
        <v/>
      </c>
      <c r="D11">
        <f>IF(COUNTIFS(T_StockCount[Part Name],$A11,T_StockCount[WeekIndex],3)&gt;0,0,IF(('T_TTAFStock'!D15&lt;&gt;""),'T_TTAFStock'!D15,C11+'Grid_Incoming'!D11-'Grid_TTAFOutgoing'!D11))</f>
        <v/>
      </c>
      <c r="E11">
        <f>IF(COUNTIFS(T_StockCount[Part Name],$A11,T_StockCount[WeekIndex],4)&gt;0,0,IF(('T_TTAFStock'!E15&lt;&gt;""),'T_TTAFStock'!E15,D11+'Grid_Incoming'!E11-'Grid_TTAFOutgoing'!E11))</f>
        <v/>
      </c>
      <c r="F11">
        <f>IF(COUNTIFS(T_StockCount[Part Name],$A11,T_StockCount[WeekIndex],5)&gt;0,0,IF(('T_TTAFStock'!F15&lt;&gt;""),'T_TTAFStock'!F15,E11+'Grid_Incoming'!F11-'Grid_TTAFOutgoing'!F11))</f>
        <v/>
      </c>
      <c r="G11">
        <f>IF(COUNTIFS(T_StockCount[Part Name],$A11,T_StockCount[WeekIndex],6)&gt;0,0,IF(('T_TTAFStock'!G15&lt;&gt;""),'T_TTAFStock'!G15,F11+'Grid_Incoming'!G11-'Grid_TTAFOutgoing'!G11))</f>
        <v/>
      </c>
      <c r="H11">
        <f>IF(COUNTIFS(T_StockCount[Part Name],$A11,T_StockCount[WeekIndex],7)&gt;0,0,IF(('T_TTAFStock'!H15&lt;&gt;""),'T_TTAFStock'!H15,G11+'Grid_Incoming'!H11-'Grid_TTAFOutgoing'!H11))</f>
        <v/>
      </c>
      <c r="I11">
        <f>IF(COUNTIFS(T_StockCount[Part Name],$A11,T_StockCount[WeekIndex],8)&gt;0,0,IF(('T_TTAFStock'!I15&lt;&gt;""),'T_TTAFStock'!I15,H11+'Grid_Incoming'!I11-'Grid_TTAFOutgoing'!I11))</f>
        <v/>
      </c>
      <c r="J11">
        <f>IF(COUNTIFS(T_StockCount[Part Name],$A11,T_StockCount[WeekIndex],9)&gt;0,0,IF(('T_TTAFStock'!J15&lt;&gt;""),'T_TTAFStock'!J15,I11+'Grid_Incoming'!J11-'Grid_TTAFOutgoing'!J11))</f>
        <v/>
      </c>
      <c r="K11">
        <f>IF(COUNTIFS(T_StockCount[Part Name],$A11,T_StockCount[WeekIndex],10)&gt;0,0,IF(('T_TTAFStock'!K15&lt;&gt;""),'T_TTAFStock'!K15,J11+'Grid_Incoming'!K11-'Grid_TTAFOutgoing'!K11))</f>
        <v/>
      </c>
      <c r="L11">
        <f>IF(COUNTIFS(T_StockCount[Part Name],$A11,T_StockCount[WeekIndex],11)&gt;0,0,IF(('T_TTAFStock'!L15&lt;&gt;""),'T_TTAFStock'!L15,K11+'Grid_Incoming'!L11-'Grid_TTAFOutgoing'!L11))</f>
        <v/>
      </c>
      <c r="M11">
        <f>IF(COUNTIFS(T_StockCount[Part Name],$A11,T_StockCount[WeekIndex],12)&gt;0,0,IF(('T_TTAFStock'!M15&lt;&gt;""),'T_TTAFStock'!M15,L11+'Grid_Incoming'!M11-'Grid_TTAFOutgoing'!M11))</f>
        <v/>
      </c>
      <c r="N11">
        <f>IF(COUNTIFS(T_StockCount[Part Name],$A11,T_StockCount[WeekIndex],13)&gt;0,0,IF(('T_TTAFStock'!N15&lt;&gt;""),'T_TTAFStock'!N15,M11+'Grid_Incoming'!N11-'Grid_TTAFOutgoing'!N11))</f>
        <v/>
      </c>
      <c r="O11">
        <f>IF(COUNTIFS(T_StockCount[Part Name],$A11,T_StockCount[WeekIndex],14)&gt;0,0,IF(('T_TTAFStock'!O15&lt;&gt;""),'T_TTAFStock'!O15,N11+'Grid_Incoming'!O11-'Grid_TTAFOutgoing'!O11))</f>
        <v/>
      </c>
      <c r="P11">
        <f>IF(COUNTIFS(T_StockCount[Part Name],$A11,T_StockCount[WeekIndex],15)&gt;0,0,IF(('T_TTAFStock'!P15&lt;&gt;""),'T_TTAFStock'!P15,O11+'Grid_Incoming'!P11-'Grid_TTAFOutgoing'!P11))</f>
        <v/>
      </c>
      <c r="Q11">
        <f>IF(COUNTIFS(T_StockCount[Part Name],$A11,T_StockCount[WeekIndex],16)&gt;0,0,IF(('T_TTAFStock'!Q15&lt;&gt;""),'T_TTAFStock'!Q15,P11+'Grid_Incoming'!Q11-'Grid_TTAFOutgoing'!Q11))</f>
        <v/>
      </c>
      <c r="R11">
        <f>IF(COUNTIFS(T_StockCount[Part Name],$A11,T_StockCount[WeekIndex],17)&gt;0,0,IF(('T_TTAFStock'!R15&lt;&gt;""),'T_TTAFStock'!R15,Q11+'Grid_Incoming'!R11-'Grid_TTAFOutgoing'!R11))</f>
        <v/>
      </c>
      <c r="S11">
        <f>IF(COUNTIFS(T_StockCount[Part Name],$A11,T_StockCount[WeekIndex],18)&gt;0,0,IF(('T_TTAFStock'!S15&lt;&gt;""),'T_TTAFStock'!S15,R11+'Grid_Incoming'!S11-'Grid_TTAFOutgoing'!S11))</f>
        <v/>
      </c>
      <c r="T11">
        <f>IF(COUNTIFS(T_StockCount[Part Name],$A11,T_StockCount[WeekIndex],19)&gt;0,0,IF(('T_TTAFStock'!T15&lt;&gt;""),'T_TTAFStock'!T15,S11+'Grid_Incoming'!T11-'Grid_TTAFOutgoing'!T11))</f>
        <v/>
      </c>
      <c r="U11">
        <f>IF(COUNTIFS(T_StockCount[Part Name],$A11,T_StockCount[WeekIndex],20)&gt;0,0,IF(('T_TTAFStock'!U15&lt;&gt;""),'T_TTAFStock'!U15,T11+'Grid_Incoming'!U11-'Grid_TTAFOutgoing'!U11))</f>
        <v/>
      </c>
      <c r="V11">
        <f>IF(COUNTIFS(T_StockCount[Part Name],$A11,T_StockCount[WeekIndex],21)&gt;0,0,IF(('T_TTAFStock'!V15&lt;&gt;""),'T_TTAFStock'!V15,U11+'Grid_Incoming'!V11-'Grid_TTAFOutgoing'!V11))</f>
        <v/>
      </c>
      <c r="W11">
        <f>IF(COUNTIFS(T_StockCount[Part Name],$A11,T_StockCount[WeekIndex],22)&gt;0,0,IF(('T_TTAFStock'!W15&lt;&gt;""),'T_TTAFStock'!W15,V11+'Grid_Incoming'!W11-'Grid_TTAFOutgoing'!W11))</f>
        <v/>
      </c>
      <c r="X11">
        <f>IF(COUNTIFS(T_StockCount[Part Name],$A11,T_StockCount[WeekIndex],23)&gt;0,0,IF(('T_TTAFStock'!X15&lt;&gt;""),'T_TTAFStock'!X15,W11+'Grid_Incoming'!X11-'Grid_TTAFOutgoing'!X11))</f>
        <v/>
      </c>
      <c r="Y11">
        <f>IF(COUNTIFS(T_StockCount[Part Name],$A11,T_StockCount[WeekIndex],24)&gt;0,0,IF(('T_TTAFStock'!Y15&lt;&gt;""),'T_TTAFStock'!Y15,X11+'Grid_Incoming'!Y11-'Grid_TTAFOutgoing'!Y11))</f>
        <v/>
      </c>
      <c r="Z11">
        <f>IF(COUNTIFS(T_StockCount[Part Name],$A11,T_StockCount[WeekIndex],25)&gt;0,0,IF(('T_TTAFStock'!Z15&lt;&gt;""),'T_TTAFStock'!Z15,Y11+'Grid_Incoming'!Z11-'Grid_TTAFOutgoing'!Z11))</f>
        <v/>
      </c>
      <c r="AA11">
        <f>IF(COUNTIFS(T_StockCount[Part Name],$A11,T_StockCount[WeekIndex],26)&gt;0,0,IF(('T_TTAFStock'!AA15&lt;&gt;""),'T_TTAFStock'!AA15,Z11+'Grid_Incoming'!AA11-'Grid_TTAFOutgoing'!AA11))</f>
        <v/>
      </c>
      <c r="AB11">
        <f>IF(COUNTIFS(T_StockCount[Part Name],$A11,T_StockCount[WeekIndex],27)&gt;0,0,IF(('T_TTAFStock'!AB15&lt;&gt;""),'T_TTAFStock'!AB15,AA11+'Grid_Incoming'!AB11-'Grid_TTAFOutgoing'!AB11))</f>
        <v/>
      </c>
      <c r="AC11">
        <f>IF(COUNTIFS(T_StockCount[Part Name],$A11,T_StockCount[WeekIndex],28)&gt;0,0,IF(('T_TTAFStock'!AC15&lt;&gt;""),'T_TTAFStock'!AC15,AB11+'Grid_Incoming'!AC11-'Grid_TTAFOutgoing'!AC11))</f>
        <v/>
      </c>
      <c r="AD11">
        <f>IF(COUNTIFS(T_StockCount[Part Name],$A11,T_StockCount[WeekIndex],29)&gt;0,0,IF(('T_TTAFStock'!AD15&lt;&gt;""),'T_TTAFStock'!AD15,AC11+'Grid_Incoming'!AD11-'Grid_TTAFOutgoing'!AD11))</f>
        <v/>
      </c>
      <c r="AE11">
        <f>IF(COUNTIFS(T_StockCount[Part Name],$A11,T_StockCount[WeekIndex],30)&gt;0,0,IF(('T_TTAFStock'!AE15&lt;&gt;""),'T_TTAFStock'!AE15,AD11+'Grid_Incoming'!AE11-'Grid_TTAFOutgoing'!AE11))</f>
        <v/>
      </c>
      <c r="AF11">
        <f>IF(COUNTIFS(T_StockCount[Part Name],$A11,T_StockCount[WeekIndex],31)&gt;0,0,IF(('T_TTAFStock'!AF15&lt;&gt;""),'T_TTAFStock'!AF15,AE11+'Grid_Incoming'!AF11-'Grid_TTAFOutgoing'!AF11))</f>
        <v/>
      </c>
      <c r="AG11">
        <f>IF(COUNTIFS(T_StockCount[Part Name],$A11,T_StockCount[WeekIndex],32)&gt;0,0,IF(('T_TTAFStock'!AG15&lt;&gt;""),'T_TTAFStock'!AG15,AF11+'Grid_Incoming'!AG11-'Grid_TTAFOutgoing'!AG11))</f>
        <v/>
      </c>
      <c r="AH11">
        <f>IF(COUNTIFS(T_StockCount[Part Name],$A11,T_StockCount[WeekIndex],33)&gt;0,0,IF(('T_TTAFStock'!AH15&lt;&gt;""),'T_TTAFStock'!AH15,AG11+'Grid_Incoming'!AH11-'Grid_TTAFOutgoing'!AH11))</f>
        <v/>
      </c>
      <c r="AI11">
        <f>IF(COUNTIFS(T_StockCount[Part Name],$A11,T_StockCount[WeekIndex],34)&gt;0,0,IF(('T_TTAFStock'!AI15&lt;&gt;""),'T_TTAFStock'!AI15,AH11+'Grid_Incoming'!AI11-'Grid_TTAFOutgoing'!AI11))</f>
        <v/>
      </c>
      <c r="AJ11">
        <f>IF(COUNTIFS(T_StockCount[Part Name],$A11,T_StockCount[WeekIndex],35)&gt;0,0,IF(('T_TTAFStock'!AJ15&lt;&gt;""),'T_TTAFStock'!AJ15,AI11+'Grid_Incoming'!AJ11-'Grid_TTAFOutgoing'!AJ11))</f>
        <v/>
      </c>
      <c r="AK11">
        <f>IF(COUNTIFS(T_StockCount[Part Name],$A11,T_StockCount[WeekIndex],36)&gt;0,0,IF(('T_TTAFStock'!AK15&lt;&gt;""),'T_TTAFStock'!AK15,AJ11+'Grid_Incoming'!AK11-'Grid_TTAFOutgoing'!AK11))</f>
        <v/>
      </c>
      <c r="AL11">
        <f>IF(COUNTIFS(T_StockCount[Part Name],$A11,T_StockCount[WeekIndex],37)&gt;0,0,IF(('T_TTAFStock'!AL15&lt;&gt;""),'T_TTAFStock'!AL15,AK11+'Grid_Incoming'!AL11-'Grid_TTAFOutgoing'!AL11))</f>
        <v/>
      </c>
      <c r="AM11">
        <f>IF(COUNTIFS(T_StockCount[Part Name],$A11,T_StockCount[WeekIndex],38)&gt;0,0,IF(('T_TTAFStock'!AM15&lt;&gt;""),'T_TTAFStock'!AM15,AL11+'Grid_Incoming'!AM11-'Grid_TTAFOutgoing'!AM11))</f>
        <v/>
      </c>
      <c r="AN11">
        <f>IF(COUNTIFS(T_StockCount[Part Name],$A11,T_StockCount[WeekIndex],39)&gt;0,0,IF(('T_TTAFStock'!AN15&lt;&gt;""),'T_TTAFStock'!AN15,AM11+'Grid_Incoming'!AN11-'Grid_TTAFOutgoing'!AN11))</f>
        <v/>
      </c>
      <c r="AO11">
        <f>IF(COUNTIFS(T_StockCount[Part Name],$A11,T_StockCount[WeekIndex],40)&gt;0,0,IF(('T_TTAFStock'!AO15&lt;&gt;""),'T_TTAFStock'!AO15,AN11+'Grid_Incoming'!AO11-'Grid_TTAFOutgoing'!AO11))</f>
        <v/>
      </c>
      <c r="AP11">
        <f>IF(COUNTIFS(T_StockCount[Part Name],$A11,T_StockCount[WeekIndex],41)&gt;0,0,IF(('T_TTAFStock'!AP15&lt;&gt;""),'T_TTAFStock'!AP15,AO11+'Grid_Incoming'!AP11-'Grid_TTAFOutgoing'!AP11))</f>
        <v/>
      </c>
      <c r="AQ11">
        <f>IF(COUNTIFS(T_StockCount[Part Name],$A11,T_StockCount[WeekIndex],42)&gt;0,0,IF(('T_TTAFStock'!AQ15&lt;&gt;""),'T_TTAFStock'!AQ15,AP11+'Grid_Incoming'!AQ11-'Grid_TTAFOutgoing'!AQ11))</f>
        <v/>
      </c>
      <c r="AR11">
        <f>IF(COUNTIFS(T_StockCount[Part Name],$A11,T_StockCount[WeekIndex],43)&gt;0,0,IF(('T_TTAFStock'!AR15&lt;&gt;""),'T_TTAFStock'!AR15,AQ11+'Grid_Incoming'!AR11-'Grid_TTAFOutgoing'!AR11))</f>
        <v/>
      </c>
      <c r="AS11">
        <f>IF(COUNTIFS(T_StockCount[Part Name],$A11,T_StockCount[WeekIndex],44)&gt;0,0,IF(('T_TTAFStock'!AS15&lt;&gt;""),'T_TTAFStock'!AS15,AR11+'Grid_Incoming'!AS11-'Grid_TTAFOutgoing'!AS11))</f>
        <v/>
      </c>
      <c r="AT11">
        <f>IF(COUNTIFS(T_StockCount[Part Name],$A11,T_StockCount[WeekIndex],45)&gt;0,0,IF(('T_TTAFStock'!AT15&lt;&gt;""),'T_TTAFStock'!AT15,AS11+'Grid_Incoming'!AT11-'Grid_TTAFOutgoing'!AT11))</f>
        <v/>
      </c>
      <c r="AU11">
        <f>IF(COUNTIFS(T_StockCount[Part Name],$A11,T_StockCount[WeekIndex],46)&gt;0,0,IF(('T_TTAFStock'!AU15&lt;&gt;""),'T_TTAFStock'!AU15,AT11+'Grid_Incoming'!AU11-'Grid_TTAFOutgoing'!AU11))</f>
        <v/>
      </c>
      <c r="AV11">
        <f>IF(COUNTIFS(T_StockCount[Part Name],$A11,T_StockCount[WeekIndex],47)&gt;0,0,IF(('T_TTAFStock'!AV15&lt;&gt;""),'T_TTAFStock'!AV15,AU11+'Grid_Incoming'!AV11-'Grid_TTAFOutgoing'!AV11))</f>
        <v/>
      </c>
      <c r="AW11">
        <f>IF(COUNTIFS(T_StockCount[Part Name],$A11,T_StockCount[WeekIndex],48)&gt;0,0,IF(('T_TTAFStock'!AW15&lt;&gt;""),'T_TTAFStock'!AW15,AV11+'Grid_Incoming'!AW11-'Grid_TTAFOutgoing'!AW11))</f>
        <v/>
      </c>
      <c r="AX11">
        <f>IF(COUNTIFS(T_StockCount[Part Name],$A11,T_StockCount[WeekIndex],49)&gt;0,0,IF(('T_TTAFStock'!AX15&lt;&gt;""),'T_TTAFStock'!AX15,AW11+'Grid_Incoming'!AX11-'Grid_TTAFOutgoing'!AX11))</f>
        <v/>
      </c>
      <c r="AY11">
        <f>IF(COUNTIFS(T_StockCount[Part Name],$A11,T_StockCount[WeekIndex],50)&gt;0,0,IF(('T_TTAFStock'!AY15&lt;&gt;""),'T_TTAFStock'!AY15,AX11+'Grid_Incoming'!AY11-'Grid_TTAFOutgoing'!AY11))</f>
        <v/>
      </c>
      <c r="AZ11">
        <f>IF(COUNTIFS(T_StockCount[Part Name],$A11,T_StockCount[WeekIndex],51)&gt;0,0,IF(('T_TTAFStock'!AZ15&lt;&gt;""),'T_TTAFStock'!AZ15,AY11+'Grid_Incoming'!AZ11-'Grid_TTAFOutgoing'!AZ11))</f>
        <v/>
      </c>
      <c r="BA11">
        <f>IF(COUNTIFS(T_StockCount[Part Name],$A11,T_StockCount[WeekIndex],52)&gt;0,0,IF(('T_TTAFStock'!BA15&lt;&gt;""),'T_TTAFStock'!BA15,AZ11+'Grid_Incoming'!BA11-'Grid_TTAFOutgoing'!BA11))</f>
        <v/>
      </c>
      <c r="BB11">
        <f>IF(COUNTIFS(T_StockCount[Part Name],$A11,T_StockCount[WeekIndex],53)&gt;0,0,IF(('T_TTAFStock'!BB15&lt;&gt;""),'T_TTAFStock'!BB15,BA11+'Grid_Incoming'!BB11-'Grid_TTAFOutgoing'!BB11))</f>
        <v/>
      </c>
      <c r="BC11">
        <f>IF(COUNTIFS(T_StockCount[Part Name],$A11,T_StockCount[WeekIndex],54)&gt;0,0,IF(('T_TTAFStock'!BC15&lt;&gt;""),'T_TTAFStock'!BC15,BB11+'Grid_Incoming'!BC11-'Grid_TTAFOutgoing'!BC11))</f>
        <v/>
      </c>
      <c r="BD11">
        <f>IF(COUNTIFS(T_StockCount[Part Name],$A11,T_StockCount[WeekIndex],55)&gt;0,0,IF(('T_TTAFStock'!BD15&lt;&gt;""),'T_TTAFStock'!BD15,BC11+'Grid_Incoming'!BD11-'Grid_TTAFOutgoing'!BD11))</f>
        <v/>
      </c>
      <c r="BE11">
        <f>IF(COUNTIFS(T_StockCount[Part Name],$A11,T_StockCount[WeekIndex],56)&gt;0,0,IF(('T_TTAFStock'!BE15&lt;&gt;""),'T_TTAFStock'!BE15,BD11+'Grid_Incoming'!BE11-'Grid_TTAFOutgoing'!BE11))</f>
        <v/>
      </c>
      <c r="BF11">
        <f>IF(COUNTIFS(T_StockCount[Part Name],$A11,T_StockCount[WeekIndex],57)&gt;0,0,IF(('T_TTAFStock'!BF15&lt;&gt;""),'T_TTAFStock'!BF15,BE11+'Grid_Incoming'!BF11-'Grid_TTAFOutgoing'!BF11))</f>
        <v/>
      </c>
      <c r="BG11">
        <f>IF(COUNTIFS(T_StockCount[Part Name],$A11,T_StockCount[WeekIndex],58)&gt;0,0,IF(('T_TTAFStock'!BG15&lt;&gt;""),'T_TTAFStock'!BG15,BF11+'Grid_Incoming'!BG11-'Grid_TTAFOutgoing'!BG11))</f>
        <v/>
      </c>
      <c r="BH11">
        <f>IF(COUNTIFS(T_StockCount[Part Name],$A11,T_StockCount[WeekIndex],59)&gt;0,0,IF(('T_TTAFStock'!BH15&lt;&gt;""),'T_TTAFStock'!BH15,BG11+'Grid_Incoming'!BH11-'Grid_TTAFOutgoing'!BH11))</f>
        <v/>
      </c>
      <c r="BI11">
        <f>IF(COUNTIFS(T_StockCount[Part Name],$A11,T_StockCount[WeekIndex],60)&gt;0,0,IF(('T_TTAFStock'!BI15&lt;&gt;""),'T_TTAFStock'!BI15,BH11+'Grid_Incoming'!BI11-'Grid_TTAFOutgoing'!BI11))</f>
        <v/>
      </c>
      <c r="BJ11">
        <f>IF(COUNTIFS(T_StockCount[Part Name],$A11,T_StockCount[WeekIndex],61)&gt;0,0,IF(('T_TTAFStock'!BJ15&lt;&gt;""),'T_TTAFStock'!BJ15,BI11+'Grid_Incoming'!BJ11-'Grid_TTAFOutgoing'!BJ11))</f>
        <v/>
      </c>
      <c r="BK11">
        <f>IF(COUNTIFS(T_StockCount[Part Name],$A11,T_StockCount[WeekIndex],62)&gt;0,0,IF(('T_TTAFStock'!BK15&lt;&gt;""),'T_TTAFStock'!BK15,BJ11+'Grid_Incoming'!BK11-'Grid_TTAFOutgoing'!BK11))</f>
        <v/>
      </c>
      <c r="BL11">
        <f>IF(COUNTIFS(T_StockCount[Part Name],$A11,T_StockCount[WeekIndex],63)&gt;0,0,IF(('T_TTAFStock'!BL15&lt;&gt;""),'T_TTAFStock'!BL15,BK11+'Grid_Incoming'!BL11-'Grid_TTAFOutgoing'!BL11))</f>
        <v/>
      </c>
      <c r="BM11">
        <f>IF(COUNTIFS(T_StockCount[Part Name],$A11,T_StockCount[WeekIndex],64)&gt;0,0,IF(('T_TTAFStock'!BM15&lt;&gt;""),'T_TTAFStock'!BM15,BL11+'Grid_Incoming'!BM11-'Grid_TTAFOutgoing'!BM11))</f>
        <v/>
      </c>
      <c r="BN11">
        <f>IF(COUNTIFS(T_StockCount[Part Name],$A11,T_StockCount[WeekIndex],65)&gt;0,0,IF(('T_TTAFStock'!BN15&lt;&gt;""),'T_TTAFStock'!BN15,BM11+'Grid_Incoming'!BN11-'Grid_TTAFOutgoing'!BN11))</f>
        <v/>
      </c>
      <c r="BO11">
        <f>IF(COUNTIFS(T_StockCount[Part Name],$A11,T_StockCount[WeekIndex],66)&gt;0,0,IF(('T_TTAFStock'!BO15&lt;&gt;""),'T_TTAFStock'!BO15,BN11+'Grid_Incoming'!BO11-'Grid_TTAFOutgoing'!BO11))</f>
        <v/>
      </c>
      <c r="BP11">
        <f>IF(COUNTIFS(T_StockCount[Part Name],$A11,T_StockCount[WeekIndex],67)&gt;0,0,IF(('T_TTAFStock'!BP15&lt;&gt;""),'T_TTAFStock'!BP15,BO11+'Grid_Incoming'!BP11-'Grid_TTAFOutgoing'!BP11))</f>
        <v/>
      </c>
      <c r="BQ11">
        <f>IF(COUNTIFS(T_StockCount[Part Name],$A11,T_StockCount[WeekIndex],68)&gt;0,0,IF(('T_TTAFStock'!BQ15&lt;&gt;""),'T_TTAFStock'!BQ15,BP11+'Grid_Incoming'!BQ11-'Grid_TTAFOutgoing'!BQ11))</f>
        <v/>
      </c>
      <c r="BR11">
        <f>IF(COUNTIFS(T_StockCount[Part Name],$A11,T_StockCount[WeekIndex],69)&gt;0,0,IF(('T_TTAFStock'!BR15&lt;&gt;""),'T_TTAFStock'!BR15,BQ11+'Grid_Incoming'!BR11-'Grid_TTAFOutgoing'!BR11))</f>
        <v/>
      </c>
      <c r="BS11">
        <f>IF(COUNTIFS(T_StockCount[Part Name],$A11,T_StockCount[WeekIndex],70)&gt;0,0,IF(('T_TTAFStock'!BS15&lt;&gt;""),'T_TTAFStock'!BS15,BR11+'Grid_Incoming'!BS11-'Grid_TTAFOutgoing'!BS11))</f>
        <v/>
      </c>
      <c r="BT11">
        <f>IF(COUNTIFS(T_StockCount[Part Name],$A11,T_StockCount[WeekIndex],71)&gt;0,0,IF(('T_TTAFStock'!BT15&lt;&gt;""),'T_TTAFStock'!BT15,BS11+'Grid_Incoming'!BT11-'Grid_TTAFOutgoing'!BT11))</f>
        <v/>
      </c>
      <c r="BU11">
        <f>IF(COUNTIFS(T_StockCount[Part Name],$A11,T_StockCount[WeekIndex],72)&gt;0,0,IF(('T_TTAFStock'!BU15&lt;&gt;""),'T_TTAFStock'!BU15,BT11+'Grid_Incoming'!BU11-'Grid_TTAFOutgoing'!BU11))</f>
        <v/>
      </c>
      <c r="BV11">
        <f>IF(COUNTIFS(T_StockCount[Part Name],$A11,T_StockCount[WeekIndex],73)&gt;0,0,IF(('T_TTAFStock'!BV15&lt;&gt;""),'T_TTAFStock'!BV15,BU11+'Grid_Incoming'!BV11-'Grid_TTAFOutgoing'!BV11))</f>
        <v/>
      </c>
      <c r="BW11">
        <f>IF(COUNTIFS(T_StockCount[Part Name],$A11,T_StockCount[WeekIndex],74)&gt;0,0,IF(('T_TTAFStock'!BW15&lt;&gt;""),'T_TTAFStock'!BW15,BV11+'Grid_Incoming'!BW11-'Grid_TTAFOutgoing'!BW11))</f>
        <v/>
      </c>
      <c r="BX11">
        <f>IF(COUNTIFS(T_StockCount[Part Name],$A11,T_StockCount[WeekIndex],75)&gt;0,0,IF(('T_TTAFStock'!BX15&lt;&gt;""),'T_TTAFStock'!BX15,BW11+'Grid_Incoming'!BX11-'Grid_TTAFOutgoing'!BX11))</f>
        <v/>
      </c>
      <c r="BY11">
        <f>IF(COUNTIFS(T_StockCount[Part Name],$A11,T_StockCount[WeekIndex],76)&gt;0,0,IF(('T_TTAFStock'!BY15&lt;&gt;""),'T_TTAFStock'!BY15,BX11+'Grid_Incoming'!BY11-'Grid_TTAFOutgoing'!BY11))</f>
        <v/>
      </c>
      <c r="BZ11">
        <f>IF(COUNTIFS(T_StockCount[Part Name],$A11,T_StockCount[WeekIndex],77)&gt;0,0,IF(('T_TTAFStock'!BZ15&lt;&gt;""),'T_TTAFStock'!BZ15,BY11+'Grid_Incoming'!BZ11-'Grid_TTAFOutgoing'!BZ11))</f>
        <v/>
      </c>
      <c r="CA11">
        <f>IF(COUNTIFS(T_StockCount[Part Name],$A11,T_StockCount[WeekIndex],78)&gt;0,0,IF(('T_TTAFStock'!CA15&lt;&gt;""),'T_TTAFStock'!CA15,BZ11+'Grid_Incoming'!CA11-'Grid_TTAFOutgoing'!CA11))</f>
        <v/>
      </c>
      <c r="CB11">
        <f>IF(COUNTIFS(T_StockCount[Part Name],$A11,T_StockCount[WeekIndex],79)&gt;0,0,IF(('T_TTAFStock'!CB15&lt;&gt;""),'T_TTAFStock'!CB15,CA11+'Grid_Incoming'!CB11-'Grid_TTAFOutgoing'!CB11))</f>
        <v/>
      </c>
      <c r="CC11">
        <f>IF(COUNTIFS(T_StockCount[Part Name],$A11,T_StockCount[WeekIndex],80)&gt;0,0,IF(('T_TTAFStock'!CC15&lt;&gt;""),'T_TTAFStock'!CC15,CB11+'Grid_Incoming'!CC11-'Grid_TTAFOutgoing'!CC11))</f>
        <v/>
      </c>
      <c r="CD11">
        <f>IF(COUNTIFS(T_StockCount[Part Name],$A11,T_StockCount[WeekIndex],81)&gt;0,0,IF(('T_TTAFStock'!CD15&lt;&gt;""),'T_TTAFStock'!CD15,CC11+'Grid_Incoming'!CD11-'Grid_TTAFOutgoing'!CD11))</f>
        <v/>
      </c>
      <c r="CE11">
        <f>IF(COUNTIFS(T_StockCount[Part Name],$A11,T_StockCount[WeekIndex],82)&gt;0,0,IF(('T_TTAFStock'!CE15&lt;&gt;""),'T_TTAFStock'!CE15,CD11+'Grid_Incoming'!CE11-'Grid_TTAFOutgoing'!CE11))</f>
        <v/>
      </c>
      <c r="CF11">
        <f>IF(COUNTIFS(T_StockCount[Part Name],$A11,T_StockCount[WeekIndex],83)&gt;0,0,IF(('T_TTAFStock'!CF15&lt;&gt;""),'T_TTAFStock'!CF15,CE11+'Grid_Incoming'!CF11-'Grid_TTAFOutgoing'!CF11))</f>
        <v/>
      </c>
      <c r="CG11">
        <f>IF(COUNTIFS(T_StockCount[Part Name],$A11,T_StockCount[WeekIndex],84)&gt;0,0,IF(('T_TTAFStock'!CG15&lt;&gt;""),'T_TTAFStock'!CG15,CF11+'Grid_Incoming'!CG11-'Grid_TTAFOutgoing'!CG11))</f>
        <v/>
      </c>
      <c r="CH11">
        <f>IF(COUNTIFS(T_StockCount[Part Name],$A11,T_StockCount[WeekIndex],85)&gt;0,0,IF(('T_TTAFStock'!CH15&lt;&gt;""),'T_TTAFStock'!CH15,CG11+'Grid_Incoming'!CH11-'Grid_TTAFOutgoing'!CH11))</f>
        <v/>
      </c>
      <c r="CI11">
        <f>IF(COUNTIFS(T_StockCount[Part Name],$A11,T_StockCount[WeekIndex],86)&gt;0,0,IF(('T_TTAFStock'!CI15&lt;&gt;""),'T_TTAFStock'!CI15,CH11+'Grid_Incoming'!CI11-'Grid_TTAFOutgoing'!CI11))</f>
        <v/>
      </c>
      <c r="CJ11">
        <f>IF(COUNTIFS(T_StockCount[Part Name],$A11,T_StockCount[WeekIndex],87)&gt;0,0,IF(('T_TTAFStock'!CJ15&lt;&gt;""),'T_TTAFStock'!CJ15,CI11+'Grid_Incoming'!CJ11-'Grid_TTAFOutgoing'!CJ11))</f>
        <v/>
      </c>
      <c r="CK11">
        <f>IF(COUNTIFS(T_StockCount[Part Name],$A11,T_StockCount[WeekIndex],88)&gt;0,0,IF(('T_TTAFStock'!CK15&lt;&gt;""),'T_TTAFStock'!CK15,CJ11+'Grid_Incoming'!CK11-'Grid_TTAFOutgoing'!CK11))</f>
        <v/>
      </c>
      <c r="CL11">
        <f>IF(COUNTIFS(T_StockCount[Part Name],$A11,T_StockCount[WeekIndex],89)&gt;0,0,IF(('T_TTAFStock'!CL15&lt;&gt;""),'T_TTAFStock'!CL15,CK11+'Grid_Incoming'!CL11-'Grid_TTAFOutgoing'!CL11))</f>
        <v/>
      </c>
      <c r="CM11">
        <f>IF(COUNTIFS(T_StockCount[Part Name],$A11,T_StockCount[WeekIndex],90)&gt;0,0,IF(('T_TTAFStock'!CM15&lt;&gt;""),'T_TTAFStock'!CM15,CL11+'Grid_Incoming'!CM11-'Grid_TTAFOutgoing'!CM11))</f>
        <v/>
      </c>
      <c r="CN11">
        <f>IF(COUNTIFS(T_StockCount[Part Name],$A11,T_StockCount[WeekIndex],91)&gt;0,0,IF(('T_TTAFStock'!CN15&lt;&gt;""),'T_TTAFStock'!CN15,CM11+'Grid_Incoming'!CN11-'Grid_TTAFOutgoing'!CN11))</f>
        <v/>
      </c>
      <c r="CO11">
        <f>IF(COUNTIFS(T_StockCount[Part Name],$A11,T_StockCount[WeekIndex],92)&gt;0,0,IF(('T_TTAFStock'!CO15&lt;&gt;""),'T_TTAFStock'!CO15,CN11+'Grid_Incoming'!CO11-'Grid_TTAFOutgoing'!CO11))</f>
        <v/>
      </c>
      <c r="CP11">
        <f>IF(COUNTIFS(T_StockCount[Part Name],$A11,T_StockCount[WeekIndex],93)&gt;0,0,IF(('T_TTAFStock'!CP15&lt;&gt;""),'T_TTAFStock'!CP15,CO11+'Grid_Incoming'!CP11-'Grid_TTAFOutgoing'!CP11))</f>
        <v/>
      </c>
      <c r="CQ11">
        <f>IF(COUNTIFS(T_StockCount[Part Name],$A11,T_StockCount[WeekIndex],94)&gt;0,0,IF(('T_TTAFStock'!CQ15&lt;&gt;""),'T_TTAFStock'!CQ15,CP11+'Grid_Incoming'!CQ11-'Grid_TTAFOutgoing'!CQ11))</f>
        <v/>
      </c>
      <c r="CR11">
        <f>IF(COUNTIFS(T_StockCount[Part Name],$A11,T_StockCount[WeekIndex],95)&gt;0,0,IF(('T_TTAFStock'!CR15&lt;&gt;""),'T_TTAFStock'!CR15,CQ11+'Grid_Incoming'!CR11-'Grid_TTAFOutgoing'!CR11))</f>
        <v/>
      </c>
      <c r="CS11">
        <f>IF(COUNTIFS(T_StockCount[Part Name],$A11,T_StockCount[WeekIndex],96)&gt;0,0,IF(('T_TTAFStock'!CS15&lt;&gt;""),'T_TTAFStock'!CS15,CR11+'Grid_Incoming'!CS11-'Grid_TTAFOutgoing'!CS11))</f>
        <v/>
      </c>
      <c r="CT11">
        <f>IF(COUNTIFS(T_StockCount[Part Name],$A11,T_StockCount[WeekIndex],97)&gt;0,0,IF(('T_TTAFStock'!CT15&lt;&gt;""),'T_TTAFStock'!CT15,CS11+'Grid_Incoming'!CT11-'Grid_TTAFOutgoing'!CT11))</f>
        <v/>
      </c>
      <c r="CU11">
        <f>IF(COUNTIFS(T_StockCount[Part Name],$A11,T_StockCount[WeekIndex],98)&gt;0,0,IF(('T_TTAFStock'!CU15&lt;&gt;""),'T_TTAFStock'!CU15,CT11+'Grid_Incoming'!CU11-'Grid_TTAFOutgoing'!CU11))</f>
        <v/>
      </c>
      <c r="CV11">
        <f>IF(COUNTIFS(T_StockCount[Part Name],$A11,T_StockCount[WeekIndex],99)&gt;0,0,IF(('T_TTAFStock'!CV15&lt;&gt;""),'T_TTAFStock'!CV15,CU11+'Grid_Incoming'!CV11-'Grid_TTAFOutgoing'!CV11))</f>
        <v/>
      </c>
      <c r="CW11">
        <f>IF(COUNTIFS(T_StockCount[Part Name],$A11,T_StockCount[WeekIndex],100)&gt;0,0,IF(('T_TTAFStock'!CW15&lt;&gt;""),'T_TTAFStock'!CW15,CV11+'Grid_Incoming'!CW11-'Grid_TTAFOutgoing'!CW11))</f>
        <v/>
      </c>
      <c r="CX11">
        <f>IF(COUNTIFS(T_StockCount[Part Name],$A11,T_StockCount[WeekIndex],101)&gt;0,0,IF(('T_TTAFStock'!CX15&lt;&gt;""),'T_TTAFStock'!CX15,CW11+'Grid_Incoming'!CX11-'Grid_TTAFOutgoing'!CX11))</f>
        <v/>
      </c>
      <c r="CY11">
        <f>IF(COUNTIFS(T_StockCount[Part Name],$A11,T_StockCount[WeekIndex],102)&gt;0,0,IF(('T_TTAFStock'!CY15&lt;&gt;""),'T_TTAFStock'!CY15,CX11+'Grid_Incoming'!CY11-'Grid_TTAFOutgoing'!CY11))</f>
        <v/>
      </c>
      <c r="CZ11">
        <f>IF(COUNTIFS(T_StockCount[Part Name],$A11,T_StockCount[WeekIndex],103)&gt;0,0,IF(('T_TTAFStock'!CZ15&lt;&gt;""),'T_TTAFStock'!CZ15,CY11+'Grid_Incoming'!CZ11-'Grid_TTAFOutgoing'!CZ11))</f>
        <v/>
      </c>
      <c r="DA11">
        <f>IF(COUNTIFS(T_StockCount[Part Name],$A11,T_StockCount[WeekIndex],104)&gt;0,0,IF(('T_TTAFStock'!DA15&lt;&gt;""),'T_TTAFStock'!DA15,CZ11+'Grid_Incoming'!DA11-'Grid_TTAFOutgoing'!DA11))</f>
        <v/>
      </c>
    </row>
    <row r="12">
      <c r="A12" t="inlineStr">
        <is>
          <t>1EK</t>
        </is>
      </c>
      <c r="B12">
        <f>IF(COUNTIFS(T_StockCount[Part Name],$A12,T_StockCount[WeekIndex],1)&gt;0,0,IF(('T_TTAFStock'!B16&lt;&gt;""),'T_TTAFStock'!B16,0+'Grid_Incoming'!B12-'Grid_TTAFOutgoing'!B12))</f>
        <v/>
      </c>
      <c r="C12">
        <f>IF(COUNTIFS(T_StockCount[Part Name],$A12,T_StockCount[WeekIndex],2)&gt;0,0,IF(('T_TTAFStock'!C16&lt;&gt;""),'T_TTAFStock'!C16,B12+'Grid_Incoming'!C12-'Grid_TTAFOutgoing'!C12))</f>
        <v/>
      </c>
      <c r="D12">
        <f>IF(COUNTIFS(T_StockCount[Part Name],$A12,T_StockCount[WeekIndex],3)&gt;0,0,IF(('T_TTAFStock'!D16&lt;&gt;""),'T_TTAFStock'!D16,C12+'Grid_Incoming'!D12-'Grid_TTAFOutgoing'!D12))</f>
        <v/>
      </c>
      <c r="E12">
        <f>IF(COUNTIFS(T_StockCount[Part Name],$A12,T_StockCount[WeekIndex],4)&gt;0,0,IF(('T_TTAFStock'!E16&lt;&gt;""),'T_TTAFStock'!E16,D12+'Grid_Incoming'!E12-'Grid_TTAFOutgoing'!E12))</f>
        <v/>
      </c>
      <c r="F12">
        <f>IF(COUNTIFS(T_StockCount[Part Name],$A12,T_StockCount[WeekIndex],5)&gt;0,0,IF(('T_TTAFStock'!F16&lt;&gt;""),'T_TTAFStock'!F16,E12+'Grid_Incoming'!F12-'Grid_TTAFOutgoing'!F12))</f>
        <v/>
      </c>
      <c r="G12">
        <f>IF(COUNTIFS(T_StockCount[Part Name],$A12,T_StockCount[WeekIndex],6)&gt;0,0,IF(('T_TTAFStock'!G16&lt;&gt;""),'T_TTAFStock'!G16,F12+'Grid_Incoming'!G12-'Grid_TTAFOutgoing'!G12))</f>
        <v/>
      </c>
      <c r="H12">
        <f>IF(COUNTIFS(T_StockCount[Part Name],$A12,T_StockCount[WeekIndex],7)&gt;0,0,IF(('T_TTAFStock'!H16&lt;&gt;""),'T_TTAFStock'!H16,G12+'Grid_Incoming'!H12-'Grid_TTAFOutgoing'!H12))</f>
        <v/>
      </c>
      <c r="I12">
        <f>IF(COUNTIFS(T_StockCount[Part Name],$A12,T_StockCount[WeekIndex],8)&gt;0,0,IF(('T_TTAFStock'!I16&lt;&gt;""),'T_TTAFStock'!I16,H12+'Grid_Incoming'!I12-'Grid_TTAFOutgoing'!I12))</f>
        <v/>
      </c>
      <c r="J12">
        <f>IF(COUNTIFS(T_StockCount[Part Name],$A12,T_StockCount[WeekIndex],9)&gt;0,0,IF(('T_TTAFStock'!J16&lt;&gt;""),'T_TTAFStock'!J16,I12+'Grid_Incoming'!J12-'Grid_TTAFOutgoing'!J12))</f>
        <v/>
      </c>
      <c r="K12">
        <f>IF(COUNTIFS(T_StockCount[Part Name],$A12,T_StockCount[WeekIndex],10)&gt;0,0,IF(('T_TTAFStock'!K16&lt;&gt;""),'T_TTAFStock'!K16,J12+'Grid_Incoming'!K12-'Grid_TTAFOutgoing'!K12))</f>
        <v/>
      </c>
      <c r="L12">
        <f>IF(COUNTIFS(T_StockCount[Part Name],$A12,T_StockCount[WeekIndex],11)&gt;0,0,IF(('T_TTAFStock'!L16&lt;&gt;""),'T_TTAFStock'!L16,K12+'Grid_Incoming'!L12-'Grid_TTAFOutgoing'!L12))</f>
        <v/>
      </c>
      <c r="M12">
        <f>IF(COUNTIFS(T_StockCount[Part Name],$A12,T_StockCount[WeekIndex],12)&gt;0,0,IF(('T_TTAFStock'!M16&lt;&gt;""),'T_TTAFStock'!M16,L12+'Grid_Incoming'!M12-'Grid_TTAFOutgoing'!M12))</f>
        <v/>
      </c>
      <c r="N12">
        <f>IF(COUNTIFS(T_StockCount[Part Name],$A12,T_StockCount[WeekIndex],13)&gt;0,0,IF(('T_TTAFStock'!N16&lt;&gt;""),'T_TTAFStock'!N16,M12+'Grid_Incoming'!N12-'Grid_TTAFOutgoing'!N12))</f>
        <v/>
      </c>
      <c r="O12">
        <f>IF(COUNTIFS(T_StockCount[Part Name],$A12,T_StockCount[WeekIndex],14)&gt;0,0,IF(('T_TTAFStock'!O16&lt;&gt;""),'T_TTAFStock'!O16,N12+'Grid_Incoming'!O12-'Grid_TTAFOutgoing'!O12))</f>
        <v/>
      </c>
      <c r="P12">
        <f>IF(COUNTIFS(T_StockCount[Part Name],$A12,T_StockCount[WeekIndex],15)&gt;0,0,IF(('T_TTAFStock'!P16&lt;&gt;""),'T_TTAFStock'!P16,O12+'Grid_Incoming'!P12-'Grid_TTAFOutgoing'!P12))</f>
        <v/>
      </c>
      <c r="Q12">
        <f>IF(COUNTIFS(T_StockCount[Part Name],$A12,T_StockCount[WeekIndex],16)&gt;0,0,IF(('T_TTAFStock'!Q16&lt;&gt;""),'T_TTAFStock'!Q16,P12+'Grid_Incoming'!Q12-'Grid_TTAFOutgoing'!Q12))</f>
        <v/>
      </c>
      <c r="R12">
        <f>IF(COUNTIFS(T_StockCount[Part Name],$A12,T_StockCount[WeekIndex],17)&gt;0,0,IF(('T_TTAFStock'!R16&lt;&gt;""),'T_TTAFStock'!R16,Q12+'Grid_Incoming'!R12-'Grid_TTAFOutgoing'!R12))</f>
        <v/>
      </c>
      <c r="S12">
        <f>IF(COUNTIFS(T_StockCount[Part Name],$A12,T_StockCount[WeekIndex],18)&gt;0,0,IF(('T_TTAFStock'!S16&lt;&gt;""),'T_TTAFStock'!S16,R12+'Grid_Incoming'!S12-'Grid_TTAFOutgoing'!S12))</f>
        <v/>
      </c>
      <c r="T12">
        <f>IF(COUNTIFS(T_StockCount[Part Name],$A12,T_StockCount[WeekIndex],19)&gt;0,0,IF(('T_TTAFStock'!T16&lt;&gt;""),'T_TTAFStock'!T16,S12+'Grid_Incoming'!T12-'Grid_TTAFOutgoing'!T12))</f>
        <v/>
      </c>
      <c r="U12">
        <f>IF(COUNTIFS(T_StockCount[Part Name],$A12,T_StockCount[WeekIndex],20)&gt;0,0,IF(('T_TTAFStock'!U16&lt;&gt;""),'T_TTAFStock'!U16,T12+'Grid_Incoming'!U12-'Grid_TTAFOutgoing'!U12))</f>
        <v/>
      </c>
      <c r="V12">
        <f>IF(COUNTIFS(T_StockCount[Part Name],$A12,T_StockCount[WeekIndex],21)&gt;0,0,IF(('T_TTAFStock'!V16&lt;&gt;""),'T_TTAFStock'!V16,U12+'Grid_Incoming'!V12-'Grid_TTAFOutgoing'!V12))</f>
        <v/>
      </c>
      <c r="W12">
        <f>IF(COUNTIFS(T_StockCount[Part Name],$A12,T_StockCount[WeekIndex],22)&gt;0,0,IF(('T_TTAFStock'!W16&lt;&gt;""),'T_TTAFStock'!W16,V12+'Grid_Incoming'!W12-'Grid_TTAFOutgoing'!W12))</f>
        <v/>
      </c>
      <c r="X12">
        <f>IF(COUNTIFS(T_StockCount[Part Name],$A12,T_StockCount[WeekIndex],23)&gt;0,0,IF(('T_TTAFStock'!X16&lt;&gt;""),'T_TTAFStock'!X16,W12+'Grid_Incoming'!X12-'Grid_TTAFOutgoing'!X12))</f>
        <v/>
      </c>
      <c r="Y12">
        <f>IF(COUNTIFS(T_StockCount[Part Name],$A12,T_StockCount[WeekIndex],24)&gt;0,0,IF(('T_TTAFStock'!Y16&lt;&gt;""),'T_TTAFStock'!Y16,X12+'Grid_Incoming'!Y12-'Grid_TTAFOutgoing'!Y12))</f>
        <v/>
      </c>
      <c r="Z12">
        <f>IF(COUNTIFS(T_StockCount[Part Name],$A12,T_StockCount[WeekIndex],25)&gt;0,0,IF(('T_TTAFStock'!Z16&lt;&gt;""),'T_TTAFStock'!Z16,Y12+'Grid_Incoming'!Z12-'Grid_TTAFOutgoing'!Z12))</f>
        <v/>
      </c>
      <c r="AA12">
        <f>IF(COUNTIFS(T_StockCount[Part Name],$A12,T_StockCount[WeekIndex],26)&gt;0,0,IF(('T_TTAFStock'!AA16&lt;&gt;""),'T_TTAFStock'!AA16,Z12+'Grid_Incoming'!AA12-'Grid_TTAFOutgoing'!AA12))</f>
        <v/>
      </c>
      <c r="AB12">
        <f>IF(COUNTIFS(T_StockCount[Part Name],$A12,T_StockCount[WeekIndex],27)&gt;0,0,IF(('T_TTAFStock'!AB16&lt;&gt;""),'T_TTAFStock'!AB16,AA12+'Grid_Incoming'!AB12-'Grid_TTAFOutgoing'!AB12))</f>
        <v/>
      </c>
      <c r="AC12">
        <f>IF(COUNTIFS(T_StockCount[Part Name],$A12,T_StockCount[WeekIndex],28)&gt;0,0,IF(('T_TTAFStock'!AC16&lt;&gt;""),'T_TTAFStock'!AC16,AB12+'Grid_Incoming'!AC12-'Grid_TTAFOutgoing'!AC12))</f>
        <v/>
      </c>
      <c r="AD12">
        <f>IF(COUNTIFS(T_StockCount[Part Name],$A12,T_StockCount[WeekIndex],29)&gt;0,0,IF(('T_TTAFStock'!AD16&lt;&gt;""),'T_TTAFStock'!AD16,AC12+'Grid_Incoming'!AD12-'Grid_TTAFOutgoing'!AD12))</f>
        <v/>
      </c>
      <c r="AE12">
        <f>IF(COUNTIFS(T_StockCount[Part Name],$A12,T_StockCount[WeekIndex],30)&gt;0,0,IF(('T_TTAFStock'!AE16&lt;&gt;""),'T_TTAFStock'!AE16,AD12+'Grid_Incoming'!AE12-'Grid_TTAFOutgoing'!AE12))</f>
        <v/>
      </c>
      <c r="AF12">
        <f>IF(COUNTIFS(T_StockCount[Part Name],$A12,T_StockCount[WeekIndex],31)&gt;0,0,IF(('T_TTAFStock'!AF16&lt;&gt;""),'T_TTAFStock'!AF16,AE12+'Grid_Incoming'!AF12-'Grid_TTAFOutgoing'!AF12))</f>
        <v/>
      </c>
      <c r="AG12">
        <f>IF(COUNTIFS(T_StockCount[Part Name],$A12,T_StockCount[WeekIndex],32)&gt;0,0,IF(('T_TTAFStock'!AG16&lt;&gt;""),'T_TTAFStock'!AG16,AF12+'Grid_Incoming'!AG12-'Grid_TTAFOutgoing'!AG12))</f>
        <v/>
      </c>
      <c r="AH12">
        <f>IF(COUNTIFS(T_StockCount[Part Name],$A12,T_StockCount[WeekIndex],33)&gt;0,0,IF(('T_TTAFStock'!AH16&lt;&gt;""),'T_TTAFStock'!AH16,AG12+'Grid_Incoming'!AH12-'Grid_TTAFOutgoing'!AH12))</f>
        <v/>
      </c>
      <c r="AI12">
        <f>IF(COUNTIFS(T_StockCount[Part Name],$A12,T_StockCount[WeekIndex],34)&gt;0,0,IF(('T_TTAFStock'!AI16&lt;&gt;""),'T_TTAFStock'!AI16,AH12+'Grid_Incoming'!AI12-'Grid_TTAFOutgoing'!AI12))</f>
        <v/>
      </c>
      <c r="AJ12">
        <f>IF(COUNTIFS(T_StockCount[Part Name],$A12,T_StockCount[WeekIndex],35)&gt;0,0,IF(('T_TTAFStock'!AJ16&lt;&gt;""),'T_TTAFStock'!AJ16,AI12+'Grid_Incoming'!AJ12-'Grid_TTAFOutgoing'!AJ12))</f>
        <v/>
      </c>
      <c r="AK12">
        <f>IF(COUNTIFS(T_StockCount[Part Name],$A12,T_StockCount[WeekIndex],36)&gt;0,0,IF(('T_TTAFStock'!AK16&lt;&gt;""),'T_TTAFStock'!AK16,AJ12+'Grid_Incoming'!AK12-'Grid_TTAFOutgoing'!AK12))</f>
        <v/>
      </c>
      <c r="AL12">
        <f>IF(COUNTIFS(T_StockCount[Part Name],$A12,T_StockCount[WeekIndex],37)&gt;0,0,IF(('T_TTAFStock'!AL16&lt;&gt;""),'T_TTAFStock'!AL16,AK12+'Grid_Incoming'!AL12-'Grid_TTAFOutgoing'!AL12))</f>
        <v/>
      </c>
      <c r="AM12">
        <f>IF(COUNTIFS(T_StockCount[Part Name],$A12,T_StockCount[WeekIndex],38)&gt;0,0,IF(('T_TTAFStock'!AM16&lt;&gt;""),'T_TTAFStock'!AM16,AL12+'Grid_Incoming'!AM12-'Grid_TTAFOutgoing'!AM12))</f>
        <v/>
      </c>
      <c r="AN12">
        <f>IF(COUNTIFS(T_StockCount[Part Name],$A12,T_StockCount[WeekIndex],39)&gt;0,0,IF(('T_TTAFStock'!AN16&lt;&gt;""),'T_TTAFStock'!AN16,AM12+'Grid_Incoming'!AN12-'Grid_TTAFOutgoing'!AN12))</f>
        <v/>
      </c>
      <c r="AO12">
        <f>IF(COUNTIFS(T_StockCount[Part Name],$A12,T_StockCount[WeekIndex],40)&gt;0,0,IF(('T_TTAFStock'!AO16&lt;&gt;""),'T_TTAFStock'!AO16,AN12+'Grid_Incoming'!AO12-'Grid_TTAFOutgoing'!AO12))</f>
        <v/>
      </c>
      <c r="AP12">
        <f>IF(COUNTIFS(T_StockCount[Part Name],$A12,T_StockCount[WeekIndex],41)&gt;0,0,IF(('T_TTAFStock'!AP16&lt;&gt;""),'T_TTAFStock'!AP16,AO12+'Grid_Incoming'!AP12-'Grid_TTAFOutgoing'!AP12))</f>
        <v/>
      </c>
      <c r="AQ12">
        <f>IF(COUNTIFS(T_StockCount[Part Name],$A12,T_StockCount[WeekIndex],42)&gt;0,0,IF(('T_TTAFStock'!AQ16&lt;&gt;""),'T_TTAFStock'!AQ16,AP12+'Grid_Incoming'!AQ12-'Grid_TTAFOutgoing'!AQ12))</f>
        <v/>
      </c>
      <c r="AR12">
        <f>IF(COUNTIFS(T_StockCount[Part Name],$A12,T_StockCount[WeekIndex],43)&gt;0,0,IF(('T_TTAFStock'!AR16&lt;&gt;""),'T_TTAFStock'!AR16,AQ12+'Grid_Incoming'!AR12-'Grid_TTAFOutgoing'!AR12))</f>
        <v/>
      </c>
      <c r="AS12">
        <f>IF(COUNTIFS(T_StockCount[Part Name],$A12,T_StockCount[WeekIndex],44)&gt;0,0,IF(('T_TTAFStock'!AS16&lt;&gt;""),'T_TTAFStock'!AS16,AR12+'Grid_Incoming'!AS12-'Grid_TTAFOutgoing'!AS12))</f>
        <v/>
      </c>
      <c r="AT12">
        <f>IF(COUNTIFS(T_StockCount[Part Name],$A12,T_StockCount[WeekIndex],45)&gt;0,0,IF(('T_TTAFStock'!AT16&lt;&gt;""),'T_TTAFStock'!AT16,AS12+'Grid_Incoming'!AT12-'Grid_TTAFOutgoing'!AT12))</f>
        <v/>
      </c>
      <c r="AU12">
        <f>IF(COUNTIFS(T_StockCount[Part Name],$A12,T_StockCount[WeekIndex],46)&gt;0,0,IF(('T_TTAFStock'!AU16&lt;&gt;""),'T_TTAFStock'!AU16,AT12+'Grid_Incoming'!AU12-'Grid_TTAFOutgoing'!AU12))</f>
        <v/>
      </c>
      <c r="AV12">
        <f>IF(COUNTIFS(T_StockCount[Part Name],$A12,T_StockCount[WeekIndex],47)&gt;0,0,IF(('T_TTAFStock'!AV16&lt;&gt;""),'T_TTAFStock'!AV16,AU12+'Grid_Incoming'!AV12-'Grid_TTAFOutgoing'!AV12))</f>
        <v/>
      </c>
      <c r="AW12">
        <f>IF(COUNTIFS(T_StockCount[Part Name],$A12,T_StockCount[WeekIndex],48)&gt;0,0,IF(('T_TTAFStock'!AW16&lt;&gt;""),'T_TTAFStock'!AW16,AV12+'Grid_Incoming'!AW12-'Grid_TTAFOutgoing'!AW12))</f>
        <v/>
      </c>
      <c r="AX12">
        <f>IF(COUNTIFS(T_StockCount[Part Name],$A12,T_StockCount[WeekIndex],49)&gt;0,0,IF(('T_TTAFStock'!AX16&lt;&gt;""),'T_TTAFStock'!AX16,AW12+'Grid_Incoming'!AX12-'Grid_TTAFOutgoing'!AX12))</f>
        <v/>
      </c>
      <c r="AY12">
        <f>IF(COUNTIFS(T_StockCount[Part Name],$A12,T_StockCount[WeekIndex],50)&gt;0,0,IF(('T_TTAFStock'!AY16&lt;&gt;""),'T_TTAFStock'!AY16,AX12+'Grid_Incoming'!AY12-'Grid_TTAFOutgoing'!AY12))</f>
        <v/>
      </c>
      <c r="AZ12">
        <f>IF(COUNTIFS(T_StockCount[Part Name],$A12,T_StockCount[WeekIndex],51)&gt;0,0,IF(('T_TTAFStock'!AZ16&lt;&gt;""),'T_TTAFStock'!AZ16,AY12+'Grid_Incoming'!AZ12-'Grid_TTAFOutgoing'!AZ12))</f>
        <v/>
      </c>
      <c r="BA12">
        <f>IF(COUNTIFS(T_StockCount[Part Name],$A12,T_StockCount[WeekIndex],52)&gt;0,0,IF(('T_TTAFStock'!BA16&lt;&gt;""),'T_TTAFStock'!BA16,AZ12+'Grid_Incoming'!BA12-'Grid_TTAFOutgoing'!BA12))</f>
        <v/>
      </c>
      <c r="BB12">
        <f>IF(COUNTIFS(T_StockCount[Part Name],$A12,T_StockCount[WeekIndex],53)&gt;0,0,IF(('T_TTAFStock'!BB16&lt;&gt;""),'T_TTAFStock'!BB16,BA12+'Grid_Incoming'!BB12-'Grid_TTAFOutgoing'!BB12))</f>
        <v/>
      </c>
      <c r="BC12">
        <f>IF(COUNTIFS(T_StockCount[Part Name],$A12,T_StockCount[WeekIndex],54)&gt;0,0,IF(('T_TTAFStock'!BC16&lt;&gt;""),'T_TTAFStock'!BC16,BB12+'Grid_Incoming'!BC12-'Grid_TTAFOutgoing'!BC12))</f>
        <v/>
      </c>
      <c r="BD12">
        <f>IF(COUNTIFS(T_StockCount[Part Name],$A12,T_StockCount[WeekIndex],55)&gt;0,0,IF(('T_TTAFStock'!BD16&lt;&gt;""),'T_TTAFStock'!BD16,BC12+'Grid_Incoming'!BD12-'Grid_TTAFOutgoing'!BD12))</f>
        <v/>
      </c>
      <c r="BE12">
        <f>IF(COUNTIFS(T_StockCount[Part Name],$A12,T_StockCount[WeekIndex],56)&gt;0,0,IF(('T_TTAFStock'!BE16&lt;&gt;""),'T_TTAFStock'!BE16,BD12+'Grid_Incoming'!BE12-'Grid_TTAFOutgoing'!BE12))</f>
        <v/>
      </c>
      <c r="BF12">
        <f>IF(COUNTIFS(T_StockCount[Part Name],$A12,T_StockCount[WeekIndex],57)&gt;0,0,IF(('T_TTAFStock'!BF16&lt;&gt;""),'T_TTAFStock'!BF16,BE12+'Grid_Incoming'!BF12-'Grid_TTAFOutgoing'!BF12))</f>
        <v/>
      </c>
      <c r="BG12">
        <f>IF(COUNTIFS(T_StockCount[Part Name],$A12,T_StockCount[WeekIndex],58)&gt;0,0,IF(('T_TTAFStock'!BG16&lt;&gt;""),'T_TTAFStock'!BG16,BF12+'Grid_Incoming'!BG12-'Grid_TTAFOutgoing'!BG12))</f>
        <v/>
      </c>
      <c r="BH12">
        <f>IF(COUNTIFS(T_StockCount[Part Name],$A12,T_StockCount[WeekIndex],59)&gt;0,0,IF(('T_TTAFStock'!BH16&lt;&gt;""),'T_TTAFStock'!BH16,BG12+'Grid_Incoming'!BH12-'Grid_TTAFOutgoing'!BH12))</f>
        <v/>
      </c>
      <c r="BI12">
        <f>IF(COUNTIFS(T_StockCount[Part Name],$A12,T_StockCount[WeekIndex],60)&gt;0,0,IF(('T_TTAFStock'!BI16&lt;&gt;""),'T_TTAFStock'!BI16,BH12+'Grid_Incoming'!BI12-'Grid_TTAFOutgoing'!BI12))</f>
        <v/>
      </c>
      <c r="BJ12">
        <f>IF(COUNTIFS(T_StockCount[Part Name],$A12,T_StockCount[WeekIndex],61)&gt;0,0,IF(('T_TTAFStock'!BJ16&lt;&gt;""),'T_TTAFStock'!BJ16,BI12+'Grid_Incoming'!BJ12-'Grid_TTAFOutgoing'!BJ12))</f>
        <v/>
      </c>
      <c r="BK12">
        <f>IF(COUNTIFS(T_StockCount[Part Name],$A12,T_StockCount[WeekIndex],62)&gt;0,0,IF(('T_TTAFStock'!BK16&lt;&gt;""),'T_TTAFStock'!BK16,BJ12+'Grid_Incoming'!BK12-'Grid_TTAFOutgoing'!BK12))</f>
        <v/>
      </c>
      <c r="BL12">
        <f>IF(COUNTIFS(T_StockCount[Part Name],$A12,T_StockCount[WeekIndex],63)&gt;0,0,IF(('T_TTAFStock'!BL16&lt;&gt;""),'T_TTAFStock'!BL16,BK12+'Grid_Incoming'!BL12-'Grid_TTAFOutgoing'!BL12))</f>
        <v/>
      </c>
      <c r="BM12">
        <f>IF(COUNTIFS(T_StockCount[Part Name],$A12,T_StockCount[WeekIndex],64)&gt;0,0,IF(('T_TTAFStock'!BM16&lt;&gt;""),'T_TTAFStock'!BM16,BL12+'Grid_Incoming'!BM12-'Grid_TTAFOutgoing'!BM12))</f>
        <v/>
      </c>
      <c r="BN12">
        <f>IF(COUNTIFS(T_StockCount[Part Name],$A12,T_StockCount[WeekIndex],65)&gt;0,0,IF(('T_TTAFStock'!BN16&lt;&gt;""),'T_TTAFStock'!BN16,BM12+'Grid_Incoming'!BN12-'Grid_TTAFOutgoing'!BN12))</f>
        <v/>
      </c>
      <c r="BO12">
        <f>IF(COUNTIFS(T_StockCount[Part Name],$A12,T_StockCount[WeekIndex],66)&gt;0,0,IF(('T_TTAFStock'!BO16&lt;&gt;""),'T_TTAFStock'!BO16,BN12+'Grid_Incoming'!BO12-'Grid_TTAFOutgoing'!BO12))</f>
        <v/>
      </c>
      <c r="BP12">
        <f>IF(COUNTIFS(T_StockCount[Part Name],$A12,T_StockCount[WeekIndex],67)&gt;0,0,IF(('T_TTAFStock'!BP16&lt;&gt;""),'T_TTAFStock'!BP16,BO12+'Grid_Incoming'!BP12-'Grid_TTAFOutgoing'!BP12))</f>
        <v/>
      </c>
      <c r="BQ12">
        <f>IF(COUNTIFS(T_StockCount[Part Name],$A12,T_StockCount[WeekIndex],68)&gt;0,0,IF(('T_TTAFStock'!BQ16&lt;&gt;""),'T_TTAFStock'!BQ16,BP12+'Grid_Incoming'!BQ12-'Grid_TTAFOutgoing'!BQ12))</f>
        <v/>
      </c>
      <c r="BR12">
        <f>IF(COUNTIFS(T_StockCount[Part Name],$A12,T_StockCount[WeekIndex],69)&gt;0,0,IF(('T_TTAFStock'!BR16&lt;&gt;""),'T_TTAFStock'!BR16,BQ12+'Grid_Incoming'!BR12-'Grid_TTAFOutgoing'!BR12))</f>
        <v/>
      </c>
      <c r="BS12">
        <f>IF(COUNTIFS(T_StockCount[Part Name],$A12,T_StockCount[WeekIndex],70)&gt;0,0,IF(('T_TTAFStock'!BS16&lt;&gt;""),'T_TTAFStock'!BS16,BR12+'Grid_Incoming'!BS12-'Grid_TTAFOutgoing'!BS12))</f>
        <v/>
      </c>
      <c r="BT12">
        <f>IF(COUNTIFS(T_StockCount[Part Name],$A12,T_StockCount[WeekIndex],71)&gt;0,0,IF(('T_TTAFStock'!BT16&lt;&gt;""),'T_TTAFStock'!BT16,BS12+'Grid_Incoming'!BT12-'Grid_TTAFOutgoing'!BT12))</f>
        <v/>
      </c>
      <c r="BU12">
        <f>IF(COUNTIFS(T_StockCount[Part Name],$A12,T_StockCount[WeekIndex],72)&gt;0,0,IF(('T_TTAFStock'!BU16&lt;&gt;""),'T_TTAFStock'!BU16,BT12+'Grid_Incoming'!BU12-'Grid_TTAFOutgoing'!BU12))</f>
        <v/>
      </c>
      <c r="BV12">
        <f>IF(COUNTIFS(T_StockCount[Part Name],$A12,T_StockCount[WeekIndex],73)&gt;0,0,IF(('T_TTAFStock'!BV16&lt;&gt;""),'T_TTAFStock'!BV16,BU12+'Grid_Incoming'!BV12-'Grid_TTAFOutgoing'!BV12))</f>
        <v/>
      </c>
      <c r="BW12">
        <f>IF(COUNTIFS(T_StockCount[Part Name],$A12,T_StockCount[WeekIndex],74)&gt;0,0,IF(('T_TTAFStock'!BW16&lt;&gt;""),'T_TTAFStock'!BW16,BV12+'Grid_Incoming'!BW12-'Grid_TTAFOutgoing'!BW12))</f>
        <v/>
      </c>
      <c r="BX12">
        <f>IF(COUNTIFS(T_StockCount[Part Name],$A12,T_StockCount[WeekIndex],75)&gt;0,0,IF(('T_TTAFStock'!BX16&lt;&gt;""),'T_TTAFStock'!BX16,BW12+'Grid_Incoming'!BX12-'Grid_TTAFOutgoing'!BX12))</f>
        <v/>
      </c>
      <c r="BY12">
        <f>IF(COUNTIFS(T_StockCount[Part Name],$A12,T_StockCount[WeekIndex],76)&gt;0,0,IF(('T_TTAFStock'!BY16&lt;&gt;""),'T_TTAFStock'!BY16,BX12+'Grid_Incoming'!BY12-'Grid_TTAFOutgoing'!BY12))</f>
        <v/>
      </c>
      <c r="BZ12">
        <f>IF(COUNTIFS(T_StockCount[Part Name],$A12,T_StockCount[WeekIndex],77)&gt;0,0,IF(('T_TTAFStock'!BZ16&lt;&gt;""),'T_TTAFStock'!BZ16,BY12+'Grid_Incoming'!BZ12-'Grid_TTAFOutgoing'!BZ12))</f>
        <v/>
      </c>
      <c r="CA12">
        <f>IF(COUNTIFS(T_StockCount[Part Name],$A12,T_StockCount[WeekIndex],78)&gt;0,0,IF(('T_TTAFStock'!CA16&lt;&gt;""),'T_TTAFStock'!CA16,BZ12+'Grid_Incoming'!CA12-'Grid_TTAFOutgoing'!CA12))</f>
        <v/>
      </c>
      <c r="CB12">
        <f>IF(COUNTIFS(T_StockCount[Part Name],$A12,T_StockCount[WeekIndex],79)&gt;0,0,IF(('T_TTAFStock'!CB16&lt;&gt;""),'T_TTAFStock'!CB16,CA12+'Grid_Incoming'!CB12-'Grid_TTAFOutgoing'!CB12))</f>
        <v/>
      </c>
      <c r="CC12">
        <f>IF(COUNTIFS(T_StockCount[Part Name],$A12,T_StockCount[WeekIndex],80)&gt;0,0,IF(('T_TTAFStock'!CC16&lt;&gt;""),'T_TTAFStock'!CC16,CB12+'Grid_Incoming'!CC12-'Grid_TTAFOutgoing'!CC12))</f>
        <v/>
      </c>
      <c r="CD12">
        <f>IF(COUNTIFS(T_StockCount[Part Name],$A12,T_StockCount[WeekIndex],81)&gt;0,0,IF(('T_TTAFStock'!CD16&lt;&gt;""),'T_TTAFStock'!CD16,CC12+'Grid_Incoming'!CD12-'Grid_TTAFOutgoing'!CD12))</f>
        <v/>
      </c>
      <c r="CE12">
        <f>IF(COUNTIFS(T_StockCount[Part Name],$A12,T_StockCount[WeekIndex],82)&gt;0,0,IF(('T_TTAFStock'!CE16&lt;&gt;""),'T_TTAFStock'!CE16,CD12+'Grid_Incoming'!CE12-'Grid_TTAFOutgoing'!CE12))</f>
        <v/>
      </c>
      <c r="CF12">
        <f>IF(COUNTIFS(T_StockCount[Part Name],$A12,T_StockCount[WeekIndex],83)&gt;0,0,IF(('T_TTAFStock'!CF16&lt;&gt;""),'T_TTAFStock'!CF16,CE12+'Grid_Incoming'!CF12-'Grid_TTAFOutgoing'!CF12))</f>
        <v/>
      </c>
      <c r="CG12">
        <f>IF(COUNTIFS(T_StockCount[Part Name],$A12,T_StockCount[WeekIndex],84)&gt;0,0,IF(('T_TTAFStock'!CG16&lt;&gt;""),'T_TTAFStock'!CG16,CF12+'Grid_Incoming'!CG12-'Grid_TTAFOutgoing'!CG12))</f>
        <v/>
      </c>
      <c r="CH12">
        <f>IF(COUNTIFS(T_StockCount[Part Name],$A12,T_StockCount[WeekIndex],85)&gt;0,0,IF(('T_TTAFStock'!CH16&lt;&gt;""),'T_TTAFStock'!CH16,CG12+'Grid_Incoming'!CH12-'Grid_TTAFOutgoing'!CH12))</f>
        <v/>
      </c>
      <c r="CI12">
        <f>IF(COUNTIFS(T_StockCount[Part Name],$A12,T_StockCount[WeekIndex],86)&gt;0,0,IF(('T_TTAFStock'!CI16&lt;&gt;""),'T_TTAFStock'!CI16,CH12+'Grid_Incoming'!CI12-'Grid_TTAFOutgoing'!CI12))</f>
        <v/>
      </c>
      <c r="CJ12">
        <f>IF(COUNTIFS(T_StockCount[Part Name],$A12,T_StockCount[WeekIndex],87)&gt;0,0,IF(('T_TTAFStock'!CJ16&lt;&gt;""),'T_TTAFStock'!CJ16,CI12+'Grid_Incoming'!CJ12-'Grid_TTAFOutgoing'!CJ12))</f>
        <v/>
      </c>
      <c r="CK12">
        <f>IF(COUNTIFS(T_StockCount[Part Name],$A12,T_StockCount[WeekIndex],88)&gt;0,0,IF(('T_TTAFStock'!CK16&lt;&gt;""),'T_TTAFStock'!CK16,CJ12+'Grid_Incoming'!CK12-'Grid_TTAFOutgoing'!CK12))</f>
        <v/>
      </c>
      <c r="CL12">
        <f>IF(COUNTIFS(T_StockCount[Part Name],$A12,T_StockCount[WeekIndex],89)&gt;0,0,IF(('T_TTAFStock'!CL16&lt;&gt;""),'T_TTAFStock'!CL16,CK12+'Grid_Incoming'!CL12-'Grid_TTAFOutgoing'!CL12))</f>
        <v/>
      </c>
      <c r="CM12">
        <f>IF(COUNTIFS(T_StockCount[Part Name],$A12,T_StockCount[WeekIndex],90)&gt;0,0,IF(('T_TTAFStock'!CM16&lt;&gt;""),'T_TTAFStock'!CM16,CL12+'Grid_Incoming'!CM12-'Grid_TTAFOutgoing'!CM12))</f>
        <v/>
      </c>
      <c r="CN12">
        <f>IF(COUNTIFS(T_StockCount[Part Name],$A12,T_StockCount[WeekIndex],91)&gt;0,0,IF(('T_TTAFStock'!CN16&lt;&gt;""),'T_TTAFStock'!CN16,CM12+'Grid_Incoming'!CN12-'Grid_TTAFOutgoing'!CN12))</f>
        <v/>
      </c>
      <c r="CO12">
        <f>IF(COUNTIFS(T_StockCount[Part Name],$A12,T_StockCount[WeekIndex],92)&gt;0,0,IF(('T_TTAFStock'!CO16&lt;&gt;""),'T_TTAFStock'!CO16,CN12+'Grid_Incoming'!CO12-'Grid_TTAFOutgoing'!CO12))</f>
        <v/>
      </c>
      <c r="CP12">
        <f>IF(COUNTIFS(T_StockCount[Part Name],$A12,T_StockCount[WeekIndex],93)&gt;0,0,IF(('T_TTAFStock'!CP16&lt;&gt;""),'T_TTAFStock'!CP16,CO12+'Grid_Incoming'!CP12-'Grid_TTAFOutgoing'!CP12))</f>
        <v/>
      </c>
      <c r="CQ12">
        <f>IF(COUNTIFS(T_StockCount[Part Name],$A12,T_StockCount[WeekIndex],94)&gt;0,0,IF(('T_TTAFStock'!CQ16&lt;&gt;""),'T_TTAFStock'!CQ16,CP12+'Grid_Incoming'!CQ12-'Grid_TTAFOutgoing'!CQ12))</f>
        <v/>
      </c>
      <c r="CR12">
        <f>IF(COUNTIFS(T_StockCount[Part Name],$A12,T_StockCount[WeekIndex],95)&gt;0,0,IF(('T_TTAFStock'!CR16&lt;&gt;""),'T_TTAFStock'!CR16,CQ12+'Grid_Incoming'!CR12-'Grid_TTAFOutgoing'!CR12))</f>
        <v/>
      </c>
      <c r="CS12">
        <f>IF(COUNTIFS(T_StockCount[Part Name],$A12,T_StockCount[WeekIndex],96)&gt;0,0,IF(('T_TTAFStock'!CS16&lt;&gt;""),'T_TTAFStock'!CS16,CR12+'Grid_Incoming'!CS12-'Grid_TTAFOutgoing'!CS12))</f>
        <v/>
      </c>
      <c r="CT12">
        <f>IF(COUNTIFS(T_StockCount[Part Name],$A12,T_StockCount[WeekIndex],97)&gt;0,0,IF(('T_TTAFStock'!CT16&lt;&gt;""),'T_TTAFStock'!CT16,CS12+'Grid_Incoming'!CT12-'Grid_TTAFOutgoing'!CT12))</f>
        <v/>
      </c>
      <c r="CU12">
        <f>IF(COUNTIFS(T_StockCount[Part Name],$A12,T_StockCount[WeekIndex],98)&gt;0,0,IF(('T_TTAFStock'!CU16&lt;&gt;""),'T_TTAFStock'!CU16,CT12+'Grid_Incoming'!CU12-'Grid_TTAFOutgoing'!CU12))</f>
        <v/>
      </c>
      <c r="CV12">
        <f>IF(COUNTIFS(T_StockCount[Part Name],$A12,T_StockCount[WeekIndex],99)&gt;0,0,IF(('T_TTAFStock'!CV16&lt;&gt;""),'T_TTAFStock'!CV16,CU12+'Grid_Incoming'!CV12-'Grid_TTAFOutgoing'!CV12))</f>
        <v/>
      </c>
      <c r="CW12">
        <f>IF(COUNTIFS(T_StockCount[Part Name],$A12,T_StockCount[WeekIndex],100)&gt;0,0,IF(('T_TTAFStock'!CW16&lt;&gt;""),'T_TTAFStock'!CW16,CV12+'Grid_Incoming'!CW12-'Grid_TTAFOutgoing'!CW12))</f>
        <v/>
      </c>
      <c r="CX12">
        <f>IF(COUNTIFS(T_StockCount[Part Name],$A12,T_StockCount[WeekIndex],101)&gt;0,0,IF(('T_TTAFStock'!CX16&lt;&gt;""),'T_TTAFStock'!CX16,CW12+'Grid_Incoming'!CX12-'Grid_TTAFOutgoing'!CX12))</f>
        <v/>
      </c>
      <c r="CY12">
        <f>IF(COUNTIFS(T_StockCount[Part Name],$A12,T_StockCount[WeekIndex],102)&gt;0,0,IF(('T_TTAFStock'!CY16&lt;&gt;""),'T_TTAFStock'!CY16,CX12+'Grid_Incoming'!CY12-'Grid_TTAFOutgoing'!CY12))</f>
        <v/>
      </c>
      <c r="CZ12">
        <f>IF(COUNTIFS(T_StockCount[Part Name],$A12,T_StockCount[WeekIndex],103)&gt;0,0,IF(('T_TTAFStock'!CZ16&lt;&gt;""),'T_TTAFStock'!CZ16,CY12+'Grid_Incoming'!CZ12-'Grid_TTAFOutgoing'!CZ12))</f>
        <v/>
      </c>
      <c r="DA12">
        <f>IF(COUNTIFS(T_StockCount[Part Name],$A12,T_StockCount[WeekIndex],104)&gt;0,0,IF(('T_TTAFStock'!DA16&lt;&gt;""),'T_TTAFStock'!DA16,CZ12+'Grid_Incoming'!DA12-'Grid_TTAFOutgoing'!DA12))</f>
        <v/>
      </c>
    </row>
    <row r="13">
      <c r="A13" t="inlineStr">
        <is>
          <t>7CL</t>
        </is>
      </c>
      <c r="B13">
        <f>IF(COUNTIFS(T_StockCount[Part Name],$A13,T_StockCount[WeekIndex],1)&gt;0,0,IF(('T_TTAFStock'!B17&lt;&gt;""),'T_TTAFStock'!B17,0+'Grid_Incoming'!B13-'Grid_TTAFOutgoing'!B13))</f>
        <v/>
      </c>
      <c r="C13">
        <f>IF(COUNTIFS(T_StockCount[Part Name],$A13,T_StockCount[WeekIndex],2)&gt;0,0,IF(('T_TTAFStock'!C17&lt;&gt;""),'T_TTAFStock'!C17,B13+'Grid_Incoming'!C13-'Grid_TTAFOutgoing'!C13))</f>
        <v/>
      </c>
      <c r="D13">
        <f>IF(COUNTIFS(T_StockCount[Part Name],$A13,T_StockCount[WeekIndex],3)&gt;0,0,IF(('T_TTAFStock'!D17&lt;&gt;""),'T_TTAFStock'!D17,C13+'Grid_Incoming'!D13-'Grid_TTAFOutgoing'!D13))</f>
        <v/>
      </c>
      <c r="E13">
        <f>IF(COUNTIFS(T_StockCount[Part Name],$A13,T_StockCount[WeekIndex],4)&gt;0,0,IF(('T_TTAFStock'!E17&lt;&gt;""),'T_TTAFStock'!E17,D13+'Grid_Incoming'!E13-'Grid_TTAFOutgoing'!E13))</f>
        <v/>
      </c>
      <c r="F13">
        <f>IF(COUNTIFS(T_StockCount[Part Name],$A13,T_StockCount[WeekIndex],5)&gt;0,0,IF(('T_TTAFStock'!F17&lt;&gt;""),'T_TTAFStock'!F17,E13+'Grid_Incoming'!F13-'Grid_TTAFOutgoing'!F13))</f>
        <v/>
      </c>
      <c r="G13">
        <f>IF(COUNTIFS(T_StockCount[Part Name],$A13,T_StockCount[WeekIndex],6)&gt;0,0,IF(('T_TTAFStock'!G17&lt;&gt;""),'T_TTAFStock'!G17,F13+'Grid_Incoming'!G13-'Grid_TTAFOutgoing'!G13))</f>
        <v/>
      </c>
      <c r="H13">
        <f>IF(COUNTIFS(T_StockCount[Part Name],$A13,T_StockCount[WeekIndex],7)&gt;0,0,IF(('T_TTAFStock'!H17&lt;&gt;""),'T_TTAFStock'!H17,G13+'Grid_Incoming'!H13-'Grid_TTAFOutgoing'!H13))</f>
        <v/>
      </c>
      <c r="I13">
        <f>IF(COUNTIFS(T_StockCount[Part Name],$A13,T_StockCount[WeekIndex],8)&gt;0,0,IF(('T_TTAFStock'!I17&lt;&gt;""),'T_TTAFStock'!I17,H13+'Grid_Incoming'!I13-'Grid_TTAFOutgoing'!I13))</f>
        <v/>
      </c>
      <c r="J13">
        <f>IF(COUNTIFS(T_StockCount[Part Name],$A13,T_StockCount[WeekIndex],9)&gt;0,0,IF(('T_TTAFStock'!J17&lt;&gt;""),'T_TTAFStock'!J17,I13+'Grid_Incoming'!J13-'Grid_TTAFOutgoing'!J13))</f>
        <v/>
      </c>
      <c r="K13">
        <f>IF(COUNTIFS(T_StockCount[Part Name],$A13,T_StockCount[WeekIndex],10)&gt;0,0,IF(('T_TTAFStock'!K17&lt;&gt;""),'T_TTAFStock'!K17,J13+'Grid_Incoming'!K13-'Grid_TTAFOutgoing'!K13))</f>
        <v/>
      </c>
      <c r="L13">
        <f>IF(COUNTIFS(T_StockCount[Part Name],$A13,T_StockCount[WeekIndex],11)&gt;0,0,IF(('T_TTAFStock'!L17&lt;&gt;""),'T_TTAFStock'!L17,K13+'Grid_Incoming'!L13-'Grid_TTAFOutgoing'!L13))</f>
        <v/>
      </c>
      <c r="M13">
        <f>IF(COUNTIFS(T_StockCount[Part Name],$A13,T_StockCount[WeekIndex],12)&gt;0,0,IF(('T_TTAFStock'!M17&lt;&gt;""),'T_TTAFStock'!M17,L13+'Grid_Incoming'!M13-'Grid_TTAFOutgoing'!M13))</f>
        <v/>
      </c>
      <c r="N13">
        <f>IF(COUNTIFS(T_StockCount[Part Name],$A13,T_StockCount[WeekIndex],13)&gt;0,0,IF(('T_TTAFStock'!N17&lt;&gt;""),'T_TTAFStock'!N17,M13+'Grid_Incoming'!N13-'Grid_TTAFOutgoing'!N13))</f>
        <v/>
      </c>
      <c r="O13">
        <f>IF(COUNTIFS(T_StockCount[Part Name],$A13,T_StockCount[WeekIndex],14)&gt;0,0,IF(('T_TTAFStock'!O17&lt;&gt;""),'T_TTAFStock'!O17,N13+'Grid_Incoming'!O13-'Grid_TTAFOutgoing'!O13))</f>
        <v/>
      </c>
      <c r="P13">
        <f>IF(COUNTIFS(T_StockCount[Part Name],$A13,T_StockCount[WeekIndex],15)&gt;0,0,IF(('T_TTAFStock'!P17&lt;&gt;""),'T_TTAFStock'!P17,O13+'Grid_Incoming'!P13-'Grid_TTAFOutgoing'!P13))</f>
        <v/>
      </c>
      <c r="Q13">
        <f>IF(COUNTIFS(T_StockCount[Part Name],$A13,T_StockCount[WeekIndex],16)&gt;0,0,IF(('T_TTAFStock'!Q17&lt;&gt;""),'T_TTAFStock'!Q17,P13+'Grid_Incoming'!Q13-'Grid_TTAFOutgoing'!Q13))</f>
        <v/>
      </c>
      <c r="R13">
        <f>IF(COUNTIFS(T_StockCount[Part Name],$A13,T_StockCount[WeekIndex],17)&gt;0,0,IF(('T_TTAFStock'!R17&lt;&gt;""),'T_TTAFStock'!R17,Q13+'Grid_Incoming'!R13-'Grid_TTAFOutgoing'!R13))</f>
        <v/>
      </c>
      <c r="S13">
        <f>IF(COUNTIFS(T_StockCount[Part Name],$A13,T_StockCount[WeekIndex],18)&gt;0,0,IF(('T_TTAFStock'!S17&lt;&gt;""),'T_TTAFStock'!S17,R13+'Grid_Incoming'!S13-'Grid_TTAFOutgoing'!S13))</f>
        <v/>
      </c>
      <c r="T13">
        <f>IF(COUNTIFS(T_StockCount[Part Name],$A13,T_StockCount[WeekIndex],19)&gt;0,0,IF(('T_TTAFStock'!T17&lt;&gt;""),'T_TTAFStock'!T17,S13+'Grid_Incoming'!T13-'Grid_TTAFOutgoing'!T13))</f>
        <v/>
      </c>
      <c r="U13">
        <f>IF(COUNTIFS(T_StockCount[Part Name],$A13,T_StockCount[WeekIndex],20)&gt;0,0,IF(('T_TTAFStock'!U17&lt;&gt;""),'T_TTAFStock'!U17,T13+'Grid_Incoming'!U13-'Grid_TTAFOutgoing'!U13))</f>
        <v/>
      </c>
      <c r="V13">
        <f>IF(COUNTIFS(T_StockCount[Part Name],$A13,T_StockCount[WeekIndex],21)&gt;0,0,IF(('T_TTAFStock'!V17&lt;&gt;""),'T_TTAFStock'!V17,U13+'Grid_Incoming'!V13-'Grid_TTAFOutgoing'!V13))</f>
        <v/>
      </c>
      <c r="W13">
        <f>IF(COUNTIFS(T_StockCount[Part Name],$A13,T_StockCount[WeekIndex],22)&gt;0,0,IF(('T_TTAFStock'!W17&lt;&gt;""),'T_TTAFStock'!W17,V13+'Grid_Incoming'!W13-'Grid_TTAFOutgoing'!W13))</f>
        <v/>
      </c>
      <c r="X13">
        <f>IF(COUNTIFS(T_StockCount[Part Name],$A13,T_StockCount[WeekIndex],23)&gt;0,0,IF(('T_TTAFStock'!X17&lt;&gt;""),'T_TTAFStock'!X17,W13+'Grid_Incoming'!X13-'Grid_TTAFOutgoing'!X13))</f>
        <v/>
      </c>
      <c r="Y13">
        <f>IF(COUNTIFS(T_StockCount[Part Name],$A13,T_StockCount[WeekIndex],24)&gt;0,0,IF(('T_TTAFStock'!Y17&lt;&gt;""),'T_TTAFStock'!Y17,X13+'Grid_Incoming'!Y13-'Grid_TTAFOutgoing'!Y13))</f>
        <v/>
      </c>
      <c r="Z13">
        <f>IF(COUNTIFS(T_StockCount[Part Name],$A13,T_StockCount[WeekIndex],25)&gt;0,0,IF(('T_TTAFStock'!Z17&lt;&gt;""),'T_TTAFStock'!Z17,Y13+'Grid_Incoming'!Z13-'Grid_TTAFOutgoing'!Z13))</f>
        <v/>
      </c>
      <c r="AA13">
        <f>IF(COUNTIFS(T_StockCount[Part Name],$A13,T_StockCount[WeekIndex],26)&gt;0,0,IF(('T_TTAFStock'!AA17&lt;&gt;""),'T_TTAFStock'!AA17,Z13+'Grid_Incoming'!AA13-'Grid_TTAFOutgoing'!AA13))</f>
        <v/>
      </c>
      <c r="AB13">
        <f>IF(COUNTIFS(T_StockCount[Part Name],$A13,T_StockCount[WeekIndex],27)&gt;0,0,IF(('T_TTAFStock'!AB17&lt;&gt;""),'T_TTAFStock'!AB17,AA13+'Grid_Incoming'!AB13-'Grid_TTAFOutgoing'!AB13))</f>
        <v/>
      </c>
      <c r="AC13">
        <f>IF(COUNTIFS(T_StockCount[Part Name],$A13,T_StockCount[WeekIndex],28)&gt;0,0,IF(('T_TTAFStock'!AC17&lt;&gt;""),'T_TTAFStock'!AC17,AB13+'Grid_Incoming'!AC13-'Grid_TTAFOutgoing'!AC13))</f>
        <v/>
      </c>
      <c r="AD13">
        <f>IF(COUNTIFS(T_StockCount[Part Name],$A13,T_StockCount[WeekIndex],29)&gt;0,0,IF(('T_TTAFStock'!AD17&lt;&gt;""),'T_TTAFStock'!AD17,AC13+'Grid_Incoming'!AD13-'Grid_TTAFOutgoing'!AD13))</f>
        <v/>
      </c>
      <c r="AE13">
        <f>IF(COUNTIFS(T_StockCount[Part Name],$A13,T_StockCount[WeekIndex],30)&gt;0,0,IF(('T_TTAFStock'!AE17&lt;&gt;""),'T_TTAFStock'!AE17,AD13+'Grid_Incoming'!AE13-'Grid_TTAFOutgoing'!AE13))</f>
        <v/>
      </c>
      <c r="AF13">
        <f>IF(COUNTIFS(T_StockCount[Part Name],$A13,T_StockCount[WeekIndex],31)&gt;0,0,IF(('T_TTAFStock'!AF17&lt;&gt;""),'T_TTAFStock'!AF17,AE13+'Grid_Incoming'!AF13-'Grid_TTAFOutgoing'!AF13))</f>
        <v/>
      </c>
      <c r="AG13">
        <f>IF(COUNTIFS(T_StockCount[Part Name],$A13,T_StockCount[WeekIndex],32)&gt;0,0,IF(('T_TTAFStock'!AG17&lt;&gt;""),'T_TTAFStock'!AG17,AF13+'Grid_Incoming'!AG13-'Grid_TTAFOutgoing'!AG13))</f>
        <v/>
      </c>
      <c r="AH13">
        <f>IF(COUNTIFS(T_StockCount[Part Name],$A13,T_StockCount[WeekIndex],33)&gt;0,0,IF(('T_TTAFStock'!AH17&lt;&gt;""),'T_TTAFStock'!AH17,AG13+'Grid_Incoming'!AH13-'Grid_TTAFOutgoing'!AH13))</f>
        <v/>
      </c>
      <c r="AI13">
        <f>IF(COUNTIFS(T_StockCount[Part Name],$A13,T_StockCount[WeekIndex],34)&gt;0,0,IF(('T_TTAFStock'!AI17&lt;&gt;""),'T_TTAFStock'!AI17,AH13+'Grid_Incoming'!AI13-'Grid_TTAFOutgoing'!AI13))</f>
        <v/>
      </c>
      <c r="AJ13">
        <f>IF(COUNTIFS(T_StockCount[Part Name],$A13,T_StockCount[WeekIndex],35)&gt;0,0,IF(('T_TTAFStock'!AJ17&lt;&gt;""),'T_TTAFStock'!AJ17,AI13+'Grid_Incoming'!AJ13-'Grid_TTAFOutgoing'!AJ13))</f>
        <v/>
      </c>
      <c r="AK13">
        <f>IF(COUNTIFS(T_StockCount[Part Name],$A13,T_StockCount[WeekIndex],36)&gt;0,0,IF(('T_TTAFStock'!AK17&lt;&gt;""),'T_TTAFStock'!AK17,AJ13+'Grid_Incoming'!AK13-'Grid_TTAFOutgoing'!AK13))</f>
        <v/>
      </c>
      <c r="AL13">
        <f>IF(COUNTIFS(T_StockCount[Part Name],$A13,T_StockCount[WeekIndex],37)&gt;0,0,IF(('T_TTAFStock'!AL17&lt;&gt;""),'T_TTAFStock'!AL17,AK13+'Grid_Incoming'!AL13-'Grid_TTAFOutgoing'!AL13))</f>
        <v/>
      </c>
      <c r="AM13">
        <f>IF(COUNTIFS(T_StockCount[Part Name],$A13,T_StockCount[WeekIndex],38)&gt;0,0,IF(('T_TTAFStock'!AM17&lt;&gt;""),'T_TTAFStock'!AM17,AL13+'Grid_Incoming'!AM13-'Grid_TTAFOutgoing'!AM13))</f>
        <v/>
      </c>
      <c r="AN13">
        <f>IF(COUNTIFS(T_StockCount[Part Name],$A13,T_StockCount[WeekIndex],39)&gt;0,0,IF(('T_TTAFStock'!AN17&lt;&gt;""),'T_TTAFStock'!AN17,AM13+'Grid_Incoming'!AN13-'Grid_TTAFOutgoing'!AN13))</f>
        <v/>
      </c>
      <c r="AO13">
        <f>IF(COUNTIFS(T_StockCount[Part Name],$A13,T_StockCount[WeekIndex],40)&gt;0,0,IF(('T_TTAFStock'!AO17&lt;&gt;""),'T_TTAFStock'!AO17,AN13+'Grid_Incoming'!AO13-'Grid_TTAFOutgoing'!AO13))</f>
        <v/>
      </c>
      <c r="AP13">
        <f>IF(COUNTIFS(T_StockCount[Part Name],$A13,T_StockCount[WeekIndex],41)&gt;0,0,IF(('T_TTAFStock'!AP17&lt;&gt;""),'T_TTAFStock'!AP17,AO13+'Grid_Incoming'!AP13-'Grid_TTAFOutgoing'!AP13))</f>
        <v/>
      </c>
      <c r="AQ13">
        <f>IF(COUNTIFS(T_StockCount[Part Name],$A13,T_StockCount[WeekIndex],42)&gt;0,0,IF(('T_TTAFStock'!AQ17&lt;&gt;""),'T_TTAFStock'!AQ17,AP13+'Grid_Incoming'!AQ13-'Grid_TTAFOutgoing'!AQ13))</f>
        <v/>
      </c>
      <c r="AR13">
        <f>IF(COUNTIFS(T_StockCount[Part Name],$A13,T_StockCount[WeekIndex],43)&gt;0,0,IF(('T_TTAFStock'!AR17&lt;&gt;""),'T_TTAFStock'!AR17,AQ13+'Grid_Incoming'!AR13-'Grid_TTAFOutgoing'!AR13))</f>
        <v/>
      </c>
      <c r="AS13">
        <f>IF(COUNTIFS(T_StockCount[Part Name],$A13,T_StockCount[WeekIndex],44)&gt;0,0,IF(('T_TTAFStock'!AS17&lt;&gt;""),'T_TTAFStock'!AS17,AR13+'Grid_Incoming'!AS13-'Grid_TTAFOutgoing'!AS13))</f>
        <v/>
      </c>
      <c r="AT13">
        <f>IF(COUNTIFS(T_StockCount[Part Name],$A13,T_StockCount[WeekIndex],45)&gt;0,0,IF(('T_TTAFStock'!AT17&lt;&gt;""),'T_TTAFStock'!AT17,AS13+'Grid_Incoming'!AT13-'Grid_TTAFOutgoing'!AT13))</f>
        <v/>
      </c>
      <c r="AU13">
        <f>IF(COUNTIFS(T_StockCount[Part Name],$A13,T_StockCount[WeekIndex],46)&gt;0,0,IF(('T_TTAFStock'!AU17&lt;&gt;""),'T_TTAFStock'!AU17,AT13+'Grid_Incoming'!AU13-'Grid_TTAFOutgoing'!AU13))</f>
        <v/>
      </c>
      <c r="AV13">
        <f>IF(COUNTIFS(T_StockCount[Part Name],$A13,T_StockCount[WeekIndex],47)&gt;0,0,IF(('T_TTAFStock'!AV17&lt;&gt;""),'T_TTAFStock'!AV17,AU13+'Grid_Incoming'!AV13-'Grid_TTAFOutgoing'!AV13))</f>
        <v/>
      </c>
      <c r="AW13">
        <f>IF(COUNTIFS(T_StockCount[Part Name],$A13,T_StockCount[WeekIndex],48)&gt;0,0,IF(('T_TTAFStock'!AW17&lt;&gt;""),'T_TTAFStock'!AW17,AV13+'Grid_Incoming'!AW13-'Grid_TTAFOutgoing'!AW13))</f>
        <v/>
      </c>
      <c r="AX13">
        <f>IF(COUNTIFS(T_StockCount[Part Name],$A13,T_StockCount[WeekIndex],49)&gt;0,0,IF(('T_TTAFStock'!AX17&lt;&gt;""),'T_TTAFStock'!AX17,AW13+'Grid_Incoming'!AX13-'Grid_TTAFOutgoing'!AX13))</f>
        <v/>
      </c>
      <c r="AY13">
        <f>IF(COUNTIFS(T_StockCount[Part Name],$A13,T_StockCount[WeekIndex],50)&gt;0,0,IF(('T_TTAFStock'!AY17&lt;&gt;""),'T_TTAFStock'!AY17,AX13+'Grid_Incoming'!AY13-'Grid_TTAFOutgoing'!AY13))</f>
        <v/>
      </c>
      <c r="AZ13">
        <f>IF(COUNTIFS(T_StockCount[Part Name],$A13,T_StockCount[WeekIndex],51)&gt;0,0,IF(('T_TTAFStock'!AZ17&lt;&gt;""),'T_TTAFStock'!AZ17,AY13+'Grid_Incoming'!AZ13-'Grid_TTAFOutgoing'!AZ13))</f>
        <v/>
      </c>
      <c r="BA13">
        <f>IF(COUNTIFS(T_StockCount[Part Name],$A13,T_StockCount[WeekIndex],52)&gt;0,0,IF(('T_TTAFStock'!BA17&lt;&gt;""),'T_TTAFStock'!BA17,AZ13+'Grid_Incoming'!BA13-'Grid_TTAFOutgoing'!BA13))</f>
        <v/>
      </c>
      <c r="BB13">
        <f>IF(COUNTIFS(T_StockCount[Part Name],$A13,T_StockCount[WeekIndex],53)&gt;0,0,IF(('T_TTAFStock'!BB17&lt;&gt;""),'T_TTAFStock'!BB17,BA13+'Grid_Incoming'!BB13-'Grid_TTAFOutgoing'!BB13))</f>
        <v/>
      </c>
      <c r="BC13">
        <f>IF(COUNTIFS(T_StockCount[Part Name],$A13,T_StockCount[WeekIndex],54)&gt;0,0,IF(('T_TTAFStock'!BC17&lt;&gt;""),'T_TTAFStock'!BC17,BB13+'Grid_Incoming'!BC13-'Grid_TTAFOutgoing'!BC13))</f>
        <v/>
      </c>
      <c r="BD13">
        <f>IF(COUNTIFS(T_StockCount[Part Name],$A13,T_StockCount[WeekIndex],55)&gt;0,0,IF(('T_TTAFStock'!BD17&lt;&gt;""),'T_TTAFStock'!BD17,BC13+'Grid_Incoming'!BD13-'Grid_TTAFOutgoing'!BD13))</f>
        <v/>
      </c>
      <c r="BE13">
        <f>IF(COUNTIFS(T_StockCount[Part Name],$A13,T_StockCount[WeekIndex],56)&gt;0,0,IF(('T_TTAFStock'!BE17&lt;&gt;""),'T_TTAFStock'!BE17,BD13+'Grid_Incoming'!BE13-'Grid_TTAFOutgoing'!BE13))</f>
        <v/>
      </c>
      <c r="BF13">
        <f>IF(COUNTIFS(T_StockCount[Part Name],$A13,T_StockCount[WeekIndex],57)&gt;0,0,IF(('T_TTAFStock'!BF17&lt;&gt;""),'T_TTAFStock'!BF17,BE13+'Grid_Incoming'!BF13-'Grid_TTAFOutgoing'!BF13))</f>
        <v/>
      </c>
      <c r="BG13">
        <f>IF(COUNTIFS(T_StockCount[Part Name],$A13,T_StockCount[WeekIndex],58)&gt;0,0,IF(('T_TTAFStock'!BG17&lt;&gt;""),'T_TTAFStock'!BG17,BF13+'Grid_Incoming'!BG13-'Grid_TTAFOutgoing'!BG13))</f>
        <v/>
      </c>
      <c r="BH13">
        <f>IF(COUNTIFS(T_StockCount[Part Name],$A13,T_StockCount[WeekIndex],59)&gt;0,0,IF(('T_TTAFStock'!BH17&lt;&gt;""),'T_TTAFStock'!BH17,BG13+'Grid_Incoming'!BH13-'Grid_TTAFOutgoing'!BH13))</f>
        <v/>
      </c>
      <c r="BI13">
        <f>IF(COUNTIFS(T_StockCount[Part Name],$A13,T_StockCount[WeekIndex],60)&gt;0,0,IF(('T_TTAFStock'!BI17&lt;&gt;""),'T_TTAFStock'!BI17,BH13+'Grid_Incoming'!BI13-'Grid_TTAFOutgoing'!BI13))</f>
        <v/>
      </c>
      <c r="BJ13">
        <f>IF(COUNTIFS(T_StockCount[Part Name],$A13,T_StockCount[WeekIndex],61)&gt;0,0,IF(('T_TTAFStock'!BJ17&lt;&gt;""),'T_TTAFStock'!BJ17,BI13+'Grid_Incoming'!BJ13-'Grid_TTAFOutgoing'!BJ13))</f>
        <v/>
      </c>
      <c r="BK13">
        <f>IF(COUNTIFS(T_StockCount[Part Name],$A13,T_StockCount[WeekIndex],62)&gt;0,0,IF(('T_TTAFStock'!BK17&lt;&gt;""),'T_TTAFStock'!BK17,BJ13+'Grid_Incoming'!BK13-'Grid_TTAFOutgoing'!BK13))</f>
        <v/>
      </c>
      <c r="BL13">
        <f>IF(COUNTIFS(T_StockCount[Part Name],$A13,T_StockCount[WeekIndex],63)&gt;0,0,IF(('T_TTAFStock'!BL17&lt;&gt;""),'T_TTAFStock'!BL17,BK13+'Grid_Incoming'!BL13-'Grid_TTAFOutgoing'!BL13))</f>
        <v/>
      </c>
      <c r="BM13">
        <f>IF(COUNTIFS(T_StockCount[Part Name],$A13,T_StockCount[WeekIndex],64)&gt;0,0,IF(('T_TTAFStock'!BM17&lt;&gt;""),'T_TTAFStock'!BM17,BL13+'Grid_Incoming'!BM13-'Grid_TTAFOutgoing'!BM13))</f>
        <v/>
      </c>
      <c r="BN13">
        <f>IF(COUNTIFS(T_StockCount[Part Name],$A13,T_StockCount[WeekIndex],65)&gt;0,0,IF(('T_TTAFStock'!BN17&lt;&gt;""),'T_TTAFStock'!BN17,BM13+'Grid_Incoming'!BN13-'Grid_TTAFOutgoing'!BN13))</f>
        <v/>
      </c>
      <c r="BO13">
        <f>IF(COUNTIFS(T_StockCount[Part Name],$A13,T_StockCount[WeekIndex],66)&gt;0,0,IF(('T_TTAFStock'!BO17&lt;&gt;""),'T_TTAFStock'!BO17,BN13+'Grid_Incoming'!BO13-'Grid_TTAFOutgoing'!BO13))</f>
        <v/>
      </c>
      <c r="BP13">
        <f>IF(COUNTIFS(T_StockCount[Part Name],$A13,T_StockCount[WeekIndex],67)&gt;0,0,IF(('T_TTAFStock'!BP17&lt;&gt;""),'T_TTAFStock'!BP17,BO13+'Grid_Incoming'!BP13-'Grid_TTAFOutgoing'!BP13))</f>
        <v/>
      </c>
      <c r="BQ13">
        <f>IF(COUNTIFS(T_StockCount[Part Name],$A13,T_StockCount[WeekIndex],68)&gt;0,0,IF(('T_TTAFStock'!BQ17&lt;&gt;""),'T_TTAFStock'!BQ17,BP13+'Grid_Incoming'!BQ13-'Grid_TTAFOutgoing'!BQ13))</f>
        <v/>
      </c>
      <c r="BR13">
        <f>IF(COUNTIFS(T_StockCount[Part Name],$A13,T_StockCount[WeekIndex],69)&gt;0,0,IF(('T_TTAFStock'!BR17&lt;&gt;""),'T_TTAFStock'!BR17,BQ13+'Grid_Incoming'!BR13-'Grid_TTAFOutgoing'!BR13))</f>
        <v/>
      </c>
      <c r="BS13">
        <f>IF(COUNTIFS(T_StockCount[Part Name],$A13,T_StockCount[WeekIndex],70)&gt;0,0,IF(('T_TTAFStock'!BS17&lt;&gt;""),'T_TTAFStock'!BS17,BR13+'Grid_Incoming'!BS13-'Grid_TTAFOutgoing'!BS13))</f>
        <v/>
      </c>
      <c r="BT13">
        <f>IF(COUNTIFS(T_StockCount[Part Name],$A13,T_StockCount[WeekIndex],71)&gt;0,0,IF(('T_TTAFStock'!BT17&lt;&gt;""),'T_TTAFStock'!BT17,BS13+'Grid_Incoming'!BT13-'Grid_TTAFOutgoing'!BT13))</f>
        <v/>
      </c>
      <c r="BU13">
        <f>IF(COUNTIFS(T_StockCount[Part Name],$A13,T_StockCount[WeekIndex],72)&gt;0,0,IF(('T_TTAFStock'!BU17&lt;&gt;""),'T_TTAFStock'!BU17,BT13+'Grid_Incoming'!BU13-'Grid_TTAFOutgoing'!BU13))</f>
        <v/>
      </c>
      <c r="BV13">
        <f>IF(COUNTIFS(T_StockCount[Part Name],$A13,T_StockCount[WeekIndex],73)&gt;0,0,IF(('T_TTAFStock'!BV17&lt;&gt;""),'T_TTAFStock'!BV17,BU13+'Grid_Incoming'!BV13-'Grid_TTAFOutgoing'!BV13))</f>
        <v/>
      </c>
      <c r="BW13">
        <f>IF(COUNTIFS(T_StockCount[Part Name],$A13,T_StockCount[WeekIndex],74)&gt;0,0,IF(('T_TTAFStock'!BW17&lt;&gt;""),'T_TTAFStock'!BW17,BV13+'Grid_Incoming'!BW13-'Grid_TTAFOutgoing'!BW13))</f>
        <v/>
      </c>
      <c r="BX13">
        <f>IF(COUNTIFS(T_StockCount[Part Name],$A13,T_StockCount[WeekIndex],75)&gt;0,0,IF(('T_TTAFStock'!BX17&lt;&gt;""),'T_TTAFStock'!BX17,BW13+'Grid_Incoming'!BX13-'Grid_TTAFOutgoing'!BX13))</f>
        <v/>
      </c>
      <c r="BY13">
        <f>IF(COUNTIFS(T_StockCount[Part Name],$A13,T_StockCount[WeekIndex],76)&gt;0,0,IF(('T_TTAFStock'!BY17&lt;&gt;""),'T_TTAFStock'!BY17,BX13+'Grid_Incoming'!BY13-'Grid_TTAFOutgoing'!BY13))</f>
        <v/>
      </c>
      <c r="BZ13">
        <f>IF(COUNTIFS(T_StockCount[Part Name],$A13,T_StockCount[WeekIndex],77)&gt;0,0,IF(('T_TTAFStock'!BZ17&lt;&gt;""),'T_TTAFStock'!BZ17,BY13+'Grid_Incoming'!BZ13-'Grid_TTAFOutgoing'!BZ13))</f>
        <v/>
      </c>
      <c r="CA13">
        <f>IF(COUNTIFS(T_StockCount[Part Name],$A13,T_StockCount[WeekIndex],78)&gt;0,0,IF(('T_TTAFStock'!CA17&lt;&gt;""),'T_TTAFStock'!CA17,BZ13+'Grid_Incoming'!CA13-'Grid_TTAFOutgoing'!CA13))</f>
        <v/>
      </c>
      <c r="CB13">
        <f>IF(COUNTIFS(T_StockCount[Part Name],$A13,T_StockCount[WeekIndex],79)&gt;0,0,IF(('T_TTAFStock'!CB17&lt;&gt;""),'T_TTAFStock'!CB17,CA13+'Grid_Incoming'!CB13-'Grid_TTAFOutgoing'!CB13))</f>
        <v/>
      </c>
      <c r="CC13">
        <f>IF(COUNTIFS(T_StockCount[Part Name],$A13,T_StockCount[WeekIndex],80)&gt;0,0,IF(('T_TTAFStock'!CC17&lt;&gt;""),'T_TTAFStock'!CC17,CB13+'Grid_Incoming'!CC13-'Grid_TTAFOutgoing'!CC13))</f>
        <v/>
      </c>
      <c r="CD13">
        <f>IF(COUNTIFS(T_StockCount[Part Name],$A13,T_StockCount[WeekIndex],81)&gt;0,0,IF(('T_TTAFStock'!CD17&lt;&gt;""),'T_TTAFStock'!CD17,CC13+'Grid_Incoming'!CD13-'Grid_TTAFOutgoing'!CD13))</f>
        <v/>
      </c>
      <c r="CE13">
        <f>IF(COUNTIFS(T_StockCount[Part Name],$A13,T_StockCount[WeekIndex],82)&gt;0,0,IF(('T_TTAFStock'!CE17&lt;&gt;""),'T_TTAFStock'!CE17,CD13+'Grid_Incoming'!CE13-'Grid_TTAFOutgoing'!CE13))</f>
        <v/>
      </c>
      <c r="CF13">
        <f>IF(COUNTIFS(T_StockCount[Part Name],$A13,T_StockCount[WeekIndex],83)&gt;0,0,IF(('T_TTAFStock'!CF17&lt;&gt;""),'T_TTAFStock'!CF17,CE13+'Grid_Incoming'!CF13-'Grid_TTAFOutgoing'!CF13))</f>
        <v/>
      </c>
      <c r="CG13">
        <f>IF(COUNTIFS(T_StockCount[Part Name],$A13,T_StockCount[WeekIndex],84)&gt;0,0,IF(('T_TTAFStock'!CG17&lt;&gt;""),'T_TTAFStock'!CG17,CF13+'Grid_Incoming'!CG13-'Grid_TTAFOutgoing'!CG13))</f>
        <v/>
      </c>
      <c r="CH13">
        <f>IF(COUNTIFS(T_StockCount[Part Name],$A13,T_StockCount[WeekIndex],85)&gt;0,0,IF(('T_TTAFStock'!CH17&lt;&gt;""),'T_TTAFStock'!CH17,CG13+'Grid_Incoming'!CH13-'Grid_TTAFOutgoing'!CH13))</f>
        <v/>
      </c>
      <c r="CI13">
        <f>IF(COUNTIFS(T_StockCount[Part Name],$A13,T_StockCount[WeekIndex],86)&gt;0,0,IF(('T_TTAFStock'!CI17&lt;&gt;""),'T_TTAFStock'!CI17,CH13+'Grid_Incoming'!CI13-'Grid_TTAFOutgoing'!CI13))</f>
        <v/>
      </c>
      <c r="CJ13">
        <f>IF(COUNTIFS(T_StockCount[Part Name],$A13,T_StockCount[WeekIndex],87)&gt;0,0,IF(('T_TTAFStock'!CJ17&lt;&gt;""),'T_TTAFStock'!CJ17,CI13+'Grid_Incoming'!CJ13-'Grid_TTAFOutgoing'!CJ13))</f>
        <v/>
      </c>
      <c r="CK13">
        <f>IF(COUNTIFS(T_StockCount[Part Name],$A13,T_StockCount[WeekIndex],88)&gt;0,0,IF(('T_TTAFStock'!CK17&lt;&gt;""),'T_TTAFStock'!CK17,CJ13+'Grid_Incoming'!CK13-'Grid_TTAFOutgoing'!CK13))</f>
        <v/>
      </c>
      <c r="CL13">
        <f>IF(COUNTIFS(T_StockCount[Part Name],$A13,T_StockCount[WeekIndex],89)&gt;0,0,IF(('T_TTAFStock'!CL17&lt;&gt;""),'T_TTAFStock'!CL17,CK13+'Grid_Incoming'!CL13-'Grid_TTAFOutgoing'!CL13))</f>
        <v/>
      </c>
      <c r="CM13">
        <f>IF(COUNTIFS(T_StockCount[Part Name],$A13,T_StockCount[WeekIndex],90)&gt;0,0,IF(('T_TTAFStock'!CM17&lt;&gt;""),'T_TTAFStock'!CM17,CL13+'Grid_Incoming'!CM13-'Grid_TTAFOutgoing'!CM13))</f>
        <v/>
      </c>
      <c r="CN13">
        <f>IF(COUNTIFS(T_StockCount[Part Name],$A13,T_StockCount[WeekIndex],91)&gt;0,0,IF(('T_TTAFStock'!CN17&lt;&gt;""),'T_TTAFStock'!CN17,CM13+'Grid_Incoming'!CN13-'Grid_TTAFOutgoing'!CN13))</f>
        <v/>
      </c>
      <c r="CO13">
        <f>IF(COUNTIFS(T_StockCount[Part Name],$A13,T_StockCount[WeekIndex],92)&gt;0,0,IF(('T_TTAFStock'!CO17&lt;&gt;""),'T_TTAFStock'!CO17,CN13+'Grid_Incoming'!CO13-'Grid_TTAFOutgoing'!CO13))</f>
        <v/>
      </c>
      <c r="CP13">
        <f>IF(COUNTIFS(T_StockCount[Part Name],$A13,T_StockCount[WeekIndex],93)&gt;0,0,IF(('T_TTAFStock'!CP17&lt;&gt;""),'T_TTAFStock'!CP17,CO13+'Grid_Incoming'!CP13-'Grid_TTAFOutgoing'!CP13))</f>
        <v/>
      </c>
      <c r="CQ13">
        <f>IF(COUNTIFS(T_StockCount[Part Name],$A13,T_StockCount[WeekIndex],94)&gt;0,0,IF(('T_TTAFStock'!CQ17&lt;&gt;""),'T_TTAFStock'!CQ17,CP13+'Grid_Incoming'!CQ13-'Grid_TTAFOutgoing'!CQ13))</f>
        <v/>
      </c>
      <c r="CR13">
        <f>IF(COUNTIFS(T_StockCount[Part Name],$A13,T_StockCount[WeekIndex],95)&gt;0,0,IF(('T_TTAFStock'!CR17&lt;&gt;""),'T_TTAFStock'!CR17,CQ13+'Grid_Incoming'!CR13-'Grid_TTAFOutgoing'!CR13))</f>
        <v/>
      </c>
      <c r="CS13">
        <f>IF(COUNTIFS(T_StockCount[Part Name],$A13,T_StockCount[WeekIndex],96)&gt;0,0,IF(('T_TTAFStock'!CS17&lt;&gt;""),'T_TTAFStock'!CS17,CR13+'Grid_Incoming'!CS13-'Grid_TTAFOutgoing'!CS13))</f>
        <v/>
      </c>
      <c r="CT13">
        <f>IF(COUNTIFS(T_StockCount[Part Name],$A13,T_StockCount[WeekIndex],97)&gt;0,0,IF(('T_TTAFStock'!CT17&lt;&gt;""),'T_TTAFStock'!CT17,CS13+'Grid_Incoming'!CT13-'Grid_TTAFOutgoing'!CT13))</f>
        <v/>
      </c>
      <c r="CU13">
        <f>IF(COUNTIFS(T_StockCount[Part Name],$A13,T_StockCount[WeekIndex],98)&gt;0,0,IF(('T_TTAFStock'!CU17&lt;&gt;""),'T_TTAFStock'!CU17,CT13+'Grid_Incoming'!CU13-'Grid_TTAFOutgoing'!CU13))</f>
        <v/>
      </c>
      <c r="CV13">
        <f>IF(COUNTIFS(T_StockCount[Part Name],$A13,T_StockCount[WeekIndex],99)&gt;0,0,IF(('T_TTAFStock'!CV17&lt;&gt;""),'T_TTAFStock'!CV17,CU13+'Grid_Incoming'!CV13-'Grid_TTAFOutgoing'!CV13))</f>
        <v/>
      </c>
      <c r="CW13">
        <f>IF(COUNTIFS(T_StockCount[Part Name],$A13,T_StockCount[WeekIndex],100)&gt;0,0,IF(('T_TTAFStock'!CW17&lt;&gt;""),'T_TTAFStock'!CW17,CV13+'Grid_Incoming'!CW13-'Grid_TTAFOutgoing'!CW13))</f>
        <v/>
      </c>
      <c r="CX13">
        <f>IF(COUNTIFS(T_StockCount[Part Name],$A13,T_StockCount[WeekIndex],101)&gt;0,0,IF(('T_TTAFStock'!CX17&lt;&gt;""),'T_TTAFStock'!CX17,CW13+'Grid_Incoming'!CX13-'Grid_TTAFOutgoing'!CX13))</f>
        <v/>
      </c>
      <c r="CY13">
        <f>IF(COUNTIFS(T_StockCount[Part Name],$A13,T_StockCount[WeekIndex],102)&gt;0,0,IF(('T_TTAFStock'!CY17&lt;&gt;""),'T_TTAFStock'!CY17,CX13+'Grid_Incoming'!CY13-'Grid_TTAFOutgoing'!CY13))</f>
        <v/>
      </c>
      <c r="CZ13">
        <f>IF(COUNTIFS(T_StockCount[Part Name],$A13,T_StockCount[WeekIndex],103)&gt;0,0,IF(('T_TTAFStock'!CZ17&lt;&gt;""),'T_TTAFStock'!CZ17,CY13+'Grid_Incoming'!CZ13-'Grid_TTAFOutgoing'!CZ13))</f>
        <v/>
      </c>
      <c r="DA13">
        <f>IF(COUNTIFS(T_StockCount[Part Name],$A13,T_StockCount[WeekIndex],104)&gt;0,0,IF(('T_TTAFStock'!DA17&lt;&gt;""),'T_TTAFStock'!DA17,CZ13+'Grid_Incoming'!DA13-'Grid_TTAFOutgoing'!DA13))</f>
        <v/>
      </c>
    </row>
    <row r="14">
      <c r="A14" t="inlineStr">
        <is>
          <t>9RN</t>
        </is>
      </c>
      <c r="B14">
        <f>IF(COUNTIFS(T_StockCount[Part Name],$A14,T_StockCount[WeekIndex],1)&gt;0,0,IF(('T_TTAFStock'!B18&lt;&gt;""),'T_TTAFStock'!B18,0+'Grid_Incoming'!B14-'Grid_TTAFOutgoing'!B14))</f>
        <v/>
      </c>
      <c r="C14">
        <f>IF(COUNTIFS(T_StockCount[Part Name],$A14,T_StockCount[WeekIndex],2)&gt;0,0,IF(('T_TTAFStock'!C18&lt;&gt;""),'T_TTAFStock'!C18,B14+'Grid_Incoming'!C14-'Grid_TTAFOutgoing'!C14))</f>
        <v/>
      </c>
      <c r="D14">
        <f>IF(COUNTIFS(T_StockCount[Part Name],$A14,T_StockCount[WeekIndex],3)&gt;0,0,IF(('T_TTAFStock'!D18&lt;&gt;""),'T_TTAFStock'!D18,C14+'Grid_Incoming'!D14-'Grid_TTAFOutgoing'!D14))</f>
        <v/>
      </c>
      <c r="E14">
        <f>IF(COUNTIFS(T_StockCount[Part Name],$A14,T_StockCount[WeekIndex],4)&gt;0,0,IF(('T_TTAFStock'!E18&lt;&gt;""),'T_TTAFStock'!E18,D14+'Grid_Incoming'!E14-'Grid_TTAFOutgoing'!E14))</f>
        <v/>
      </c>
      <c r="F14">
        <f>IF(COUNTIFS(T_StockCount[Part Name],$A14,T_StockCount[WeekIndex],5)&gt;0,0,IF(('T_TTAFStock'!F18&lt;&gt;""),'T_TTAFStock'!F18,E14+'Grid_Incoming'!F14-'Grid_TTAFOutgoing'!F14))</f>
        <v/>
      </c>
      <c r="G14">
        <f>IF(COUNTIFS(T_StockCount[Part Name],$A14,T_StockCount[WeekIndex],6)&gt;0,0,IF(('T_TTAFStock'!G18&lt;&gt;""),'T_TTAFStock'!G18,F14+'Grid_Incoming'!G14-'Grid_TTAFOutgoing'!G14))</f>
        <v/>
      </c>
      <c r="H14">
        <f>IF(COUNTIFS(T_StockCount[Part Name],$A14,T_StockCount[WeekIndex],7)&gt;0,0,IF(('T_TTAFStock'!H18&lt;&gt;""),'T_TTAFStock'!H18,G14+'Grid_Incoming'!H14-'Grid_TTAFOutgoing'!H14))</f>
        <v/>
      </c>
      <c r="I14">
        <f>IF(COUNTIFS(T_StockCount[Part Name],$A14,T_StockCount[WeekIndex],8)&gt;0,0,IF(('T_TTAFStock'!I18&lt;&gt;""),'T_TTAFStock'!I18,H14+'Grid_Incoming'!I14-'Grid_TTAFOutgoing'!I14))</f>
        <v/>
      </c>
      <c r="J14">
        <f>IF(COUNTIFS(T_StockCount[Part Name],$A14,T_StockCount[WeekIndex],9)&gt;0,0,IF(('T_TTAFStock'!J18&lt;&gt;""),'T_TTAFStock'!J18,I14+'Grid_Incoming'!J14-'Grid_TTAFOutgoing'!J14))</f>
        <v/>
      </c>
      <c r="K14">
        <f>IF(COUNTIFS(T_StockCount[Part Name],$A14,T_StockCount[WeekIndex],10)&gt;0,0,IF(('T_TTAFStock'!K18&lt;&gt;""),'T_TTAFStock'!K18,J14+'Grid_Incoming'!K14-'Grid_TTAFOutgoing'!K14))</f>
        <v/>
      </c>
      <c r="L14">
        <f>IF(COUNTIFS(T_StockCount[Part Name],$A14,T_StockCount[WeekIndex],11)&gt;0,0,IF(('T_TTAFStock'!L18&lt;&gt;""),'T_TTAFStock'!L18,K14+'Grid_Incoming'!L14-'Grid_TTAFOutgoing'!L14))</f>
        <v/>
      </c>
      <c r="M14">
        <f>IF(COUNTIFS(T_StockCount[Part Name],$A14,T_StockCount[WeekIndex],12)&gt;0,0,IF(('T_TTAFStock'!M18&lt;&gt;""),'T_TTAFStock'!M18,L14+'Grid_Incoming'!M14-'Grid_TTAFOutgoing'!M14))</f>
        <v/>
      </c>
      <c r="N14">
        <f>IF(COUNTIFS(T_StockCount[Part Name],$A14,T_StockCount[WeekIndex],13)&gt;0,0,IF(('T_TTAFStock'!N18&lt;&gt;""),'T_TTAFStock'!N18,M14+'Grid_Incoming'!N14-'Grid_TTAFOutgoing'!N14))</f>
        <v/>
      </c>
      <c r="O14">
        <f>IF(COUNTIFS(T_StockCount[Part Name],$A14,T_StockCount[WeekIndex],14)&gt;0,0,IF(('T_TTAFStock'!O18&lt;&gt;""),'T_TTAFStock'!O18,N14+'Grid_Incoming'!O14-'Grid_TTAFOutgoing'!O14))</f>
        <v/>
      </c>
      <c r="P14">
        <f>IF(COUNTIFS(T_StockCount[Part Name],$A14,T_StockCount[WeekIndex],15)&gt;0,0,IF(('T_TTAFStock'!P18&lt;&gt;""),'T_TTAFStock'!P18,O14+'Grid_Incoming'!P14-'Grid_TTAFOutgoing'!P14))</f>
        <v/>
      </c>
      <c r="Q14">
        <f>IF(COUNTIFS(T_StockCount[Part Name],$A14,T_StockCount[WeekIndex],16)&gt;0,0,IF(('T_TTAFStock'!Q18&lt;&gt;""),'T_TTAFStock'!Q18,P14+'Grid_Incoming'!Q14-'Grid_TTAFOutgoing'!Q14))</f>
        <v/>
      </c>
      <c r="R14">
        <f>IF(COUNTIFS(T_StockCount[Part Name],$A14,T_StockCount[WeekIndex],17)&gt;0,0,IF(('T_TTAFStock'!R18&lt;&gt;""),'T_TTAFStock'!R18,Q14+'Grid_Incoming'!R14-'Grid_TTAFOutgoing'!R14))</f>
        <v/>
      </c>
      <c r="S14">
        <f>IF(COUNTIFS(T_StockCount[Part Name],$A14,T_StockCount[WeekIndex],18)&gt;0,0,IF(('T_TTAFStock'!S18&lt;&gt;""),'T_TTAFStock'!S18,R14+'Grid_Incoming'!S14-'Grid_TTAFOutgoing'!S14))</f>
        <v/>
      </c>
      <c r="T14">
        <f>IF(COUNTIFS(T_StockCount[Part Name],$A14,T_StockCount[WeekIndex],19)&gt;0,0,IF(('T_TTAFStock'!T18&lt;&gt;""),'T_TTAFStock'!T18,S14+'Grid_Incoming'!T14-'Grid_TTAFOutgoing'!T14))</f>
        <v/>
      </c>
      <c r="U14">
        <f>IF(COUNTIFS(T_StockCount[Part Name],$A14,T_StockCount[WeekIndex],20)&gt;0,0,IF(('T_TTAFStock'!U18&lt;&gt;""),'T_TTAFStock'!U18,T14+'Grid_Incoming'!U14-'Grid_TTAFOutgoing'!U14))</f>
        <v/>
      </c>
      <c r="V14">
        <f>IF(COUNTIFS(T_StockCount[Part Name],$A14,T_StockCount[WeekIndex],21)&gt;0,0,IF(('T_TTAFStock'!V18&lt;&gt;""),'T_TTAFStock'!V18,U14+'Grid_Incoming'!V14-'Grid_TTAFOutgoing'!V14))</f>
        <v/>
      </c>
      <c r="W14">
        <f>IF(COUNTIFS(T_StockCount[Part Name],$A14,T_StockCount[WeekIndex],22)&gt;0,0,IF(('T_TTAFStock'!W18&lt;&gt;""),'T_TTAFStock'!W18,V14+'Grid_Incoming'!W14-'Grid_TTAFOutgoing'!W14))</f>
        <v/>
      </c>
      <c r="X14">
        <f>IF(COUNTIFS(T_StockCount[Part Name],$A14,T_StockCount[WeekIndex],23)&gt;0,0,IF(('T_TTAFStock'!X18&lt;&gt;""),'T_TTAFStock'!X18,W14+'Grid_Incoming'!X14-'Grid_TTAFOutgoing'!X14))</f>
        <v/>
      </c>
      <c r="Y14">
        <f>IF(COUNTIFS(T_StockCount[Part Name],$A14,T_StockCount[WeekIndex],24)&gt;0,0,IF(('T_TTAFStock'!Y18&lt;&gt;""),'T_TTAFStock'!Y18,X14+'Grid_Incoming'!Y14-'Grid_TTAFOutgoing'!Y14))</f>
        <v/>
      </c>
      <c r="Z14">
        <f>IF(COUNTIFS(T_StockCount[Part Name],$A14,T_StockCount[WeekIndex],25)&gt;0,0,IF(('T_TTAFStock'!Z18&lt;&gt;""),'T_TTAFStock'!Z18,Y14+'Grid_Incoming'!Z14-'Grid_TTAFOutgoing'!Z14))</f>
        <v/>
      </c>
      <c r="AA14">
        <f>IF(COUNTIFS(T_StockCount[Part Name],$A14,T_StockCount[WeekIndex],26)&gt;0,0,IF(('T_TTAFStock'!AA18&lt;&gt;""),'T_TTAFStock'!AA18,Z14+'Grid_Incoming'!AA14-'Grid_TTAFOutgoing'!AA14))</f>
        <v/>
      </c>
      <c r="AB14">
        <f>IF(COUNTIFS(T_StockCount[Part Name],$A14,T_StockCount[WeekIndex],27)&gt;0,0,IF(('T_TTAFStock'!AB18&lt;&gt;""),'T_TTAFStock'!AB18,AA14+'Grid_Incoming'!AB14-'Grid_TTAFOutgoing'!AB14))</f>
        <v/>
      </c>
      <c r="AC14">
        <f>IF(COUNTIFS(T_StockCount[Part Name],$A14,T_StockCount[WeekIndex],28)&gt;0,0,IF(('T_TTAFStock'!AC18&lt;&gt;""),'T_TTAFStock'!AC18,AB14+'Grid_Incoming'!AC14-'Grid_TTAFOutgoing'!AC14))</f>
        <v/>
      </c>
      <c r="AD14">
        <f>IF(COUNTIFS(T_StockCount[Part Name],$A14,T_StockCount[WeekIndex],29)&gt;0,0,IF(('T_TTAFStock'!AD18&lt;&gt;""),'T_TTAFStock'!AD18,AC14+'Grid_Incoming'!AD14-'Grid_TTAFOutgoing'!AD14))</f>
        <v/>
      </c>
      <c r="AE14">
        <f>IF(COUNTIFS(T_StockCount[Part Name],$A14,T_StockCount[WeekIndex],30)&gt;0,0,IF(('T_TTAFStock'!AE18&lt;&gt;""),'T_TTAFStock'!AE18,AD14+'Grid_Incoming'!AE14-'Grid_TTAFOutgoing'!AE14))</f>
        <v/>
      </c>
      <c r="AF14">
        <f>IF(COUNTIFS(T_StockCount[Part Name],$A14,T_StockCount[WeekIndex],31)&gt;0,0,IF(('T_TTAFStock'!AF18&lt;&gt;""),'T_TTAFStock'!AF18,AE14+'Grid_Incoming'!AF14-'Grid_TTAFOutgoing'!AF14))</f>
        <v/>
      </c>
      <c r="AG14">
        <f>IF(COUNTIFS(T_StockCount[Part Name],$A14,T_StockCount[WeekIndex],32)&gt;0,0,IF(('T_TTAFStock'!AG18&lt;&gt;""),'T_TTAFStock'!AG18,AF14+'Grid_Incoming'!AG14-'Grid_TTAFOutgoing'!AG14))</f>
        <v/>
      </c>
      <c r="AH14">
        <f>IF(COUNTIFS(T_StockCount[Part Name],$A14,T_StockCount[WeekIndex],33)&gt;0,0,IF(('T_TTAFStock'!AH18&lt;&gt;""),'T_TTAFStock'!AH18,AG14+'Grid_Incoming'!AH14-'Grid_TTAFOutgoing'!AH14))</f>
        <v/>
      </c>
      <c r="AI14">
        <f>IF(COUNTIFS(T_StockCount[Part Name],$A14,T_StockCount[WeekIndex],34)&gt;0,0,IF(('T_TTAFStock'!AI18&lt;&gt;""),'T_TTAFStock'!AI18,AH14+'Grid_Incoming'!AI14-'Grid_TTAFOutgoing'!AI14))</f>
        <v/>
      </c>
      <c r="AJ14">
        <f>IF(COUNTIFS(T_StockCount[Part Name],$A14,T_StockCount[WeekIndex],35)&gt;0,0,IF(('T_TTAFStock'!AJ18&lt;&gt;""),'T_TTAFStock'!AJ18,AI14+'Grid_Incoming'!AJ14-'Grid_TTAFOutgoing'!AJ14))</f>
        <v/>
      </c>
      <c r="AK14">
        <f>IF(COUNTIFS(T_StockCount[Part Name],$A14,T_StockCount[WeekIndex],36)&gt;0,0,IF(('T_TTAFStock'!AK18&lt;&gt;""),'T_TTAFStock'!AK18,AJ14+'Grid_Incoming'!AK14-'Grid_TTAFOutgoing'!AK14))</f>
        <v/>
      </c>
      <c r="AL14">
        <f>IF(COUNTIFS(T_StockCount[Part Name],$A14,T_StockCount[WeekIndex],37)&gt;0,0,IF(('T_TTAFStock'!AL18&lt;&gt;""),'T_TTAFStock'!AL18,AK14+'Grid_Incoming'!AL14-'Grid_TTAFOutgoing'!AL14))</f>
        <v/>
      </c>
      <c r="AM14">
        <f>IF(COUNTIFS(T_StockCount[Part Name],$A14,T_StockCount[WeekIndex],38)&gt;0,0,IF(('T_TTAFStock'!AM18&lt;&gt;""),'T_TTAFStock'!AM18,AL14+'Grid_Incoming'!AM14-'Grid_TTAFOutgoing'!AM14))</f>
        <v/>
      </c>
      <c r="AN14">
        <f>IF(COUNTIFS(T_StockCount[Part Name],$A14,T_StockCount[WeekIndex],39)&gt;0,0,IF(('T_TTAFStock'!AN18&lt;&gt;""),'T_TTAFStock'!AN18,AM14+'Grid_Incoming'!AN14-'Grid_TTAFOutgoing'!AN14))</f>
        <v/>
      </c>
      <c r="AO14">
        <f>IF(COUNTIFS(T_StockCount[Part Name],$A14,T_StockCount[WeekIndex],40)&gt;0,0,IF(('T_TTAFStock'!AO18&lt;&gt;""),'T_TTAFStock'!AO18,AN14+'Grid_Incoming'!AO14-'Grid_TTAFOutgoing'!AO14))</f>
        <v/>
      </c>
      <c r="AP14">
        <f>IF(COUNTIFS(T_StockCount[Part Name],$A14,T_StockCount[WeekIndex],41)&gt;0,0,IF(('T_TTAFStock'!AP18&lt;&gt;""),'T_TTAFStock'!AP18,AO14+'Grid_Incoming'!AP14-'Grid_TTAFOutgoing'!AP14))</f>
        <v/>
      </c>
      <c r="AQ14">
        <f>IF(COUNTIFS(T_StockCount[Part Name],$A14,T_StockCount[WeekIndex],42)&gt;0,0,IF(('T_TTAFStock'!AQ18&lt;&gt;""),'T_TTAFStock'!AQ18,AP14+'Grid_Incoming'!AQ14-'Grid_TTAFOutgoing'!AQ14))</f>
        <v/>
      </c>
      <c r="AR14">
        <f>IF(COUNTIFS(T_StockCount[Part Name],$A14,T_StockCount[WeekIndex],43)&gt;0,0,IF(('T_TTAFStock'!AR18&lt;&gt;""),'T_TTAFStock'!AR18,AQ14+'Grid_Incoming'!AR14-'Grid_TTAFOutgoing'!AR14))</f>
        <v/>
      </c>
      <c r="AS14">
        <f>IF(COUNTIFS(T_StockCount[Part Name],$A14,T_StockCount[WeekIndex],44)&gt;0,0,IF(('T_TTAFStock'!AS18&lt;&gt;""),'T_TTAFStock'!AS18,AR14+'Grid_Incoming'!AS14-'Grid_TTAFOutgoing'!AS14))</f>
        <v/>
      </c>
      <c r="AT14">
        <f>IF(COUNTIFS(T_StockCount[Part Name],$A14,T_StockCount[WeekIndex],45)&gt;0,0,IF(('T_TTAFStock'!AT18&lt;&gt;""),'T_TTAFStock'!AT18,AS14+'Grid_Incoming'!AT14-'Grid_TTAFOutgoing'!AT14))</f>
        <v/>
      </c>
      <c r="AU14">
        <f>IF(COUNTIFS(T_StockCount[Part Name],$A14,T_StockCount[WeekIndex],46)&gt;0,0,IF(('T_TTAFStock'!AU18&lt;&gt;""),'T_TTAFStock'!AU18,AT14+'Grid_Incoming'!AU14-'Grid_TTAFOutgoing'!AU14))</f>
        <v/>
      </c>
      <c r="AV14">
        <f>IF(COUNTIFS(T_StockCount[Part Name],$A14,T_StockCount[WeekIndex],47)&gt;0,0,IF(('T_TTAFStock'!AV18&lt;&gt;""),'T_TTAFStock'!AV18,AU14+'Grid_Incoming'!AV14-'Grid_TTAFOutgoing'!AV14))</f>
        <v/>
      </c>
      <c r="AW14">
        <f>IF(COUNTIFS(T_StockCount[Part Name],$A14,T_StockCount[WeekIndex],48)&gt;0,0,IF(('T_TTAFStock'!AW18&lt;&gt;""),'T_TTAFStock'!AW18,AV14+'Grid_Incoming'!AW14-'Grid_TTAFOutgoing'!AW14))</f>
        <v/>
      </c>
      <c r="AX14">
        <f>IF(COUNTIFS(T_StockCount[Part Name],$A14,T_StockCount[WeekIndex],49)&gt;0,0,IF(('T_TTAFStock'!AX18&lt;&gt;""),'T_TTAFStock'!AX18,AW14+'Grid_Incoming'!AX14-'Grid_TTAFOutgoing'!AX14))</f>
        <v/>
      </c>
      <c r="AY14">
        <f>IF(COUNTIFS(T_StockCount[Part Name],$A14,T_StockCount[WeekIndex],50)&gt;0,0,IF(('T_TTAFStock'!AY18&lt;&gt;""),'T_TTAFStock'!AY18,AX14+'Grid_Incoming'!AY14-'Grid_TTAFOutgoing'!AY14))</f>
        <v/>
      </c>
      <c r="AZ14">
        <f>IF(COUNTIFS(T_StockCount[Part Name],$A14,T_StockCount[WeekIndex],51)&gt;0,0,IF(('T_TTAFStock'!AZ18&lt;&gt;""),'T_TTAFStock'!AZ18,AY14+'Grid_Incoming'!AZ14-'Grid_TTAFOutgoing'!AZ14))</f>
        <v/>
      </c>
      <c r="BA14">
        <f>IF(COUNTIFS(T_StockCount[Part Name],$A14,T_StockCount[WeekIndex],52)&gt;0,0,IF(('T_TTAFStock'!BA18&lt;&gt;""),'T_TTAFStock'!BA18,AZ14+'Grid_Incoming'!BA14-'Grid_TTAFOutgoing'!BA14))</f>
        <v/>
      </c>
      <c r="BB14">
        <f>IF(COUNTIFS(T_StockCount[Part Name],$A14,T_StockCount[WeekIndex],53)&gt;0,0,IF(('T_TTAFStock'!BB18&lt;&gt;""),'T_TTAFStock'!BB18,BA14+'Grid_Incoming'!BB14-'Grid_TTAFOutgoing'!BB14))</f>
        <v/>
      </c>
      <c r="BC14">
        <f>IF(COUNTIFS(T_StockCount[Part Name],$A14,T_StockCount[WeekIndex],54)&gt;0,0,IF(('T_TTAFStock'!BC18&lt;&gt;""),'T_TTAFStock'!BC18,BB14+'Grid_Incoming'!BC14-'Grid_TTAFOutgoing'!BC14))</f>
        <v/>
      </c>
      <c r="BD14">
        <f>IF(COUNTIFS(T_StockCount[Part Name],$A14,T_StockCount[WeekIndex],55)&gt;0,0,IF(('T_TTAFStock'!BD18&lt;&gt;""),'T_TTAFStock'!BD18,BC14+'Grid_Incoming'!BD14-'Grid_TTAFOutgoing'!BD14))</f>
        <v/>
      </c>
      <c r="BE14">
        <f>IF(COUNTIFS(T_StockCount[Part Name],$A14,T_StockCount[WeekIndex],56)&gt;0,0,IF(('T_TTAFStock'!BE18&lt;&gt;""),'T_TTAFStock'!BE18,BD14+'Grid_Incoming'!BE14-'Grid_TTAFOutgoing'!BE14))</f>
        <v/>
      </c>
      <c r="BF14">
        <f>IF(COUNTIFS(T_StockCount[Part Name],$A14,T_StockCount[WeekIndex],57)&gt;0,0,IF(('T_TTAFStock'!BF18&lt;&gt;""),'T_TTAFStock'!BF18,BE14+'Grid_Incoming'!BF14-'Grid_TTAFOutgoing'!BF14))</f>
        <v/>
      </c>
      <c r="BG14">
        <f>IF(COUNTIFS(T_StockCount[Part Name],$A14,T_StockCount[WeekIndex],58)&gt;0,0,IF(('T_TTAFStock'!BG18&lt;&gt;""),'T_TTAFStock'!BG18,BF14+'Grid_Incoming'!BG14-'Grid_TTAFOutgoing'!BG14))</f>
        <v/>
      </c>
      <c r="BH14">
        <f>IF(COUNTIFS(T_StockCount[Part Name],$A14,T_StockCount[WeekIndex],59)&gt;0,0,IF(('T_TTAFStock'!BH18&lt;&gt;""),'T_TTAFStock'!BH18,BG14+'Grid_Incoming'!BH14-'Grid_TTAFOutgoing'!BH14))</f>
        <v/>
      </c>
      <c r="BI14">
        <f>IF(COUNTIFS(T_StockCount[Part Name],$A14,T_StockCount[WeekIndex],60)&gt;0,0,IF(('T_TTAFStock'!BI18&lt;&gt;""),'T_TTAFStock'!BI18,BH14+'Grid_Incoming'!BI14-'Grid_TTAFOutgoing'!BI14))</f>
        <v/>
      </c>
      <c r="BJ14">
        <f>IF(COUNTIFS(T_StockCount[Part Name],$A14,T_StockCount[WeekIndex],61)&gt;0,0,IF(('T_TTAFStock'!BJ18&lt;&gt;""),'T_TTAFStock'!BJ18,BI14+'Grid_Incoming'!BJ14-'Grid_TTAFOutgoing'!BJ14))</f>
        <v/>
      </c>
      <c r="BK14">
        <f>IF(COUNTIFS(T_StockCount[Part Name],$A14,T_StockCount[WeekIndex],62)&gt;0,0,IF(('T_TTAFStock'!BK18&lt;&gt;""),'T_TTAFStock'!BK18,BJ14+'Grid_Incoming'!BK14-'Grid_TTAFOutgoing'!BK14))</f>
        <v/>
      </c>
      <c r="BL14">
        <f>IF(COUNTIFS(T_StockCount[Part Name],$A14,T_StockCount[WeekIndex],63)&gt;0,0,IF(('T_TTAFStock'!BL18&lt;&gt;""),'T_TTAFStock'!BL18,BK14+'Grid_Incoming'!BL14-'Grid_TTAFOutgoing'!BL14))</f>
        <v/>
      </c>
      <c r="BM14">
        <f>IF(COUNTIFS(T_StockCount[Part Name],$A14,T_StockCount[WeekIndex],64)&gt;0,0,IF(('T_TTAFStock'!BM18&lt;&gt;""),'T_TTAFStock'!BM18,BL14+'Grid_Incoming'!BM14-'Grid_TTAFOutgoing'!BM14))</f>
        <v/>
      </c>
      <c r="BN14">
        <f>IF(COUNTIFS(T_StockCount[Part Name],$A14,T_StockCount[WeekIndex],65)&gt;0,0,IF(('T_TTAFStock'!BN18&lt;&gt;""),'T_TTAFStock'!BN18,BM14+'Grid_Incoming'!BN14-'Grid_TTAFOutgoing'!BN14))</f>
        <v/>
      </c>
      <c r="BO14">
        <f>IF(COUNTIFS(T_StockCount[Part Name],$A14,T_StockCount[WeekIndex],66)&gt;0,0,IF(('T_TTAFStock'!BO18&lt;&gt;""),'T_TTAFStock'!BO18,BN14+'Grid_Incoming'!BO14-'Grid_TTAFOutgoing'!BO14))</f>
        <v/>
      </c>
      <c r="BP14">
        <f>IF(COUNTIFS(T_StockCount[Part Name],$A14,T_StockCount[WeekIndex],67)&gt;0,0,IF(('T_TTAFStock'!BP18&lt;&gt;""),'T_TTAFStock'!BP18,BO14+'Grid_Incoming'!BP14-'Grid_TTAFOutgoing'!BP14))</f>
        <v/>
      </c>
      <c r="BQ14">
        <f>IF(COUNTIFS(T_StockCount[Part Name],$A14,T_StockCount[WeekIndex],68)&gt;0,0,IF(('T_TTAFStock'!BQ18&lt;&gt;""),'T_TTAFStock'!BQ18,BP14+'Grid_Incoming'!BQ14-'Grid_TTAFOutgoing'!BQ14))</f>
        <v/>
      </c>
      <c r="BR14">
        <f>IF(COUNTIFS(T_StockCount[Part Name],$A14,T_StockCount[WeekIndex],69)&gt;0,0,IF(('T_TTAFStock'!BR18&lt;&gt;""),'T_TTAFStock'!BR18,BQ14+'Grid_Incoming'!BR14-'Grid_TTAFOutgoing'!BR14))</f>
        <v/>
      </c>
      <c r="BS14">
        <f>IF(COUNTIFS(T_StockCount[Part Name],$A14,T_StockCount[WeekIndex],70)&gt;0,0,IF(('T_TTAFStock'!BS18&lt;&gt;""),'T_TTAFStock'!BS18,BR14+'Grid_Incoming'!BS14-'Grid_TTAFOutgoing'!BS14))</f>
        <v/>
      </c>
      <c r="BT14">
        <f>IF(COUNTIFS(T_StockCount[Part Name],$A14,T_StockCount[WeekIndex],71)&gt;0,0,IF(('T_TTAFStock'!BT18&lt;&gt;""),'T_TTAFStock'!BT18,BS14+'Grid_Incoming'!BT14-'Grid_TTAFOutgoing'!BT14))</f>
        <v/>
      </c>
      <c r="BU14">
        <f>IF(COUNTIFS(T_StockCount[Part Name],$A14,T_StockCount[WeekIndex],72)&gt;0,0,IF(('T_TTAFStock'!BU18&lt;&gt;""),'T_TTAFStock'!BU18,BT14+'Grid_Incoming'!BU14-'Grid_TTAFOutgoing'!BU14))</f>
        <v/>
      </c>
      <c r="BV14">
        <f>IF(COUNTIFS(T_StockCount[Part Name],$A14,T_StockCount[WeekIndex],73)&gt;0,0,IF(('T_TTAFStock'!BV18&lt;&gt;""),'T_TTAFStock'!BV18,BU14+'Grid_Incoming'!BV14-'Grid_TTAFOutgoing'!BV14))</f>
        <v/>
      </c>
      <c r="BW14">
        <f>IF(COUNTIFS(T_StockCount[Part Name],$A14,T_StockCount[WeekIndex],74)&gt;0,0,IF(('T_TTAFStock'!BW18&lt;&gt;""),'T_TTAFStock'!BW18,BV14+'Grid_Incoming'!BW14-'Grid_TTAFOutgoing'!BW14))</f>
        <v/>
      </c>
      <c r="BX14">
        <f>IF(COUNTIFS(T_StockCount[Part Name],$A14,T_StockCount[WeekIndex],75)&gt;0,0,IF(('T_TTAFStock'!BX18&lt;&gt;""),'T_TTAFStock'!BX18,BW14+'Grid_Incoming'!BX14-'Grid_TTAFOutgoing'!BX14))</f>
        <v/>
      </c>
      <c r="BY14">
        <f>IF(COUNTIFS(T_StockCount[Part Name],$A14,T_StockCount[WeekIndex],76)&gt;0,0,IF(('T_TTAFStock'!BY18&lt;&gt;""),'T_TTAFStock'!BY18,BX14+'Grid_Incoming'!BY14-'Grid_TTAFOutgoing'!BY14))</f>
        <v/>
      </c>
      <c r="BZ14">
        <f>IF(COUNTIFS(T_StockCount[Part Name],$A14,T_StockCount[WeekIndex],77)&gt;0,0,IF(('T_TTAFStock'!BZ18&lt;&gt;""),'T_TTAFStock'!BZ18,BY14+'Grid_Incoming'!BZ14-'Grid_TTAFOutgoing'!BZ14))</f>
        <v/>
      </c>
      <c r="CA14">
        <f>IF(COUNTIFS(T_StockCount[Part Name],$A14,T_StockCount[WeekIndex],78)&gt;0,0,IF(('T_TTAFStock'!CA18&lt;&gt;""),'T_TTAFStock'!CA18,BZ14+'Grid_Incoming'!CA14-'Grid_TTAFOutgoing'!CA14))</f>
        <v/>
      </c>
      <c r="CB14">
        <f>IF(COUNTIFS(T_StockCount[Part Name],$A14,T_StockCount[WeekIndex],79)&gt;0,0,IF(('T_TTAFStock'!CB18&lt;&gt;""),'T_TTAFStock'!CB18,CA14+'Grid_Incoming'!CB14-'Grid_TTAFOutgoing'!CB14))</f>
        <v/>
      </c>
      <c r="CC14">
        <f>IF(COUNTIFS(T_StockCount[Part Name],$A14,T_StockCount[WeekIndex],80)&gt;0,0,IF(('T_TTAFStock'!CC18&lt;&gt;""),'T_TTAFStock'!CC18,CB14+'Grid_Incoming'!CC14-'Grid_TTAFOutgoing'!CC14))</f>
        <v/>
      </c>
      <c r="CD14">
        <f>IF(COUNTIFS(T_StockCount[Part Name],$A14,T_StockCount[WeekIndex],81)&gt;0,0,IF(('T_TTAFStock'!CD18&lt;&gt;""),'T_TTAFStock'!CD18,CC14+'Grid_Incoming'!CD14-'Grid_TTAFOutgoing'!CD14))</f>
        <v/>
      </c>
      <c r="CE14">
        <f>IF(COUNTIFS(T_StockCount[Part Name],$A14,T_StockCount[WeekIndex],82)&gt;0,0,IF(('T_TTAFStock'!CE18&lt;&gt;""),'T_TTAFStock'!CE18,CD14+'Grid_Incoming'!CE14-'Grid_TTAFOutgoing'!CE14))</f>
        <v/>
      </c>
      <c r="CF14">
        <f>IF(COUNTIFS(T_StockCount[Part Name],$A14,T_StockCount[WeekIndex],83)&gt;0,0,IF(('T_TTAFStock'!CF18&lt;&gt;""),'T_TTAFStock'!CF18,CE14+'Grid_Incoming'!CF14-'Grid_TTAFOutgoing'!CF14))</f>
        <v/>
      </c>
      <c r="CG14">
        <f>IF(COUNTIFS(T_StockCount[Part Name],$A14,T_StockCount[WeekIndex],84)&gt;0,0,IF(('T_TTAFStock'!CG18&lt;&gt;""),'T_TTAFStock'!CG18,CF14+'Grid_Incoming'!CG14-'Grid_TTAFOutgoing'!CG14))</f>
        <v/>
      </c>
      <c r="CH14">
        <f>IF(COUNTIFS(T_StockCount[Part Name],$A14,T_StockCount[WeekIndex],85)&gt;0,0,IF(('T_TTAFStock'!CH18&lt;&gt;""),'T_TTAFStock'!CH18,CG14+'Grid_Incoming'!CH14-'Grid_TTAFOutgoing'!CH14))</f>
        <v/>
      </c>
      <c r="CI14">
        <f>IF(COUNTIFS(T_StockCount[Part Name],$A14,T_StockCount[WeekIndex],86)&gt;0,0,IF(('T_TTAFStock'!CI18&lt;&gt;""),'T_TTAFStock'!CI18,CH14+'Grid_Incoming'!CI14-'Grid_TTAFOutgoing'!CI14))</f>
        <v/>
      </c>
      <c r="CJ14">
        <f>IF(COUNTIFS(T_StockCount[Part Name],$A14,T_StockCount[WeekIndex],87)&gt;0,0,IF(('T_TTAFStock'!CJ18&lt;&gt;""),'T_TTAFStock'!CJ18,CI14+'Grid_Incoming'!CJ14-'Grid_TTAFOutgoing'!CJ14))</f>
        <v/>
      </c>
      <c r="CK14">
        <f>IF(COUNTIFS(T_StockCount[Part Name],$A14,T_StockCount[WeekIndex],88)&gt;0,0,IF(('T_TTAFStock'!CK18&lt;&gt;""),'T_TTAFStock'!CK18,CJ14+'Grid_Incoming'!CK14-'Grid_TTAFOutgoing'!CK14))</f>
        <v/>
      </c>
      <c r="CL14">
        <f>IF(COUNTIFS(T_StockCount[Part Name],$A14,T_StockCount[WeekIndex],89)&gt;0,0,IF(('T_TTAFStock'!CL18&lt;&gt;""),'T_TTAFStock'!CL18,CK14+'Grid_Incoming'!CL14-'Grid_TTAFOutgoing'!CL14))</f>
        <v/>
      </c>
      <c r="CM14">
        <f>IF(COUNTIFS(T_StockCount[Part Name],$A14,T_StockCount[WeekIndex],90)&gt;0,0,IF(('T_TTAFStock'!CM18&lt;&gt;""),'T_TTAFStock'!CM18,CL14+'Grid_Incoming'!CM14-'Grid_TTAFOutgoing'!CM14))</f>
        <v/>
      </c>
      <c r="CN14">
        <f>IF(COUNTIFS(T_StockCount[Part Name],$A14,T_StockCount[WeekIndex],91)&gt;0,0,IF(('T_TTAFStock'!CN18&lt;&gt;""),'T_TTAFStock'!CN18,CM14+'Grid_Incoming'!CN14-'Grid_TTAFOutgoing'!CN14))</f>
        <v/>
      </c>
      <c r="CO14">
        <f>IF(COUNTIFS(T_StockCount[Part Name],$A14,T_StockCount[WeekIndex],92)&gt;0,0,IF(('T_TTAFStock'!CO18&lt;&gt;""),'T_TTAFStock'!CO18,CN14+'Grid_Incoming'!CO14-'Grid_TTAFOutgoing'!CO14))</f>
        <v/>
      </c>
      <c r="CP14">
        <f>IF(COUNTIFS(T_StockCount[Part Name],$A14,T_StockCount[WeekIndex],93)&gt;0,0,IF(('T_TTAFStock'!CP18&lt;&gt;""),'T_TTAFStock'!CP18,CO14+'Grid_Incoming'!CP14-'Grid_TTAFOutgoing'!CP14))</f>
        <v/>
      </c>
      <c r="CQ14">
        <f>IF(COUNTIFS(T_StockCount[Part Name],$A14,T_StockCount[WeekIndex],94)&gt;0,0,IF(('T_TTAFStock'!CQ18&lt;&gt;""),'T_TTAFStock'!CQ18,CP14+'Grid_Incoming'!CQ14-'Grid_TTAFOutgoing'!CQ14))</f>
        <v/>
      </c>
      <c r="CR14">
        <f>IF(COUNTIFS(T_StockCount[Part Name],$A14,T_StockCount[WeekIndex],95)&gt;0,0,IF(('T_TTAFStock'!CR18&lt;&gt;""),'T_TTAFStock'!CR18,CQ14+'Grid_Incoming'!CR14-'Grid_TTAFOutgoing'!CR14))</f>
        <v/>
      </c>
      <c r="CS14">
        <f>IF(COUNTIFS(T_StockCount[Part Name],$A14,T_StockCount[WeekIndex],96)&gt;0,0,IF(('T_TTAFStock'!CS18&lt;&gt;""),'T_TTAFStock'!CS18,CR14+'Grid_Incoming'!CS14-'Grid_TTAFOutgoing'!CS14))</f>
        <v/>
      </c>
      <c r="CT14">
        <f>IF(COUNTIFS(T_StockCount[Part Name],$A14,T_StockCount[WeekIndex],97)&gt;0,0,IF(('T_TTAFStock'!CT18&lt;&gt;""),'T_TTAFStock'!CT18,CS14+'Grid_Incoming'!CT14-'Grid_TTAFOutgoing'!CT14))</f>
        <v/>
      </c>
      <c r="CU14">
        <f>IF(COUNTIFS(T_StockCount[Part Name],$A14,T_StockCount[WeekIndex],98)&gt;0,0,IF(('T_TTAFStock'!CU18&lt;&gt;""),'T_TTAFStock'!CU18,CT14+'Grid_Incoming'!CU14-'Grid_TTAFOutgoing'!CU14))</f>
        <v/>
      </c>
      <c r="CV14">
        <f>IF(COUNTIFS(T_StockCount[Part Name],$A14,T_StockCount[WeekIndex],99)&gt;0,0,IF(('T_TTAFStock'!CV18&lt;&gt;""),'T_TTAFStock'!CV18,CU14+'Grid_Incoming'!CV14-'Grid_TTAFOutgoing'!CV14))</f>
        <v/>
      </c>
      <c r="CW14">
        <f>IF(COUNTIFS(T_StockCount[Part Name],$A14,T_StockCount[WeekIndex],100)&gt;0,0,IF(('T_TTAFStock'!CW18&lt;&gt;""),'T_TTAFStock'!CW18,CV14+'Grid_Incoming'!CW14-'Grid_TTAFOutgoing'!CW14))</f>
        <v/>
      </c>
      <c r="CX14">
        <f>IF(COUNTIFS(T_StockCount[Part Name],$A14,T_StockCount[WeekIndex],101)&gt;0,0,IF(('T_TTAFStock'!CX18&lt;&gt;""),'T_TTAFStock'!CX18,CW14+'Grid_Incoming'!CX14-'Grid_TTAFOutgoing'!CX14))</f>
        <v/>
      </c>
      <c r="CY14">
        <f>IF(COUNTIFS(T_StockCount[Part Name],$A14,T_StockCount[WeekIndex],102)&gt;0,0,IF(('T_TTAFStock'!CY18&lt;&gt;""),'T_TTAFStock'!CY18,CX14+'Grid_Incoming'!CY14-'Grid_TTAFOutgoing'!CY14))</f>
        <v/>
      </c>
      <c r="CZ14">
        <f>IF(COUNTIFS(T_StockCount[Part Name],$A14,T_StockCount[WeekIndex],103)&gt;0,0,IF(('T_TTAFStock'!CZ18&lt;&gt;""),'T_TTAFStock'!CZ18,CY14+'Grid_Incoming'!CZ14-'Grid_TTAFOutgoing'!CZ14))</f>
        <v/>
      </c>
      <c r="DA14">
        <f>IF(COUNTIFS(T_StockCount[Part Name],$A14,T_StockCount[WeekIndex],104)&gt;0,0,IF(('T_TTAFStock'!DA18&lt;&gt;""),'T_TTAFStock'!DA18,CZ14+'Grid_Incoming'!DA14-'Grid_TTAFOutgoing'!DA14))</f>
        <v/>
      </c>
    </row>
    <row r="15">
      <c r="A15" t="inlineStr">
        <is>
          <t>CHEM-1400</t>
        </is>
      </c>
      <c r="B15">
        <f>IF(COUNTIFS(T_StockCount[Part Name],$A15,T_StockCount[WeekIndex],1)&gt;0,0,IF(('T_TTAFStock'!B19&lt;&gt;""),'T_TTAFStock'!B19,0+'Grid_Incoming'!B15-'Grid_TTAFOutgoing'!B15))</f>
        <v/>
      </c>
      <c r="C15">
        <f>IF(COUNTIFS(T_StockCount[Part Name],$A15,T_StockCount[WeekIndex],2)&gt;0,0,IF(('T_TTAFStock'!C19&lt;&gt;""),'T_TTAFStock'!C19,B15+'Grid_Incoming'!C15-'Grid_TTAFOutgoing'!C15))</f>
        <v/>
      </c>
      <c r="D15">
        <f>IF(COUNTIFS(T_StockCount[Part Name],$A15,T_StockCount[WeekIndex],3)&gt;0,0,IF(('T_TTAFStock'!D19&lt;&gt;""),'T_TTAFStock'!D19,C15+'Grid_Incoming'!D15-'Grid_TTAFOutgoing'!D15))</f>
        <v/>
      </c>
      <c r="E15">
        <f>IF(COUNTIFS(T_StockCount[Part Name],$A15,T_StockCount[WeekIndex],4)&gt;0,0,IF(('T_TTAFStock'!E19&lt;&gt;""),'T_TTAFStock'!E19,D15+'Grid_Incoming'!E15-'Grid_TTAFOutgoing'!E15))</f>
        <v/>
      </c>
      <c r="F15">
        <f>IF(COUNTIFS(T_StockCount[Part Name],$A15,T_StockCount[WeekIndex],5)&gt;0,0,IF(('T_TTAFStock'!F19&lt;&gt;""),'T_TTAFStock'!F19,E15+'Grid_Incoming'!F15-'Grid_TTAFOutgoing'!F15))</f>
        <v/>
      </c>
      <c r="G15">
        <f>IF(COUNTIFS(T_StockCount[Part Name],$A15,T_StockCount[WeekIndex],6)&gt;0,0,IF(('T_TTAFStock'!G19&lt;&gt;""),'T_TTAFStock'!G19,F15+'Grid_Incoming'!G15-'Grid_TTAFOutgoing'!G15))</f>
        <v/>
      </c>
      <c r="H15">
        <f>IF(COUNTIFS(T_StockCount[Part Name],$A15,T_StockCount[WeekIndex],7)&gt;0,0,IF(('T_TTAFStock'!H19&lt;&gt;""),'T_TTAFStock'!H19,G15+'Grid_Incoming'!H15-'Grid_TTAFOutgoing'!H15))</f>
        <v/>
      </c>
      <c r="I15">
        <f>IF(COUNTIFS(T_StockCount[Part Name],$A15,T_StockCount[WeekIndex],8)&gt;0,0,IF(('T_TTAFStock'!I19&lt;&gt;""),'T_TTAFStock'!I19,H15+'Grid_Incoming'!I15-'Grid_TTAFOutgoing'!I15))</f>
        <v/>
      </c>
      <c r="J15">
        <f>IF(COUNTIFS(T_StockCount[Part Name],$A15,T_StockCount[WeekIndex],9)&gt;0,0,IF(('T_TTAFStock'!J19&lt;&gt;""),'T_TTAFStock'!J19,I15+'Grid_Incoming'!J15-'Grid_TTAFOutgoing'!J15))</f>
        <v/>
      </c>
      <c r="K15">
        <f>IF(COUNTIFS(T_StockCount[Part Name],$A15,T_StockCount[WeekIndex],10)&gt;0,0,IF(('T_TTAFStock'!K19&lt;&gt;""),'T_TTAFStock'!K19,J15+'Grid_Incoming'!K15-'Grid_TTAFOutgoing'!K15))</f>
        <v/>
      </c>
      <c r="L15">
        <f>IF(COUNTIFS(T_StockCount[Part Name],$A15,T_StockCount[WeekIndex],11)&gt;0,0,IF(('T_TTAFStock'!L19&lt;&gt;""),'T_TTAFStock'!L19,K15+'Grid_Incoming'!L15-'Grid_TTAFOutgoing'!L15))</f>
        <v/>
      </c>
      <c r="M15">
        <f>IF(COUNTIFS(T_StockCount[Part Name],$A15,T_StockCount[WeekIndex],12)&gt;0,0,IF(('T_TTAFStock'!M19&lt;&gt;""),'T_TTAFStock'!M19,L15+'Grid_Incoming'!M15-'Grid_TTAFOutgoing'!M15))</f>
        <v/>
      </c>
      <c r="N15">
        <f>IF(COUNTIFS(T_StockCount[Part Name],$A15,T_StockCount[WeekIndex],13)&gt;0,0,IF(('T_TTAFStock'!N19&lt;&gt;""),'T_TTAFStock'!N19,M15+'Grid_Incoming'!N15-'Grid_TTAFOutgoing'!N15))</f>
        <v/>
      </c>
      <c r="O15">
        <f>IF(COUNTIFS(T_StockCount[Part Name],$A15,T_StockCount[WeekIndex],14)&gt;0,0,IF(('T_TTAFStock'!O19&lt;&gt;""),'T_TTAFStock'!O19,N15+'Grid_Incoming'!O15-'Grid_TTAFOutgoing'!O15))</f>
        <v/>
      </c>
      <c r="P15">
        <f>IF(COUNTIFS(T_StockCount[Part Name],$A15,T_StockCount[WeekIndex],15)&gt;0,0,IF(('T_TTAFStock'!P19&lt;&gt;""),'T_TTAFStock'!P19,O15+'Grid_Incoming'!P15-'Grid_TTAFOutgoing'!P15))</f>
        <v/>
      </c>
      <c r="Q15">
        <f>IF(COUNTIFS(T_StockCount[Part Name],$A15,T_StockCount[WeekIndex],16)&gt;0,0,IF(('T_TTAFStock'!Q19&lt;&gt;""),'T_TTAFStock'!Q19,P15+'Grid_Incoming'!Q15-'Grid_TTAFOutgoing'!Q15))</f>
        <v/>
      </c>
      <c r="R15">
        <f>IF(COUNTIFS(T_StockCount[Part Name],$A15,T_StockCount[WeekIndex],17)&gt;0,0,IF(('T_TTAFStock'!R19&lt;&gt;""),'T_TTAFStock'!R19,Q15+'Grid_Incoming'!R15-'Grid_TTAFOutgoing'!R15))</f>
        <v/>
      </c>
      <c r="S15">
        <f>IF(COUNTIFS(T_StockCount[Part Name],$A15,T_StockCount[WeekIndex],18)&gt;0,0,IF(('T_TTAFStock'!S19&lt;&gt;""),'T_TTAFStock'!S19,R15+'Grid_Incoming'!S15-'Grid_TTAFOutgoing'!S15))</f>
        <v/>
      </c>
      <c r="T15">
        <f>IF(COUNTIFS(T_StockCount[Part Name],$A15,T_StockCount[WeekIndex],19)&gt;0,0,IF(('T_TTAFStock'!T19&lt;&gt;""),'T_TTAFStock'!T19,S15+'Grid_Incoming'!T15-'Grid_TTAFOutgoing'!T15))</f>
        <v/>
      </c>
      <c r="U15">
        <f>IF(COUNTIFS(T_StockCount[Part Name],$A15,T_StockCount[WeekIndex],20)&gt;0,0,IF(('T_TTAFStock'!U19&lt;&gt;""),'T_TTAFStock'!U19,T15+'Grid_Incoming'!U15-'Grid_TTAFOutgoing'!U15))</f>
        <v/>
      </c>
      <c r="V15">
        <f>IF(COUNTIFS(T_StockCount[Part Name],$A15,T_StockCount[WeekIndex],21)&gt;0,0,IF(('T_TTAFStock'!V19&lt;&gt;""),'T_TTAFStock'!V19,U15+'Grid_Incoming'!V15-'Grid_TTAFOutgoing'!V15))</f>
        <v/>
      </c>
      <c r="W15">
        <f>IF(COUNTIFS(T_StockCount[Part Name],$A15,T_StockCount[WeekIndex],22)&gt;0,0,IF(('T_TTAFStock'!W19&lt;&gt;""),'T_TTAFStock'!W19,V15+'Grid_Incoming'!W15-'Grid_TTAFOutgoing'!W15))</f>
        <v/>
      </c>
      <c r="X15">
        <f>IF(COUNTIFS(T_StockCount[Part Name],$A15,T_StockCount[WeekIndex],23)&gt;0,0,IF(('T_TTAFStock'!X19&lt;&gt;""),'T_TTAFStock'!X19,W15+'Grid_Incoming'!X15-'Grid_TTAFOutgoing'!X15))</f>
        <v/>
      </c>
      <c r="Y15">
        <f>IF(COUNTIFS(T_StockCount[Part Name],$A15,T_StockCount[WeekIndex],24)&gt;0,0,IF(('T_TTAFStock'!Y19&lt;&gt;""),'T_TTAFStock'!Y19,X15+'Grid_Incoming'!Y15-'Grid_TTAFOutgoing'!Y15))</f>
        <v/>
      </c>
      <c r="Z15">
        <f>IF(COUNTIFS(T_StockCount[Part Name],$A15,T_StockCount[WeekIndex],25)&gt;0,0,IF(('T_TTAFStock'!Z19&lt;&gt;""),'T_TTAFStock'!Z19,Y15+'Grid_Incoming'!Z15-'Grid_TTAFOutgoing'!Z15))</f>
        <v/>
      </c>
      <c r="AA15">
        <f>IF(COUNTIFS(T_StockCount[Part Name],$A15,T_StockCount[WeekIndex],26)&gt;0,0,IF(('T_TTAFStock'!AA19&lt;&gt;""),'T_TTAFStock'!AA19,Z15+'Grid_Incoming'!AA15-'Grid_TTAFOutgoing'!AA15))</f>
        <v/>
      </c>
      <c r="AB15">
        <f>IF(COUNTIFS(T_StockCount[Part Name],$A15,T_StockCount[WeekIndex],27)&gt;0,0,IF(('T_TTAFStock'!AB19&lt;&gt;""),'T_TTAFStock'!AB19,AA15+'Grid_Incoming'!AB15-'Grid_TTAFOutgoing'!AB15))</f>
        <v/>
      </c>
      <c r="AC15">
        <f>IF(COUNTIFS(T_StockCount[Part Name],$A15,T_StockCount[WeekIndex],28)&gt;0,0,IF(('T_TTAFStock'!AC19&lt;&gt;""),'T_TTAFStock'!AC19,AB15+'Grid_Incoming'!AC15-'Grid_TTAFOutgoing'!AC15))</f>
        <v/>
      </c>
      <c r="AD15">
        <f>IF(COUNTIFS(T_StockCount[Part Name],$A15,T_StockCount[WeekIndex],29)&gt;0,0,IF(('T_TTAFStock'!AD19&lt;&gt;""),'T_TTAFStock'!AD19,AC15+'Grid_Incoming'!AD15-'Grid_TTAFOutgoing'!AD15))</f>
        <v/>
      </c>
      <c r="AE15">
        <f>IF(COUNTIFS(T_StockCount[Part Name],$A15,T_StockCount[WeekIndex],30)&gt;0,0,IF(('T_TTAFStock'!AE19&lt;&gt;""),'T_TTAFStock'!AE19,AD15+'Grid_Incoming'!AE15-'Grid_TTAFOutgoing'!AE15))</f>
        <v/>
      </c>
      <c r="AF15">
        <f>IF(COUNTIFS(T_StockCount[Part Name],$A15,T_StockCount[WeekIndex],31)&gt;0,0,IF(('T_TTAFStock'!AF19&lt;&gt;""),'T_TTAFStock'!AF19,AE15+'Grid_Incoming'!AF15-'Grid_TTAFOutgoing'!AF15))</f>
        <v/>
      </c>
      <c r="AG15">
        <f>IF(COUNTIFS(T_StockCount[Part Name],$A15,T_StockCount[WeekIndex],32)&gt;0,0,IF(('T_TTAFStock'!AG19&lt;&gt;""),'T_TTAFStock'!AG19,AF15+'Grid_Incoming'!AG15-'Grid_TTAFOutgoing'!AG15))</f>
        <v/>
      </c>
      <c r="AH15">
        <f>IF(COUNTIFS(T_StockCount[Part Name],$A15,T_StockCount[WeekIndex],33)&gt;0,0,IF(('T_TTAFStock'!AH19&lt;&gt;""),'T_TTAFStock'!AH19,AG15+'Grid_Incoming'!AH15-'Grid_TTAFOutgoing'!AH15))</f>
        <v/>
      </c>
      <c r="AI15">
        <f>IF(COUNTIFS(T_StockCount[Part Name],$A15,T_StockCount[WeekIndex],34)&gt;0,0,IF(('T_TTAFStock'!AI19&lt;&gt;""),'T_TTAFStock'!AI19,AH15+'Grid_Incoming'!AI15-'Grid_TTAFOutgoing'!AI15))</f>
        <v/>
      </c>
      <c r="AJ15">
        <f>IF(COUNTIFS(T_StockCount[Part Name],$A15,T_StockCount[WeekIndex],35)&gt;0,0,IF(('T_TTAFStock'!AJ19&lt;&gt;""),'T_TTAFStock'!AJ19,AI15+'Grid_Incoming'!AJ15-'Grid_TTAFOutgoing'!AJ15))</f>
        <v/>
      </c>
      <c r="AK15">
        <f>IF(COUNTIFS(T_StockCount[Part Name],$A15,T_StockCount[WeekIndex],36)&gt;0,0,IF(('T_TTAFStock'!AK19&lt;&gt;""),'T_TTAFStock'!AK19,AJ15+'Grid_Incoming'!AK15-'Grid_TTAFOutgoing'!AK15))</f>
        <v/>
      </c>
      <c r="AL15">
        <f>IF(COUNTIFS(T_StockCount[Part Name],$A15,T_StockCount[WeekIndex],37)&gt;0,0,IF(('T_TTAFStock'!AL19&lt;&gt;""),'T_TTAFStock'!AL19,AK15+'Grid_Incoming'!AL15-'Grid_TTAFOutgoing'!AL15))</f>
        <v/>
      </c>
      <c r="AM15">
        <f>IF(COUNTIFS(T_StockCount[Part Name],$A15,T_StockCount[WeekIndex],38)&gt;0,0,IF(('T_TTAFStock'!AM19&lt;&gt;""),'T_TTAFStock'!AM19,AL15+'Grid_Incoming'!AM15-'Grid_TTAFOutgoing'!AM15))</f>
        <v/>
      </c>
      <c r="AN15">
        <f>IF(COUNTIFS(T_StockCount[Part Name],$A15,T_StockCount[WeekIndex],39)&gt;0,0,IF(('T_TTAFStock'!AN19&lt;&gt;""),'T_TTAFStock'!AN19,AM15+'Grid_Incoming'!AN15-'Grid_TTAFOutgoing'!AN15))</f>
        <v/>
      </c>
      <c r="AO15">
        <f>IF(COUNTIFS(T_StockCount[Part Name],$A15,T_StockCount[WeekIndex],40)&gt;0,0,IF(('T_TTAFStock'!AO19&lt;&gt;""),'T_TTAFStock'!AO19,AN15+'Grid_Incoming'!AO15-'Grid_TTAFOutgoing'!AO15))</f>
        <v/>
      </c>
      <c r="AP15">
        <f>IF(COUNTIFS(T_StockCount[Part Name],$A15,T_StockCount[WeekIndex],41)&gt;0,0,IF(('T_TTAFStock'!AP19&lt;&gt;""),'T_TTAFStock'!AP19,AO15+'Grid_Incoming'!AP15-'Grid_TTAFOutgoing'!AP15))</f>
        <v/>
      </c>
      <c r="AQ15">
        <f>IF(COUNTIFS(T_StockCount[Part Name],$A15,T_StockCount[WeekIndex],42)&gt;0,0,IF(('T_TTAFStock'!AQ19&lt;&gt;""),'T_TTAFStock'!AQ19,AP15+'Grid_Incoming'!AQ15-'Grid_TTAFOutgoing'!AQ15))</f>
        <v/>
      </c>
      <c r="AR15">
        <f>IF(COUNTIFS(T_StockCount[Part Name],$A15,T_StockCount[WeekIndex],43)&gt;0,0,IF(('T_TTAFStock'!AR19&lt;&gt;""),'T_TTAFStock'!AR19,AQ15+'Grid_Incoming'!AR15-'Grid_TTAFOutgoing'!AR15))</f>
        <v/>
      </c>
      <c r="AS15">
        <f>IF(COUNTIFS(T_StockCount[Part Name],$A15,T_StockCount[WeekIndex],44)&gt;0,0,IF(('T_TTAFStock'!AS19&lt;&gt;""),'T_TTAFStock'!AS19,AR15+'Grid_Incoming'!AS15-'Grid_TTAFOutgoing'!AS15))</f>
        <v/>
      </c>
      <c r="AT15">
        <f>IF(COUNTIFS(T_StockCount[Part Name],$A15,T_StockCount[WeekIndex],45)&gt;0,0,IF(('T_TTAFStock'!AT19&lt;&gt;""),'T_TTAFStock'!AT19,AS15+'Grid_Incoming'!AT15-'Grid_TTAFOutgoing'!AT15))</f>
        <v/>
      </c>
      <c r="AU15">
        <f>IF(COUNTIFS(T_StockCount[Part Name],$A15,T_StockCount[WeekIndex],46)&gt;0,0,IF(('T_TTAFStock'!AU19&lt;&gt;""),'T_TTAFStock'!AU19,AT15+'Grid_Incoming'!AU15-'Grid_TTAFOutgoing'!AU15))</f>
        <v/>
      </c>
      <c r="AV15">
        <f>IF(COUNTIFS(T_StockCount[Part Name],$A15,T_StockCount[WeekIndex],47)&gt;0,0,IF(('T_TTAFStock'!AV19&lt;&gt;""),'T_TTAFStock'!AV19,AU15+'Grid_Incoming'!AV15-'Grid_TTAFOutgoing'!AV15))</f>
        <v/>
      </c>
      <c r="AW15">
        <f>IF(COUNTIFS(T_StockCount[Part Name],$A15,T_StockCount[WeekIndex],48)&gt;0,0,IF(('T_TTAFStock'!AW19&lt;&gt;""),'T_TTAFStock'!AW19,AV15+'Grid_Incoming'!AW15-'Grid_TTAFOutgoing'!AW15))</f>
        <v/>
      </c>
      <c r="AX15">
        <f>IF(COUNTIFS(T_StockCount[Part Name],$A15,T_StockCount[WeekIndex],49)&gt;0,0,IF(('T_TTAFStock'!AX19&lt;&gt;""),'T_TTAFStock'!AX19,AW15+'Grid_Incoming'!AX15-'Grid_TTAFOutgoing'!AX15))</f>
        <v/>
      </c>
      <c r="AY15">
        <f>IF(COUNTIFS(T_StockCount[Part Name],$A15,T_StockCount[WeekIndex],50)&gt;0,0,IF(('T_TTAFStock'!AY19&lt;&gt;""),'T_TTAFStock'!AY19,AX15+'Grid_Incoming'!AY15-'Grid_TTAFOutgoing'!AY15))</f>
        <v/>
      </c>
      <c r="AZ15">
        <f>IF(COUNTIFS(T_StockCount[Part Name],$A15,T_StockCount[WeekIndex],51)&gt;0,0,IF(('T_TTAFStock'!AZ19&lt;&gt;""),'T_TTAFStock'!AZ19,AY15+'Grid_Incoming'!AZ15-'Grid_TTAFOutgoing'!AZ15))</f>
        <v/>
      </c>
      <c r="BA15">
        <f>IF(COUNTIFS(T_StockCount[Part Name],$A15,T_StockCount[WeekIndex],52)&gt;0,0,IF(('T_TTAFStock'!BA19&lt;&gt;""),'T_TTAFStock'!BA19,AZ15+'Grid_Incoming'!BA15-'Grid_TTAFOutgoing'!BA15))</f>
        <v/>
      </c>
      <c r="BB15">
        <f>IF(COUNTIFS(T_StockCount[Part Name],$A15,T_StockCount[WeekIndex],53)&gt;0,0,IF(('T_TTAFStock'!BB19&lt;&gt;""),'T_TTAFStock'!BB19,BA15+'Grid_Incoming'!BB15-'Grid_TTAFOutgoing'!BB15))</f>
        <v/>
      </c>
      <c r="BC15">
        <f>IF(COUNTIFS(T_StockCount[Part Name],$A15,T_StockCount[WeekIndex],54)&gt;0,0,IF(('T_TTAFStock'!BC19&lt;&gt;""),'T_TTAFStock'!BC19,BB15+'Grid_Incoming'!BC15-'Grid_TTAFOutgoing'!BC15))</f>
        <v/>
      </c>
      <c r="BD15">
        <f>IF(COUNTIFS(T_StockCount[Part Name],$A15,T_StockCount[WeekIndex],55)&gt;0,0,IF(('T_TTAFStock'!BD19&lt;&gt;""),'T_TTAFStock'!BD19,BC15+'Grid_Incoming'!BD15-'Grid_TTAFOutgoing'!BD15))</f>
        <v/>
      </c>
      <c r="BE15">
        <f>IF(COUNTIFS(T_StockCount[Part Name],$A15,T_StockCount[WeekIndex],56)&gt;0,0,IF(('T_TTAFStock'!BE19&lt;&gt;""),'T_TTAFStock'!BE19,BD15+'Grid_Incoming'!BE15-'Grid_TTAFOutgoing'!BE15))</f>
        <v/>
      </c>
      <c r="BF15">
        <f>IF(COUNTIFS(T_StockCount[Part Name],$A15,T_StockCount[WeekIndex],57)&gt;0,0,IF(('T_TTAFStock'!BF19&lt;&gt;""),'T_TTAFStock'!BF19,BE15+'Grid_Incoming'!BF15-'Grid_TTAFOutgoing'!BF15))</f>
        <v/>
      </c>
      <c r="BG15">
        <f>IF(COUNTIFS(T_StockCount[Part Name],$A15,T_StockCount[WeekIndex],58)&gt;0,0,IF(('T_TTAFStock'!BG19&lt;&gt;""),'T_TTAFStock'!BG19,BF15+'Grid_Incoming'!BG15-'Grid_TTAFOutgoing'!BG15))</f>
        <v/>
      </c>
      <c r="BH15">
        <f>IF(COUNTIFS(T_StockCount[Part Name],$A15,T_StockCount[WeekIndex],59)&gt;0,0,IF(('T_TTAFStock'!BH19&lt;&gt;""),'T_TTAFStock'!BH19,BG15+'Grid_Incoming'!BH15-'Grid_TTAFOutgoing'!BH15))</f>
        <v/>
      </c>
      <c r="BI15">
        <f>IF(COUNTIFS(T_StockCount[Part Name],$A15,T_StockCount[WeekIndex],60)&gt;0,0,IF(('T_TTAFStock'!BI19&lt;&gt;""),'T_TTAFStock'!BI19,BH15+'Grid_Incoming'!BI15-'Grid_TTAFOutgoing'!BI15))</f>
        <v/>
      </c>
      <c r="BJ15">
        <f>IF(COUNTIFS(T_StockCount[Part Name],$A15,T_StockCount[WeekIndex],61)&gt;0,0,IF(('T_TTAFStock'!BJ19&lt;&gt;""),'T_TTAFStock'!BJ19,BI15+'Grid_Incoming'!BJ15-'Grid_TTAFOutgoing'!BJ15))</f>
        <v/>
      </c>
      <c r="BK15">
        <f>IF(COUNTIFS(T_StockCount[Part Name],$A15,T_StockCount[WeekIndex],62)&gt;0,0,IF(('T_TTAFStock'!BK19&lt;&gt;""),'T_TTAFStock'!BK19,BJ15+'Grid_Incoming'!BK15-'Grid_TTAFOutgoing'!BK15))</f>
        <v/>
      </c>
      <c r="BL15">
        <f>IF(COUNTIFS(T_StockCount[Part Name],$A15,T_StockCount[WeekIndex],63)&gt;0,0,IF(('T_TTAFStock'!BL19&lt;&gt;""),'T_TTAFStock'!BL19,BK15+'Grid_Incoming'!BL15-'Grid_TTAFOutgoing'!BL15))</f>
        <v/>
      </c>
      <c r="BM15">
        <f>IF(COUNTIFS(T_StockCount[Part Name],$A15,T_StockCount[WeekIndex],64)&gt;0,0,IF(('T_TTAFStock'!BM19&lt;&gt;""),'T_TTAFStock'!BM19,BL15+'Grid_Incoming'!BM15-'Grid_TTAFOutgoing'!BM15))</f>
        <v/>
      </c>
      <c r="BN15">
        <f>IF(COUNTIFS(T_StockCount[Part Name],$A15,T_StockCount[WeekIndex],65)&gt;0,0,IF(('T_TTAFStock'!BN19&lt;&gt;""),'T_TTAFStock'!BN19,BM15+'Grid_Incoming'!BN15-'Grid_TTAFOutgoing'!BN15))</f>
        <v/>
      </c>
      <c r="BO15">
        <f>IF(COUNTIFS(T_StockCount[Part Name],$A15,T_StockCount[WeekIndex],66)&gt;0,0,IF(('T_TTAFStock'!BO19&lt;&gt;""),'T_TTAFStock'!BO19,BN15+'Grid_Incoming'!BO15-'Grid_TTAFOutgoing'!BO15))</f>
        <v/>
      </c>
      <c r="BP15">
        <f>IF(COUNTIFS(T_StockCount[Part Name],$A15,T_StockCount[WeekIndex],67)&gt;0,0,IF(('T_TTAFStock'!BP19&lt;&gt;""),'T_TTAFStock'!BP19,BO15+'Grid_Incoming'!BP15-'Grid_TTAFOutgoing'!BP15))</f>
        <v/>
      </c>
      <c r="BQ15">
        <f>IF(COUNTIFS(T_StockCount[Part Name],$A15,T_StockCount[WeekIndex],68)&gt;0,0,IF(('T_TTAFStock'!BQ19&lt;&gt;""),'T_TTAFStock'!BQ19,BP15+'Grid_Incoming'!BQ15-'Grid_TTAFOutgoing'!BQ15))</f>
        <v/>
      </c>
      <c r="BR15">
        <f>IF(COUNTIFS(T_StockCount[Part Name],$A15,T_StockCount[WeekIndex],69)&gt;0,0,IF(('T_TTAFStock'!BR19&lt;&gt;""),'T_TTAFStock'!BR19,BQ15+'Grid_Incoming'!BR15-'Grid_TTAFOutgoing'!BR15))</f>
        <v/>
      </c>
      <c r="BS15">
        <f>IF(COUNTIFS(T_StockCount[Part Name],$A15,T_StockCount[WeekIndex],70)&gt;0,0,IF(('T_TTAFStock'!BS19&lt;&gt;""),'T_TTAFStock'!BS19,BR15+'Grid_Incoming'!BS15-'Grid_TTAFOutgoing'!BS15))</f>
        <v/>
      </c>
      <c r="BT15">
        <f>IF(COUNTIFS(T_StockCount[Part Name],$A15,T_StockCount[WeekIndex],71)&gt;0,0,IF(('T_TTAFStock'!BT19&lt;&gt;""),'T_TTAFStock'!BT19,BS15+'Grid_Incoming'!BT15-'Grid_TTAFOutgoing'!BT15))</f>
        <v/>
      </c>
      <c r="BU15">
        <f>IF(COUNTIFS(T_StockCount[Part Name],$A15,T_StockCount[WeekIndex],72)&gt;0,0,IF(('T_TTAFStock'!BU19&lt;&gt;""),'T_TTAFStock'!BU19,BT15+'Grid_Incoming'!BU15-'Grid_TTAFOutgoing'!BU15))</f>
        <v/>
      </c>
      <c r="BV15">
        <f>IF(COUNTIFS(T_StockCount[Part Name],$A15,T_StockCount[WeekIndex],73)&gt;0,0,IF(('T_TTAFStock'!BV19&lt;&gt;""),'T_TTAFStock'!BV19,BU15+'Grid_Incoming'!BV15-'Grid_TTAFOutgoing'!BV15))</f>
        <v/>
      </c>
      <c r="BW15">
        <f>IF(COUNTIFS(T_StockCount[Part Name],$A15,T_StockCount[WeekIndex],74)&gt;0,0,IF(('T_TTAFStock'!BW19&lt;&gt;""),'T_TTAFStock'!BW19,BV15+'Grid_Incoming'!BW15-'Grid_TTAFOutgoing'!BW15))</f>
        <v/>
      </c>
      <c r="BX15">
        <f>IF(COUNTIFS(T_StockCount[Part Name],$A15,T_StockCount[WeekIndex],75)&gt;0,0,IF(('T_TTAFStock'!BX19&lt;&gt;""),'T_TTAFStock'!BX19,BW15+'Grid_Incoming'!BX15-'Grid_TTAFOutgoing'!BX15))</f>
        <v/>
      </c>
      <c r="BY15">
        <f>IF(COUNTIFS(T_StockCount[Part Name],$A15,T_StockCount[WeekIndex],76)&gt;0,0,IF(('T_TTAFStock'!BY19&lt;&gt;""),'T_TTAFStock'!BY19,BX15+'Grid_Incoming'!BY15-'Grid_TTAFOutgoing'!BY15))</f>
        <v/>
      </c>
      <c r="BZ15">
        <f>IF(COUNTIFS(T_StockCount[Part Name],$A15,T_StockCount[WeekIndex],77)&gt;0,0,IF(('T_TTAFStock'!BZ19&lt;&gt;""),'T_TTAFStock'!BZ19,BY15+'Grid_Incoming'!BZ15-'Grid_TTAFOutgoing'!BZ15))</f>
        <v/>
      </c>
      <c r="CA15">
        <f>IF(COUNTIFS(T_StockCount[Part Name],$A15,T_StockCount[WeekIndex],78)&gt;0,0,IF(('T_TTAFStock'!CA19&lt;&gt;""),'T_TTAFStock'!CA19,BZ15+'Grid_Incoming'!CA15-'Grid_TTAFOutgoing'!CA15))</f>
        <v/>
      </c>
      <c r="CB15">
        <f>IF(COUNTIFS(T_StockCount[Part Name],$A15,T_StockCount[WeekIndex],79)&gt;0,0,IF(('T_TTAFStock'!CB19&lt;&gt;""),'T_TTAFStock'!CB19,CA15+'Grid_Incoming'!CB15-'Grid_TTAFOutgoing'!CB15))</f>
        <v/>
      </c>
      <c r="CC15">
        <f>IF(COUNTIFS(T_StockCount[Part Name],$A15,T_StockCount[WeekIndex],80)&gt;0,0,IF(('T_TTAFStock'!CC19&lt;&gt;""),'T_TTAFStock'!CC19,CB15+'Grid_Incoming'!CC15-'Grid_TTAFOutgoing'!CC15))</f>
        <v/>
      </c>
      <c r="CD15">
        <f>IF(COUNTIFS(T_StockCount[Part Name],$A15,T_StockCount[WeekIndex],81)&gt;0,0,IF(('T_TTAFStock'!CD19&lt;&gt;""),'T_TTAFStock'!CD19,CC15+'Grid_Incoming'!CD15-'Grid_TTAFOutgoing'!CD15))</f>
        <v/>
      </c>
      <c r="CE15">
        <f>IF(COUNTIFS(T_StockCount[Part Name],$A15,T_StockCount[WeekIndex],82)&gt;0,0,IF(('T_TTAFStock'!CE19&lt;&gt;""),'T_TTAFStock'!CE19,CD15+'Grid_Incoming'!CE15-'Grid_TTAFOutgoing'!CE15))</f>
        <v/>
      </c>
      <c r="CF15">
        <f>IF(COUNTIFS(T_StockCount[Part Name],$A15,T_StockCount[WeekIndex],83)&gt;0,0,IF(('T_TTAFStock'!CF19&lt;&gt;""),'T_TTAFStock'!CF19,CE15+'Grid_Incoming'!CF15-'Grid_TTAFOutgoing'!CF15))</f>
        <v/>
      </c>
      <c r="CG15">
        <f>IF(COUNTIFS(T_StockCount[Part Name],$A15,T_StockCount[WeekIndex],84)&gt;0,0,IF(('T_TTAFStock'!CG19&lt;&gt;""),'T_TTAFStock'!CG19,CF15+'Grid_Incoming'!CG15-'Grid_TTAFOutgoing'!CG15))</f>
        <v/>
      </c>
      <c r="CH15">
        <f>IF(COUNTIFS(T_StockCount[Part Name],$A15,T_StockCount[WeekIndex],85)&gt;0,0,IF(('T_TTAFStock'!CH19&lt;&gt;""),'T_TTAFStock'!CH19,CG15+'Grid_Incoming'!CH15-'Grid_TTAFOutgoing'!CH15))</f>
        <v/>
      </c>
      <c r="CI15">
        <f>IF(COUNTIFS(T_StockCount[Part Name],$A15,T_StockCount[WeekIndex],86)&gt;0,0,IF(('T_TTAFStock'!CI19&lt;&gt;""),'T_TTAFStock'!CI19,CH15+'Grid_Incoming'!CI15-'Grid_TTAFOutgoing'!CI15))</f>
        <v/>
      </c>
      <c r="CJ15">
        <f>IF(COUNTIFS(T_StockCount[Part Name],$A15,T_StockCount[WeekIndex],87)&gt;0,0,IF(('T_TTAFStock'!CJ19&lt;&gt;""),'T_TTAFStock'!CJ19,CI15+'Grid_Incoming'!CJ15-'Grid_TTAFOutgoing'!CJ15))</f>
        <v/>
      </c>
      <c r="CK15">
        <f>IF(COUNTIFS(T_StockCount[Part Name],$A15,T_StockCount[WeekIndex],88)&gt;0,0,IF(('T_TTAFStock'!CK19&lt;&gt;""),'T_TTAFStock'!CK19,CJ15+'Grid_Incoming'!CK15-'Grid_TTAFOutgoing'!CK15))</f>
        <v/>
      </c>
      <c r="CL15">
        <f>IF(COUNTIFS(T_StockCount[Part Name],$A15,T_StockCount[WeekIndex],89)&gt;0,0,IF(('T_TTAFStock'!CL19&lt;&gt;""),'T_TTAFStock'!CL19,CK15+'Grid_Incoming'!CL15-'Grid_TTAFOutgoing'!CL15))</f>
        <v/>
      </c>
      <c r="CM15">
        <f>IF(COUNTIFS(T_StockCount[Part Name],$A15,T_StockCount[WeekIndex],90)&gt;0,0,IF(('T_TTAFStock'!CM19&lt;&gt;""),'T_TTAFStock'!CM19,CL15+'Grid_Incoming'!CM15-'Grid_TTAFOutgoing'!CM15))</f>
        <v/>
      </c>
      <c r="CN15">
        <f>IF(COUNTIFS(T_StockCount[Part Name],$A15,T_StockCount[WeekIndex],91)&gt;0,0,IF(('T_TTAFStock'!CN19&lt;&gt;""),'T_TTAFStock'!CN19,CM15+'Grid_Incoming'!CN15-'Grid_TTAFOutgoing'!CN15))</f>
        <v/>
      </c>
      <c r="CO15">
        <f>IF(COUNTIFS(T_StockCount[Part Name],$A15,T_StockCount[WeekIndex],92)&gt;0,0,IF(('T_TTAFStock'!CO19&lt;&gt;""),'T_TTAFStock'!CO19,CN15+'Grid_Incoming'!CO15-'Grid_TTAFOutgoing'!CO15))</f>
        <v/>
      </c>
      <c r="CP15">
        <f>IF(COUNTIFS(T_StockCount[Part Name],$A15,T_StockCount[WeekIndex],93)&gt;0,0,IF(('T_TTAFStock'!CP19&lt;&gt;""),'T_TTAFStock'!CP19,CO15+'Grid_Incoming'!CP15-'Grid_TTAFOutgoing'!CP15))</f>
        <v/>
      </c>
      <c r="CQ15">
        <f>IF(COUNTIFS(T_StockCount[Part Name],$A15,T_StockCount[WeekIndex],94)&gt;0,0,IF(('T_TTAFStock'!CQ19&lt;&gt;""),'T_TTAFStock'!CQ19,CP15+'Grid_Incoming'!CQ15-'Grid_TTAFOutgoing'!CQ15))</f>
        <v/>
      </c>
      <c r="CR15">
        <f>IF(COUNTIFS(T_StockCount[Part Name],$A15,T_StockCount[WeekIndex],95)&gt;0,0,IF(('T_TTAFStock'!CR19&lt;&gt;""),'T_TTAFStock'!CR19,CQ15+'Grid_Incoming'!CR15-'Grid_TTAFOutgoing'!CR15))</f>
        <v/>
      </c>
      <c r="CS15">
        <f>IF(COUNTIFS(T_StockCount[Part Name],$A15,T_StockCount[WeekIndex],96)&gt;0,0,IF(('T_TTAFStock'!CS19&lt;&gt;""),'T_TTAFStock'!CS19,CR15+'Grid_Incoming'!CS15-'Grid_TTAFOutgoing'!CS15))</f>
        <v/>
      </c>
      <c r="CT15">
        <f>IF(COUNTIFS(T_StockCount[Part Name],$A15,T_StockCount[WeekIndex],97)&gt;0,0,IF(('T_TTAFStock'!CT19&lt;&gt;""),'T_TTAFStock'!CT19,CS15+'Grid_Incoming'!CT15-'Grid_TTAFOutgoing'!CT15))</f>
        <v/>
      </c>
      <c r="CU15">
        <f>IF(COUNTIFS(T_StockCount[Part Name],$A15,T_StockCount[WeekIndex],98)&gt;0,0,IF(('T_TTAFStock'!CU19&lt;&gt;""),'T_TTAFStock'!CU19,CT15+'Grid_Incoming'!CU15-'Grid_TTAFOutgoing'!CU15))</f>
        <v/>
      </c>
      <c r="CV15">
        <f>IF(COUNTIFS(T_StockCount[Part Name],$A15,T_StockCount[WeekIndex],99)&gt;0,0,IF(('T_TTAFStock'!CV19&lt;&gt;""),'T_TTAFStock'!CV19,CU15+'Grid_Incoming'!CV15-'Grid_TTAFOutgoing'!CV15))</f>
        <v/>
      </c>
      <c r="CW15">
        <f>IF(COUNTIFS(T_StockCount[Part Name],$A15,T_StockCount[WeekIndex],100)&gt;0,0,IF(('T_TTAFStock'!CW19&lt;&gt;""),'T_TTAFStock'!CW19,CV15+'Grid_Incoming'!CW15-'Grid_TTAFOutgoing'!CW15))</f>
        <v/>
      </c>
      <c r="CX15">
        <f>IF(COUNTIFS(T_StockCount[Part Name],$A15,T_StockCount[WeekIndex],101)&gt;0,0,IF(('T_TTAFStock'!CX19&lt;&gt;""),'T_TTAFStock'!CX19,CW15+'Grid_Incoming'!CX15-'Grid_TTAFOutgoing'!CX15))</f>
        <v/>
      </c>
      <c r="CY15">
        <f>IF(COUNTIFS(T_StockCount[Part Name],$A15,T_StockCount[WeekIndex],102)&gt;0,0,IF(('T_TTAFStock'!CY19&lt;&gt;""),'T_TTAFStock'!CY19,CX15+'Grid_Incoming'!CY15-'Grid_TTAFOutgoing'!CY15))</f>
        <v/>
      </c>
      <c r="CZ15">
        <f>IF(COUNTIFS(T_StockCount[Part Name],$A15,T_StockCount[WeekIndex],103)&gt;0,0,IF(('T_TTAFStock'!CZ19&lt;&gt;""),'T_TTAFStock'!CZ19,CY15+'Grid_Incoming'!CZ15-'Grid_TTAFOutgoing'!CZ15))</f>
        <v/>
      </c>
      <c r="DA15">
        <f>IF(COUNTIFS(T_StockCount[Part Name],$A15,T_StockCount[WeekIndex],104)&gt;0,0,IF(('T_TTAFStock'!DA19&lt;&gt;""),'T_TTAFStock'!DA19,CZ15+'Grid_Incoming'!DA15-'Grid_TTAFOutgoing'!DA15))</f>
        <v/>
      </c>
    </row>
    <row r="16">
      <c r="A16" t="inlineStr">
        <is>
          <t>CHEM-1570</t>
        </is>
      </c>
      <c r="B16">
        <f>IF(COUNTIFS(T_StockCount[Part Name],$A16,T_StockCount[WeekIndex],1)&gt;0,0,IF(('T_TTAFStock'!B20&lt;&gt;""),'T_TTAFStock'!B20,0+'Grid_Incoming'!B16-'Grid_TTAFOutgoing'!B16))</f>
        <v/>
      </c>
      <c r="C16">
        <f>IF(COUNTIFS(T_StockCount[Part Name],$A16,T_StockCount[WeekIndex],2)&gt;0,0,IF(('T_TTAFStock'!C20&lt;&gt;""),'T_TTAFStock'!C20,B16+'Grid_Incoming'!C16-'Grid_TTAFOutgoing'!C16))</f>
        <v/>
      </c>
      <c r="D16">
        <f>IF(COUNTIFS(T_StockCount[Part Name],$A16,T_StockCount[WeekIndex],3)&gt;0,0,IF(('T_TTAFStock'!D20&lt;&gt;""),'T_TTAFStock'!D20,C16+'Grid_Incoming'!D16-'Grid_TTAFOutgoing'!D16))</f>
        <v/>
      </c>
      <c r="E16">
        <f>IF(COUNTIFS(T_StockCount[Part Name],$A16,T_StockCount[WeekIndex],4)&gt;0,0,IF(('T_TTAFStock'!E20&lt;&gt;""),'T_TTAFStock'!E20,D16+'Grid_Incoming'!E16-'Grid_TTAFOutgoing'!E16))</f>
        <v/>
      </c>
      <c r="F16">
        <f>IF(COUNTIFS(T_StockCount[Part Name],$A16,T_StockCount[WeekIndex],5)&gt;0,0,IF(('T_TTAFStock'!F20&lt;&gt;""),'T_TTAFStock'!F20,E16+'Grid_Incoming'!F16-'Grid_TTAFOutgoing'!F16))</f>
        <v/>
      </c>
      <c r="G16">
        <f>IF(COUNTIFS(T_StockCount[Part Name],$A16,T_StockCount[WeekIndex],6)&gt;0,0,IF(('T_TTAFStock'!G20&lt;&gt;""),'T_TTAFStock'!G20,F16+'Grid_Incoming'!G16-'Grid_TTAFOutgoing'!G16))</f>
        <v/>
      </c>
      <c r="H16">
        <f>IF(COUNTIFS(T_StockCount[Part Name],$A16,T_StockCount[WeekIndex],7)&gt;0,0,IF(('T_TTAFStock'!H20&lt;&gt;""),'T_TTAFStock'!H20,G16+'Grid_Incoming'!H16-'Grid_TTAFOutgoing'!H16))</f>
        <v/>
      </c>
      <c r="I16">
        <f>IF(COUNTIFS(T_StockCount[Part Name],$A16,T_StockCount[WeekIndex],8)&gt;0,0,IF(('T_TTAFStock'!I20&lt;&gt;""),'T_TTAFStock'!I20,H16+'Grid_Incoming'!I16-'Grid_TTAFOutgoing'!I16))</f>
        <v/>
      </c>
      <c r="J16">
        <f>IF(COUNTIFS(T_StockCount[Part Name],$A16,T_StockCount[WeekIndex],9)&gt;0,0,IF(('T_TTAFStock'!J20&lt;&gt;""),'T_TTAFStock'!J20,I16+'Grid_Incoming'!J16-'Grid_TTAFOutgoing'!J16))</f>
        <v/>
      </c>
      <c r="K16">
        <f>IF(COUNTIFS(T_StockCount[Part Name],$A16,T_StockCount[WeekIndex],10)&gt;0,0,IF(('T_TTAFStock'!K20&lt;&gt;""),'T_TTAFStock'!K20,J16+'Grid_Incoming'!K16-'Grid_TTAFOutgoing'!K16))</f>
        <v/>
      </c>
      <c r="L16">
        <f>IF(COUNTIFS(T_StockCount[Part Name],$A16,T_StockCount[WeekIndex],11)&gt;0,0,IF(('T_TTAFStock'!L20&lt;&gt;""),'T_TTAFStock'!L20,K16+'Grid_Incoming'!L16-'Grid_TTAFOutgoing'!L16))</f>
        <v/>
      </c>
      <c r="M16">
        <f>IF(COUNTIFS(T_StockCount[Part Name],$A16,T_StockCount[WeekIndex],12)&gt;0,0,IF(('T_TTAFStock'!M20&lt;&gt;""),'T_TTAFStock'!M20,L16+'Grid_Incoming'!M16-'Grid_TTAFOutgoing'!M16))</f>
        <v/>
      </c>
      <c r="N16">
        <f>IF(COUNTIFS(T_StockCount[Part Name],$A16,T_StockCount[WeekIndex],13)&gt;0,0,IF(('T_TTAFStock'!N20&lt;&gt;""),'T_TTAFStock'!N20,M16+'Grid_Incoming'!N16-'Grid_TTAFOutgoing'!N16))</f>
        <v/>
      </c>
      <c r="O16">
        <f>IF(COUNTIFS(T_StockCount[Part Name],$A16,T_StockCount[WeekIndex],14)&gt;0,0,IF(('T_TTAFStock'!O20&lt;&gt;""),'T_TTAFStock'!O20,N16+'Grid_Incoming'!O16-'Grid_TTAFOutgoing'!O16))</f>
        <v/>
      </c>
      <c r="P16">
        <f>IF(COUNTIFS(T_StockCount[Part Name],$A16,T_StockCount[WeekIndex],15)&gt;0,0,IF(('T_TTAFStock'!P20&lt;&gt;""),'T_TTAFStock'!P20,O16+'Grid_Incoming'!P16-'Grid_TTAFOutgoing'!P16))</f>
        <v/>
      </c>
      <c r="Q16">
        <f>IF(COUNTIFS(T_StockCount[Part Name],$A16,T_StockCount[WeekIndex],16)&gt;0,0,IF(('T_TTAFStock'!Q20&lt;&gt;""),'T_TTAFStock'!Q20,P16+'Grid_Incoming'!Q16-'Grid_TTAFOutgoing'!Q16))</f>
        <v/>
      </c>
      <c r="R16">
        <f>IF(COUNTIFS(T_StockCount[Part Name],$A16,T_StockCount[WeekIndex],17)&gt;0,0,IF(('T_TTAFStock'!R20&lt;&gt;""),'T_TTAFStock'!R20,Q16+'Grid_Incoming'!R16-'Grid_TTAFOutgoing'!R16))</f>
        <v/>
      </c>
      <c r="S16">
        <f>IF(COUNTIFS(T_StockCount[Part Name],$A16,T_StockCount[WeekIndex],18)&gt;0,0,IF(('T_TTAFStock'!S20&lt;&gt;""),'T_TTAFStock'!S20,R16+'Grid_Incoming'!S16-'Grid_TTAFOutgoing'!S16))</f>
        <v/>
      </c>
      <c r="T16">
        <f>IF(COUNTIFS(T_StockCount[Part Name],$A16,T_StockCount[WeekIndex],19)&gt;0,0,IF(('T_TTAFStock'!T20&lt;&gt;""),'T_TTAFStock'!T20,S16+'Grid_Incoming'!T16-'Grid_TTAFOutgoing'!T16))</f>
        <v/>
      </c>
      <c r="U16">
        <f>IF(COUNTIFS(T_StockCount[Part Name],$A16,T_StockCount[WeekIndex],20)&gt;0,0,IF(('T_TTAFStock'!U20&lt;&gt;""),'T_TTAFStock'!U20,T16+'Grid_Incoming'!U16-'Grid_TTAFOutgoing'!U16))</f>
        <v/>
      </c>
      <c r="V16">
        <f>IF(COUNTIFS(T_StockCount[Part Name],$A16,T_StockCount[WeekIndex],21)&gt;0,0,IF(('T_TTAFStock'!V20&lt;&gt;""),'T_TTAFStock'!V20,U16+'Grid_Incoming'!V16-'Grid_TTAFOutgoing'!V16))</f>
        <v/>
      </c>
      <c r="W16">
        <f>IF(COUNTIFS(T_StockCount[Part Name],$A16,T_StockCount[WeekIndex],22)&gt;0,0,IF(('T_TTAFStock'!W20&lt;&gt;""),'T_TTAFStock'!W20,V16+'Grid_Incoming'!W16-'Grid_TTAFOutgoing'!W16))</f>
        <v/>
      </c>
      <c r="X16">
        <f>IF(COUNTIFS(T_StockCount[Part Name],$A16,T_StockCount[WeekIndex],23)&gt;0,0,IF(('T_TTAFStock'!X20&lt;&gt;""),'T_TTAFStock'!X20,W16+'Grid_Incoming'!X16-'Grid_TTAFOutgoing'!X16))</f>
        <v/>
      </c>
      <c r="Y16">
        <f>IF(COUNTIFS(T_StockCount[Part Name],$A16,T_StockCount[WeekIndex],24)&gt;0,0,IF(('T_TTAFStock'!Y20&lt;&gt;""),'T_TTAFStock'!Y20,X16+'Grid_Incoming'!Y16-'Grid_TTAFOutgoing'!Y16))</f>
        <v/>
      </c>
      <c r="Z16">
        <f>IF(COUNTIFS(T_StockCount[Part Name],$A16,T_StockCount[WeekIndex],25)&gt;0,0,IF(('T_TTAFStock'!Z20&lt;&gt;""),'T_TTAFStock'!Z20,Y16+'Grid_Incoming'!Z16-'Grid_TTAFOutgoing'!Z16))</f>
        <v/>
      </c>
      <c r="AA16">
        <f>IF(COUNTIFS(T_StockCount[Part Name],$A16,T_StockCount[WeekIndex],26)&gt;0,0,IF(('T_TTAFStock'!AA20&lt;&gt;""),'T_TTAFStock'!AA20,Z16+'Grid_Incoming'!AA16-'Grid_TTAFOutgoing'!AA16))</f>
        <v/>
      </c>
      <c r="AB16">
        <f>IF(COUNTIFS(T_StockCount[Part Name],$A16,T_StockCount[WeekIndex],27)&gt;0,0,IF(('T_TTAFStock'!AB20&lt;&gt;""),'T_TTAFStock'!AB20,AA16+'Grid_Incoming'!AB16-'Grid_TTAFOutgoing'!AB16))</f>
        <v/>
      </c>
      <c r="AC16">
        <f>IF(COUNTIFS(T_StockCount[Part Name],$A16,T_StockCount[WeekIndex],28)&gt;0,0,IF(('T_TTAFStock'!AC20&lt;&gt;""),'T_TTAFStock'!AC20,AB16+'Grid_Incoming'!AC16-'Grid_TTAFOutgoing'!AC16))</f>
        <v/>
      </c>
      <c r="AD16">
        <f>IF(COUNTIFS(T_StockCount[Part Name],$A16,T_StockCount[WeekIndex],29)&gt;0,0,IF(('T_TTAFStock'!AD20&lt;&gt;""),'T_TTAFStock'!AD20,AC16+'Grid_Incoming'!AD16-'Grid_TTAFOutgoing'!AD16))</f>
        <v/>
      </c>
      <c r="AE16">
        <f>IF(COUNTIFS(T_StockCount[Part Name],$A16,T_StockCount[WeekIndex],30)&gt;0,0,IF(('T_TTAFStock'!AE20&lt;&gt;""),'T_TTAFStock'!AE20,AD16+'Grid_Incoming'!AE16-'Grid_TTAFOutgoing'!AE16))</f>
        <v/>
      </c>
      <c r="AF16">
        <f>IF(COUNTIFS(T_StockCount[Part Name],$A16,T_StockCount[WeekIndex],31)&gt;0,0,IF(('T_TTAFStock'!AF20&lt;&gt;""),'T_TTAFStock'!AF20,AE16+'Grid_Incoming'!AF16-'Grid_TTAFOutgoing'!AF16))</f>
        <v/>
      </c>
      <c r="AG16">
        <f>IF(COUNTIFS(T_StockCount[Part Name],$A16,T_StockCount[WeekIndex],32)&gt;0,0,IF(('T_TTAFStock'!AG20&lt;&gt;""),'T_TTAFStock'!AG20,AF16+'Grid_Incoming'!AG16-'Grid_TTAFOutgoing'!AG16))</f>
        <v/>
      </c>
      <c r="AH16">
        <f>IF(COUNTIFS(T_StockCount[Part Name],$A16,T_StockCount[WeekIndex],33)&gt;0,0,IF(('T_TTAFStock'!AH20&lt;&gt;""),'T_TTAFStock'!AH20,AG16+'Grid_Incoming'!AH16-'Grid_TTAFOutgoing'!AH16))</f>
        <v/>
      </c>
      <c r="AI16">
        <f>IF(COUNTIFS(T_StockCount[Part Name],$A16,T_StockCount[WeekIndex],34)&gt;0,0,IF(('T_TTAFStock'!AI20&lt;&gt;""),'T_TTAFStock'!AI20,AH16+'Grid_Incoming'!AI16-'Grid_TTAFOutgoing'!AI16))</f>
        <v/>
      </c>
      <c r="AJ16">
        <f>IF(COUNTIFS(T_StockCount[Part Name],$A16,T_StockCount[WeekIndex],35)&gt;0,0,IF(('T_TTAFStock'!AJ20&lt;&gt;""),'T_TTAFStock'!AJ20,AI16+'Grid_Incoming'!AJ16-'Grid_TTAFOutgoing'!AJ16))</f>
        <v/>
      </c>
      <c r="AK16">
        <f>IF(COUNTIFS(T_StockCount[Part Name],$A16,T_StockCount[WeekIndex],36)&gt;0,0,IF(('T_TTAFStock'!AK20&lt;&gt;""),'T_TTAFStock'!AK20,AJ16+'Grid_Incoming'!AK16-'Grid_TTAFOutgoing'!AK16))</f>
        <v/>
      </c>
      <c r="AL16">
        <f>IF(COUNTIFS(T_StockCount[Part Name],$A16,T_StockCount[WeekIndex],37)&gt;0,0,IF(('T_TTAFStock'!AL20&lt;&gt;""),'T_TTAFStock'!AL20,AK16+'Grid_Incoming'!AL16-'Grid_TTAFOutgoing'!AL16))</f>
        <v/>
      </c>
      <c r="AM16">
        <f>IF(COUNTIFS(T_StockCount[Part Name],$A16,T_StockCount[WeekIndex],38)&gt;0,0,IF(('T_TTAFStock'!AM20&lt;&gt;""),'T_TTAFStock'!AM20,AL16+'Grid_Incoming'!AM16-'Grid_TTAFOutgoing'!AM16))</f>
        <v/>
      </c>
      <c r="AN16">
        <f>IF(COUNTIFS(T_StockCount[Part Name],$A16,T_StockCount[WeekIndex],39)&gt;0,0,IF(('T_TTAFStock'!AN20&lt;&gt;""),'T_TTAFStock'!AN20,AM16+'Grid_Incoming'!AN16-'Grid_TTAFOutgoing'!AN16))</f>
        <v/>
      </c>
      <c r="AO16">
        <f>IF(COUNTIFS(T_StockCount[Part Name],$A16,T_StockCount[WeekIndex],40)&gt;0,0,IF(('T_TTAFStock'!AO20&lt;&gt;""),'T_TTAFStock'!AO20,AN16+'Grid_Incoming'!AO16-'Grid_TTAFOutgoing'!AO16))</f>
        <v/>
      </c>
      <c r="AP16">
        <f>IF(COUNTIFS(T_StockCount[Part Name],$A16,T_StockCount[WeekIndex],41)&gt;0,0,IF(('T_TTAFStock'!AP20&lt;&gt;""),'T_TTAFStock'!AP20,AO16+'Grid_Incoming'!AP16-'Grid_TTAFOutgoing'!AP16))</f>
        <v/>
      </c>
      <c r="AQ16">
        <f>IF(COUNTIFS(T_StockCount[Part Name],$A16,T_StockCount[WeekIndex],42)&gt;0,0,IF(('T_TTAFStock'!AQ20&lt;&gt;""),'T_TTAFStock'!AQ20,AP16+'Grid_Incoming'!AQ16-'Grid_TTAFOutgoing'!AQ16))</f>
        <v/>
      </c>
      <c r="AR16">
        <f>IF(COUNTIFS(T_StockCount[Part Name],$A16,T_StockCount[WeekIndex],43)&gt;0,0,IF(('T_TTAFStock'!AR20&lt;&gt;""),'T_TTAFStock'!AR20,AQ16+'Grid_Incoming'!AR16-'Grid_TTAFOutgoing'!AR16))</f>
        <v/>
      </c>
      <c r="AS16">
        <f>IF(COUNTIFS(T_StockCount[Part Name],$A16,T_StockCount[WeekIndex],44)&gt;0,0,IF(('T_TTAFStock'!AS20&lt;&gt;""),'T_TTAFStock'!AS20,AR16+'Grid_Incoming'!AS16-'Grid_TTAFOutgoing'!AS16))</f>
        <v/>
      </c>
      <c r="AT16">
        <f>IF(COUNTIFS(T_StockCount[Part Name],$A16,T_StockCount[WeekIndex],45)&gt;0,0,IF(('T_TTAFStock'!AT20&lt;&gt;""),'T_TTAFStock'!AT20,AS16+'Grid_Incoming'!AT16-'Grid_TTAFOutgoing'!AT16))</f>
        <v/>
      </c>
      <c r="AU16">
        <f>IF(COUNTIFS(T_StockCount[Part Name],$A16,T_StockCount[WeekIndex],46)&gt;0,0,IF(('T_TTAFStock'!AU20&lt;&gt;""),'T_TTAFStock'!AU20,AT16+'Grid_Incoming'!AU16-'Grid_TTAFOutgoing'!AU16))</f>
        <v/>
      </c>
      <c r="AV16">
        <f>IF(COUNTIFS(T_StockCount[Part Name],$A16,T_StockCount[WeekIndex],47)&gt;0,0,IF(('T_TTAFStock'!AV20&lt;&gt;""),'T_TTAFStock'!AV20,AU16+'Grid_Incoming'!AV16-'Grid_TTAFOutgoing'!AV16))</f>
        <v/>
      </c>
      <c r="AW16">
        <f>IF(COUNTIFS(T_StockCount[Part Name],$A16,T_StockCount[WeekIndex],48)&gt;0,0,IF(('T_TTAFStock'!AW20&lt;&gt;""),'T_TTAFStock'!AW20,AV16+'Grid_Incoming'!AW16-'Grid_TTAFOutgoing'!AW16))</f>
        <v/>
      </c>
      <c r="AX16">
        <f>IF(COUNTIFS(T_StockCount[Part Name],$A16,T_StockCount[WeekIndex],49)&gt;0,0,IF(('T_TTAFStock'!AX20&lt;&gt;""),'T_TTAFStock'!AX20,AW16+'Grid_Incoming'!AX16-'Grid_TTAFOutgoing'!AX16))</f>
        <v/>
      </c>
      <c r="AY16">
        <f>IF(COUNTIFS(T_StockCount[Part Name],$A16,T_StockCount[WeekIndex],50)&gt;0,0,IF(('T_TTAFStock'!AY20&lt;&gt;""),'T_TTAFStock'!AY20,AX16+'Grid_Incoming'!AY16-'Grid_TTAFOutgoing'!AY16))</f>
        <v/>
      </c>
      <c r="AZ16">
        <f>IF(COUNTIFS(T_StockCount[Part Name],$A16,T_StockCount[WeekIndex],51)&gt;0,0,IF(('T_TTAFStock'!AZ20&lt;&gt;""),'T_TTAFStock'!AZ20,AY16+'Grid_Incoming'!AZ16-'Grid_TTAFOutgoing'!AZ16))</f>
        <v/>
      </c>
      <c r="BA16">
        <f>IF(COUNTIFS(T_StockCount[Part Name],$A16,T_StockCount[WeekIndex],52)&gt;0,0,IF(('T_TTAFStock'!BA20&lt;&gt;""),'T_TTAFStock'!BA20,AZ16+'Grid_Incoming'!BA16-'Grid_TTAFOutgoing'!BA16))</f>
        <v/>
      </c>
      <c r="BB16">
        <f>IF(COUNTIFS(T_StockCount[Part Name],$A16,T_StockCount[WeekIndex],53)&gt;0,0,IF(('T_TTAFStock'!BB20&lt;&gt;""),'T_TTAFStock'!BB20,BA16+'Grid_Incoming'!BB16-'Grid_TTAFOutgoing'!BB16))</f>
        <v/>
      </c>
      <c r="BC16">
        <f>IF(COUNTIFS(T_StockCount[Part Name],$A16,T_StockCount[WeekIndex],54)&gt;0,0,IF(('T_TTAFStock'!BC20&lt;&gt;""),'T_TTAFStock'!BC20,BB16+'Grid_Incoming'!BC16-'Grid_TTAFOutgoing'!BC16))</f>
        <v/>
      </c>
      <c r="BD16">
        <f>IF(COUNTIFS(T_StockCount[Part Name],$A16,T_StockCount[WeekIndex],55)&gt;0,0,IF(('T_TTAFStock'!BD20&lt;&gt;""),'T_TTAFStock'!BD20,BC16+'Grid_Incoming'!BD16-'Grid_TTAFOutgoing'!BD16))</f>
        <v/>
      </c>
      <c r="BE16">
        <f>IF(COUNTIFS(T_StockCount[Part Name],$A16,T_StockCount[WeekIndex],56)&gt;0,0,IF(('T_TTAFStock'!BE20&lt;&gt;""),'T_TTAFStock'!BE20,BD16+'Grid_Incoming'!BE16-'Grid_TTAFOutgoing'!BE16))</f>
        <v/>
      </c>
      <c r="BF16">
        <f>IF(COUNTIFS(T_StockCount[Part Name],$A16,T_StockCount[WeekIndex],57)&gt;0,0,IF(('T_TTAFStock'!BF20&lt;&gt;""),'T_TTAFStock'!BF20,BE16+'Grid_Incoming'!BF16-'Grid_TTAFOutgoing'!BF16))</f>
        <v/>
      </c>
      <c r="BG16">
        <f>IF(COUNTIFS(T_StockCount[Part Name],$A16,T_StockCount[WeekIndex],58)&gt;0,0,IF(('T_TTAFStock'!BG20&lt;&gt;""),'T_TTAFStock'!BG20,BF16+'Grid_Incoming'!BG16-'Grid_TTAFOutgoing'!BG16))</f>
        <v/>
      </c>
      <c r="BH16">
        <f>IF(COUNTIFS(T_StockCount[Part Name],$A16,T_StockCount[WeekIndex],59)&gt;0,0,IF(('T_TTAFStock'!BH20&lt;&gt;""),'T_TTAFStock'!BH20,BG16+'Grid_Incoming'!BH16-'Grid_TTAFOutgoing'!BH16))</f>
        <v/>
      </c>
      <c r="BI16">
        <f>IF(COUNTIFS(T_StockCount[Part Name],$A16,T_StockCount[WeekIndex],60)&gt;0,0,IF(('T_TTAFStock'!BI20&lt;&gt;""),'T_TTAFStock'!BI20,BH16+'Grid_Incoming'!BI16-'Grid_TTAFOutgoing'!BI16))</f>
        <v/>
      </c>
      <c r="BJ16">
        <f>IF(COUNTIFS(T_StockCount[Part Name],$A16,T_StockCount[WeekIndex],61)&gt;0,0,IF(('T_TTAFStock'!BJ20&lt;&gt;""),'T_TTAFStock'!BJ20,BI16+'Grid_Incoming'!BJ16-'Grid_TTAFOutgoing'!BJ16))</f>
        <v/>
      </c>
      <c r="BK16">
        <f>IF(COUNTIFS(T_StockCount[Part Name],$A16,T_StockCount[WeekIndex],62)&gt;0,0,IF(('T_TTAFStock'!BK20&lt;&gt;""),'T_TTAFStock'!BK20,BJ16+'Grid_Incoming'!BK16-'Grid_TTAFOutgoing'!BK16))</f>
        <v/>
      </c>
      <c r="BL16">
        <f>IF(COUNTIFS(T_StockCount[Part Name],$A16,T_StockCount[WeekIndex],63)&gt;0,0,IF(('T_TTAFStock'!BL20&lt;&gt;""),'T_TTAFStock'!BL20,BK16+'Grid_Incoming'!BL16-'Grid_TTAFOutgoing'!BL16))</f>
        <v/>
      </c>
      <c r="BM16">
        <f>IF(COUNTIFS(T_StockCount[Part Name],$A16,T_StockCount[WeekIndex],64)&gt;0,0,IF(('T_TTAFStock'!BM20&lt;&gt;""),'T_TTAFStock'!BM20,BL16+'Grid_Incoming'!BM16-'Grid_TTAFOutgoing'!BM16))</f>
        <v/>
      </c>
      <c r="BN16">
        <f>IF(COUNTIFS(T_StockCount[Part Name],$A16,T_StockCount[WeekIndex],65)&gt;0,0,IF(('T_TTAFStock'!BN20&lt;&gt;""),'T_TTAFStock'!BN20,BM16+'Grid_Incoming'!BN16-'Grid_TTAFOutgoing'!BN16))</f>
        <v/>
      </c>
      <c r="BO16">
        <f>IF(COUNTIFS(T_StockCount[Part Name],$A16,T_StockCount[WeekIndex],66)&gt;0,0,IF(('T_TTAFStock'!BO20&lt;&gt;""),'T_TTAFStock'!BO20,BN16+'Grid_Incoming'!BO16-'Grid_TTAFOutgoing'!BO16))</f>
        <v/>
      </c>
      <c r="BP16">
        <f>IF(COUNTIFS(T_StockCount[Part Name],$A16,T_StockCount[WeekIndex],67)&gt;0,0,IF(('T_TTAFStock'!BP20&lt;&gt;""),'T_TTAFStock'!BP20,BO16+'Grid_Incoming'!BP16-'Grid_TTAFOutgoing'!BP16))</f>
        <v/>
      </c>
      <c r="BQ16">
        <f>IF(COUNTIFS(T_StockCount[Part Name],$A16,T_StockCount[WeekIndex],68)&gt;0,0,IF(('T_TTAFStock'!BQ20&lt;&gt;""),'T_TTAFStock'!BQ20,BP16+'Grid_Incoming'!BQ16-'Grid_TTAFOutgoing'!BQ16))</f>
        <v/>
      </c>
      <c r="BR16">
        <f>IF(COUNTIFS(T_StockCount[Part Name],$A16,T_StockCount[WeekIndex],69)&gt;0,0,IF(('T_TTAFStock'!BR20&lt;&gt;""),'T_TTAFStock'!BR20,BQ16+'Grid_Incoming'!BR16-'Grid_TTAFOutgoing'!BR16))</f>
        <v/>
      </c>
      <c r="BS16">
        <f>IF(COUNTIFS(T_StockCount[Part Name],$A16,T_StockCount[WeekIndex],70)&gt;0,0,IF(('T_TTAFStock'!BS20&lt;&gt;""),'T_TTAFStock'!BS20,BR16+'Grid_Incoming'!BS16-'Grid_TTAFOutgoing'!BS16))</f>
        <v/>
      </c>
      <c r="BT16">
        <f>IF(COUNTIFS(T_StockCount[Part Name],$A16,T_StockCount[WeekIndex],71)&gt;0,0,IF(('T_TTAFStock'!BT20&lt;&gt;""),'T_TTAFStock'!BT20,BS16+'Grid_Incoming'!BT16-'Grid_TTAFOutgoing'!BT16))</f>
        <v/>
      </c>
      <c r="BU16">
        <f>IF(COUNTIFS(T_StockCount[Part Name],$A16,T_StockCount[WeekIndex],72)&gt;0,0,IF(('T_TTAFStock'!BU20&lt;&gt;""),'T_TTAFStock'!BU20,BT16+'Grid_Incoming'!BU16-'Grid_TTAFOutgoing'!BU16))</f>
        <v/>
      </c>
      <c r="BV16">
        <f>IF(COUNTIFS(T_StockCount[Part Name],$A16,T_StockCount[WeekIndex],73)&gt;0,0,IF(('T_TTAFStock'!BV20&lt;&gt;""),'T_TTAFStock'!BV20,BU16+'Grid_Incoming'!BV16-'Grid_TTAFOutgoing'!BV16))</f>
        <v/>
      </c>
      <c r="BW16">
        <f>IF(COUNTIFS(T_StockCount[Part Name],$A16,T_StockCount[WeekIndex],74)&gt;0,0,IF(('T_TTAFStock'!BW20&lt;&gt;""),'T_TTAFStock'!BW20,BV16+'Grid_Incoming'!BW16-'Grid_TTAFOutgoing'!BW16))</f>
        <v/>
      </c>
      <c r="BX16">
        <f>IF(COUNTIFS(T_StockCount[Part Name],$A16,T_StockCount[WeekIndex],75)&gt;0,0,IF(('T_TTAFStock'!BX20&lt;&gt;""),'T_TTAFStock'!BX20,BW16+'Grid_Incoming'!BX16-'Grid_TTAFOutgoing'!BX16))</f>
        <v/>
      </c>
      <c r="BY16">
        <f>IF(COUNTIFS(T_StockCount[Part Name],$A16,T_StockCount[WeekIndex],76)&gt;0,0,IF(('T_TTAFStock'!BY20&lt;&gt;""),'T_TTAFStock'!BY20,BX16+'Grid_Incoming'!BY16-'Grid_TTAFOutgoing'!BY16))</f>
        <v/>
      </c>
      <c r="BZ16">
        <f>IF(COUNTIFS(T_StockCount[Part Name],$A16,T_StockCount[WeekIndex],77)&gt;0,0,IF(('T_TTAFStock'!BZ20&lt;&gt;""),'T_TTAFStock'!BZ20,BY16+'Grid_Incoming'!BZ16-'Grid_TTAFOutgoing'!BZ16))</f>
        <v/>
      </c>
      <c r="CA16">
        <f>IF(COUNTIFS(T_StockCount[Part Name],$A16,T_StockCount[WeekIndex],78)&gt;0,0,IF(('T_TTAFStock'!CA20&lt;&gt;""),'T_TTAFStock'!CA20,BZ16+'Grid_Incoming'!CA16-'Grid_TTAFOutgoing'!CA16))</f>
        <v/>
      </c>
      <c r="CB16">
        <f>IF(COUNTIFS(T_StockCount[Part Name],$A16,T_StockCount[WeekIndex],79)&gt;0,0,IF(('T_TTAFStock'!CB20&lt;&gt;""),'T_TTAFStock'!CB20,CA16+'Grid_Incoming'!CB16-'Grid_TTAFOutgoing'!CB16))</f>
        <v/>
      </c>
      <c r="CC16">
        <f>IF(COUNTIFS(T_StockCount[Part Name],$A16,T_StockCount[WeekIndex],80)&gt;0,0,IF(('T_TTAFStock'!CC20&lt;&gt;""),'T_TTAFStock'!CC20,CB16+'Grid_Incoming'!CC16-'Grid_TTAFOutgoing'!CC16))</f>
        <v/>
      </c>
      <c r="CD16">
        <f>IF(COUNTIFS(T_StockCount[Part Name],$A16,T_StockCount[WeekIndex],81)&gt;0,0,IF(('T_TTAFStock'!CD20&lt;&gt;""),'T_TTAFStock'!CD20,CC16+'Grid_Incoming'!CD16-'Grid_TTAFOutgoing'!CD16))</f>
        <v/>
      </c>
      <c r="CE16">
        <f>IF(COUNTIFS(T_StockCount[Part Name],$A16,T_StockCount[WeekIndex],82)&gt;0,0,IF(('T_TTAFStock'!CE20&lt;&gt;""),'T_TTAFStock'!CE20,CD16+'Grid_Incoming'!CE16-'Grid_TTAFOutgoing'!CE16))</f>
        <v/>
      </c>
      <c r="CF16">
        <f>IF(COUNTIFS(T_StockCount[Part Name],$A16,T_StockCount[WeekIndex],83)&gt;0,0,IF(('T_TTAFStock'!CF20&lt;&gt;""),'T_TTAFStock'!CF20,CE16+'Grid_Incoming'!CF16-'Grid_TTAFOutgoing'!CF16))</f>
        <v/>
      </c>
      <c r="CG16">
        <f>IF(COUNTIFS(T_StockCount[Part Name],$A16,T_StockCount[WeekIndex],84)&gt;0,0,IF(('T_TTAFStock'!CG20&lt;&gt;""),'T_TTAFStock'!CG20,CF16+'Grid_Incoming'!CG16-'Grid_TTAFOutgoing'!CG16))</f>
        <v/>
      </c>
      <c r="CH16">
        <f>IF(COUNTIFS(T_StockCount[Part Name],$A16,T_StockCount[WeekIndex],85)&gt;0,0,IF(('T_TTAFStock'!CH20&lt;&gt;""),'T_TTAFStock'!CH20,CG16+'Grid_Incoming'!CH16-'Grid_TTAFOutgoing'!CH16))</f>
        <v/>
      </c>
      <c r="CI16">
        <f>IF(COUNTIFS(T_StockCount[Part Name],$A16,T_StockCount[WeekIndex],86)&gt;0,0,IF(('T_TTAFStock'!CI20&lt;&gt;""),'T_TTAFStock'!CI20,CH16+'Grid_Incoming'!CI16-'Grid_TTAFOutgoing'!CI16))</f>
        <v/>
      </c>
      <c r="CJ16">
        <f>IF(COUNTIFS(T_StockCount[Part Name],$A16,T_StockCount[WeekIndex],87)&gt;0,0,IF(('T_TTAFStock'!CJ20&lt;&gt;""),'T_TTAFStock'!CJ20,CI16+'Grid_Incoming'!CJ16-'Grid_TTAFOutgoing'!CJ16))</f>
        <v/>
      </c>
      <c r="CK16">
        <f>IF(COUNTIFS(T_StockCount[Part Name],$A16,T_StockCount[WeekIndex],88)&gt;0,0,IF(('T_TTAFStock'!CK20&lt;&gt;""),'T_TTAFStock'!CK20,CJ16+'Grid_Incoming'!CK16-'Grid_TTAFOutgoing'!CK16))</f>
        <v/>
      </c>
      <c r="CL16">
        <f>IF(COUNTIFS(T_StockCount[Part Name],$A16,T_StockCount[WeekIndex],89)&gt;0,0,IF(('T_TTAFStock'!CL20&lt;&gt;""),'T_TTAFStock'!CL20,CK16+'Grid_Incoming'!CL16-'Grid_TTAFOutgoing'!CL16))</f>
        <v/>
      </c>
      <c r="CM16">
        <f>IF(COUNTIFS(T_StockCount[Part Name],$A16,T_StockCount[WeekIndex],90)&gt;0,0,IF(('T_TTAFStock'!CM20&lt;&gt;""),'T_TTAFStock'!CM20,CL16+'Grid_Incoming'!CM16-'Grid_TTAFOutgoing'!CM16))</f>
        <v/>
      </c>
      <c r="CN16">
        <f>IF(COUNTIFS(T_StockCount[Part Name],$A16,T_StockCount[WeekIndex],91)&gt;0,0,IF(('T_TTAFStock'!CN20&lt;&gt;""),'T_TTAFStock'!CN20,CM16+'Grid_Incoming'!CN16-'Grid_TTAFOutgoing'!CN16))</f>
        <v/>
      </c>
      <c r="CO16">
        <f>IF(COUNTIFS(T_StockCount[Part Name],$A16,T_StockCount[WeekIndex],92)&gt;0,0,IF(('T_TTAFStock'!CO20&lt;&gt;""),'T_TTAFStock'!CO20,CN16+'Grid_Incoming'!CO16-'Grid_TTAFOutgoing'!CO16))</f>
        <v/>
      </c>
      <c r="CP16">
        <f>IF(COUNTIFS(T_StockCount[Part Name],$A16,T_StockCount[WeekIndex],93)&gt;0,0,IF(('T_TTAFStock'!CP20&lt;&gt;""),'T_TTAFStock'!CP20,CO16+'Grid_Incoming'!CP16-'Grid_TTAFOutgoing'!CP16))</f>
        <v/>
      </c>
      <c r="CQ16">
        <f>IF(COUNTIFS(T_StockCount[Part Name],$A16,T_StockCount[WeekIndex],94)&gt;0,0,IF(('T_TTAFStock'!CQ20&lt;&gt;""),'T_TTAFStock'!CQ20,CP16+'Grid_Incoming'!CQ16-'Grid_TTAFOutgoing'!CQ16))</f>
        <v/>
      </c>
      <c r="CR16">
        <f>IF(COUNTIFS(T_StockCount[Part Name],$A16,T_StockCount[WeekIndex],95)&gt;0,0,IF(('T_TTAFStock'!CR20&lt;&gt;""),'T_TTAFStock'!CR20,CQ16+'Grid_Incoming'!CR16-'Grid_TTAFOutgoing'!CR16))</f>
        <v/>
      </c>
      <c r="CS16">
        <f>IF(COUNTIFS(T_StockCount[Part Name],$A16,T_StockCount[WeekIndex],96)&gt;0,0,IF(('T_TTAFStock'!CS20&lt;&gt;""),'T_TTAFStock'!CS20,CR16+'Grid_Incoming'!CS16-'Grid_TTAFOutgoing'!CS16))</f>
        <v/>
      </c>
      <c r="CT16">
        <f>IF(COUNTIFS(T_StockCount[Part Name],$A16,T_StockCount[WeekIndex],97)&gt;0,0,IF(('T_TTAFStock'!CT20&lt;&gt;""),'T_TTAFStock'!CT20,CS16+'Grid_Incoming'!CT16-'Grid_TTAFOutgoing'!CT16))</f>
        <v/>
      </c>
      <c r="CU16">
        <f>IF(COUNTIFS(T_StockCount[Part Name],$A16,T_StockCount[WeekIndex],98)&gt;0,0,IF(('T_TTAFStock'!CU20&lt;&gt;""),'T_TTAFStock'!CU20,CT16+'Grid_Incoming'!CU16-'Grid_TTAFOutgoing'!CU16))</f>
        <v/>
      </c>
      <c r="CV16">
        <f>IF(COUNTIFS(T_StockCount[Part Name],$A16,T_StockCount[WeekIndex],99)&gt;0,0,IF(('T_TTAFStock'!CV20&lt;&gt;""),'T_TTAFStock'!CV20,CU16+'Grid_Incoming'!CV16-'Grid_TTAFOutgoing'!CV16))</f>
        <v/>
      </c>
      <c r="CW16">
        <f>IF(COUNTIFS(T_StockCount[Part Name],$A16,T_StockCount[WeekIndex],100)&gt;0,0,IF(('T_TTAFStock'!CW20&lt;&gt;""),'T_TTAFStock'!CW20,CV16+'Grid_Incoming'!CW16-'Grid_TTAFOutgoing'!CW16))</f>
        <v/>
      </c>
      <c r="CX16">
        <f>IF(COUNTIFS(T_StockCount[Part Name],$A16,T_StockCount[WeekIndex],101)&gt;0,0,IF(('T_TTAFStock'!CX20&lt;&gt;""),'T_TTAFStock'!CX20,CW16+'Grid_Incoming'!CX16-'Grid_TTAFOutgoing'!CX16))</f>
        <v/>
      </c>
      <c r="CY16">
        <f>IF(COUNTIFS(T_StockCount[Part Name],$A16,T_StockCount[WeekIndex],102)&gt;0,0,IF(('T_TTAFStock'!CY20&lt;&gt;""),'T_TTAFStock'!CY20,CX16+'Grid_Incoming'!CY16-'Grid_TTAFOutgoing'!CY16))</f>
        <v/>
      </c>
      <c r="CZ16">
        <f>IF(COUNTIFS(T_StockCount[Part Name],$A16,T_StockCount[WeekIndex],103)&gt;0,0,IF(('T_TTAFStock'!CZ20&lt;&gt;""),'T_TTAFStock'!CZ20,CY16+'Grid_Incoming'!CZ16-'Grid_TTAFOutgoing'!CZ16))</f>
        <v/>
      </c>
      <c r="DA16">
        <f>IF(COUNTIFS(T_StockCount[Part Name],$A16,T_StockCount[WeekIndex],104)&gt;0,0,IF(('T_TTAFStock'!DA20&lt;&gt;""),'T_TTAFStock'!DA20,CZ16+'Grid_Incoming'!DA16-'Grid_TTAFOutgoing'!DA16))</f>
        <v/>
      </c>
    </row>
    <row r="17">
      <c r="A17" t="inlineStr">
        <is>
          <t>CHEM-1650</t>
        </is>
      </c>
      <c r="B17">
        <f>IF(COUNTIFS(T_StockCount[Part Name],$A17,T_StockCount[WeekIndex],1)&gt;0,0,IF(('T_TTAFStock'!B21&lt;&gt;""),'T_TTAFStock'!B21,0+'Grid_Incoming'!B17-'Grid_TTAFOutgoing'!B17))</f>
        <v/>
      </c>
      <c r="C17">
        <f>IF(COUNTIFS(T_StockCount[Part Name],$A17,T_StockCount[WeekIndex],2)&gt;0,0,IF(('T_TTAFStock'!C21&lt;&gt;""),'T_TTAFStock'!C21,B17+'Grid_Incoming'!C17-'Grid_TTAFOutgoing'!C17))</f>
        <v/>
      </c>
      <c r="D17">
        <f>IF(COUNTIFS(T_StockCount[Part Name],$A17,T_StockCount[WeekIndex],3)&gt;0,0,IF(('T_TTAFStock'!D21&lt;&gt;""),'T_TTAFStock'!D21,C17+'Grid_Incoming'!D17-'Grid_TTAFOutgoing'!D17))</f>
        <v/>
      </c>
      <c r="E17">
        <f>IF(COUNTIFS(T_StockCount[Part Name],$A17,T_StockCount[WeekIndex],4)&gt;0,0,IF(('T_TTAFStock'!E21&lt;&gt;""),'T_TTAFStock'!E21,D17+'Grid_Incoming'!E17-'Grid_TTAFOutgoing'!E17))</f>
        <v/>
      </c>
      <c r="F17">
        <f>IF(COUNTIFS(T_StockCount[Part Name],$A17,T_StockCount[WeekIndex],5)&gt;0,0,IF(('T_TTAFStock'!F21&lt;&gt;""),'T_TTAFStock'!F21,E17+'Grid_Incoming'!F17-'Grid_TTAFOutgoing'!F17))</f>
        <v/>
      </c>
      <c r="G17">
        <f>IF(COUNTIFS(T_StockCount[Part Name],$A17,T_StockCount[WeekIndex],6)&gt;0,0,IF(('T_TTAFStock'!G21&lt;&gt;""),'T_TTAFStock'!G21,F17+'Grid_Incoming'!G17-'Grid_TTAFOutgoing'!G17))</f>
        <v/>
      </c>
      <c r="H17">
        <f>IF(COUNTIFS(T_StockCount[Part Name],$A17,T_StockCount[WeekIndex],7)&gt;0,0,IF(('T_TTAFStock'!H21&lt;&gt;""),'T_TTAFStock'!H21,G17+'Grid_Incoming'!H17-'Grid_TTAFOutgoing'!H17))</f>
        <v/>
      </c>
      <c r="I17">
        <f>IF(COUNTIFS(T_StockCount[Part Name],$A17,T_StockCount[WeekIndex],8)&gt;0,0,IF(('T_TTAFStock'!I21&lt;&gt;""),'T_TTAFStock'!I21,H17+'Grid_Incoming'!I17-'Grid_TTAFOutgoing'!I17))</f>
        <v/>
      </c>
      <c r="J17">
        <f>IF(COUNTIFS(T_StockCount[Part Name],$A17,T_StockCount[WeekIndex],9)&gt;0,0,IF(('T_TTAFStock'!J21&lt;&gt;""),'T_TTAFStock'!J21,I17+'Grid_Incoming'!J17-'Grid_TTAFOutgoing'!J17))</f>
        <v/>
      </c>
      <c r="K17">
        <f>IF(COUNTIFS(T_StockCount[Part Name],$A17,T_StockCount[WeekIndex],10)&gt;0,0,IF(('T_TTAFStock'!K21&lt;&gt;""),'T_TTAFStock'!K21,J17+'Grid_Incoming'!K17-'Grid_TTAFOutgoing'!K17))</f>
        <v/>
      </c>
      <c r="L17">
        <f>IF(COUNTIFS(T_StockCount[Part Name],$A17,T_StockCount[WeekIndex],11)&gt;0,0,IF(('T_TTAFStock'!L21&lt;&gt;""),'T_TTAFStock'!L21,K17+'Grid_Incoming'!L17-'Grid_TTAFOutgoing'!L17))</f>
        <v/>
      </c>
      <c r="M17">
        <f>IF(COUNTIFS(T_StockCount[Part Name],$A17,T_StockCount[WeekIndex],12)&gt;0,0,IF(('T_TTAFStock'!M21&lt;&gt;""),'T_TTAFStock'!M21,L17+'Grid_Incoming'!M17-'Grid_TTAFOutgoing'!M17))</f>
        <v/>
      </c>
      <c r="N17">
        <f>IF(COUNTIFS(T_StockCount[Part Name],$A17,T_StockCount[WeekIndex],13)&gt;0,0,IF(('T_TTAFStock'!N21&lt;&gt;""),'T_TTAFStock'!N21,M17+'Grid_Incoming'!N17-'Grid_TTAFOutgoing'!N17))</f>
        <v/>
      </c>
      <c r="O17">
        <f>IF(COUNTIFS(T_StockCount[Part Name],$A17,T_StockCount[WeekIndex],14)&gt;0,0,IF(('T_TTAFStock'!O21&lt;&gt;""),'T_TTAFStock'!O21,N17+'Grid_Incoming'!O17-'Grid_TTAFOutgoing'!O17))</f>
        <v/>
      </c>
      <c r="P17">
        <f>IF(COUNTIFS(T_StockCount[Part Name],$A17,T_StockCount[WeekIndex],15)&gt;0,0,IF(('T_TTAFStock'!P21&lt;&gt;""),'T_TTAFStock'!P21,O17+'Grid_Incoming'!P17-'Grid_TTAFOutgoing'!P17))</f>
        <v/>
      </c>
      <c r="Q17">
        <f>IF(COUNTIFS(T_StockCount[Part Name],$A17,T_StockCount[WeekIndex],16)&gt;0,0,IF(('T_TTAFStock'!Q21&lt;&gt;""),'T_TTAFStock'!Q21,P17+'Grid_Incoming'!Q17-'Grid_TTAFOutgoing'!Q17))</f>
        <v/>
      </c>
      <c r="R17">
        <f>IF(COUNTIFS(T_StockCount[Part Name],$A17,T_StockCount[WeekIndex],17)&gt;0,0,IF(('T_TTAFStock'!R21&lt;&gt;""),'T_TTAFStock'!R21,Q17+'Grid_Incoming'!R17-'Grid_TTAFOutgoing'!R17))</f>
        <v/>
      </c>
      <c r="S17">
        <f>IF(COUNTIFS(T_StockCount[Part Name],$A17,T_StockCount[WeekIndex],18)&gt;0,0,IF(('T_TTAFStock'!S21&lt;&gt;""),'T_TTAFStock'!S21,R17+'Grid_Incoming'!S17-'Grid_TTAFOutgoing'!S17))</f>
        <v/>
      </c>
      <c r="T17">
        <f>IF(COUNTIFS(T_StockCount[Part Name],$A17,T_StockCount[WeekIndex],19)&gt;0,0,IF(('T_TTAFStock'!T21&lt;&gt;""),'T_TTAFStock'!T21,S17+'Grid_Incoming'!T17-'Grid_TTAFOutgoing'!T17))</f>
        <v/>
      </c>
      <c r="U17">
        <f>IF(COUNTIFS(T_StockCount[Part Name],$A17,T_StockCount[WeekIndex],20)&gt;0,0,IF(('T_TTAFStock'!U21&lt;&gt;""),'T_TTAFStock'!U21,T17+'Grid_Incoming'!U17-'Grid_TTAFOutgoing'!U17))</f>
        <v/>
      </c>
      <c r="V17">
        <f>IF(COUNTIFS(T_StockCount[Part Name],$A17,T_StockCount[WeekIndex],21)&gt;0,0,IF(('T_TTAFStock'!V21&lt;&gt;""),'T_TTAFStock'!V21,U17+'Grid_Incoming'!V17-'Grid_TTAFOutgoing'!V17))</f>
        <v/>
      </c>
      <c r="W17">
        <f>IF(COUNTIFS(T_StockCount[Part Name],$A17,T_StockCount[WeekIndex],22)&gt;0,0,IF(('T_TTAFStock'!W21&lt;&gt;""),'T_TTAFStock'!W21,V17+'Grid_Incoming'!W17-'Grid_TTAFOutgoing'!W17))</f>
        <v/>
      </c>
      <c r="X17">
        <f>IF(COUNTIFS(T_StockCount[Part Name],$A17,T_StockCount[WeekIndex],23)&gt;0,0,IF(('T_TTAFStock'!X21&lt;&gt;""),'T_TTAFStock'!X21,W17+'Grid_Incoming'!X17-'Grid_TTAFOutgoing'!X17))</f>
        <v/>
      </c>
      <c r="Y17">
        <f>IF(COUNTIFS(T_StockCount[Part Name],$A17,T_StockCount[WeekIndex],24)&gt;0,0,IF(('T_TTAFStock'!Y21&lt;&gt;""),'T_TTAFStock'!Y21,X17+'Grid_Incoming'!Y17-'Grid_TTAFOutgoing'!Y17))</f>
        <v/>
      </c>
      <c r="Z17">
        <f>IF(COUNTIFS(T_StockCount[Part Name],$A17,T_StockCount[WeekIndex],25)&gt;0,0,IF(('T_TTAFStock'!Z21&lt;&gt;""),'T_TTAFStock'!Z21,Y17+'Grid_Incoming'!Z17-'Grid_TTAFOutgoing'!Z17))</f>
        <v/>
      </c>
      <c r="AA17">
        <f>IF(COUNTIFS(T_StockCount[Part Name],$A17,T_StockCount[WeekIndex],26)&gt;0,0,IF(('T_TTAFStock'!AA21&lt;&gt;""),'T_TTAFStock'!AA21,Z17+'Grid_Incoming'!AA17-'Grid_TTAFOutgoing'!AA17))</f>
        <v/>
      </c>
      <c r="AB17">
        <f>IF(COUNTIFS(T_StockCount[Part Name],$A17,T_StockCount[WeekIndex],27)&gt;0,0,IF(('T_TTAFStock'!AB21&lt;&gt;""),'T_TTAFStock'!AB21,AA17+'Grid_Incoming'!AB17-'Grid_TTAFOutgoing'!AB17))</f>
        <v/>
      </c>
      <c r="AC17">
        <f>IF(COUNTIFS(T_StockCount[Part Name],$A17,T_StockCount[WeekIndex],28)&gt;0,0,IF(('T_TTAFStock'!AC21&lt;&gt;""),'T_TTAFStock'!AC21,AB17+'Grid_Incoming'!AC17-'Grid_TTAFOutgoing'!AC17))</f>
        <v/>
      </c>
      <c r="AD17">
        <f>IF(COUNTIFS(T_StockCount[Part Name],$A17,T_StockCount[WeekIndex],29)&gt;0,0,IF(('T_TTAFStock'!AD21&lt;&gt;""),'T_TTAFStock'!AD21,AC17+'Grid_Incoming'!AD17-'Grid_TTAFOutgoing'!AD17))</f>
        <v/>
      </c>
      <c r="AE17">
        <f>IF(COUNTIFS(T_StockCount[Part Name],$A17,T_StockCount[WeekIndex],30)&gt;0,0,IF(('T_TTAFStock'!AE21&lt;&gt;""),'T_TTAFStock'!AE21,AD17+'Grid_Incoming'!AE17-'Grid_TTAFOutgoing'!AE17))</f>
        <v/>
      </c>
      <c r="AF17">
        <f>IF(COUNTIFS(T_StockCount[Part Name],$A17,T_StockCount[WeekIndex],31)&gt;0,0,IF(('T_TTAFStock'!AF21&lt;&gt;""),'T_TTAFStock'!AF21,AE17+'Grid_Incoming'!AF17-'Grid_TTAFOutgoing'!AF17))</f>
        <v/>
      </c>
      <c r="AG17">
        <f>IF(COUNTIFS(T_StockCount[Part Name],$A17,T_StockCount[WeekIndex],32)&gt;0,0,IF(('T_TTAFStock'!AG21&lt;&gt;""),'T_TTAFStock'!AG21,AF17+'Grid_Incoming'!AG17-'Grid_TTAFOutgoing'!AG17))</f>
        <v/>
      </c>
      <c r="AH17">
        <f>IF(COUNTIFS(T_StockCount[Part Name],$A17,T_StockCount[WeekIndex],33)&gt;0,0,IF(('T_TTAFStock'!AH21&lt;&gt;""),'T_TTAFStock'!AH21,AG17+'Grid_Incoming'!AH17-'Grid_TTAFOutgoing'!AH17))</f>
        <v/>
      </c>
      <c r="AI17">
        <f>IF(COUNTIFS(T_StockCount[Part Name],$A17,T_StockCount[WeekIndex],34)&gt;0,0,IF(('T_TTAFStock'!AI21&lt;&gt;""),'T_TTAFStock'!AI21,AH17+'Grid_Incoming'!AI17-'Grid_TTAFOutgoing'!AI17))</f>
        <v/>
      </c>
      <c r="AJ17">
        <f>IF(COUNTIFS(T_StockCount[Part Name],$A17,T_StockCount[WeekIndex],35)&gt;0,0,IF(('T_TTAFStock'!AJ21&lt;&gt;""),'T_TTAFStock'!AJ21,AI17+'Grid_Incoming'!AJ17-'Grid_TTAFOutgoing'!AJ17))</f>
        <v/>
      </c>
      <c r="AK17">
        <f>IF(COUNTIFS(T_StockCount[Part Name],$A17,T_StockCount[WeekIndex],36)&gt;0,0,IF(('T_TTAFStock'!AK21&lt;&gt;""),'T_TTAFStock'!AK21,AJ17+'Grid_Incoming'!AK17-'Grid_TTAFOutgoing'!AK17))</f>
        <v/>
      </c>
      <c r="AL17">
        <f>IF(COUNTIFS(T_StockCount[Part Name],$A17,T_StockCount[WeekIndex],37)&gt;0,0,IF(('T_TTAFStock'!AL21&lt;&gt;""),'T_TTAFStock'!AL21,AK17+'Grid_Incoming'!AL17-'Grid_TTAFOutgoing'!AL17))</f>
        <v/>
      </c>
      <c r="AM17">
        <f>IF(COUNTIFS(T_StockCount[Part Name],$A17,T_StockCount[WeekIndex],38)&gt;0,0,IF(('T_TTAFStock'!AM21&lt;&gt;""),'T_TTAFStock'!AM21,AL17+'Grid_Incoming'!AM17-'Grid_TTAFOutgoing'!AM17))</f>
        <v/>
      </c>
      <c r="AN17">
        <f>IF(COUNTIFS(T_StockCount[Part Name],$A17,T_StockCount[WeekIndex],39)&gt;0,0,IF(('T_TTAFStock'!AN21&lt;&gt;""),'T_TTAFStock'!AN21,AM17+'Grid_Incoming'!AN17-'Grid_TTAFOutgoing'!AN17))</f>
        <v/>
      </c>
      <c r="AO17">
        <f>IF(COUNTIFS(T_StockCount[Part Name],$A17,T_StockCount[WeekIndex],40)&gt;0,0,IF(('T_TTAFStock'!AO21&lt;&gt;""),'T_TTAFStock'!AO21,AN17+'Grid_Incoming'!AO17-'Grid_TTAFOutgoing'!AO17))</f>
        <v/>
      </c>
      <c r="AP17">
        <f>IF(COUNTIFS(T_StockCount[Part Name],$A17,T_StockCount[WeekIndex],41)&gt;0,0,IF(('T_TTAFStock'!AP21&lt;&gt;""),'T_TTAFStock'!AP21,AO17+'Grid_Incoming'!AP17-'Grid_TTAFOutgoing'!AP17))</f>
        <v/>
      </c>
      <c r="AQ17">
        <f>IF(COUNTIFS(T_StockCount[Part Name],$A17,T_StockCount[WeekIndex],42)&gt;0,0,IF(('T_TTAFStock'!AQ21&lt;&gt;""),'T_TTAFStock'!AQ21,AP17+'Grid_Incoming'!AQ17-'Grid_TTAFOutgoing'!AQ17))</f>
        <v/>
      </c>
      <c r="AR17">
        <f>IF(COUNTIFS(T_StockCount[Part Name],$A17,T_StockCount[WeekIndex],43)&gt;0,0,IF(('T_TTAFStock'!AR21&lt;&gt;""),'T_TTAFStock'!AR21,AQ17+'Grid_Incoming'!AR17-'Grid_TTAFOutgoing'!AR17))</f>
        <v/>
      </c>
      <c r="AS17">
        <f>IF(COUNTIFS(T_StockCount[Part Name],$A17,T_StockCount[WeekIndex],44)&gt;0,0,IF(('T_TTAFStock'!AS21&lt;&gt;""),'T_TTAFStock'!AS21,AR17+'Grid_Incoming'!AS17-'Grid_TTAFOutgoing'!AS17))</f>
        <v/>
      </c>
      <c r="AT17">
        <f>IF(COUNTIFS(T_StockCount[Part Name],$A17,T_StockCount[WeekIndex],45)&gt;0,0,IF(('T_TTAFStock'!AT21&lt;&gt;""),'T_TTAFStock'!AT21,AS17+'Grid_Incoming'!AT17-'Grid_TTAFOutgoing'!AT17))</f>
        <v/>
      </c>
      <c r="AU17">
        <f>IF(COUNTIFS(T_StockCount[Part Name],$A17,T_StockCount[WeekIndex],46)&gt;0,0,IF(('T_TTAFStock'!AU21&lt;&gt;""),'T_TTAFStock'!AU21,AT17+'Grid_Incoming'!AU17-'Grid_TTAFOutgoing'!AU17))</f>
        <v/>
      </c>
      <c r="AV17">
        <f>IF(COUNTIFS(T_StockCount[Part Name],$A17,T_StockCount[WeekIndex],47)&gt;0,0,IF(('T_TTAFStock'!AV21&lt;&gt;""),'T_TTAFStock'!AV21,AU17+'Grid_Incoming'!AV17-'Grid_TTAFOutgoing'!AV17))</f>
        <v/>
      </c>
      <c r="AW17">
        <f>IF(COUNTIFS(T_StockCount[Part Name],$A17,T_StockCount[WeekIndex],48)&gt;0,0,IF(('T_TTAFStock'!AW21&lt;&gt;""),'T_TTAFStock'!AW21,AV17+'Grid_Incoming'!AW17-'Grid_TTAFOutgoing'!AW17))</f>
        <v/>
      </c>
      <c r="AX17">
        <f>IF(COUNTIFS(T_StockCount[Part Name],$A17,T_StockCount[WeekIndex],49)&gt;0,0,IF(('T_TTAFStock'!AX21&lt;&gt;""),'T_TTAFStock'!AX21,AW17+'Grid_Incoming'!AX17-'Grid_TTAFOutgoing'!AX17))</f>
        <v/>
      </c>
      <c r="AY17">
        <f>IF(COUNTIFS(T_StockCount[Part Name],$A17,T_StockCount[WeekIndex],50)&gt;0,0,IF(('T_TTAFStock'!AY21&lt;&gt;""),'T_TTAFStock'!AY21,AX17+'Grid_Incoming'!AY17-'Grid_TTAFOutgoing'!AY17))</f>
        <v/>
      </c>
      <c r="AZ17">
        <f>IF(COUNTIFS(T_StockCount[Part Name],$A17,T_StockCount[WeekIndex],51)&gt;0,0,IF(('T_TTAFStock'!AZ21&lt;&gt;""),'T_TTAFStock'!AZ21,AY17+'Grid_Incoming'!AZ17-'Grid_TTAFOutgoing'!AZ17))</f>
        <v/>
      </c>
      <c r="BA17">
        <f>IF(COUNTIFS(T_StockCount[Part Name],$A17,T_StockCount[WeekIndex],52)&gt;0,0,IF(('T_TTAFStock'!BA21&lt;&gt;""),'T_TTAFStock'!BA21,AZ17+'Grid_Incoming'!BA17-'Grid_TTAFOutgoing'!BA17))</f>
        <v/>
      </c>
      <c r="BB17">
        <f>IF(COUNTIFS(T_StockCount[Part Name],$A17,T_StockCount[WeekIndex],53)&gt;0,0,IF(('T_TTAFStock'!BB21&lt;&gt;""),'T_TTAFStock'!BB21,BA17+'Grid_Incoming'!BB17-'Grid_TTAFOutgoing'!BB17))</f>
        <v/>
      </c>
      <c r="BC17">
        <f>IF(COUNTIFS(T_StockCount[Part Name],$A17,T_StockCount[WeekIndex],54)&gt;0,0,IF(('T_TTAFStock'!BC21&lt;&gt;""),'T_TTAFStock'!BC21,BB17+'Grid_Incoming'!BC17-'Grid_TTAFOutgoing'!BC17))</f>
        <v/>
      </c>
      <c r="BD17">
        <f>IF(COUNTIFS(T_StockCount[Part Name],$A17,T_StockCount[WeekIndex],55)&gt;0,0,IF(('T_TTAFStock'!BD21&lt;&gt;""),'T_TTAFStock'!BD21,BC17+'Grid_Incoming'!BD17-'Grid_TTAFOutgoing'!BD17))</f>
        <v/>
      </c>
      <c r="BE17">
        <f>IF(COUNTIFS(T_StockCount[Part Name],$A17,T_StockCount[WeekIndex],56)&gt;0,0,IF(('T_TTAFStock'!BE21&lt;&gt;""),'T_TTAFStock'!BE21,BD17+'Grid_Incoming'!BE17-'Grid_TTAFOutgoing'!BE17))</f>
        <v/>
      </c>
      <c r="BF17">
        <f>IF(COUNTIFS(T_StockCount[Part Name],$A17,T_StockCount[WeekIndex],57)&gt;0,0,IF(('T_TTAFStock'!BF21&lt;&gt;""),'T_TTAFStock'!BF21,BE17+'Grid_Incoming'!BF17-'Grid_TTAFOutgoing'!BF17))</f>
        <v/>
      </c>
      <c r="BG17">
        <f>IF(COUNTIFS(T_StockCount[Part Name],$A17,T_StockCount[WeekIndex],58)&gt;0,0,IF(('T_TTAFStock'!BG21&lt;&gt;""),'T_TTAFStock'!BG21,BF17+'Grid_Incoming'!BG17-'Grid_TTAFOutgoing'!BG17))</f>
        <v/>
      </c>
      <c r="BH17">
        <f>IF(COUNTIFS(T_StockCount[Part Name],$A17,T_StockCount[WeekIndex],59)&gt;0,0,IF(('T_TTAFStock'!BH21&lt;&gt;""),'T_TTAFStock'!BH21,BG17+'Grid_Incoming'!BH17-'Grid_TTAFOutgoing'!BH17))</f>
        <v/>
      </c>
      <c r="BI17">
        <f>IF(COUNTIFS(T_StockCount[Part Name],$A17,T_StockCount[WeekIndex],60)&gt;0,0,IF(('T_TTAFStock'!BI21&lt;&gt;""),'T_TTAFStock'!BI21,BH17+'Grid_Incoming'!BI17-'Grid_TTAFOutgoing'!BI17))</f>
        <v/>
      </c>
      <c r="BJ17">
        <f>IF(COUNTIFS(T_StockCount[Part Name],$A17,T_StockCount[WeekIndex],61)&gt;0,0,IF(('T_TTAFStock'!BJ21&lt;&gt;""),'T_TTAFStock'!BJ21,BI17+'Grid_Incoming'!BJ17-'Grid_TTAFOutgoing'!BJ17))</f>
        <v/>
      </c>
      <c r="BK17">
        <f>IF(COUNTIFS(T_StockCount[Part Name],$A17,T_StockCount[WeekIndex],62)&gt;0,0,IF(('T_TTAFStock'!BK21&lt;&gt;""),'T_TTAFStock'!BK21,BJ17+'Grid_Incoming'!BK17-'Grid_TTAFOutgoing'!BK17))</f>
        <v/>
      </c>
      <c r="BL17">
        <f>IF(COUNTIFS(T_StockCount[Part Name],$A17,T_StockCount[WeekIndex],63)&gt;0,0,IF(('T_TTAFStock'!BL21&lt;&gt;""),'T_TTAFStock'!BL21,BK17+'Grid_Incoming'!BL17-'Grid_TTAFOutgoing'!BL17))</f>
        <v/>
      </c>
      <c r="BM17">
        <f>IF(COUNTIFS(T_StockCount[Part Name],$A17,T_StockCount[WeekIndex],64)&gt;0,0,IF(('T_TTAFStock'!BM21&lt;&gt;""),'T_TTAFStock'!BM21,BL17+'Grid_Incoming'!BM17-'Grid_TTAFOutgoing'!BM17))</f>
        <v/>
      </c>
      <c r="BN17">
        <f>IF(COUNTIFS(T_StockCount[Part Name],$A17,T_StockCount[WeekIndex],65)&gt;0,0,IF(('T_TTAFStock'!BN21&lt;&gt;""),'T_TTAFStock'!BN21,BM17+'Grid_Incoming'!BN17-'Grid_TTAFOutgoing'!BN17))</f>
        <v/>
      </c>
      <c r="BO17">
        <f>IF(COUNTIFS(T_StockCount[Part Name],$A17,T_StockCount[WeekIndex],66)&gt;0,0,IF(('T_TTAFStock'!BO21&lt;&gt;""),'T_TTAFStock'!BO21,BN17+'Grid_Incoming'!BO17-'Grid_TTAFOutgoing'!BO17))</f>
        <v/>
      </c>
      <c r="BP17">
        <f>IF(COUNTIFS(T_StockCount[Part Name],$A17,T_StockCount[WeekIndex],67)&gt;0,0,IF(('T_TTAFStock'!BP21&lt;&gt;""),'T_TTAFStock'!BP21,BO17+'Grid_Incoming'!BP17-'Grid_TTAFOutgoing'!BP17))</f>
        <v/>
      </c>
      <c r="BQ17">
        <f>IF(COUNTIFS(T_StockCount[Part Name],$A17,T_StockCount[WeekIndex],68)&gt;0,0,IF(('T_TTAFStock'!BQ21&lt;&gt;""),'T_TTAFStock'!BQ21,BP17+'Grid_Incoming'!BQ17-'Grid_TTAFOutgoing'!BQ17))</f>
        <v/>
      </c>
      <c r="BR17">
        <f>IF(COUNTIFS(T_StockCount[Part Name],$A17,T_StockCount[WeekIndex],69)&gt;0,0,IF(('T_TTAFStock'!BR21&lt;&gt;""),'T_TTAFStock'!BR21,BQ17+'Grid_Incoming'!BR17-'Grid_TTAFOutgoing'!BR17))</f>
        <v/>
      </c>
      <c r="BS17">
        <f>IF(COUNTIFS(T_StockCount[Part Name],$A17,T_StockCount[WeekIndex],70)&gt;0,0,IF(('T_TTAFStock'!BS21&lt;&gt;""),'T_TTAFStock'!BS21,BR17+'Grid_Incoming'!BS17-'Grid_TTAFOutgoing'!BS17))</f>
        <v/>
      </c>
      <c r="BT17">
        <f>IF(COUNTIFS(T_StockCount[Part Name],$A17,T_StockCount[WeekIndex],71)&gt;0,0,IF(('T_TTAFStock'!BT21&lt;&gt;""),'T_TTAFStock'!BT21,BS17+'Grid_Incoming'!BT17-'Grid_TTAFOutgoing'!BT17))</f>
        <v/>
      </c>
      <c r="BU17">
        <f>IF(COUNTIFS(T_StockCount[Part Name],$A17,T_StockCount[WeekIndex],72)&gt;0,0,IF(('T_TTAFStock'!BU21&lt;&gt;""),'T_TTAFStock'!BU21,BT17+'Grid_Incoming'!BU17-'Grid_TTAFOutgoing'!BU17))</f>
        <v/>
      </c>
      <c r="BV17">
        <f>IF(COUNTIFS(T_StockCount[Part Name],$A17,T_StockCount[WeekIndex],73)&gt;0,0,IF(('T_TTAFStock'!BV21&lt;&gt;""),'T_TTAFStock'!BV21,BU17+'Grid_Incoming'!BV17-'Grid_TTAFOutgoing'!BV17))</f>
        <v/>
      </c>
      <c r="BW17">
        <f>IF(COUNTIFS(T_StockCount[Part Name],$A17,T_StockCount[WeekIndex],74)&gt;0,0,IF(('T_TTAFStock'!BW21&lt;&gt;""),'T_TTAFStock'!BW21,BV17+'Grid_Incoming'!BW17-'Grid_TTAFOutgoing'!BW17))</f>
        <v/>
      </c>
      <c r="BX17">
        <f>IF(COUNTIFS(T_StockCount[Part Name],$A17,T_StockCount[WeekIndex],75)&gt;0,0,IF(('T_TTAFStock'!BX21&lt;&gt;""),'T_TTAFStock'!BX21,BW17+'Grid_Incoming'!BX17-'Grid_TTAFOutgoing'!BX17))</f>
        <v/>
      </c>
      <c r="BY17">
        <f>IF(COUNTIFS(T_StockCount[Part Name],$A17,T_StockCount[WeekIndex],76)&gt;0,0,IF(('T_TTAFStock'!BY21&lt;&gt;""),'T_TTAFStock'!BY21,BX17+'Grid_Incoming'!BY17-'Grid_TTAFOutgoing'!BY17))</f>
        <v/>
      </c>
      <c r="BZ17">
        <f>IF(COUNTIFS(T_StockCount[Part Name],$A17,T_StockCount[WeekIndex],77)&gt;0,0,IF(('T_TTAFStock'!BZ21&lt;&gt;""),'T_TTAFStock'!BZ21,BY17+'Grid_Incoming'!BZ17-'Grid_TTAFOutgoing'!BZ17))</f>
        <v/>
      </c>
      <c r="CA17">
        <f>IF(COUNTIFS(T_StockCount[Part Name],$A17,T_StockCount[WeekIndex],78)&gt;0,0,IF(('T_TTAFStock'!CA21&lt;&gt;""),'T_TTAFStock'!CA21,BZ17+'Grid_Incoming'!CA17-'Grid_TTAFOutgoing'!CA17))</f>
        <v/>
      </c>
      <c r="CB17">
        <f>IF(COUNTIFS(T_StockCount[Part Name],$A17,T_StockCount[WeekIndex],79)&gt;0,0,IF(('T_TTAFStock'!CB21&lt;&gt;""),'T_TTAFStock'!CB21,CA17+'Grid_Incoming'!CB17-'Grid_TTAFOutgoing'!CB17))</f>
        <v/>
      </c>
      <c r="CC17">
        <f>IF(COUNTIFS(T_StockCount[Part Name],$A17,T_StockCount[WeekIndex],80)&gt;0,0,IF(('T_TTAFStock'!CC21&lt;&gt;""),'T_TTAFStock'!CC21,CB17+'Grid_Incoming'!CC17-'Grid_TTAFOutgoing'!CC17))</f>
        <v/>
      </c>
      <c r="CD17">
        <f>IF(COUNTIFS(T_StockCount[Part Name],$A17,T_StockCount[WeekIndex],81)&gt;0,0,IF(('T_TTAFStock'!CD21&lt;&gt;""),'T_TTAFStock'!CD21,CC17+'Grid_Incoming'!CD17-'Grid_TTAFOutgoing'!CD17))</f>
        <v/>
      </c>
      <c r="CE17">
        <f>IF(COUNTIFS(T_StockCount[Part Name],$A17,T_StockCount[WeekIndex],82)&gt;0,0,IF(('T_TTAFStock'!CE21&lt;&gt;""),'T_TTAFStock'!CE21,CD17+'Grid_Incoming'!CE17-'Grid_TTAFOutgoing'!CE17))</f>
        <v/>
      </c>
      <c r="CF17">
        <f>IF(COUNTIFS(T_StockCount[Part Name],$A17,T_StockCount[WeekIndex],83)&gt;0,0,IF(('T_TTAFStock'!CF21&lt;&gt;""),'T_TTAFStock'!CF21,CE17+'Grid_Incoming'!CF17-'Grid_TTAFOutgoing'!CF17))</f>
        <v/>
      </c>
      <c r="CG17">
        <f>IF(COUNTIFS(T_StockCount[Part Name],$A17,T_StockCount[WeekIndex],84)&gt;0,0,IF(('T_TTAFStock'!CG21&lt;&gt;""),'T_TTAFStock'!CG21,CF17+'Grid_Incoming'!CG17-'Grid_TTAFOutgoing'!CG17))</f>
        <v/>
      </c>
      <c r="CH17">
        <f>IF(COUNTIFS(T_StockCount[Part Name],$A17,T_StockCount[WeekIndex],85)&gt;0,0,IF(('T_TTAFStock'!CH21&lt;&gt;""),'T_TTAFStock'!CH21,CG17+'Grid_Incoming'!CH17-'Grid_TTAFOutgoing'!CH17))</f>
        <v/>
      </c>
      <c r="CI17">
        <f>IF(COUNTIFS(T_StockCount[Part Name],$A17,T_StockCount[WeekIndex],86)&gt;0,0,IF(('T_TTAFStock'!CI21&lt;&gt;""),'T_TTAFStock'!CI21,CH17+'Grid_Incoming'!CI17-'Grid_TTAFOutgoing'!CI17))</f>
        <v/>
      </c>
      <c r="CJ17">
        <f>IF(COUNTIFS(T_StockCount[Part Name],$A17,T_StockCount[WeekIndex],87)&gt;0,0,IF(('T_TTAFStock'!CJ21&lt;&gt;""),'T_TTAFStock'!CJ21,CI17+'Grid_Incoming'!CJ17-'Grid_TTAFOutgoing'!CJ17))</f>
        <v/>
      </c>
      <c r="CK17">
        <f>IF(COUNTIFS(T_StockCount[Part Name],$A17,T_StockCount[WeekIndex],88)&gt;0,0,IF(('T_TTAFStock'!CK21&lt;&gt;""),'T_TTAFStock'!CK21,CJ17+'Grid_Incoming'!CK17-'Grid_TTAFOutgoing'!CK17))</f>
        <v/>
      </c>
      <c r="CL17">
        <f>IF(COUNTIFS(T_StockCount[Part Name],$A17,T_StockCount[WeekIndex],89)&gt;0,0,IF(('T_TTAFStock'!CL21&lt;&gt;""),'T_TTAFStock'!CL21,CK17+'Grid_Incoming'!CL17-'Grid_TTAFOutgoing'!CL17))</f>
        <v/>
      </c>
      <c r="CM17">
        <f>IF(COUNTIFS(T_StockCount[Part Name],$A17,T_StockCount[WeekIndex],90)&gt;0,0,IF(('T_TTAFStock'!CM21&lt;&gt;""),'T_TTAFStock'!CM21,CL17+'Grid_Incoming'!CM17-'Grid_TTAFOutgoing'!CM17))</f>
        <v/>
      </c>
      <c r="CN17">
        <f>IF(COUNTIFS(T_StockCount[Part Name],$A17,T_StockCount[WeekIndex],91)&gt;0,0,IF(('T_TTAFStock'!CN21&lt;&gt;""),'T_TTAFStock'!CN21,CM17+'Grid_Incoming'!CN17-'Grid_TTAFOutgoing'!CN17))</f>
        <v/>
      </c>
      <c r="CO17">
        <f>IF(COUNTIFS(T_StockCount[Part Name],$A17,T_StockCount[WeekIndex],92)&gt;0,0,IF(('T_TTAFStock'!CO21&lt;&gt;""),'T_TTAFStock'!CO21,CN17+'Grid_Incoming'!CO17-'Grid_TTAFOutgoing'!CO17))</f>
        <v/>
      </c>
      <c r="CP17">
        <f>IF(COUNTIFS(T_StockCount[Part Name],$A17,T_StockCount[WeekIndex],93)&gt;0,0,IF(('T_TTAFStock'!CP21&lt;&gt;""),'T_TTAFStock'!CP21,CO17+'Grid_Incoming'!CP17-'Grid_TTAFOutgoing'!CP17))</f>
        <v/>
      </c>
      <c r="CQ17">
        <f>IF(COUNTIFS(T_StockCount[Part Name],$A17,T_StockCount[WeekIndex],94)&gt;0,0,IF(('T_TTAFStock'!CQ21&lt;&gt;""),'T_TTAFStock'!CQ21,CP17+'Grid_Incoming'!CQ17-'Grid_TTAFOutgoing'!CQ17))</f>
        <v/>
      </c>
      <c r="CR17">
        <f>IF(COUNTIFS(T_StockCount[Part Name],$A17,T_StockCount[WeekIndex],95)&gt;0,0,IF(('T_TTAFStock'!CR21&lt;&gt;""),'T_TTAFStock'!CR21,CQ17+'Grid_Incoming'!CR17-'Grid_TTAFOutgoing'!CR17))</f>
        <v/>
      </c>
      <c r="CS17">
        <f>IF(COUNTIFS(T_StockCount[Part Name],$A17,T_StockCount[WeekIndex],96)&gt;0,0,IF(('T_TTAFStock'!CS21&lt;&gt;""),'T_TTAFStock'!CS21,CR17+'Grid_Incoming'!CS17-'Grid_TTAFOutgoing'!CS17))</f>
        <v/>
      </c>
      <c r="CT17">
        <f>IF(COUNTIFS(T_StockCount[Part Name],$A17,T_StockCount[WeekIndex],97)&gt;0,0,IF(('T_TTAFStock'!CT21&lt;&gt;""),'T_TTAFStock'!CT21,CS17+'Grid_Incoming'!CT17-'Grid_TTAFOutgoing'!CT17))</f>
        <v/>
      </c>
      <c r="CU17">
        <f>IF(COUNTIFS(T_StockCount[Part Name],$A17,T_StockCount[WeekIndex],98)&gt;0,0,IF(('T_TTAFStock'!CU21&lt;&gt;""),'T_TTAFStock'!CU21,CT17+'Grid_Incoming'!CU17-'Grid_TTAFOutgoing'!CU17))</f>
        <v/>
      </c>
      <c r="CV17">
        <f>IF(COUNTIFS(T_StockCount[Part Name],$A17,T_StockCount[WeekIndex],99)&gt;0,0,IF(('T_TTAFStock'!CV21&lt;&gt;""),'T_TTAFStock'!CV21,CU17+'Grid_Incoming'!CV17-'Grid_TTAFOutgoing'!CV17))</f>
        <v/>
      </c>
      <c r="CW17">
        <f>IF(COUNTIFS(T_StockCount[Part Name],$A17,T_StockCount[WeekIndex],100)&gt;0,0,IF(('T_TTAFStock'!CW21&lt;&gt;""),'T_TTAFStock'!CW21,CV17+'Grid_Incoming'!CW17-'Grid_TTAFOutgoing'!CW17))</f>
        <v/>
      </c>
      <c r="CX17">
        <f>IF(COUNTIFS(T_StockCount[Part Name],$A17,T_StockCount[WeekIndex],101)&gt;0,0,IF(('T_TTAFStock'!CX21&lt;&gt;""),'T_TTAFStock'!CX21,CW17+'Grid_Incoming'!CX17-'Grid_TTAFOutgoing'!CX17))</f>
        <v/>
      </c>
      <c r="CY17">
        <f>IF(COUNTIFS(T_StockCount[Part Name],$A17,T_StockCount[WeekIndex],102)&gt;0,0,IF(('T_TTAFStock'!CY21&lt;&gt;""),'T_TTAFStock'!CY21,CX17+'Grid_Incoming'!CY17-'Grid_TTAFOutgoing'!CY17))</f>
        <v/>
      </c>
      <c r="CZ17">
        <f>IF(COUNTIFS(T_StockCount[Part Name],$A17,T_StockCount[WeekIndex],103)&gt;0,0,IF(('T_TTAFStock'!CZ21&lt;&gt;""),'T_TTAFStock'!CZ21,CY17+'Grid_Incoming'!CZ17-'Grid_TTAFOutgoing'!CZ17))</f>
        <v/>
      </c>
      <c r="DA17">
        <f>IF(COUNTIFS(T_StockCount[Part Name],$A17,T_StockCount[WeekIndex],104)&gt;0,0,IF(('T_TTAFStock'!DA21&lt;&gt;""),'T_TTAFStock'!DA21,CZ17+'Grid_Incoming'!DA17-'Grid_TTAFOutgoing'!DA17))</f>
        <v/>
      </c>
    </row>
    <row r="18">
      <c r="A18" t="inlineStr">
        <is>
          <t>CHEM-1660</t>
        </is>
      </c>
      <c r="B18">
        <f>IF(COUNTIFS(T_StockCount[Part Name],$A18,T_StockCount[WeekIndex],1)&gt;0,0,IF(('T_TTAFStock'!B22&lt;&gt;""),'T_TTAFStock'!B22,0+'Grid_Incoming'!B18-'Grid_TTAFOutgoing'!B18))</f>
        <v/>
      </c>
      <c r="C18">
        <f>IF(COUNTIFS(T_StockCount[Part Name],$A18,T_StockCount[WeekIndex],2)&gt;0,0,IF(('T_TTAFStock'!C22&lt;&gt;""),'T_TTAFStock'!C22,B18+'Grid_Incoming'!C18-'Grid_TTAFOutgoing'!C18))</f>
        <v/>
      </c>
      <c r="D18">
        <f>IF(COUNTIFS(T_StockCount[Part Name],$A18,T_StockCount[WeekIndex],3)&gt;0,0,IF(('T_TTAFStock'!D22&lt;&gt;""),'T_TTAFStock'!D22,C18+'Grid_Incoming'!D18-'Grid_TTAFOutgoing'!D18))</f>
        <v/>
      </c>
      <c r="E18">
        <f>IF(COUNTIFS(T_StockCount[Part Name],$A18,T_StockCount[WeekIndex],4)&gt;0,0,IF(('T_TTAFStock'!E22&lt;&gt;""),'T_TTAFStock'!E22,D18+'Grid_Incoming'!E18-'Grid_TTAFOutgoing'!E18))</f>
        <v/>
      </c>
      <c r="F18">
        <f>IF(COUNTIFS(T_StockCount[Part Name],$A18,T_StockCount[WeekIndex],5)&gt;0,0,IF(('T_TTAFStock'!F22&lt;&gt;""),'T_TTAFStock'!F22,E18+'Grid_Incoming'!F18-'Grid_TTAFOutgoing'!F18))</f>
        <v/>
      </c>
      <c r="G18">
        <f>IF(COUNTIFS(T_StockCount[Part Name],$A18,T_StockCount[WeekIndex],6)&gt;0,0,IF(('T_TTAFStock'!G22&lt;&gt;""),'T_TTAFStock'!G22,F18+'Grid_Incoming'!G18-'Grid_TTAFOutgoing'!G18))</f>
        <v/>
      </c>
      <c r="H18">
        <f>IF(COUNTIFS(T_StockCount[Part Name],$A18,T_StockCount[WeekIndex],7)&gt;0,0,IF(('T_TTAFStock'!H22&lt;&gt;""),'T_TTAFStock'!H22,G18+'Grid_Incoming'!H18-'Grid_TTAFOutgoing'!H18))</f>
        <v/>
      </c>
      <c r="I18">
        <f>IF(COUNTIFS(T_StockCount[Part Name],$A18,T_StockCount[WeekIndex],8)&gt;0,0,IF(('T_TTAFStock'!I22&lt;&gt;""),'T_TTAFStock'!I22,H18+'Grid_Incoming'!I18-'Grid_TTAFOutgoing'!I18))</f>
        <v/>
      </c>
      <c r="J18">
        <f>IF(COUNTIFS(T_StockCount[Part Name],$A18,T_StockCount[WeekIndex],9)&gt;0,0,IF(('T_TTAFStock'!J22&lt;&gt;""),'T_TTAFStock'!J22,I18+'Grid_Incoming'!J18-'Grid_TTAFOutgoing'!J18))</f>
        <v/>
      </c>
      <c r="K18">
        <f>IF(COUNTIFS(T_StockCount[Part Name],$A18,T_StockCount[WeekIndex],10)&gt;0,0,IF(('T_TTAFStock'!K22&lt;&gt;""),'T_TTAFStock'!K22,J18+'Grid_Incoming'!K18-'Grid_TTAFOutgoing'!K18))</f>
        <v/>
      </c>
      <c r="L18">
        <f>IF(COUNTIFS(T_StockCount[Part Name],$A18,T_StockCount[WeekIndex],11)&gt;0,0,IF(('T_TTAFStock'!L22&lt;&gt;""),'T_TTAFStock'!L22,K18+'Grid_Incoming'!L18-'Grid_TTAFOutgoing'!L18))</f>
        <v/>
      </c>
      <c r="M18">
        <f>IF(COUNTIFS(T_StockCount[Part Name],$A18,T_StockCount[WeekIndex],12)&gt;0,0,IF(('T_TTAFStock'!M22&lt;&gt;""),'T_TTAFStock'!M22,L18+'Grid_Incoming'!M18-'Grid_TTAFOutgoing'!M18))</f>
        <v/>
      </c>
      <c r="N18">
        <f>IF(COUNTIFS(T_StockCount[Part Name],$A18,T_StockCount[WeekIndex],13)&gt;0,0,IF(('T_TTAFStock'!N22&lt;&gt;""),'T_TTAFStock'!N22,M18+'Grid_Incoming'!N18-'Grid_TTAFOutgoing'!N18))</f>
        <v/>
      </c>
      <c r="O18">
        <f>IF(COUNTIFS(T_StockCount[Part Name],$A18,T_StockCount[WeekIndex],14)&gt;0,0,IF(('T_TTAFStock'!O22&lt;&gt;""),'T_TTAFStock'!O22,N18+'Grid_Incoming'!O18-'Grid_TTAFOutgoing'!O18))</f>
        <v/>
      </c>
      <c r="P18">
        <f>IF(COUNTIFS(T_StockCount[Part Name],$A18,T_StockCount[WeekIndex],15)&gt;0,0,IF(('T_TTAFStock'!P22&lt;&gt;""),'T_TTAFStock'!P22,O18+'Grid_Incoming'!P18-'Grid_TTAFOutgoing'!P18))</f>
        <v/>
      </c>
      <c r="Q18">
        <f>IF(COUNTIFS(T_StockCount[Part Name],$A18,T_StockCount[WeekIndex],16)&gt;0,0,IF(('T_TTAFStock'!Q22&lt;&gt;""),'T_TTAFStock'!Q22,P18+'Grid_Incoming'!Q18-'Grid_TTAFOutgoing'!Q18))</f>
        <v/>
      </c>
      <c r="R18">
        <f>IF(COUNTIFS(T_StockCount[Part Name],$A18,T_StockCount[WeekIndex],17)&gt;0,0,IF(('T_TTAFStock'!R22&lt;&gt;""),'T_TTAFStock'!R22,Q18+'Grid_Incoming'!R18-'Grid_TTAFOutgoing'!R18))</f>
        <v/>
      </c>
      <c r="S18">
        <f>IF(COUNTIFS(T_StockCount[Part Name],$A18,T_StockCount[WeekIndex],18)&gt;0,0,IF(('T_TTAFStock'!S22&lt;&gt;""),'T_TTAFStock'!S22,R18+'Grid_Incoming'!S18-'Grid_TTAFOutgoing'!S18))</f>
        <v/>
      </c>
      <c r="T18">
        <f>IF(COUNTIFS(T_StockCount[Part Name],$A18,T_StockCount[WeekIndex],19)&gt;0,0,IF(('T_TTAFStock'!T22&lt;&gt;""),'T_TTAFStock'!T22,S18+'Grid_Incoming'!T18-'Grid_TTAFOutgoing'!T18))</f>
        <v/>
      </c>
      <c r="U18">
        <f>IF(COUNTIFS(T_StockCount[Part Name],$A18,T_StockCount[WeekIndex],20)&gt;0,0,IF(('T_TTAFStock'!U22&lt;&gt;""),'T_TTAFStock'!U22,T18+'Grid_Incoming'!U18-'Grid_TTAFOutgoing'!U18))</f>
        <v/>
      </c>
      <c r="V18">
        <f>IF(COUNTIFS(T_StockCount[Part Name],$A18,T_StockCount[WeekIndex],21)&gt;0,0,IF(('T_TTAFStock'!V22&lt;&gt;""),'T_TTAFStock'!V22,U18+'Grid_Incoming'!V18-'Grid_TTAFOutgoing'!V18))</f>
        <v/>
      </c>
      <c r="W18">
        <f>IF(COUNTIFS(T_StockCount[Part Name],$A18,T_StockCount[WeekIndex],22)&gt;0,0,IF(('T_TTAFStock'!W22&lt;&gt;""),'T_TTAFStock'!W22,V18+'Grid_Incoming'!W18-'Grid_TTAFOutgoing'!W18))</f>
        <v/>
      </c>
      <c r="X18">
        <f>IF(COUNTIFS(T_StockCount[Part Name],$A18,T_StockCount[WeekIndex],23)&gt;0,0,IF(('T_TTAFStock'!X22&lt;&gt;""),'T_TTAFStock'!X22,W18+'Grid_Incoming'!X18-'Grid_TTAFOutgoing'!X18))</f>
        <v/>
      </c>
      <c r="Y18">
        <f>IF(COUNTIFS(T_StockCount[Part Name],$A18,T_StockCount[WeekIndex],24)&gt;0,0,IF(('T_TTAFStock'!Y22&lt;&gt;""),'T_TTAFStock'!Y22,X18+'Grid_Incoming'!Y18-'Grid_TTAFOutgoing'!Y18))</f>
        <v/>
      </c>
      <c r="Z18">
        <f>IF(COUNTIFS(T_StockCount[Part Name],$A18,T_StockCount[WeekIndex],25)&gt;0,0,IF(('T_TTAFStock'!Z22&lt;&gt;""),'T_TTAFStock'!Z22,Y18+'Grid_Incoming'!Z18-'Grid_TTAFOutgoing'!Z18))</f>
        <v/>
      </c>
      <c r="AA18">
        <f>IF(COUNTIFS(T_StockCount[Part Name],$A18,T_StockCount[WeekIndex],26)&gt;0,0,IF(('T_TTAFStock'!AA22&lt;&gt;""),'T_TTAFStock'!AA22,Z18+'Grid_Incoming'!AA18-'Grid_TTAFOutgoing'!AA18))</f>
        <v/>
      </c>
      <c r="AB18">
        <f>IF(COUNTIFS(T_StockCount[Part Name],$A18,T_StockCount[WeekIndex],27)&gt;0,0,IF(('T_TTAFStock'!AB22&lt;&gt;""),'T_TTAFStock'!AB22,AA18+'Grid_Incoming'!AB18-'Grid_TTAFOutgoing'!AB18))</f>
        <v/>
      </c>
      <c r="AC18">
        <f>IF(COUNTIFS(T_StockCount[Part Name],$A18,T_StockCount[WeekIndex],28)&gt;0,0,IF(('T_TTAFStock'!AC22&lt;&gt;""),'T_TTAFStock'!AC22,AB18+'Grid_Incoming'!AC18-'Grid_TTAFOutgoing'!AC18))</f>
        <v/>
      </c>
      <c r="AD18">
        <f>IF(COUNTIFS(T_StockCount[Part Name],$A18,T_StockCount[WeekIndex],29)&gt;0,0,IF(('T_TTAFStock'!AD22&lt;&gt;""),'T_TTAFStock'!AD22,AC18+'Grid_Incoming'!AD18-'Grid_TTAFOutgoing'!AD18))</f>
        <v/>
      </c>
      <c r="AE18">
        <f>IF(COUNTIFS(T_StockCount[Part Name],$A18,T_StockCount[WeekIndex],30)&gt;0,0,IF(('T_TTAFStock'!AE22&lt;&gt;""),'T_TTAFStock'!AE22,AD18+'Grid_Incoming'!AE18-'Grid_TTAFOutgoing'!AE18))</f>
        <v/>
      </c>
      <c r="AF18">
        <f>IF(COUNTIFS(T_StockCount[Part Name],$A18,T_StockCount[WeekIndex],31)&gt;0,0,IF(('T_TTAFStock'!AF22&lt;&gt;""),'T_TTAFStock'!AF22,AE18+'Grid_Incoming'!AF18-'Grid_TTAFOutgoing'!AF18))</f>
        <v/>
      </c>
      <c r="AG18">
        <f>IF(COUNTIFS(T_StockCount[Part Name],$A18,T_StockCount[WeekIndex],32)&gt;0,0,IF(('T_TTAFStock'!AG22&lt;&gt;""),'T_TTAFStock'!AG22,AF18+'Grid_Incoming'!AG18-'Grid_TTAFOutgoing'!AG18))</f>
        <v/>
      </c>
      <c r="AH18">
        <f>IF(COUNTIFS(T_StockCount[Part Name],$A18,T_StockCount[WeekIndex],33)&gt;0,0,IF(('T_TTAFStock'!AH22&lt;&gt;""),'T_TTAFStock'!AH22,AG18+'Grid_Incoming'!AH18-'Grid_TTAFOutgoing'!AH18))</f>
        <v/>
      </c>
      <c r="AI18">
        <f>IF(COUNTIFS(T_StockCount[Part Name],$A18,T_StockCount[WeekIndex],34)&gt;0,0,IF(('T_TTAFStock'!AI22&lt;&gt;""),'T_TTAFStock'!AI22,AH18+'Grid_Incoming'!AI18-'Grid_TTAFOutgoing'!AI18))</f>
        <v/>
      </c>
      <c r="AJ18">
        <f>IF(COUNTIFS(T_StockCount[Part Name],$A18,T_StockCount[WeekIndex],35)&gt;0,0,IF(('T_TTAFStock'!AJ22&lt;&gt;""),'T_TTAFStock'!AJ22,AI18+'Grid_Incoming'!AJ18-'Grid_TTAFOutgoing'!AJ18))</f>
        <v/>
      </c>
      <c r="AK18">
        <f>IF(COUNTIFS(T_StockCount[Part Name],$A18,T_StockCount[WeekIndex],36)&gt;0,0,IF(('T_TTAFStock'!AK22&lt;&gt;""),'T_TTAFStock'!AK22,AJ18+'Grid_Incoming'!AK18-'Grid_TTAFOutgoing'!AK18))</f>
        <v/>
      </c>
      <c r="AL18">
        <f>IF(COUNTIFS(T_StockCount[Part Name],$A18,T_StockCount[WeekIndex],37)&gt;0,0,IF(('T_TTAFStock'!AL22&lt;&gt;""),'T_TTAFStock'!AL22,AK18+'Grid_Incoming'!AL18-'Grid_TTAFOutgoing'!AL18))</f>
        <v/>
      </c>
      <c r="AM18">
        <f>IF(COUNTIFS(T_StockCount[Part Name],$A18,T_StockCount[WeekIndex],38)&gt;0,0,IF(('T_TTAFStock'!AM22&lt;&gt;""),'T_TTAFStock'!AM22,AL18+'Grid_Incoming'!AM18-'Grid_TTAFOutgoing'!AM18))</f>
        <v/>
      </c>
      <c r="AN18">
        <f>IF(COUNTIFS(T_StockCount[Part Name],$A18,T_StockCount[WeekIndex],39)&gt;0,0,IF(('T_TTAFStock'!AN22&lt;&gt;""),'T_TTAFStock'!AN22,AM18+'Grid_Incoming'!AN18-'Grid_TTAFOutgoing'!AN18))</f>
        <v/>
      </c>
      <c r="AO18">
        <f>IF(COUNTIFS(T_StockCount[Part Name],$A18,T_StockCount[WeekIndex],40)&gt;0,0,IF(('T_TTAFStock'!AO22&lt;&gt;""),'T_TTAFStock'!AO22,AN18+'Grid_Incoming'!AO18-'Grid_TTAFOutgoing'!AO18))</f>
        <v/>
      </c>
      <c r="AP18">
        <f>IF(COUNTIFS(T_StockCount[Part Name],$A18,T_StockCount[WeekIndex],41)&gt;0,0,IF(('T_TTAFStock'!AP22&lt;&gt;""),'T_TTAFStock'!AP22,AO18+'Grid_Incoming'!AP18-'Grid_TTAFOutgoing'!AP18))</f>
        <v/>
      </c>
      <c r="AQ18">
        <f>IF(COUNTIFS(T_StockCount[Part Name],$A18,T_StockCount[WeekIndex],42)&gt;0,0,IF(('T_TTAFStock'!AQ22&lt;&gt;""),'T_TTAFStock'!AQ22,AP18+'Grid_Incoming'!AQ18-'Grid_TTAFOutgoing'!AQ18))</f>
        <v/>
      </c>
      <c r="AR18">
        <f>IF(COUNTIFS(T_StockCount[Part Name],$A18,T_StockCount[WeekIndex],43)&gt;0,0,IF(('T_TTAFStock'!AR22&lt;&gt;""),'T_TTAFStock'!AR22,AQ18+'Grid_Incoming'!AR18-'Grid_TTAFOutgoing'!AR18))</f>
        <v/>
      </c>
      <c r="AS18">
        <f>IF(COUNTIFS(T_StockCount[Part Name],$A18,T_StockCount[WeekIndex],44)&gt;0,0,IF(('T_TTAFStock'!AS22&lt;&gt;""),'T_TTAFStock'!AS22,AR18+'Grid_Incoming'!AS18-'Grid_TTAFOutgoing'!AS18))</f>
        <v/>
      </c>
      <c r="AT18">
        <f>IF(COUNTIFS(T_StockCount[Part Name],$A18,T_StockCount[WeekIndex],45)&gt;0,0,IF(('T_TTAFStock'!AT22&lt;&gt;""),'T_TTAFStock'!AT22,AS18+'Grid_Incoming'!AT18-'Grid_TTAFOutgoing'!AT18))</f>
        <v/>
      </c>
      <c r="AU18">
        <f>IF(COUNTIFS(T_StockCount[Part Name],$A18,T_StockCount[WeekIndex],46)&gt;0,0,IF(('T_TTAFStock'!AU22&lt;&gt;""),'T_TTAFStock'!AU22,AT18+'Grid_Incoming'!AU18-'Grid_TTAFOutgoing'!AU18))</f>
        <v/>
      </c>
      <c r="AV18">
        <f>IF(COUNTIFS(T_StockCount[Part Name],$A18,T_StockCount[WeekIndex],47)&gt;0,0,IF(('T_TTAFStock'!AV22&lt;&gt;""),'T_TTAFStock'!AV22,AU18+'Grid_Incoming'!AV18-'Grid_TTAFOutgoing'!AV18))</f>
        <v/>
      </c>
      <c r="AW18">
        <f>IF(COUNTIFS(T_StockCount[Part Name],$A18,T_StockCount[WeekIndex],48)&gt;0,0,IF(('T_TTAFStock'!AW22&lt;&gt;""),'T_TTAFStock'!AW22,AV18+'Grid_Incoming'!AW18-'Grid_TTAFOutgoing'!AW18))</f>
        <v/>
      </c>
      <c r="AX18">
        <f>IF(COUNTIFS(T_StockCount[Part Name],$A18,T_StockCount[WeekIndex],49)&gt;0,0,IF(('T_TTAFStock'!AX22&lt;&gt;""),'T_TTAFStock'!AX22,AW18+'Grid_Incoming'!AX18-'Grid_TTAFOutgoing'!AX18))</f>
        <v/>
      </c>
      <c r="AY18">
        <f>IF(COUNTIFS(T_StockCount[Part Name],$A18,T_StockCount[WeekIndex],50)&gt;0,0,IF(('T_TTAFStock'!AY22&lt;&gt;""),'T_TTAFStock'!AY22,AX18+'Grid_Incoming'!AY18-'Grid_TTAFOutgoing'!AY18))</f>
        <v/>
      </c>
      <c r="AZ18">
        <f>IF(COUNTIFS(T_StockCount[Part Name],$A18,T_StockCount[WeekIndex],51)&gt;0,0,IF(('T_TTAFStock'!AZ22&lt;&gt;""),'T_TTAFStock'!AZ22,AY18+'Grid_Incoming'!AZ18-'Grid_TTAFOutgoing'!AZ18))</f>
        <v/>
      </c>
      <c r="BA18">
        <f>IF(COUNTIFS(T_StockCount[Part Name],$A18,T_StockCount[WeekIndex],52)&gt;0,0,IF(('T_TTAFStock'!BA22&lt;&gt;""),'T_TTAFStock'!BA22,AZ18+'Grid_Incoming'!BA18-'Grid_TTAFOutgoing'!BA18))</f>
        <v/>
      </c>
      <c r="BB18">
        <f>IF(COUNTIFS(T_StockCount[Part Name],$A18,T_StockCount[WeekIndex],53)&gt;0,0,IF(('T_TTAFStock'!BB22&lt;&gt;""),'T_TTAFStock'!BB22,BA18+'Grid_Incoming'!BB18-'Grid_TTAFOutgoing'!BB18))</f>
        <v/>
      </c>
      <c r="BC18">
        <f>IF(COUNTIFS(T_StockCount[Part Name],$A18,T_StockCount[WeekIndex],54)&gt;0,0,IF(('T_TTAFStock'!BC22&lt;&gt;""),'T_TTAFStock'!BC22,BB18+'Grid_Incoming'!BC18-'Grid_TTAFOutgoing'!BC18))</f>
        <v/>
      </c>
      <c r="BD18">
        <f>IF(COUNTIFS(T_StockCount[Part Name],$A18,T_StockCount[WeekIndex],55)&gt;0,0,IF(('T_TTAFStock'!BD22&lt;&gt;""),'T_TTAFStock'!BD22,BC18+'Grid_Incoming'!BD18-'Grid_TTAFOutgoing'!BD18))</f>
        <v/>
      </c>
      <c r="BE18">
        <f>IF(COUNTIFS(T_StockCount[Part Name],$A18,T_StockCount[WeekIndex],56)&gt;0,0,IF(('T_TTAFStock'!BE22&lt;&gt;""),'T_TTAFStock'!BE22,BD18+'Grid_Incoming'!BE18-'Grid_TTAFOutgoing'!BE18))</f>
        <v/>
      </c>
      <c r="BF18">
        <f>IF(COUNTIFS(T_StockCount[Part Name],$A18,T_StockCount[WeekIndex],57)&gt;0,0,IF(('T_TTAFStock'!BF22&lt;&gt;""),'T_TTAFStock'!BF22,BE18+'Grid_Incoming'!BF18-'Grid_TTAFOutgoing'!BF18))</f>
        <v/>
      </c>
      <c r="BG18">
        <f>IF(COUNTIFS(T_StockCount[Part Name],$A18,T_StockCount[WeekIndex],58)&gt;0,0,IF(('T_TTAFStock'!BG22&lt;&gt;""),'T_TTAFStock'!BG22,BF18+'Grid_Incoming'!BG18-'Grid_TTAFOutgoing'!BG18))</f>
        <v/>
      </c>
      <c r="BH18">
        <f>IF(COUNTIFS(T_StockCount[Part Name],$A18,T_StockCount[WeekIndex],59)&gt;0,0,IF(('T_TTAFStock'!BH22&lt;&gt;""),'T_TTAFStock'!BH22,BG18+'Grid_Incoming'!BH18-'Grid_TTAFOutgoing'!BH18))</f>
        <v/>
      </c>
      <c r="BI18">
        <f>IF(COUNTIFS(T_StockCount[Part Name],$A18,T_StockCount[WeekIndex],60)&gt;0,0,IF(('T_TTAFStock'!BI22&lt;&gt;""),'T_TTAFStock'!BI22,BH18+'Grid_Incoming'!BI18-'Grid_TTAFOutgoing'!BI18))</f>
        <v/>
      </c>
      <c r="BJ18">
        <f>IF(COUNTIFS(T_StockCount[Part Name],$A18,T_StockCount[WeekIndex],61)&gt;0,0,IF(('T_TTAFStock'!BJ22&lt;&gt;""),'T_TTAFStock'!BJ22,BI18+'Grid_Incoming'!BJ18-'Grid_TTAFOutgoing'!BJ18))</f>
        <v/>
      </c>
      <c r="BK18">
        <f>IF(COUNTIFS(T_StockCount[Part Name],$A18,T_StockCount[WeekIndex],62)&gt;0,0,IF(('T_TTAFStock'!BK22&lt;&gt;""),'T_TTAFStock'!BK22,BJ18+'Grid_Incoming'!BK18-'Grid_TTAFOutgoing'!BK18))</f>
        <v/>
      </c>
      <c r="BL18">
        <f>IF(COUNTIFS(T_StockCount[Part Name],$A18,T_StockCount[WeekIndex],63)&gt;0,0,IF(('T_TTAFStock'!BL22&lt;&gt;""),'T_TTAFStock'!BL22,BK18+'Grid_Incoming'!BL18-'Grid_TTAFOutgoing'!BL18))</f>
        <v/>
      </c>
      <c r="BM18">
        <f>IF(COUNTIFS(T_StockCount[Part Name],$A18,T_StockCount[WeekIndex],64)&gt;0,0,IF(('T_TTAFStock'!BM22&lt;&gt;""),'T_TTAFStock'!BM22,BL18+'Grid_Incoming'!BM18-'Grid_TTAFOutgoing'!BM18))</f>
        <v/>
      </c>
      <c r="BN18">
        <f>IF(COUNTIFS(T_StockCount[Part Name],$A18,T_StockCount[WeekIndex],65)&gt;0,0,IF(('T_TTAFStock'!BN22&lt;&gt;""),'T_TTAFStock'!BN22,BM18+'Grid_Incoming'!BN18-'Grid_TTAFOutgoing'!BN18))</f>
        <v/>
      </c>
      <c r="BO18">
        <f>IF(COUNTIFS(T_StockCount[Part Name],$A18,T_StockCount[WeekIndex],66)&gt;0,0,IF(('T_TTAFStock'!BO22&lt;&gt;""),'T_TTAFStock'!BO22,BN18+'Grid_Incoming'!BO18-'Grid_TTAFOutgoing'!BO18))</f>
        <v/>
      </c>
      <c r="BP18">
        <f>IF(COUNTIFS(T_StockCount[Part Name],$A18,T_StockCount[WeekIndex],67)&gt;0,0,IF(('T_TTAFStock'!BP22&lt;&gt;""),'T_TTAFStock'!BP22,BO18+'Grid_Incoming'!BP18-'Grid_TTAFOutgoing'!BP18))</f>
        <v/>
      </c>
      <c r="BQ18">
        <f>IF(COUNTIFS(T_StockCount[Part Name],$A18,T_StockCount[WeekIndex],68)&gt;0,0,IF(('T_TTAFStock'!BQ22&lt;&gt;""),'T_TTAFStock'!BQ22,BP18+'Grid_Incoming'!BQ18-'Grid_TTAFOutgoing'!BQ18))</f>
        <v/>
      </c>
      <c r="BR18">
        <f>IF(COUNTIFS(T_StockCount[Part Name],$A18,T_StockCount[WeekIndex],69)&gt;0,0,IF(('T_TTAFStock'!BR22&lt;&gt;""),'T_TTAFStock'!BR22,BQ18+'Grid_Incoming'!BR18-'Grid_TTAFOutgoing'!BR18))</f>
        <v/>
      </c>
      <c r="BS18">
        <f>IF(COUNTIFS(T_StockCount[Part Name],$A18,T_StockCount[WeekIndex],70)&gt;0,0,IF(('T_TTAFStock'!BS22&lt;&gt;""),'T_TTAFStock'!BS22,BR18+'Grid_Incoming'!BS18-'Grid_TTAFOutgoing'!BS18))</f>
        <v/>
      </c>
      <c r="BT18">
        <f>IF(COUNTIFS(T_StockCount[Part Name],$A18,T_StockCount[WeekIndex],71)&gt;0,0,IF(('T_TTAFStock'!BT22&lt;&gt;""),'T_TTAFStock'!BT22,BS18+'Grid_Incoming'!BT18-'Grid_TTAFOutgoing'!BT18))</f>
        <v/>
      </c>
      <c r="BU18">
        <f>IF(COUNTIFS(T_StockCount[Part Name],$A18,T_StockCount[WeekIndex],72)&gt;0,0,IF(('T_TTAFStock'!BU22&lt;&gt;""),'T_TTAFStock'!BU22,BT18+'Grid_Incoming'!BU18-'Grid_TTAFOutgoing'!BU18))</f>
        <v/>
      </c>
      <c r="BV18">
        <f>IF(COUNTIFS(T_StockCount[Part Name],$A18,T_StockCount[WeekIndex],73)&gt;0,0,IF(('T_TTAFStock'!BV22&lt;&gt;""),'T_TTAFStock'!BV22,BU18+'Grid_Incoming'!BV18-'Grid_TTAFOutgoing'!BV18))</f>
        <v/>
      </c>
      <c r="BW18">
        <f>IF(COUNTIFS(T_StockCount[Part Name],$A18,T_StockCount[WeekIndex],74)&gt;0,0,IF(('T_TTAFStock'!BW22&lt;&gt;""),'T_TTAFStock'!BW22,BV18+'Grid_Incoming'!BW18-'Grid_TTAFOutgoing'!BW18))</f>
        <v/>
      </c>
      <c r="BX18">
        <f>IF(COUNTIFS(T_StockCount[Part Name],$A18,T_StockCount[WeekIndex],75)&gt;0,0,IF(('T_TTAFStock'!BX22&lt;&gt;""),'T_TTAFStock'!BX22,BW18+'Grid_Incoming'!BX18-'Grid_TTAFOutgoing'!BX18))</f>
        <v/>
      </c>
      <c r="BY18">
        <f>IF(COUNTIFS(T_StockCount[Part Name],$A18,T_StockCount[WeekIndex],76)&gt;0,0,IF(('T_TTAFStock'!BY22&lt;&gt;""),'T_TTAFStock'!BY22,BX18+'Grid_Incoming'!BY18-'Grid_TTAFOutgoing'!BY18))</f>
        <v/>
      </c>
      <c r="BZ18">
        <f>IF(COUNTIFS(T_StockCount[Part Name],$A18,T_StockCount[WeekIndex],77)&gt;0,0,IF(('T_TTAFStock'!BZ22&lt;&gt;""),'T_TTAFStock'!BZ22,BY18+'Grid_Incoming'!BZ18-'Grid_TTAFOutgoing'!BZ18))</f>
        <v/>
      </c>
      <c r="CA18">
        <f>IF(COUNTIFS(T_StockCount[Part Name],$A18,T_StockCount[WeekIndex],78)&gt;0,0,IF(('T_TTAFStock'!CA22&lt;&gt;""),'T_TTAFStock'!CA22,BZ18+'Grid_Incoming'!CA18-'Grid_TTAFOutgoing'!CA18))</f>
        <v/>
      </c>
      <c r="CB18">
        <f>IF(COUNTIFS(T_StockCount[Part Name],$A18,T_StockCount[WeekIndex],79)&gt;0,0,IF(('T_TTAFStock'!CB22&lt;&gt;""),'T_TTAFStock'!CB22,CA18+'Grid_Incoming'!CB18-'Grid_TTAFOutgoing'!CB18))</f>
        <v/>
      </c>
      <c r="CC18">
        <f>IF(COUNTIFS(T_StockCount[Part Name],$A18,T_StockCount[WeekIndex],80)&gt;0,0,IF(('T_TTAFStock'!CC22&lt;&gt;""),'T_TTAFStock'!CC22,CB18+'Grid_Incoming'!CC18-'Grid_TTAFOutgoing'!CC18))</f>
        <v/>
      </c>
      <c r="CD18">
        <f>IF(COUNTIFS(T_StockCount[Part Name],$A18,T_StockCount[WeekIndex],81)&gt;0,0,IF(('T_TTAFStock'!CD22&lt;&gt;""),'T_TTAFStock'!CD22,CC18+'Grid_Incoming'!CD18-'Grid_TTAFOutgoing'!CD18))</f>
        <v/>
      </c>
      <c r="CE18">
        <f>IF(COUNTIFS(T_StockCount[Part Name],$A18,T_StockCount[WeekIndex],82)&gt;0,0,IF(('T_TTAFStock'!CE22&lt;&gt;""),'T_TTAFStock'!CE22,CD18+'Grid_Incoming'!CE18-'Grid_TTAFOutgoing'!CE18))</f>
        <v/>
      </c>
      <c r="CF18">
        <f>IF(COUNTIFS(T_StockCount[Part Name],$A18,T_StockCount[WeekIndex],83)&gt;0,0,IF(('T_TTAFStock'!CF22&lt;&gt;""),'T_TTAFStock'!CF22,CE18+'Grid_Incoming'!CF18-'Grid_TTAFOutgoing'!CF18))</f>
        <v/>
      </c>
      <c r="CG18">
        <f>IF(COUNTIFS(T_StockCount[Part Name],$A18,T_StockCount[WeekIndex],84)&gt;0,0,IF(('T_TTAFStock'!CG22&lt;&gt;""),'T_TTAFStock'!CG22,CF18+'Grid_Incoming'!CG18-'Grid_TTAFOutgoing'!CG18))</f>
        <v/>
      </c>
      <c r="CH18">
        <f>IF(COUNTIFS(T_StockCount[Part Name],$A18,T_StockCount[WeekIndex],85)&gt;0,0,IF(('T_TTAFStock'!CH22&lt;&gt;""),'T_TTAFStock'!CH22,CG18+'Grid_Incoming'!CH18-'Grid_TTAFOutgoing'!CH18))</f>
        <v/>
      </c>
      <c r="CI18">
        <f>IF(COUNTIFS(T_StockCount[Part Name],$A18,T_StockCount[WeekIndex],86)&gt;0,0,IF(('T_TTAFStock'!CI22&lt;&gt;""),'T_TTAFStock'!CI22,CH18+'Grid_Incoming'!CI18-'Grid_TTAFOutgoing'!CI18))</f>
        <v/>
      </c>
      <c r="CJ18">
        <f>IF(COUNTIFS(T_StockCount[Part Name],$A18,T_StockCount[WeekIndex],87)&gt;0,0,IF(('T_TTAFStock'!CJ22&lt;&gt;""),'T_TTAFStock'!CJ22,CI18+'Grid_Incoming'!CJ18-'Grid_TTAFOutgoing'!CJ18))</f>
        <v/>
      </c>
      <c r="CK18">
        <f>IF(COUNTIFS(T_StockCount[Part Name],$A18,T_StockCount[WeekIndex],88)&gt;0,0,IF(('T_TTAFStock'!CK22&lt;&gt;""),'T_TTAFStock'!CK22,CJ18+'Grid_Incoming'!CK18-'Grid_TTAFOutgoing'!CK18))</f>
        <v/>
      </c>
      <c r="CL18">
        <f>IF(COUNTIFS(T_StockCount[Part Name],$A18,T_StockCount[WeekIndex],89)&gt;0,0,IF(('T_TTAFStock'!CL22&lt;&gt;""),'T_TTAFStock'!CL22,CK18+'Grid_Incoming'!CL18-'Grid_TTAFOutgoing'!CL18))</f>
        <v/>
      </c>
      <c r="CM18">
        <f>IF(COUNTIFS(T_StockCount[Part Name],$A18,T_StockCount[WeekIndex],90)&gt;0,0,IF(('T_TTAFStock'!CM22&lt;&gt;""),'T_TTAFStock'!CM22,CL18+'Grid_Incoming'!CM18-'Grid_TTAFOutgoing'!CM18))</f>
        <v/>
      </c>
      <c r="CN18">
        <f>IF(COUNTIFS(T_StockCount[Part Name],$A18,T_StockCount[WeekIndex],91)&gt;0,0,IF(('T_TTAFStock'!CN22&lt;&gt;""),'T_TTAFStock'!CN22,CM18+'Grid_Incoming'!CN18-'Grid_TTAFOutgoing'!CN18))</f>
        <v/>
      </c>
      <c r="CO18">
        <f>IF(COUNTIFS(T_StockCount[Part Name],$A18,T_StockCount[WeekIndex],92)&gt;0,0,IF(('T_TTAFStock'!CO22&lt;&gt;""),'T_TTAFStock'!CO22,CN18+'Grid_Incoming'!CO18-'Grid_TTAFOutgoing'!CO18))</f>
        <v/>
      </c>
      <c r="CP18">
        <f>IF(COUNTIFS(T_StockCount[Part Name],$A18,T_StockCount[WeekIndex],93)&gt;0,0,IF(('T_TTAFStock'!CP22&lt;&gt;""),'T_TTAFStock'!CP22,CO18+'Grid_Incoming'!CP18-'Grid_TTAFOutgoing'!CP18))</f>
        <v/>
      </c>
      <c r="CQ18">
        <f>IF(COUNTIFS(T_StockCount[Part Name],$A18,T_StockCount[WeekIndex],94)&gt;0,0,IF(('T_TTAFStock'!CQ22&lt;&gt;""),'T_TTAFStock'!CQ22,CP18+'Grid_Incoming'!CQ18-'Grid_TTAFOutgoing'!CQ18))</f>
        <v/>
      </c>
      <c r="CR18">
        <f>IF(COUNTIFS(T_StockCount[Part Name],$A18,T_StockCount[WeekIndex],95)&gt;0,0,IF(('T_TTAFStock'!CR22&lt;&gt;""),'T_TTAFStock'!CR22,CQ18+'Grid_Incoming'!CR18-'Grid_TTAFOutgoing'!CR18))</f>
        <v/>
      </c>
      <c r="CS18">
        <f>IF(COUNTIFS(T_StockCount[Part Name],$A18,T_StockCount[WeekIndex],96)&gt;0,0,IF(('T_TTAFStock'!CS22&lt;&gt;""),'T_TTAFStock'!CS22,CR18+'Grid_Incoming'!CS18-'Grid_TTAFOutgoing'!CS18))</f>
        <v/>
      </c>
      <c r="CT18">
        <f>IF(COUNTIFS(T_StockCount[Part Name],$A18,T_StockCount[WeekIndex],97)&gt;0,0,IF(('T_TTAFStock'!CT22&lt;&gt;""),'T_TTAFStock'!CT22,CS18+'Grid_Incoming'!CT18-'Grid_TTAFOutgoing'!CT18))</f>
        <v/>
      </c>
      <c r="CU18">
        <f>IF(COUNTIFS(T_StockCount[Part Name],$A18,T_StockCount[WeekIndex],98)&gt;0,0,IF(('T_TTAFStock'!CU22&lt;&gt;""),'T_TTAFStock'!CU22,CT18+'Grid_Incoming'!CU18-'Grid_TTAFOutgoing'!CU18))</f>
        <v/>
      </c>
      <c r="CV18">
        <f>IF(COUNTIFS(T_StockCount[Part Name],$A18,T_StockCount[WeekIndex],99)&gt;0,0,IF(('T_TTAFStock'!CV22&lt;&gt;""),'T_TTAFStock'!CV22,CU18+'Grid_Incoming'!CV18-'Grid_TTAFOutgoing'!CV18))</f>
        <v/>
      </c>
      <c r="CW18">
        <f>IF(COUNTIFS(T_StockCount[Part Name],$A18,T_StockCount[WeekIndex],100)&gt;0,0,IF(('T_TTAFStock'!CW22&lt;&gt;""),'T_TTAFStock'!CW22,CV18+'Grid_Incoming'!CW18-'Grid_TTAFOutgoing'!CW18))</f>
        <v/>
      </c>
      <c r="CX18">
        <f>IF(COUNTIFS(T_StockCount[Part Name],$A18,T_StockCount[WeekIndex],101)&gt;0,0,IF(('T_TTAFStock'!CX22&lt;&gt;""),'T_TTAFStock'!CX22,CW18+'Grid_Incoming'!CX18-'Grid_TTAFOutgoing'!CX18))</f>
        <v/>
      </c>
      <c r="CY18">
        <f>IF(COUNTIFS(T_StockCount[Part Name],$A18,T_StockCount[WeekIndex],102)&gt;0,0,IF(('T_TTAFStock'!CY22&lt;&gt;""),'T_TTAFStock'!CY22,CX18+'Grid_Incoming'!CY18-'Grid_TTAFOutgoing'!CY18))</f>
        <v/>
      </c>
      <c r="CZ18">
        <f>IF(COUNTIFS(T_StockCount[Part Name],$A18,T_StockCount[WeekIndex],103)&gt;0,0,IF(('T_TTAFStock'!CZ22&lt;&gt;""),'T_TTAFStock'!CZ22,CY18+'Grid_Incoming'!CZ18-'Grid_TTAFOutgoing'!CZ18))</f>
        <v/>
      </c>
      <c r="DA18">
        <f>IF(COUNTIFS(T_StockCount[Part Name],$A18,T_StockCount[WeekIndex],104)&gt;0,0,IF(('T_TTAFStock'!DA22&lt;&gt;""),'T_TTAFStock'!DA22,CZ18+'Grid_Incoming'!DA18-'Grid_TTAFOutgoing'!DA18))</f>
        <v/>
      </c>
    </row>
    <row r="19">
      <c r="A19" t="inlineStr">
        <is>
          <t>CHEM-1600</t>
        </is>
      </c>
      <c r="B19">
        <f>IF(COUNTIFS(T_StockCount[Part Name],$A19,T_StockCount[WeekIndex],1)&gt;0,0,IF(('T_TTAFStock'!B23&lt;&gt;""),'T_TTAFStock'!B23,0+'Grid_Incoming'!B19-'Grid_TTAFOutgoing'!B19))</f>
        <v/>
      </c>
      <c r="C19">
        <f>IF(COUNTIFS(T_StockCount[Part Name],$A19,T_StockCount[WeekIndex],2)&gt;0,0,IF(('T_TTAFStock'!C23&lt;&gt;""),'T_TTAFStock'!C23,B19+'Grid_Incoming'!C19-'Grid_TTAFOutgoing'!C19))</f>
        <v/>
      </c>
      <c r="D19">
        <f>IF(COUNTIFS(T_StockCount[Part Name],$A19,T_StockCount[WeekIndex],3)&gt;0,0,IF(('T_TTAFStock'!D23&lt;&gt;""),'T_TTAFStock'!D23,C19+'Grid_Incoming'!D19-'Grid_TTAFOutgoing'!D19))</f>
        <v/>
      </c>
      <c r="E19">
        <f>IF(COUNTIFS(T_StockCount[Part Name],$A19,T_StockCount[WeekIndex],4)&gt;0,0,IF(('T_TTAFStock'!E23&lt;&gt;""),'T_TTAFStock'!E23,D19+'Grid_Incoming'!E19-'Grid_TTAFOutgoing'!E19))</f>
        <v/>
      </c>
      <c r="F19">
        <f>IF(COUNTIFS(T_StockCount[Part Name],$A19,T_StockCount[WeekIndex],5)&gt;0,0,IF(('T_TTAFStock'!F23&lt;&gt;""),'T_TTAFStock'!F23,E19+'Grid_Incoming'!F19-'Grid_TTAFOutgoing'!F19))</f>
        <v/>
      </c>
      <c r="G19">
        <f>IF(COUNTIFS(T_StockCount[Part Name],$A19,T_StockCount[WeekIndex],6)&gt;0,0,IF(('T_TTAFStock'!G23&lt;&gt;""),'T_TTAFStock'!G23,F19+'Grid_Incoming'!G19-'Grid_TTAFOutgoing'!G19))</f>
        <v/>
      </c>
      <c r="H19">
        <f>IF(COUNTIFS(T_StockCount[Part Name],$A19,T_StockCount[WeekIndex],7)&gt;0,0,IF(('T_TTAFStock'!H23&lt;&gt;""),'T_TTAFStock'!H23,G19+'Grid_Incoming'!H19-'Grid_TTAFOutgoing'!H19))</f>
        <v/>
      </c>
      <c r="I19">
        <f>IF(COUNTIFS(T_StockCount[Part Name],$A19,T_StockCount[WeekIndex],8)&gt;0,0,IF(('T_TTAFStock'!I23&lt;&gt;""),'T_TTAFStock'!I23,H19+'Grid_Incoming'!I19-'Grid_TTAFOutgoing'!I19))</f>
        <v/>
      </c>
      <c r="J19">
        <f>IF(COUNTIFS(T_StockCount[Part Name],$A19,T_StockCount[WeekIndex],9)&gt;0,0,IF(('T_TTAFStock'!J23&lt;&gt;""),'T_TTAFStock'!J23,I19+'Grid_Incoming'!J19-'Grid_TTAFOutgoing'!J19))</f>
        <v/>
      </c>
      <c r="K19">
        <f>IF(COUNTIFS(T_StockCount[Part Name],$A19,T_StockCount[WeekIndex],10)&gt;0,0,IF(('T_TTAFStock'!K23&lt;&gt;""),'T_TTAFStock'!K23,J19+'Grid_Incoming'!K19-'Grid_TTAFOutgoing'!K19))</f>
        <v/>
      </c>
      <c r="L19">
        <f>IF(COUNTIFS(T_StockCount[Part Name],$A19,T_StockCount[WeekIndex],11)&gt;0,0,IF(('T_TTAFStock'!L23&lt;&gt;""),'T_TTAFStock'!L23,K19+'Grid_Incoming'!L19-'Grid_TTAFOutgoing'!L19))</f>
        <v/>
      </c>
      <c r="M19">
        <f>IF(COUNTIFS(T_StockCount[Part Name],$A19,T_StockCount[WeekIndex],12)&gt;0,0,IF(('T_TTAFStock'!M23&lt;&gt;""),'T_TTAFStock'!M23,L19+'Grid_Incoming'!M19-'Grid_TTAFOutgoing'!M19))</f>
        <v/>
      </c>
      <c r="N19">
        <f>IF(COUNTIFS(T_StockCount[Part Name],$A19,T_StockCount[WeekIndex],13)&gt;0,0,IF(('T_TTAFStock'!N23&lt;&gt;""),'T_TTAFStock'!N23,M19+'Grid_Incoming'!N19-'Grid_TTAFOutgoing'!N19))</f>
        <v/>
      </c>
      <c r="O19">
        <f>IF(COUNTIFS(T_StockCount[Part Name],$A19,T_StockCount[WeekIndex],14)&gt;0,0,IF(('T_TTAFStock'!O23&lt;&gt;""),'T_TTAFStock'!O23,N19+'Grid_Incoming'!O19-'Grid_TTAFOutgoing'!O19))</f>
        <v/>
      </c>
      <c r="P19">
        <f>IF(COUNTIFS(T_StockCount[Part Name],$A19,T_StockCount[WeekIndex],15)&gt;0,0,IF(('T_TTAFStock'!P23&lt;&gt;""),'T_TTAFStock'!P23,O19+'Grid_Incoming'!P19-'Grid_TTAFOutgoing'!P19))</f>
        <v/>
      </c>
      <c r="Q19">
        <f>IF(COUNTIFS(T_StockCount[Part Name],$A19,T_StockCount[WeekIndex],16)&gt;0,0,IF(('T_TTAFStock'!Q23&lt;&gt;""),'T_TTAFStock'!Q23,P19+'Grid_Incoming'!Q19-'Grid_TTAFOutgoing'!Q19))</f>
        <v/>
      </c>
      <c r="R19">
        <f>IF(COUNTIFS(T_StockCount[Part Name],$A19,T_StockCount[WeekIndex],17)&gt;0,0,IF(('T_TTAFStock'!R23&lt;&gt;""),'T_TTAFStock'!R23,Q19+'Grid_Incoming'!R19-'Grid_TTAFOutgoing'!R19))</f>
        <v/>
      </c>
      <c r="S19">
        <f>IF(COUNTIFS(T_StockCount[Part Name],$A19,T_StockCount[WeekIndex],18)&gt;0,0,IF(('T_TTAFStock'!S23&lt;&gt;""),'T_TTAFStock'!S23,R19+'Grid_Incoming'!S19-'Grid_TTAFOutgoing'!S19))</f>
        <v/>
      </c>
      <c r="T19">
        <f>IF(COUNTIFS(T_StockCount[Part Name],$A19,T_StockCount[WeekIndex],19)&gt;0,0,IF(('T_TTAFStock'!T23&lt;&gt;""),'T_TTAFStock'!T23,S19+'Grid_Incoming'!T19-'Grid_TTAFOutgoing'!T19))</f>
        <v/>
      </c>
      <c r="U19">
        <f>IF(COUNTIFS(T_StockCount[Part Name],$A19,T_StockCount[WeekIndex],20)&gt;0,0,IF(('T_TTAFStock'!U23&lt;&gt;""),'T_TTAFStock'!U23,T19+'Grid_Incoming'!U19-'Grid_TTAFOutgoing'!U19))</f>
        <v/>
      </c>
      <c r="V19">
        <f>IF(COUNTIFS(T_StockCount[Part Name],$A19,T_StockCount[WeekIndex],21)&gt;0,0,IF(('T_TTAFStock'!V23&lt;&gt;""),'T_TTAFStock'!V23,U19+'Grid_Incoming'!V19-'Grid_TTAFOutgoing'!V19))</f>
        <v/>
      </c>
      <c r="W19">
        <f>IF(COUNTIFS(T_StockCount[Part Name],$A19,T_StockCount[WeekIndex],22)&gt;0,0,IF(('T_TTAFStock'!W23&lt;&gt;""),'T_TTAFStock'!W23,V19+'Grid_Incoming'!W19-'Grid_TTAFOutgoing'!W19))</f>
        <v/>
      </c>
      <c r="X19">
        <f>IF(COUNTIFS(T_StockCount[Part Name],$A19,T_StockCount[WeekIndex],23)&gt;0,0,IF(('T_TTAFStock'!X23&lt;&gt;""),'T_TTAFStock'!X23,W19+'Grid_Incoming'!X19-'Grid_TTAFOutgoing'!X19))</f>
        <v/>
      </c>
      <c r="Y19">
        <f>IF(COUNTIFS(T_StockCount[Part Name],$A19,T_StockCount[WeekIndex],24)&gt;0,0,IF(('T_TTAFStock'!Y23&lt;&gt;""),'T_TTAFStock'!Y23,X19+'Grid_Incoming'!Y19-'Grid_TTAFOutgoing'!Y19))</f>
        <v/>
      </c>
      <c r="Z19">
        <f>IF(COUNTIFS(T_StockCount[Part Name],$A19,T_StockCount[WeekIndex],25)&gt;0,0,IF(('T_TTAFStock'!Z23&lt;&gt;""),'T_TTAFStock'!Z23,Y19+'Grid_Incoming'!Z19-'Grid_TTAFOutgoing'!Z19))</f>
        <v/>
      </c>
      <c r="AA19">
        <f>IF(COUNTIFS(T_StockCount[Part Name],$A19,T_StockCount[WeekIndex],26)&gt;0,0,IF(('T_TTAFStock'!AA23&lt;&gt;""),'T_TTAFStock'!AA23,Z19+'Grid_Incoming'!AA19-'Grid_TTAFOutgoing'!AA19))</f>
        <v/>
      </c>
      <c r="AB19">
        <f>IF(COUNTIFS(T_StockCount[Part Name],$A19,T_StockCount[WeekIndex],27)&gt;0,0,IF(('T_TTAFStock'!AB23&lt;&gt;""),'T_TTAFStock'!AB23,AA19+'Grid_Incoming'!AB19-'Grid_TTAFOutgoing'!AB19))</f>
        <v/>
      </c>
      <c r="AC19">
        <f>IF(COUNTIFS(T_StockCount[Part Name],$A19,T_StockCount[WeekIndex],28)&gt;0,0,IF(('T_TTAFStock'!AC23&lt;&gt;""),'T_TTAFStock'!AC23,AB19+'Grid_Incoming'!AC19-'Grid_TTAFOutgoing'!AC19))</f>
        <v/>
      </c>
      <c r="AD19">
        <f>IF(COUNTIFS(T_StockCount[Part Name],$A19,T_StockCount[WeekIndex],29)&gt;0,0,IF(('T_TTAFStock'!AD23&lt;&gt;""),'T_TTAFStock'!AD23,AC19+'Grid_Incoming'!AD19-'Grid_TTAFOutgoing'!AD19))</f>
        <v/>
      </c>
      <c r="AE19">
        <f>IF(COUNTIFS(T_StockCount[Part Name],$A19,T_StockCount[WeekIndex],30)&gt;0,0,IF(('T_TTAFStock'!AE23&lt;&gt;""),'T_TTAFStock'!AE23,AD19+'Grid_Incoming'!AE19-'Grid_TTAFOutgoing'!AE19))</f>
        <v/>
      </c>
      <c r="AF19">
        <f>IF(COUNTIFS(T_StockCount[Part Name],$A19,T_StockCount[WeekIndex],31)&gt;0,0,IF(('T_TTAFStock'!AF23&lt;&gt;""),'T_TTAFStock'!AF23,AE19+'Grid_Incoming'!AF19-'Grid_TTAFOutgoing'!AF19))</f>
        <v/>
      </c>
      <c r="AG19">
        <f>IF(COUNTIFS(T_StockCount[Part Name],$A19,T_StockCount[WeekIndex],32)&gt;0,0,IF(('T_TTAFStock'!AG23&lt;&gt;""),'T_TTAFStock'!AG23,AF19+'Grid_Incoming'!AG19-'Grid_TTAFOutgoing'!AG19))</f>
        <v/>
      </c>
      <c r="AH19">
        <f>IF(COUNTIFS(T_StockCount[Part Name],$A19,T_StockCount[WeekIndex],33)&gt;0,0,IF(('T_TTAFStock'!AH23&lt;&gt;""),'T_TTAFStock'!AH23,AG19+'Grid_Incoming'!AH19-'Grid_TTAFOutgoing'!AH19))</f>
        <v/>
      </c>
      <c r="AI19">
        <f>IF(COUNTIFS(T_StockCount[Part Name],$A19,T_StockCount[WeekIndex],34)&gt;0,0,IF(('T_TTAFStock'!AI23&lt;&gt;""),'T_TTAFStock'!AI23,AH19+'Grid_Incoming'!AI19-'Grid_TTAFOutgoing'!AI19))</f>
        <v/>
      </c>
      <c r="AJ19">
        <f>IF(COUNTIFS(T_StockCount[Part Name],$A19,T_StockCount[WeekIndex],35)&gt;0,0,IF(('T_TTAFStock'!AJ23&lt;&gt;""),'T_TTAFStock'!AJ23,AI19+'Grid_Incoming'!AJ19-'Grid_TTAFOutgoing'!AJ19))</f>
        <v/>
      </c>
      <c r="AK19">
        <f>IF(COUNTIFS(T_StockCount[Part Name],$A19,T_StockCount[WeekIndex],36)&gt;0,0,IF(('T_TTAFStock'!AK23&lt;&gt;""),'T_TTAFStock'!AK23,AJ19+'Grid_Incoming'!AK19-'Grid_TTAFOutgoing'!AK19))</f>
        <v/>
      </c>
      <c r="AL19">
        <f>IF(COUNTIFS(T_StockCount[Part Name],$A19,T_StockCount[WeekIndex],37)&gt;0,0,IF(('T_TTAFStock'!AL23&lt;&gt;""),'T_TTAFStock'!AL23,AK19+'Grid_Incoming'!AL19-'Grid_TTAFOutgoing'!AL19))</f>
        <v/>
      </c>
      <c r="AM19">
        <f>IF(COUNTIFS(T_StockCount[Part Name],$A19,T_StockCount[WeekIndex],38)&gt;0,0,IF(('T_TTAFStock'!AM23&lt;&gt;""),'T_TTAFStock'!AM23,AL19+'Grid_Incoming'!AM19-'Grid_TTAFOutgoing'!AM19))</f>
        <v/>
      </c>
      <c r="AN19">
        <f>IF(COUNTIFS(T_StockCount[Part Name],$A19,T_StockCount[WeekIndex],39)&gt;0,0,IF(('T_TTAFStock'!AN23&lt;&gt;""),'T_TTAFStock'!AN23,AM19+'Grid_Incoming'!AN19-'Grid_TTAFOutgoing'!AN19))</f>
        <v/>
      </c>
      <c r="AO19">
        <f>IF(COUNTIFS(T_StockCount[Part Name],$A19,T_StockCount[WeekIndex],40)&gt;0,0,IF(('T_TTAFStock'!AO23&lt;&gt;""),'T_TTAFStock'!AO23,AN19+'Grid_Incoming'!AO19-'Grid_TTAFOutgoing'!AO19))</f>
        <v/>
      </c>
      <c r="AP19">
        <f>IF(COUNTIFS(T_StockCount[Part Name],$A19,T_StockCount[WeekIndex],41)&gt;0,0,IF(('T_TTAFStock'!AP23&lt;&gt;""),'T_TTAFStock'!AP23,AO19+'Grid_Incoming'!AP19-'Grid_TTAFOutgoing'!AP19))</f>
        <v/>
      </c>
      <c r="AQ19">
        <f>IF(COUNTIFS(T_StockCount[Part Name],$A19,T_StockCount[WeekIndex],42)&gt;0,0,IF(('T_TTAFStock'!AQ23&lt;&gt;""),'T_TTAFStock'!AQ23,AP19+'Grid_Incoming'!AQ19-'Grid_TTAFOutgoing'!AQ19))</f>
        <v/>
      </c>
      <c r="AR19">
        <f>IF(COUNTIFS(T_StockCount[Part Name],$A19,T_StockCount[WeekIndex],43)&gt;0,0,IF(('T_TTAFStock'!AR23&lt;&gt;""),'T_TTAFStock'!AR23,AQ19+'Grid_Incoming'!AR19-'Grid_TTAFOutgoing'!AR19))</f>
        <v/>
      </c>
      <c r="AS19">
        <f>IF(COUNTIFS(T_StockCount[Part Name],$A19,T_StockCount[WeekIndex],44)&gt;0,0,IF(('T_TTAFStock'!AS23&lt;&gt;""),'T_TTAFStock'!AS23,AR19+'Grid_Incoming'!AS19-'Grid_TTAFOutgoing'!AS19))</f>
        <v/>
      </c>
      <c r="AT19">
        <f>IF(COUNTIFS(T_StockCount[Part Name],$A19,T_StockCount[WeekIndex],45)&gt;0,0,IF(('T_TTAFStock'!AT23&lt;&gt;""),'T_TTAFStock'!AT23,AS19+'Grid_Incoming'!AT19-'Grid_TTAFOutgoing'!AT19))</f>
        <v/>
      </c>
      <c r="AU19">
        <f>IF(COUNTIFS(T_StockCount[Part Name],$A19,T_StockCount[WeekIndex],46)&gt;0,0,IF(('T_TTAFStock'!AU23&lt;&gt;""),'T_TTAFStock'!AU23,AT19+'Grid_Incoming'!AU19-'Grid_TTAFOutgoing'!AU19))</f>
        <v/>
      </c>
      <c r="AV19">
        <f>IF(COUNTIFS(T_StockCount[Part Name],$A19,T_StockCount[WeekIndex],47)&gt;0,0,IF(('T_TTAFStock'!AV23&lt;&gt;""),'T_TTAFStock'!AV23,AU19+'Grid_Incoming'!AV19-'Grid_TTAFOutgoing'!AV19))</f>
        <v/>
      </c>
      <c r="AW19">
        <f>IF(COUNTIFS(T_StockCount[Part Name],$A19,T_StockCount[WeekIndex],48)&gt;0,0,IF(('T_TTAFStock'!AW23&lt;&gt;""),'T_TTAFStock'!AW23,AV19+'Grid_Incoming'!AW19-'Grid_TTAFOutgoing'!AW19))</f>
        <v/>
      </c>
      <c r="AX19">
        <f>IF(COUNTIFS(T_StockCount[Part Name],$A19,T_StockCount[WeekIndex],49)&gt;0,0,IF(('T_TTAFStock'!AX23&lt;&gt;""),'T_TTAFStock'!AX23,AW19+'Grid_Incoming'!AX19-'Grid_TTAFOutgoing'!AX19))</f>
        <v/>
      </c>
      <c r="AY19">
        <f>IF(COUNTIFS(T_StockCount[Part Name],$A19,T_StockCount[WeekIndex],50)&gt;0,0,IF(('T_TTAFStock'!AY23&lt;&gt;""),'T_TTAFStock'!AY23,AX19+'Grid_Incoming'!AY19-'Grid_TTAFOutgoing'!AY19))</f>
        <v/>
      </c>
      <c r="AZ19">
        <f>IF(COUNTIFS(T_StockCount[Part Name],$A19,T_StockCount[WeekIndex],51)&gt;0,0,IF(('T_TTAFStock'!AZ23&lt;&gt;""),'T_TTAFStock'!AZ23,AY19+'Grid_Incoming'!AZ19-'Grid_TTAFOutgoing'!AZ19))</f>
        <v/>
      </c>
      <c r="BA19">
        <f>IF(COUNTIFS(T_StockCount[Part Name],$A19,T_StockCount[WeekIndex],52)&gt;0,0,IF(('T_TTAFStock'!BA23&lt;&gt;""),'T_TTAFStock'!BA23,AZ19+'Grid_Incoming'!BA19-'Grid_TTAFOutgoing'!BA19))</f>
        <v/>
      </c>
      <c r="BB19">
        <f>IF(COUNTIFS(T_StockCount[Part Name],$A19,T_StockCount[WeekIndex],53)&gt;0,0,IF(('T_TTAFStock'!BB23&lt;&gt;""),'T_TTAFStock'!BB23,BA19+'Grid_Incoming'!BB19-'Grid_TTAFOutgoing'!BB19))</f>
        <v/>
      </c>
      <c r="BC19">
        <f>IF(COUNTIFS(T_StockCount[Part Name],$A19,T_StockCount[WeekIndex],54)&gt;0,0,IF(('T_TTAFStock'!BC23&lt;&gt;""),'T_TTAFStock'!BC23,BB19+'Grid_Incoming'!BC19-'Grid_TTAFOutgoing'!BC19))</f>
        <v/>
      </c>
      <c r="BD19">
        <f>IF(COUNTIFS(T_StockCount[Part Name],$A19,T_StockCount[WeekIndex],55)&gt;0,0,IF(('T_TTAFStock'!BD23&lt;&gt;""),'T_TTAFStock'!BD23,BC19+'Grid_Incoming'!BD19-'Grid_TTAFOutgoing'!BD19))</f>
        <v/>
      </c>
      <c r="BE19">
        <f>IF(COUNTIFS(T_StockCount[Part Name],$A19,T_StockCount[WeekIndex],56)&gt;0,0,IF(('T_TTAFStock'!BE23&lt;&gt;""),'T_TTAFStock'!BE23,BD19+'Grid_Incoming'!BE19-'Grid_TTAFOutgoing'!BE19))</f>
        <v/>
      </c>
      <c r="BF19">
        <f>IF(COUNTIFS(T_StockCount[Part Name],$A19,T_StockCount[WeekIndex],57)&gt;0,0,IF(('T_TTAFStock'!BF23&lt;&gt;""),'T_TTAFStock'!BF23,BE19+'Grid_Incoming'!BF19-'Grid_TTAFOutgoing'!BF19))</f>
        <v/>
      </c>
      <c r="BG19">
        <f>IF(COUNTIFS(T_StockCount[Part Name],$A19,T_StockCount[WeekIndex],58)&gt;0,0,IF(('T_TTAFStock'!BG23&lt;&gt;""),'T_TTAFStock'!BG23,BF19+'Grid_Incoming'!BG19-'Grid_TTAFOutgoing'!BG19))</f>
        <v/>
      </c>
      <c r="BH19">
        <f>IF(COUNTIFS(T_StockCount[Part Name],$A19,T_StockCount[WeekIndex],59)&gt;0,0,IF(('T_TTAFStock'!BH23&lt;&gt;""),'T_TTAFStock'!BH23,BG19+'Grid_Incoming'!BH19-'Grid_TTAFOutgoing'!BH19))</f>
        <v/>
      </c>
      <c r="BI19">
        <f>IF(COUNTIFS(T_StockCount[Part Name],$A19,T_StockCount[WeekIndex],60)&gt;0,0,IF(('T_TTAFStock'!BI23&lt;&gt;""),'T_TTAFStock'!BI23,BH19+'Grid_Incoming'!BI19-'Grid_TTAFOutgoing'!BI19))</f>
        <v/>
      </c>
      <c r="BJ19">
        <f>IF(COUNTIFS(T_StockCount[Part Name],$A19,T_StockCount[WeekIndex],61)&gt;0,0,IF(('T_TTAFStock'!BJ23&lt;&gt;""),'T_TTAFStock'!BJ23,BI19+'Grid_Incoming'!BJ19-'Grid_TTAFOutgoing'!BJ19))</f>
        <v/>
      </c>
      <c r="BK19">
        <f>IF(COUNTIFS(T_StockCount[Part Name],$A19,T_StockCount[WeekIndex],62)&gt;0,0,IF(('T_TTAFStock'!BK23&lt;&gt;""),'T_TTAFStock'!BK23,BJ19+'Grid_Incoming'!BK19-'Grid_TTAFOutgoing'!BK19))</f>
        <v/>
      </c>
      <c r="BL19">
        <f>IF(COUNTIFS(T_StockCount[Part Name],$A19,T_StockCount[WeekIndex],63)&gt;0,0,IF(('T_TTAFStock'!BL23&lt;&gt;""),'T_TTAFStock'!BL23,BK19+'Grid_Incoming'!BL19-'Grid_TTAFOutgoing'!BL19))</f>
        <v/>
      </c>
      <c r="BM19">
        <f>IF(COUNTIFS(T_StockCount[Part Name],$A19,T_StockCount[WeekIndex],64)&gt;0,0,IF(('T_TTAFStock'!BM23&lt;&gt;""),'T_TTAFStock'!BM23,BL19+'Grid_Incoming'!BM19-'Grid_TTAFOutgoing'!BM19))</f>
        <v/>
      </c>
      <c r="BN19">
        <f>IF(COUNTIFS(T_StockCount[Part Name],$A19,T_StockCount[WeekIndex],65)&gt;0,0,IF(('T_TTAFStock'!BN23&lt;&gt;""),'T_TTAFStock'!BN23,BM19+'Grid_Incoming'!BN19-'Grid_TTAFOutgoing'!BN19))</f>
        <v/>
      </c>
      <c r="BO19">
        <f>IF(COUNTIFS(T_StockCount[Part Name],$A19,T_StockCount[WeekIndex],66)&gt;0,0,IF(('T_TTAFStock'!BO23&lt;&gt;""),'T_TTAFStock'!BO23,BN19+'Grid_Incoming'!BO19-'Grid_TTAFOutgoing'!BO19))</f>
        <v/>
      </c>
      <c r="BP19">
        <f>IF(COUNTIFS(T_StockCount[Part Name],$A19,T_StockCount[WeekIndex],67)&gt;0,0,IF(('T_TTAFStock'!BP23&lt;&gt;""),'T_TTAFStock'!BP23,BO19+'Grid_Incoming'!BP19-'Grid_TTAFOutgoing'!BP19))</f>
        <v/>
      </c>
      <c r="BQ19">
        <f>IF(COUNTIFS(T_StockCount[Part Name],$A19,T_StockCount[WeekIndex],68)&gt;0,0,IF(('T_TTAFStock'!BQ23&lt;&gt;""),'T_TTAFStock'!BQ23,BP19+'Grid_Incoming'!BQ19-'Grid_TTAFOutgoing'!BQ19))</f>
        <v/>
      </c>
      <c r="BR19">
        <f>IF(COUNTIFS(T_StockCount[Part Name],$A19,T_StockCount[WeekIndex],69)&gt;0,0,IF(('T_TTAFStock'!BR23&lt;&gt;""),'T_TTAFStock'!BR23,BQ19+'Grid_Incoming'!BR19-'Grid_TTAFOutgoing'!BR19))</f>
        <v/>
      </c>
      <c r="BS19">
        <f>IF(COUNTIFS(T_StockCount[Part Name],$A19,T_StockCount[WeekIndex],70)&gt;0,0,IF(('T_TTAFStock'!BS23&lt;&gt;""),'T_TTAFStock'!BS23,BR19+'Grid_Incoming'!BS19-'Grid_TTAFOutgoing'!BS19))</f>
        <v/>
      </c>
      <c r="BT19">
        <f>IF(COUNTIFS(T_StockCount[Part Name],$A19,T_StockCount[WeekIndex],71)&gt;0,0,IF(('T_TTAFStock'!BT23&lt;&gt;""),'T_TTAFStock'!BT23,BS19+'Grid_Incoming'!BT19-'Grid_TTAFOutgoing'!BT19))</f>
        <v/>
      </c>
      <c r="BU19">
        <f>IF(COUNTIFS(T_StockCount[Part Name],$A19,T_StockCount[WeekIndex],72)&gt;0,0,IF(('T_TTAFStock'!BU23&lt;&gt;""),'T_TTAFStock'!BU23,BT19+'Grid_Incoming'!BU19-'Grid_TTAFOutgoing'!BU19))</f>
        <v/>
      </c>
      <c r="BV19">
        <f>IF(COUNTIFS(T_StockCount[Part Name],$A19,T_StockCount[WeekIndex],73)&gt;0,0,IF(('T_TTAFStock'!BV23&lt;&gt;""),'T_TTAFStock'!BV23,BU19+'Grid_Incoming'!BV19-'Grid_TTAFOutgoing'!BV19))</f>
        <v/>
      </c>
      <c r="BW19">
        <f>IF(COUNTIFS(T_StockCount[Part Name],$A19,T_StockCount[WeekIndex],74)&gt;0,0,IF(('T_TTAFStock'!BW23&lt;&gt;""),'T_TTAFStock'!BW23,BV19+'Grid_Incoming'!BW19-'Grid_TTAFOutgoing'!BW19))</f>
        <v/>
      </c>
      <c r="BX19">
        <f>IF(COUNTIFS(T_StockCount[Part Name],$A19,T_StockCount[WeekIndex],75)&gt;0,0,IF(('T_TTAFStock'!BX23&lt;&gt;""),'T_TTAFStock'!BX23,BW19+'Grid_Incoming'!BX19-'Grid_TTAFOutgoing'!BX19))</f>
        <v/>
      </c>
      <c r="BY19">
        <f>IF(COUNTIFS(T_StockCount[Part Name],$A19,T_StockCount[WeekIndex],76)&gt;0,0,IF(('T_TTAFStock'!BY23&lt;&gt;""),'T_TTAFStock'!BY23,BX19+'Grid_Incoming'!BY19-'Grid_TTAFOutgoing'!BY19))</f>
        <v/>
      </c>
      <c r="BZ19">
        <f>IF(COUNTIFS(T_StockCount[Part Name],$A19,T_StockCount[WeekIndex],77)&gt;0,0,IF(('T_TTAFStock'!BZ23&lt;&gt;""),'T_TTAFStock'!BZ23,BY19+'Grid_Incoming'!BZ19-'Grid_TTAFOutgoing'!BZ19))</f>
        <v/>
      </c>
      <c r="CA19">
        <f>IF(COUNTIFS(T_StockCount[Part Name],$A19,T_StockCount[WeekIndex],78)&gt;0,0,IF(('T_TTAFStock'!CA23&lt;&gt;""),'T_TTAFStock'!CA23,BZ19+'Grid_Incoming'!CA19-'Grid_TTAFOutgoing'!CA19))</f>
        <v/>
      </c>
      <c r="CB19">
        <f>IF(COUNTIFS(T_StockCount[Part Name],$A19,T_StockCount[WeekIndex],79)&gt;0,0,IF(('T_TTAFStock'!CB23&lt;&gt;""),'T_TTAFStock'!CB23,CA19+'Grid_Incoming'!CB19-'Grid_TTAFOutgoing'!CB19))</f>
        <v/>
      </c>
      <c r="CC19">
        <f>IF(COUNTIFS(T_StockCount[Part Name],$A19,T_StockCount[WeekIndex],80)&gt;0,0,IF(('T_TTAFStock'!CC23&lt;&gt;""),'T_TTAFStock'!CC23,CB19+'Grid_Incoming'!CC19-'Grid_TTAFOutgoing'!CC19))</f>
        <v/>
      </c>
      <c r="CD19">
        <f>IF(COUNTIFS(T_StockCount[Part Name],$A19,T_StockCount[WeekIndex],81)&gt;0,0,IF(('T_TTAFStock'!CD23&lt;&gt;""),'T_TTAFStock'!CD23,CC19+'Grid_Incoming'!CD19-'Grid_TTAFOutgoing'!CD19))</f>
        <v/>
      </c>
      <c r="CE19">
        <f>IF(COUNTIFS(T_StockCount[Part Name],$A19,T_StockCount[WeekIndex],82)&gt;0,0,IF(('T_TTAFStock'!CE23&lt;&gt;""),'T_TTAFStock'!CE23,CD19+'Grid_Incoming'!CE19-'Grid_TTAFOutgoing'!CE19))</f>
        <v/>
      </c>
      <c r="CF19">
        <f>IF(COUNTIFS(T_StockCount[Part Name],$A19,T_StockCount[WeekIndex],83)&gt;0,0,IF(('T_TTAFStock'!CF23&lt;&gt;""),'T_TTAFStock'!CF23,CE19+'Grid_Incoming'!CF19-'Grid_TTAFOutgoing'!CF19))</f>
        <v/>
      </c>
      <c r="CG19">
        <f>IF(COUNTIFS(T_StockCount[Part Name],$A19,T_StockCount[WeekIndex],84)&gt;0,0,IF(('T_TTAFStock'!CG23&lt;&gt;""),'T_TTAFStock'!CG23,CF19+'Grid_Incoming'!CG19-'Grid_TTAFOutgoing'!CG19))</f>
        <v/>
      </c>
      <c r="CH19">
        <f>IF(COUNTIFS(T_StockCount[Part Name],$A19,T_StockCount[WeekIndex],85)&gt;0,0,IF(('T_TTAFStock'!CH23&lt;&gt;""),'T_TTAFStock'!CH23,CG19+'Grid_Incoming'!CH19-'Grid_TTAFOutgoing'!CH19))</f>
        <v/>
      </c>
      <c r="CI19">
        <f>IF(COUNTIFS(T_StockCount[Part Name],$A19,T_StockCount[WeekIndex],86)&gt;0,0,IF(('T_TTAFStock'!CI23&lt;&gt;""),'T_TTAFStock'!CI23,CH19+'Grid_Incoming'!CI19-'Grid_TTAFOutgoing'!CI19))</f>
        <v/>
      </c>
      <c r="CJ19">
        <f>IF(COUNTIFS(T_StockCount[Part Name],$A19,T_StockCount[WeekIndex],87)&gt;0,0,IF(('T_TTAFStock'!CJ23&lt;&gt;""),'T_TTAFStock'!CJ23,CI19+'Grid_Incoming'!CJ19-'Grid_TTAFOutgoing'!CJ19))</f>
        <v/>
      </c>
      <c r="CK19">
        <f>IF(COUNTIFS(T_StockCount[Part Name],$A19,T_StockCount[WeekIndex],88)&gt;0,0,IF(('T_TTAFStock'!CK23&lt;&gt;""),'T_TTAFStock'!CK23,CJ19+'Grid_Incoming'!CK19-'Grid_TTAFOutgoing'!CK19))</f>
        <v/>
      </c>
      <c r="CL19">
        <f>IF(COUNTIFS(T_StockCount[Part Name],$A19,T_StockCount[WeekIndex],89)&gt;0,0,IF(('T_TTAFStock'!CL23&lt;&gt;""),'T_TTAFStock'!CL23,CK19+'Grid_Incoming'!CL19-'Grid_TTAFOutgoing'!CL19))</f>
        <v/>
      </c>
      <c r="CM19">
        <f>IF(COUNTIFS(T_StockCount[Part Name],$A19,T_StockCount[WeekIndex],90)&gt;0,0,IF(('T_TTAFStock'!CM23&lt;&gt;""),'T_TTAFStock'!CM23,CL19+'Grid_Incoming'!CM19-'Grid_TTAFOutgoing'!CM19))</f>
        <v/>
      </c>
      <c r="CN19">
        <f>IF(COUNTIFS(T_StockCount[Part Name],$A19,T_StockCount[WeekIndex],91)&gt;0,0,IF(('T_TTAFStock'!CN23&lt;&gt;""),'T_TTAFStock'!CN23,CM19+'Grid_Incoming'!CN19-'Grid_TTAFOutgoing'!CN19))</f>
        <v/>
      </c>
      <c r="CO19">
        <f>IF(COUNTIFS(T_StockCount[Part Name],$A19,T_StockCount[WeekIndex],92)&gt;0,0,IF(('T_TTAFStock'!CO23&lt;&gt;""),'T_TTAFStock'!CO23,CN19+'Grid_Incoming'!CO19-'Grid_TTAFOutgoing'!CO19))</f>
        <v/>
      </c>
      <c r="CP19">
        <f>IF(COUNTIFS(T_StockCount[Part Name],$A19,T_StockCount[WeekIndex],93)&gt;0,0,IF(('T_TTAFStock'!CP23&lt;&gt;""),'T_TTAFStock'!CP23,CO19+'Grid_Incoming'!CP19-'Grid_TTAFOutgoing'!CP19))</f>
        <v/>
      </c>
      <c r="CQ19">
        <f>IF(COUNTIFS(T_StockCount[Part Name],$A19,T_StockCount[WeekIndex],94)&gt;0,0,IF(('T_TTAFStock'!CQ23&lt;&gt;""),'T_TTAFStock'!CQ23,CP19+'Grid_Incoming'!CQ19-'Grid_TTAFOutgoing'!CQ19))</f>
        <v/>
      </c>
      <c r="CR19">
        <f>IF(COUNTIFS(T_StockCount[Part Name],$A19,T_StockCount[WeekIndex],95)&gt;0,0,IF(('T_TTAFStock'!CR23&lt;&gt;""),'T_TTAFStock'!CR23,CQ19+'Grid_Incoming'!CR19-'Grid_TTAFOutgoing'!CR19))</f>
        <v/>
      </c>
      <c r="CS19">
        <f>IF(COUNTIFS(T_StockCount[Part Name],$A19,T_StockCount[WeekIndex],96)&gt;0,0,IF(('T_TTAFStock'!CS23&lt;&gt;""),'T_TTAFStock'!CS23,CR19+'Grid_Incoming'!CS19-'Grid_TTAFOutgoing'!CS19))</f>
        <v/>
      </c>
      <c r="CT19">
        <f>IF(COUNTIFS(T_StockCount[Part Name],$A19,T_StockCount[WeekIndex],97)&gt;0,0,IF(('T_TTAFStock'!CT23&lt;&gt;""),'T_TTAFStock'!CT23,CS19+'Grid_Incoming'!CT19-'Grid_TTAFOutgoing'!CT19))</f>
        <v/>
      </c>
      <c r="CU19">
        <f>IF(COUNTIFS(T_StockCount[Part Name],$A19,T_StockCount[WeekIndex],98)&gt;0,0,IF(('T_TTAFStock'!CU23&lt;&gt;""),'T_TTAFStock'!CU23,CT19+'Grid_Incoming'!CU19-'Grid_TTAFOutgoing'!CU19))</f>
        <v/>
      </c>
      <c r="CV19">
        <f>IF(COUNTIFS(T_StockCount[Part Name],$A19,T_StockCount[WeekIndex],99)&gt;0,0,IF(('T_TTAFStock'!CV23&lt;&gt;""),'T_TTAFStock'!CV23,CU19+'Grid_Incoming'!CV19-'Grid_TTAFOutgoing'!CV19))</f>
        <v/>
      </c>
      <c r="CW19">
        <f>IF(COUNTIFS(T_StockCount[Part Name],$A19,T_StockCount[WeekIndex],100)&gt;0,0,IF(('T_TTAFStock'!CW23&lt;&gt;""),'T_TTAFStock'!CW23,CV19+'Grid_Incoming'!CW19-'Grid_TTAFOutgoing'!CW19))</f>
        <v/>
      </c>
      <c r="CX19">
        <f>IF(COUNTIFS(T_StockCount[Part Name],$A19,T_StockCount[WeekIndex],101)&gt;0,0,IF(('T_TTAFStock'!CX23&lt;&gt;""),'T_TTAFStock'!CX23,CW19+'Grid_Incoming'!CX19-'Grid_TTAFOutgoing'!CX19))</f>
        <v/>
      </c>
      <c r="CY19">
        <f>IF(COUNTIFS(T_StockCount[Part Name],$A19,T_StockCount[WeekIndex],102)&gt;0,0,IF(('T_TTAFStock'!CY23&lt;&gt;""),'T_TTAFStock'!CY23,CX19+'Grid_Incoming'!CY19-'Grid_TTAFOutgoing'!CY19))</f>
        <v/>
      </c>
      <c r="CZ19">
        <f>IF(COUNTIFS(T_StockCount[Part Name],$A19,T_StockCount[WeekIndex],103)&gt;0,0,IF(('T_TTAFStock'!CZ23&lt;&gt;""),'T_TTAFStock'!CZ23,CY19+'Grid_Incoming'!CZ19-'Grid_TTAFOutgoing'!CZ19))</f>
        <v/>
      </c>
      <c r="DA19">
        <f>IF(COUNTIFS(T_StockCount[Part Name],$A19,T_StockCount[WeekIndex],104)&gt;0,0,IF(('T_TTAFStock'!DA23&lt;&gt;""),'T_TTAFStock'!DA23,CZ19+'Grid_Incoming'!DA19-'Grid_TTAFOutgoing'!DA19))</f>
        <v/>
      </c>
    </row>
    <row r="20">
      <c r="A20" t="inlineStr">
        <is>
          <t>CHEM-1280</t>
        </is>
      </c>
      <c r="B20">
        <f>IF(COUNTIFS(T_StockCount[Part Name],$A20,T_StockCount[WeekIndex],1)&gt;0,0,IF(('T_TTAFStock'!B24&lt;&gt;""),'T_TTAFStock'!B24,0+'Grid_Incoming'!B20-'Grid_TTAFOutgoing'!B20))</f>
        <v/>
      </c>
      <c r="C20">
        <f>IF(COUNTIFS(T_StockCount[Part Name],$A20,T_StockCount[WeekIndex],2)&gt;0,0,IF(('T_TTAFStock'!C24&lt;&gt;""),'T_TTAFStock'!C24,B20+'Grid_Incoming'!C20-'Grid_TTAFOutgoing'!C20))</f>
        <v/>
      </c>
      <c r="D20">
        <f>IF(COUNTIFS(T_StockCount[Part Name],$A20,T_StockCount[WeekIndex],3)&gt;0,0,IF(('T_TTAFStock'!D24&lt;&gt;""),'T_TTAFStock'!D24,C20+'Grid_Incoming'!D20-'Grid_TTAFOutgoing'!D20))</f>
        <v/>
      </c>
      <c r="E20">
        <f>IF(COUNTIFS(T_StockCount[Part Name],$A20,T_StockCount[WeekIndex],4)&gt;0,0,IF(('T_TTAFStock'!E24&lt;&gt;""),'T_TTAFStock'!E24,D20+'Grid_Incoming'!E20-'Grid_TTAFOutgoing'!E20))</f>
        <v/>
      </c>
      <c r="F20">
        <f>IF(COUNTIFS(T_StockCount[Part Name],$A20,T_StockCount[WeekIndex],5)&gt;0,0,IF(('T_TTAFStock'!F24&lt;&gt;""),'T_TTAFStock'!F24,E20+'Grid_Incoming'!F20-'Grid_TTAFOutgoing'!F20))</f>
        <v/>
      </c>
      <c r="G20">
        <f>IF(COUNTIFS(T_StockCount[Part Name],$A20,T_StockCount[WeekIndex],6)&gt;0,0,IF(('T_TTAFStock'!G24&lt;&gt;""),'T_TTAFStock'!G24,F20+'Grid_Incoming'!G20-'Grid_TTAFOutgoing'!G20))</f>
        <v/>
      </c>
      <c r="H20">
        <f>IF(COUNTIFS(T_StockCount[Part Name],$A20,T_StockCount[WeekIndex],7)&gt;0,0,IF(('T_TTAFStock'!H24&lt;&gt;""),'T_TTAFStock'!H24,G20+'Grid_Incoming'!H20-'Grid_TTAFOutgoing'!H20))</f>
        <v/>
      </c>
      <c r="I20">
        <f>IF(COUNTIFS(T_StockCount[Part Name],$A20,T_StockCount[WeekIndex],8)&gt;0,0,IF(('T_TTAFStock'!I24&lt;&gt;""),'T_TTAFStock'!I24,H20+'Grid_Incoming'!I20-'Grid_TTAFOutgoing'!I20))</f>
        <v/>
      </c>
      <c r="J20">
        <f>IF(COUNTIFS(T_StockCount[Part Name],$A20,T_StockCount[WeekIndex],9)&gt;0,0,IF(('T_TTAFStock'!J24&lt;&gt;""),'T_TTAFStock'!J24,I20+'Grid_Incoming'!J20-'Grid_TTAFOutgoing'!J20))</f>
        <v/>
      </c>
      <c r="K20">
        <f>IF(COUNTIFS(T_StockCount[Part Name],$A20,T_StockCount[WeekIndex],10)&gt;0,0,IF(('T_TTAFStock'!K24&lt;&gt;""),'T_TTAFStock'!K24,J20+'Grid_Incoming'!K20-'Grid_TTAFOutgoing'!K20))</f>
        <v/>
      </c>
      <c r="L20">
        <f>IF(COUNTIFS(T_StockCount[Part Name],$A20,T_StockCount[WeekIndex],11)&gt;0,0,IF(('T_TTAFStock'!L24&lt;&gt;""),'T_TTAFStock'!L24,K20+'Grid_Incoming'!L20-'Grid_TTAFOutgoing'!L20))</f>
        <v/>
      </c>
      <c r="M20">
        <f>IF(COUNTIFS(T_StockCount[Part Name],$A20,T_StockCount[WeekIndex],12)&gt;0,0,IF(('T_TTAFStock'!M24&lt;&gt;""),'T_TTAFStock'!M24,L20+'Grid_Incoming'!M20-'Grid_TTAFOutgoing'!M20))</f>
        <v/>
      </c>
      <c r="N20">
        <f>IF(COUNTIFS(T_StockCount[Part Name],$A20,T_StockCount[WeekIndex],13)&gt;0,0,IF(('T_TTAFStock'!N24&lt;&gt;""),'T_TTAFStock'!N24,M20+'Grid_Incoming'!N20-'Grid_TTAFOutgoing'!N20))</f>
        <v/>
      </c>
      <c r="O20">
        <f>IF(COUNTIFS(T_StockCount[Part Name],$A20,T_StockCount[WeekIndex],14)&gt;0,0,IF(('T_TTAFStock'!O24&lt;&gt;""),'T_TTAFStock'!O24,N20+'Grid_Incoming'!O20-'Grid_TTAFOutgoing'!O20))</f>
        <v/>
      </c>
      <c r="P20">
        <f>IF(COUNTIFS(T_StockCount[Part Name],$A20,T_StockCount[WeekIndex],15)&gt;0,0,IF(('T_TTAFStock'!P24&lt;&gt;""),'T_TTAFStock'!P24,O20+'Grid_Incoming'!P20-'Grid_TTAFOutgoing'!P20))</f>
        <v/>
      </c>
      <c r="Q20">
        <f>IF(COUNTIFS(T_StockCount[Part Name],$A20,T_StockCount[WeekIndex],16)&gt;0,0,IF(('T_TTAFStock'!Q24&lt;&gt;""),'T_TTAFStock'!Q24,P20+'Grid_Incoming'!Q20-'Grid_TTAFOutgoing'!Q20))</f>
        <v/>
      </c>
      <c r="R20">
        <f>IF(COUNTIFS(T_StockCount[Part Name],$A20,T_StockCount[WeekIndex],17)&gt;0,0,IF(('T_TTAFStock'!R24&lt;&gt;""),'T_TTAFStock'!R24,Q20+'Grid_Incoming'!R20-'Grid_TTAFOutgoing'!R20))</f>
        <v/>
      </c>
      <c r="S20">
        <f>IF(COUNTIFS(T_StockCount[Part Name],$A20,T_StockCount[WeekIndex],18)&gt;0,0,IF(('T_TTAFStock'!S24&lt;&gt;""),'T_TTAFStock'!S24,R20+'Grid_Incoming'!S20-'Grid_TTAFOutgoing'!S20))</f>
        <v/>
      </c>
      <c r="T20">
        <f>IF(COUNTIFS(T_StockCount[Part Name],$A20,T_StockCount[WeekIndex],19)&gt;0,0,IF(('T_TTAFStock'!T24&lt;&gt;""),'T_TTAFStock'!T24,S20+'Grid_Incoming'!T20-'Grid_TTAFOutgoing'!T20))</f>
        <v/>
      </c>
      <c r="U20">
        <f>IF(COUNTIFS(T_StockCount[Part Name],$A20,T_StockCount[WeekIndex],20)&gt;0,0,IF(('T_TTAFStock'!U24&lt;&gt;""),'T_TTAFStock'!U24,T20+'Grid_Incoming'!U20-'Grid_TTAFOutgoing'!U20))</f>
        <v/>
      </c>
      <c r="V20">
        <f>IF(COUNTIFS(T_StockCount[Part Name],$A20,T_StockCount[WeekIndex],21)&gt;0,0,IF(('T_TTAFStock'!V24&lt;&gt;""),'T_TTAFStock'!V24,U20+'Grid_Incoming'!V20-'Grid_TTAFOutgoing'!V20))</f>
        <v/>
      </c>
      <c r="W20">
        <f>IF(COUNTIFS(T_StockCount[Part Name],$A20,T_StockCount[WeekIndex],22)&gt;0,0,IF(('T_TTAFStock'!W24&lt;&gt;""),'T_TTAFStock'!W24,V20+'Grid_Incoming'!W20-'Grid_TTAFOutgoing'!W20))</f>
        <v/>
      </c>
      <c r="X20">
        <f>IF(COUNTIFS(T_StockCount[Part Name],$A20,T_StockCount[WeekIndex],23)&gt;0,0,IF(('T_TTAFStock'!X24&lt;&gt;""),'T_TTAFStock'!X24,W20+'Grid_Incoming'!X20-'Grid_TTAFOutgoing'!X20))</f>
        <v/>
      </c>
      <c r="Y20">
        <f>IF(COUNTIFS(T_StockCount[Part Name],$A20,T_StockCount[WeekIndex],24)&gt;0,0,IF(('T_TTAFStock'!Y24&lt;&gt;""),'T_TTAFStock'!Y24,X20+'Grid_Incoming'!Y20-'Grid_TTAFOutgoing'!Y20))</f>
        <v/>
      </c>
      <c r="Z20">
        <f>IF(COUNTIFS(T_StockCount[Part Name],$A20,T_StockCount[WeekIndex],25)&gt;0,0,IF(('T_TTAFStock'!Z24&lt;&gt;""),'T_TTAFStock'!Z24,Y20+'Grid_Incoming'!Z20-'Grid_TTAFOutgoing'!Z20))</f>
        <v/>
      </c>
      <c r="AA20">
        <f>IF(COUNTIFS(T_StockCount[Part Name],$A20,T_StockCount[WeekIndex],26)&gt;0,0,IF(('T_TTAFStock'!AA24&lt;&gt;""),'T_TTAFStock'!AA24,Z20+'Grid_Incoming'!AA20-'Grid_TTAFOutgoing'!AA20))</f>
        <v/>
      </c>
      <c r="AB20">
        <f>IF(COUNTIFS(T_StockCount[Part Name],$A20,T_StockCount[WeekIndex],27)&gt;0,0,IF(('T_TTAFStock'!AB24&lt;&gt;""),'T_TTAFStock'!AB24,AA20+'Grid_Incoming'!AB20-'Grid_TTAFOutgoing'!AB20))</f>
        <v/>
      </c>
      <c r="AC20">
        <f>IF(COUNTIFS(T_StockCount[Part Name],$A20,T_StockCount[WeekIndex],28)&gt;0,0,IF(('T_TTAFStock'!AC24&lt;&gt;""),'T_TTAFStock'!AC24,AB20+'Grid_Incoming'!AC20-'Grid_TTAFOutgoing'!AC20))</f>
        <v/>
      </c>
      <c r="AD20">
        <f>IF(COUNTIFS(T_StockCount[Part Name],$A20,T_StockCount[WeekIndex],29)&gt;0,0,IF(('T_TTAFStock'!AD24&lt;&gt;""),'T_TTAFStock'!AD24,AC20+'Grid_Incoming'!AD20-'Grid_TTAFOutgoing'!AD20))</f>
        <v/>
      </c>
      <c r="AE20">
        <f>IF(COUNTIFS(T_StockCount[Part Name],$A20,T_StockCount[WeekIndex],30)&gt;0,0,IF(('T_TTAFStock'!AE24&lt;&gt;""),'T_TTAFStock'!AE24,AD20+'Grid_Incoming'!AE20-'Grid_TTAFOutgoing'!AE20))</f>
        <v/>
      </c>
      <c r="AF20">
        <f>IF(COUNTIFS(T_StockCount[Part Name],$A20,T_StockCount[WeekIndex],31)&gt;0,0,IF(('T_TTAFStock'!AF24&lt;&gt;""),'T_TTAFStock'!AF24,AE20+'Grid_Incoming'!AF20-'Grid_TTAFOutgoing'!AF20))</f>
        <v/>
      </c>
      <c r="AG20">
        <f>IF(COUNTIFS(T_StockCount[Part Name],$A20,T_StockCount[WeekIndex],32)&gt;0,0,IF(('T_TTAFStock'!AG24&lt;&gt;""),'T_TTAFStock'!AG24,AF20+'Grid_Incoming'!AG20-'Grid_TTAFOutgoing'!AG20))</f>
        <v/>
      </c>
      <c r="AH20">
        <f>IF(COUNTIFS(T_StockCount[Part Name],$A20,T_StockCount[WeekIndex],33)&gt;0,0,IF(('T_TTAFStock'!AH24&lt;&gt;""),'T_TTAFStock'!AH24,AG20+'Grid_Incoming'!AH20-'Grid_TTAFOutgoing'!AH20))</f>
        <v/>
      </c>
      <c r="AI20">
        <f>IF(COUNTIFS(T_StockCount[Part Name],$A20,T_StockCount[WeekIndex],34)&gt;0,0,IF(('T_TTAFStock'!AI24&lt;&gt;""),'T_TTAFStock'!AI24,AH20+'Grid_Incoming'!AI20-'Grid_TTAFOutgoing'!AI20))</f>
        <v/>
      </c>
      <c r="AJ20">
        <f>IF(COUNTIFS(T_StockCount[Part Name],$A20,T_StockCount[WeekIndex],35)&gt;0,0,IF(('T_TTAFStock'!AJ24&lt;&gt;""),'T_TTAFStock'!AJ24,AI20+'Grid_Incoming'!AJ20-'Grid_TTAFOutgoing'!AJ20))</f>
        <v/>
      </c>
      <c r="AK20">
        <f>IF(COUNTIFS(T_StockCount[Part Name],$A20,T_StockCount[WeekIndex],36)&gt;0,0,IF(('T_TTAFStock'!AK24&lt;&gt;""),'T_TTAFStock'!AK24,AJ20+'Grid_Incoming'!AK20-'Grid_TTAFOutgoing'!AK20))</f>
        <v/>
      </c>
      <c r="AL20">
        <f>IF(COUNTIFS(T_StockCount[Part Name],$A20,T_StockCount[WeekIndex],37)&gt;0,0,IF(('T_TTAFStock'!AL24&lt;&gt;""),'T_TTAFStock'!AL24,AK20+'Grid_Incoming'!AL20-'Grid_TTAFOutgoing'!AL20))</f>
        <v/>
      </c>
      <c r="AM20">
        <f>IF(COUNTIFS(T_StockCount[Part Name],$A20,T_StockCount[WeekIndex],38)&gt;0,0,IF(('T_TTAFStock'!AM24&lt;&gt;""),'T_TTAFStock'!AM24,AL20+'Grid_Incoming'!AM20-'Grid_TTAFOutgoing'!AM20))</f>
        <v/>
      </c>
      <c r="AN20">
        <f>IF(COUNTIFS(T_StockCount[Part Name],$A20,T_StockCount[WeekIndex],39)&gt;0,0,IF(('T_TTAFStock'!AN24&lt;&gt;""),'T_TTAFStock'!AN24,AM20+'Grid_Incoming'!AN20-'Grid_TTAFOutgoing'!AN20))</f>
        <v/>
      </c>
      <c r="AO20">
        <f>IF(COUNTIFS(T_StockCount[Part Name],$A20,T_StockCount[WeekIndex],40)&gt;0,0,IF(('T_TTAFStock'!AO24&lt;&gt;""),'T_TTAFStock'!AO24,AN20+'Grid_Incoming'!AO20-'Grid_TTAFOutgoing'!AO20))</f>
        <v/>
      </c>
      <c r="AP20">
        <f>IF(COUNTIFS(T_StockCount[Part Name],$A20,T_StockCount[WeekIndex],41)&gt;0,0,IF(('T_TTAFStock'!AP24&lt;&gt;""),'T_TTAFStock'!AP24,AO20+'Grid_Incoming'!AP20-'Grid_TTAFOutgoing'!AP20))</f>
        <v/>
      </c>
      <c r="AQ20">
        <f>IF(COUNTIFS(T_StockCount[Part Name],$A20,T_StockCount[WeekIndex],42)&gt;0,0,IF(('T_TTAFStock'!AQ24&lt;&gt;""),'T_TTAFStock'!AQ24,AP20+'Grid_Incoming'!AQ20-'Grid_TTAFOutgoing'!AQ20))</f>
        <v/>
      </c>
      <c r="AR20">
        <f>IF(COUNTIFS(T_StockCount[Part Name],$A20,T_StockCount[WeekIndex],43)&gt;0,0,IF(('T_TTAFStock'!AR24&lt;&gt;""),'T_TTAFStock'!AR24,AQ20+'Grid_Incoming'!AR20-'Grid_TTAFOutgoing'!AR20))</f>
        <v/>
      </c>
      <c r="AS20">
        <f>IF(COUNTIFS(T_StockCount[Part Name],$A20,T_StockCount[WeekIndex],44)&gt;0,0,IF(('T_TTAFStock'!AS24&lt;&gt;""),'T_TTAFStock'!AS24,AR20+'Grid_Incoming'!AS20-'Grid_TTAFOutgoing'!AS20))</f>
        <v/>
      </c>
      <c r="AT20">
        <f>IF(COUNTIFS(T_StockCount[Part Name],$A20,T_StockCount[WeekIndex],45)&gt;0,0,IF(('T_TTAFStock'!AT24&lt;&gt;""),'T_TTAFStock'!AT24,AS20+'Grid_Incoming'!AT20-'Grid_TTAFOutgoing'!AT20))</f>
        <v/>
      </c>
      <c r="AU20">
        <f>IF(COUNTIFS(T_StockCount[Part Name],$A20,T_StockCount[WeekIndex],46)&gt;0,0,IF(('T_TTAFStock'!AU24&lt;&gt;""),'T_TTAFStock'!AU24,AT20+'Grid_Incoming'!AU20-'Grid_TTAFOutgoing'!AU20))</f>
        <v/>
      </c>
      <c r="AV20">
        <f>IF(COUNTIFS(T_StockCount[Part Name],$A20,T_StockCount[WeekIndex],47)&gt;0,0,IF(('T_TTAFStock'!AV24&lt;&gt;""),'T_TTAFStock'!AV24,AU20+'Grid_Incoming'!AV20-'Grid_TTAFOutgoing'!AV20))</f>
        <v/>
      </c>
      <c r="AW20">
        <f>IF(COUNTIFS(T_StockCount[Part Name],$A20,T_StockCount[WeekIndex],48)&gt;0,0,IF(('T_TTAFStock'!AW24&lt;&gt;""),'T_TTAFStock'!AW24,AV20+'Grid_Incoming'!AW20-'Grid_TTAFOutgoing'!AW20))</f>
        <v/>
      </c>
      <c r="AX20">
        <f>IF(COUNTIFS(T_StockCount[Part Name],$A20,T_StockCount[WeekIndex],49)&gt;0,0,IF(('T_TTAFStock'!AX24&lt;&gt;""),'T_TTAFStock'!AX24,AW20+'Grid_Incoming'!AX20-'Grid_TTAFOutgoing'!AX20))</f>
        <v/>
      </c>
      <c r="AY20">
        <f>IF(COUNTIFS(T_StockCount[Part Name],$A20,T_StockCount[WeekIndex],50)&gt;0,0,IF(('T_TTAFStock'!AY24&lt;&gt;""),'T_TTAFStock'!AY24,AX20+'Grid_Incoming'!AY20-'Grid_TTAFOutgoing'!AY20))</f>
        <v/>
      </c>
      <c r="AZ20">
        <f>IF(COUNTIFS(T_StockCount[Part Name],$A20,T_StockCount[WeekIndex],51)&gt;0,0,IF(('T_TTAFStock'!AZ24&lt;&gt;""),'T_TTAFStock'!AZ24,AY20+'Grid_Incoming'!AZ20-'Grid_TTAFOutgoing'!AZ20))</f>
        <v/>
      </c>
      <c r="BA20">
        <f>IF(COUNTIFS(T_StockCount[Part Name],$A20,T_StockCount[WeekIndex],52)&gt;0,0,IF(('T_TTAFStock'!BA24&lt;&gt;""),'T_TTAFStock'!BA24,AZ20+'Grid_Incoming'!BA20-'Grid_TTAFOutgoing'!BA20))</f>
        <v/>
      </c>
      <c r="BB20">
        <f>IF(COUNTIFS(T_StockCount[Part Name],$A20,T_StockCount[WeekIndex],53)&gt;0,0,IF(('T_TTAFStock'!BB24&lt;&gt;""),'T_TTAFStock'!BB24,BA20+'Grid_Incoming'!BB20-'Grid_TTAFOutgoing'!BB20))</f>
        <v/>
      </c>
      <c r="BC20">
        <f>IF(COUNTIFS(T_StockCount[Part Name],$A20,T_StockCount[WeekIndex],54)&gt;0,0,IF(('T_TTAFStock'!BC24&lt;&gt;""),'T_TTAFStock'!BC24,BB20+'Grid_Incoming'!BC20-'Grid_TTAFOutgoing'!BC20))</f>
        <v/>
      </c>
      <c r="BD20">
        <f>IF(COUNTIFS(T_StockCount[Part Name],$A20,T_StockCount[WeekIndex],55)&gt;0,0,IF(('T_TTAFStock'!BD24&lt;&gt;""),'T_TTAFStock'!BD24,BC20+'Grid_Incoming'!BD20-'Grid_TTAFOutgoing'!BD20))</f>
        <v/>
      </c>
      <c r="BE20">
        <f>IF(COUNTIFS(T_StockCount[Part Name],$A20,T_StockCount[WeekIndex],56)&gt;0,0,IF(('T_TTAFStock'!BE24&lt;&gt;""),'T_TTAFStock'!BE24,BD20+'Grid_Incoming'!BE20-'Grid_TTAFOutgoing'!BE20))</f>
        <v/>
      </c>
      <c r="BF20">
        <f>IF(COUNTIFS(T_StockCount[Part Name],$A20,T_StockCount[WeekIndex],57)&gt;0,0,IF(('T_TTAFStock'!BF24&lt;&gt;""),'T_TTAFStock'!BF24,BE20+'Grid_Incoming'!BF20-'Grid_TTAFOutgoing'!BF20))</f>
        <v/>
      </c>
      <c r="BG20">
        <f>IF(COUNTIFS(T_StockCount[Part Name],$A20,T_StockCount[WeekIndex],58)&gt;0,0,IF(('T_TTAFStock'!BG24&lt;&gt;""),'T_TTAFStock'!BG24,BF20+'Grid_Incoming'!BG20-'Grid_TTAFOutgoing'!BG20))</f>
        <v/>
      </c>
      <c r="BH20">
        <f>IF(COUNTIFS(T_StockCount[Part Name],$A20,T_StockCount[WeekIndex],59)&gt;0,0,IF(('T_TTAFStock'!BH24&lt;&gt;""),'T_TTAFStock'!BH24,BG20+'Grid_Incoming'!BH20-'Grid_TTAFOutgoing'!BH20))</f>
        <v/>
      </c>
      <c r="BI20">
        <f>IF(COUNTIFS(T_StockCount[Part Name],$A20,T_StockCount[WeekIndex],60)&gt;0,0,IF(('T_TTAFStock'!BI24&lt;&gt;""),'T_TTAFStock'!BI24,BH20+'Grid_Incoming'!BI20-'Grid_TTAFOutgoing'!BI20))</f>
        <v/>
      </c>
      <c r="BJ20">
        <f>IF(COUNTIFS(T_StockCount[Part Name],$A20,T_StockCount[WeekIndex],61)&gt;0,0,IF(('T_TTAFStock'!BJ24&lt;&gt;""),'T_TTAFStock'!BJ24,BI20+'Grid_Incoming'!BJ20-'Grid_TTAFOutgoing'!BJ20))</f>
        <v/>
      </c>
      <c r="BK20">
        <f>IF(COUNTIFS(T_StockCount[Part Name],$A20,T_StockCount[WeekIndex],62)&gt;0,0,IF(('T_TTAFStock'!BK24&lt;&gt;""),'T_TTAFStock'!BK24,BJ20+'Grid_Incoming'!BK20-'Grid_TTAFOutgoing'!BK20))</f>
        <v/>
      </c>
      <c r="BL20">
        <f>IF(COUNTIFS(T_StockCount[Part Name],$A20,T_StockCount[WeekIndex],63)&gt;0,0,IF(('T_TTAFStock'!BL24&lt;&gt;""),'T_TTAFStock'!BL24,BK20+'Grid_Incoming'!BL20-'Grid_TTAFOutgoing'!BL20))</f>
        <v/>
      </c>
      <c r="BM20">
        <f>IF(COUNTIFS(T_StockCount[Part Name],$A20,T_StockCount[WeekIndex],64)&gt;0,0,IF(('T_TTAFStock'!BM24&lt;&gt;""),'T_TTAFStock'!BM24,BL20+'Grid_Incoming'!BM20-'Grid_TTAFOutgoing'!BM20))</f>
        <v/>
      </c>
      <c r="BN20">
        <f>IF(COUNTIFS(T_StockCount[Part Name],$A20,T_StockCount[WeekIndex],65)&gt;0,0,IF(('T_TTAFStock'!BN24&lt;&gt;""),'T_TTAFStock'!BN24,BM20+'Grid_Incoming'!BN20-'Grid_TTAFOutgoing'!BN20))</f>
        <v/>
      </c>
      <c r="BO20">
        <f>IF(COUNTIFS(T_StockCount[Part Name],$A20,T_StockCount[WeekIndex],66)&gt;0,0,IF(('T_TTAFStock'!BO24&lt;&gt;""),'T_TTAFStock'!BO24,BN20+'Grid_Incoming'!BO20-'Grid_TTAFOutgoing'!BO20))</f>
        <v/>
      </c>
      <c r="BP20">
        <f>IF(COUNTIFS(T_StockCount[Part Name],$A20,T_StockCount[WeekIndex],67)&gt;0,0,IF(('T_TTAFStock'!BP24&lt;&gt;""),'T_TTAFStock'!BP24,BO20+'Grid_Incoming'!BP20-'Grid_TTAFOutgoing'!BP20))</f>
        <v/>
      </c>
      <c r="BQ20">
        <f>IF(COUNTIFS(T_StockCount[Part Name],$A20,T_StockCount[WeekIndex],68)&gt;0,0,IF(('T_TTAFStock'!BQ24&lt;&gt;""),'T_TTAFStock'!BQ24,BP20+'Grid_Incoming'!BQ20-'Grid_TTAFOutgoing'!BQ20))</f>
        <v/>
      </c>
      <c r="BR20">
        <f>IF(COUNTIFS(T_StockCount[Part Name],$A20,T_StockCount[WeekIndex],69)&gt;0,0,IF(('T_TTAFStock'!BR24&lt;&gt;""),'T_TTAFStock'!BR24,BQ20+'Grid_Incoming'!BR20-'Grid_TTAFOutgoing'!BR20))</f>
        <v/>
      </c>
      <c r="BS20">
        <f>IF(COUNTIFS(T_StockCount[Part Name],$A20,T_StockCount[WeekIndex],70)&gt;0,0,IF(('T_TTAFStock'!BS24&lt;&gt;""),'T_TTAFStock'!BS24,BR20+'Grid_Incoming'!BS20-'Grid_TTAFOutgoing'!BS20))</f>
        <v/>
      </c>
      <c r="BT20">
        <f>IF(COUNTIFS(T_StockCount[Part Name],$A20,T_StockCount[WeekIndex],71)&gt;0,0,IF(('T_TTAFStock'!BT24&lt;&gt;""),'T_TTAFStock'!BT24,BS20+'Grid_Incoming'!BT20-'Grid_TTAFOutgoing'!BT20))</f>
        <v/>
      </c>
      <c r="BU20">
        <f>IF(COUNTIFS(T_StockCount[Part Name],$A20,T_StockCount[WeekIndex],72)&gt;0,0,IF(('T_TTAFStock'!BU24&lt;&gt;""),'T_TTAFStock'!BU24,BT20+'Grid_Incoming'!BU20-'Grid_TTAFOutgoing'!BU20))</f>
        <v/>
      </c>
      <c r="BV20">
        <f>IF(COUNTIFS(T_StockCount[Part Name],$A20,T_StockCount[WeekIndex],73)&gt;0,0,IF(('T_TTAFStock'!BV24&lt;&gt;""),'T_TTAFStock'!BV24,BU20+'Grid_Incoming'!BV20-'Grid_TTAFOutgoing'!BV20))</f>
        <v/>
      </c>
      <c r="BW20">
        <f>IF(COUNTIFS(T_StockCount[Part Name],$A20,T_StockCount[WeekIndex],74)&gt;0,0,IF(('T_TTAFStock'!BW24&lt;&gt;""),'T_TTAFStock'!BW24,BV20+'Grid_Incoming'!BW20-'Grid_TTAFOutgoing'!BW20))</f>
        <v/>
      </c>
      <c r="BX20">
        <f>IF(COUNTIFS(T_StockCount[Part Name],$A20,T_StockCount[WeekIndex],75)&gt;0,0,IF(('T_TTAFStock'!BX24&lt;&gt;""),'T_TTAFStock'!BX24,BW20+'Grid_Incoming'!BX20-'Grid_TTAFOutgoing'!BX20))</f>
        <v/>
      </c>
      <c r="BY20">
        <f>IF(COUNTIFS(T_StockCount[Part Name],$A20,T_StockCount[WeekIndex],76)&gt;0,0,IF(('T_TTAFStock'!BY24&lt;&gt;""),'T_TTAFStock'!BY24,BX20+'Grid_Incoming'!BY20-'Grid_TTAFOutgoing'!BY20))</f>
        <v/>
      </c>
      <c r="BZ20">
        <f>IF(COUNTIFS(T_StockCount[Part Name],$A20,T_StockCount[WeekIndex],77)&gt;0,0,IF(('T_TTAFStock'!BZ24&lt;&gt;""),'T_TTAFStock'!BZ24,BY20+'Grid_Incoming'!BZ20-'Grid_TTAFOutgoing'!BZ20))</f>
        <v/>
      </c>
      <c r="CA20">
        <f>IF(COUNTIFS(T_StockCount[Part Name],$A20,T_StockCount[WeekIndex],78)&gt;0,0,IF(('T_TTAFStock'!CA24&lt;&gt;""),'T_TTAFStock'!CA24,BZ20+'Grid_Incoming'!CA20-'Grid_TTAFOutgoing'!CA20))</f>
        <v/>
      </c>
      <c r="CB20">
        <f>IF(COUNTIFS(T_StockCount[Part Name],$A20,T_StockCount[WeekIndex],79)&gt;0,0,IF(('T_TTAFStock'!CB24&lt;&gt;""),'T_TTAFStock'!CB24,CA20+'Grid_Incoming'!CB20-'Grid_TTAFOutgoing'!CB20))</f>
        <v/>
      </c>
      <c r="CC20">
        <f>IF(COUNTIFS(T_StockCount[Part Name],$A20,T_StockCount[WeekIndex],80)&gt;0,0,IF(('T_TTAFStock'!CC24&lt;&gt;""),'T_TTAFStock'!CC24,CB20+'Grid_Incoming'!CC20-'Grid_TTAFOutgoing'!CC20))</f>
        <v/>
      </c>
      <c r="CD20">
        <f>IF(COUNTIFS(T_StockCount[Part Name],$A20,T_StockCount[WeekIndex],81)&gt;0,0,IF(('T_TTAFStock'!CD24&lt;&gt;""),'T_TTAFStock'!CD24,CC20+'Grid_Incoming'!CD20-'Grid_TTAFOutgoing'!CD20))</f>
        <v/>
      </c>
      <c r="CE20">
        <f>IF(COUNTIFS(T_StockCount[Part Name],$A20,T_StockCount[WeekIndex],82)&gt;0,0,IF(('T_TTAFStock'!CE24&lt;&gt;""),'T_TTAFStock'!CE24,CD20+'Grid_Incoming'!CE20-'Grid_TTAFOutgoing'!CE20))</f>
        <v/>
      </c>
      <c r="CF20">
        <f>IF(COUNTIFS(T_StockCount[Part Name],$A20,T_StockCount[WeekIndex],83)&gt;0,0,IF(('T_TTAFStock'!CF24&lt;&gt;""),'T_TTAFStock'!CF24,CE20+'Grid_Incoming'!CF20-'Grid_TTAFOutgoing'!CF20))</f>
        <v/>
      </c>
      <c r="CG20">
        <f>IF(COUNTIFS(T_StockCount[Part Name],$A20,T_StockCount[WeekIndex],84)&gt;0,0,IF(('T_TTAFStock'!CG24&lt;&gt;""),'T_TTAFStock'!CG24,CF20+'Grid_Incoming'!CG20-'Grid_TTAFOutgoing'!CG20))</f>
        <v/>
      </c>
      <c r="CH20">
        <f>IF(COUNTIFS(T_StockCount[Part Name],$A20,T_StockCount[WeekIndex],85)&gt;0,0,IF(('T_TTAFStock'!CH24&lt;&gt;""),'T_TTAFStock'!CH24,CG20+'Grid_Incoming'!CH20-'Grid_TTAFOutgoing'!CH20))</f>
        <v/>
      </c>
      <c r="CI20">
        <f>IF(COUNTIFS(T_StockCount[Part Name],$A20,T_StockCount[WeekIndex],86)&gt;0,0,IF(('T_TTAFStock'!CI24&lt;&gt;""),'T_TTAFStock'!CI24,CH20+'Grid_Incoming'!CI20-'Grid_TTAFOutgoing'!CI20))</f>
        <v/>
      </c>
      <c r="CJ20">
        <f>IF(COUNTIFS(T_StockCount[Part Name],$A20,T_StockCount[WeekIndex],87)&gt;0,0,IF(('T_TTAFStock'!CJ24&lt;&gt;""),'T_TTAFStock'!CJ24,CI20+'Grid_Incoming'!CJ20-'Grid_TTAFOutgoing'!CJ20))</f>
        <v/>
      </c>
      <c r="CK20">
        <f>IF(COUNTIFS(T_StockCount[Part Name],$A20,T_StockCount[WeekIndex],88)&gt;0,0,IF(('T_TTAFStock'!CK24&lt;&gt;""),'T_TTAFStock'!CK24,CJ20+'Grid_Incoming'!CK20-'Grid_TTAFOutgoing'!CK20))</f>
        <v/>
      </c>
      <c r="CL20">
        <f>IF(COUNTIFS(T_StockCount[Part Name],$A20,T_StockCount[WeekIndex],89)&gt;0,0,IF(('T_TTAFStock'!CL24&lt;&gt;""),'T_TTAFStock'!CL24,CK20+'Grid_Incoming'!CL20-'Grid_TTAFOutgoing'!CL20))</f>
        <v/>
      </c>
      <c r="CM20">
        <f>IF(COUNTIFS(T_StockCount[Part Name],$A20,T_StockCount[WeekIndex],90)&gt;0,0,IF(('T_TTAFStock'!CM24&lt;&gt;""),'T_TTAFStock'!CM24,CL20+'Grid_Incoming'!CM20-'Grid_TTAFOutgoing'!CM20))</f>
        <v/>
      </c>
      <c r="CN20">
        <f>IF(COUNTIFS(T_StockCount[Part Name],$A20,T_StockCount[WeekIndex],91)&gt;0,0,IF(('T_TTAFStock'!CN24&lt;&gt;""),'T_TTAFStock'!CN24,CM20+'Grid_Incoming'!CN20-'Grid_TTAFOutgoing'!CN20))</f>
        <v/>
      </c>
      <c r="CO20">
        <f>IF(COUNTIFS(T_StockCount[Part Name],$A20,T_StockCount[WeekIndex],92)&gt;0,0,IF(('T_TTAFStock'!CO24&lt;&gt;""),'T_TTAFStock'!CO24,CN20+'Grid_Incoming'!CO20-'Grid_TTAFOutgoing'!CO20))</f>
        <v/>
      </c>
      <c r="CP20">
        <f>IF(COUNTIFS(T_StockCount[Part Name],$A20,T_StockCount[WeekIndex],93)&gt;0,0,IF(('T_TTAFStock'!CP24&lt;&gt;""),'T_TTAFStock'!CP24,CO20+'Grid_Incoming'!CP20-'Grid_TTAFOutgoing'!CP20))</f>
        <v/>
      </c>
      <c r="CQ20">
        <f>IF(COUNTIFS(T_StockCount[Part Name],$A20,T_StockCount[WeekIndex],94)&gt;0,0,IF(('T_TTAFStock'!CQ24&lt;&gt;""),'T_TTAFStock'!CQ24,CP20+'Grid_Incoming'!CQ20-'Grid_TTAFOutgoing'!CQ20))</f>
        <v/>
      </c>
      <c r="CR20">
        <f>IF(COUNTIFS(T_StockCount[Part Name],$A20,T_StockCount[WeekIndex],95)&gt;0,0,IF(('T_TTAFStock'!CR24&lt;&gt;""),'T_TTAFStock'!CR24,CQ20+'Grid_Incoming'!CR20-'Grid_TTAFOutgoing'!CR20))</f>
        <v/>
      </c>
      <c r="CS20">
        <f>IF(COUNTIFS(T_StockCount[Part Name],$A20,T_StockCount[WeekIndex],96)&gt;0,0,IF(('T_TTAFStock'!CS24&lt;&gt;""),'T_TTAFStock'!CS24,CR20+'Grid_Incoming'!CS20-'Grid_TTAFOutgoing'!CS20))</f>
        <v/>
      </c>
      <c r="CT20">
        <f>IF(COUNTIFS(T_StockCount[Part Name],$A20,T_StockCount[WeekIndex],97)&gt;0,0,IF(('T_TTAFStock'!CT24&lt;&gt;""),'T_TTAFStock'!CT24,CS20+'Grid_Incoming'!CT20-'Grid_TTAFOutgoing'!CT20))</f>
        <v/>
      </c>
      <c r="CU20">
        <f>IF(COUNTIFS(T_StockCount[Part Name],$A20,T_StockCount[WeekIndex],98)&gt;0,0,IF(('T_TTAFStock'!CU24&lt;&gt;""),'T_TTAFStock'!CU24,CT20+'Grid_Incoming'!CU20-'Grid_TTAFOutgoing'!CU20))</f>
        <v/>
      </c>
      <c r="CV20">
        <f>IF(COUNTIFS(T_StockCount[Part Name],$A20,T_StockCount[WeekIndex],99)&gt;0,0,IF(('T_TTAFStock'!CV24&lt;&gt;""),'T_TTAFStock'!CV24,CU20+'Grid_Incoming'!CV20-'Grid_TTAFOutgoing'!CV20))</f>
        <v/>
      </c>
      <c r="CW20">
        <f>IF(COUNTIFS(T_StockCount[Part Name],$A20,T_StockCount[WeekIndex],100)&gt;0,0,IF(('T_TTAFStock'!CW24&lt;&gt;""),'T_TTAFStock'!CW24,CV20+'Grid_Incoming'!CW20-'Grid_TTAFOutgoing'!CW20))</f>
        <v/>
      </c>
      <c r="CX20">
        <f>IF(COUNTIFS(T_StockCount[Part Name],$A20,T_StockCount[WeekIndex],101)&gt;0,0,IF(('T_TTAFStock'!CX24&lt;&gt;""),'T_TTAFStock'!CX24,CW20+'Grid_Incoming'!CX20-'Grid_TTAFOutgoing'!CX20))</f>
        <v/>
      </c>
      <c r="CY20">
        <f>IF(COUNTIFS(T_StockCount[Part Name],$A20,T_StockCount[WeekIndex],102)&gt;0,0,IF(('T_TTAFStock'!CY24&lt;&gt;""),'T_TTAFStock'!CY24,CX20+'Grid_Incoming'!CY20-'Grid_TTAFOutgoing'!CY20))</f>
        <v/>
      </c>
      <c r="CZ20">
        <f>IF(COUNTIFS(T_StockCount[Part Name],$A20,T_StockCount[WeekIndex],103)&gt;0,0,IF(('T_TTAFStock'!CZ24&lt;&gt;""),'T_TTAFStock'!CZ24,CY20+'Grid_Incoming'!CZ20-'Grid_TTAFOutgoing'!CZ20))</f>
        <v/>
      </c>
      <c r="DA20">
        <f>IF(COUNTIFS(T_StockCount[Part Name],$A20,T_StockCount[WeekIndex],104)&gt;0,0,IF(('T_TTAFStock'!DA24&lt;&gt;""),'T_TTAFStock'!DA24,CZ20+'Grid_Incoming'!DA20-'Grid_TTAFOutgoing'!DA20))</f>
        <v/>
      </c>
    </row>
    <row r="21">
      <c r="A21" t="inlineStr">
        <is>
          <t>CHEM-1240</t>
        </is>
      </c>
      <c r="B21">
        <f>IF(COUNTIFS(T_StockCount[Part Name],$A21,T_StockCount[WeekIndex],1)&gt;0,0,IF(('T_TTAFStock'!B25&lt;&gt;""),'T_TTAFStock'!B25,0+'Grid_Incoming'!B21-'Grid_TTAFOutgoing'!B21))</f>
        <v/>
      </c>
      <c r="C21">
        <f>IF(COUNTIFS(T_StockCount[Part Name],$A21,T_StockCount[WeekIndex],2)&gt;0,0,IF(('T_TTAFStock'!C25&lt;&gt;""),'T_TTAFStock'!C25,B21+'Grid_Incoming'!C21-'Grid_TTAFOutgoing'!C21))</f>
        <v/>
      </c>
      <c r="D21">
        <f>IF(COUNTIFS(T_StockCount[Part Name],$A21,T_StockCount[WeekIndex],3)&gt;0,0,IF(('T_TTAFStock'!D25&lt;&gt;""),'T_TTAFStock'!D25,C21+'Grid_Incoming'!D21-'Grid_TTAFOutgoing'!D21))</f>
        <v/>
      </c>
      <c r="E21">
        <f>IF(COUNTIFS(T_StockCount[Part Name],$A21,T_StockCount[WeekIndex],4)&gt;0,0,IF(('T_TTAFStock'!E25&lt;&gt;""),'T_TTAFStock'!E25,D21+'Grid_Incoming'!E21-'Grid_TTAFOutgoing'!E21))</f>
        <v/>
      </c>
      <c r="F21">
        <f>IF(COUNTIFS(T_StockCount[Part Name],$A21,T_StockCount[WeekIndex],5)&gt;0,0,IF(('T_TTAFStock'!F25&lt;&gt;""),'T_TTAFStock'!F25,E21+'Grid_Incoming'!F21-'Grid_TTAFOutgoing'!F21))</f>
        <v/>
      </c>
      <c r="G21">
        <f>IF(COUNTIFS(T_StockCount[Part Name],$A21,T_StockCount[WeekIndex],6)&gt;0,0,IF(('T_TTAFStock'!G25&lt;&gt;""),'T_TTAFStock'!G25,F21+'Grid_Incoming'!G21-'Grid_TTAFOutgoing'!G21))</f>
        <v/>
      </c>
      <c r="H21">
        <f>IF(COUNTIFS(T_StockCount[Part Name],$A21,T_StockCount[WeekIndex],7)&gt;0,0,IF(('T_TTAFStock'!H25&lt;&gt;""),'T_TTAFStock'!H25,G21+'Grid_Incoming'!H21-'Grid_TTAFOutgoing'!H21))</f>
        <v/>
      </c>
      <c r="I21">
        <f>IF(COUNTIFS(T_StockCount[Part Name],$A21,T_StockCount[WeekIndex],8)&gt;0,0,IF(('T_TTAFStock'!I25&lt;&gt;""),'T_TTAFStock'!I25,H21+'Grid_Incoming'!I21-'Grid_TTAFOutgoing'!I21))</f>
        <v/>
      </c>
      <c r="J21">
        <f>IF(COUNTIFS(T_StockCount[Part Name],$A21,T_StockCount[WeekIndex],9)&gt;0,0,IF(('T_TTAFStock'!J25&lt;&gt;""),'T_TTAFStock'!J25,I21+'Grid_Incoming'!J21-'Grid_TTAFOutgoing'!J21))</f>
        <v/>
      </c>
      <c r="K21">
        <f>IF(COUNTIFS(T_StockCount[Part Name],$A21,T_StockCount[WeekIndex],10)&gt;0,0,IF(('T_TTAFStock'!K25&lt;&gt;""),'T_TTAFStock'!K25,J21+'Grid_Incoming'!K21-'Grid_TTAFOutgoing'!K21))</f>
        <v/>
      </c>
      <c r="L21">
        <f>IF(COUNTIFS(T_StockCount[Part Name],$A21,T_StockCount[WeekIndex],11)&gt;0,0,IF(('T_TTAFStock'!L25&lt;&gt;""),'T_TTAFStock'!L25,K21+'Grid_Incoming'!L21-'Grid_TTAFOutgoing'!L21))</f>
        <v/>
      </c>
      <c r="M21">
        <f>IF(COUNTIFS(T_StockCount[Part Name],$A21,T_StockCount[WeekIndex],12)&gt;0,0,IF(('T_TTAFStock'!M25&lt;&gt;""),'T_TTAFStock'!M25,L21+'Grid_Incoming'!M21-'Grid_TTAFOutgoing'!M21))</f>
        <v/>
      </c>
      <c r="N21">
        <f>IF(COUNTIFS(T_StockCount[Part Name],$A21,T_StockCount[WeekIndex],13)&gt;0,0,IF(('T_TTAFStock'!N25&lt;&gt;""),'T_TTAFStock'!N25,M21+'Grid_Incoming'!N21-'Grid_TTAFOutgoing'!N21))</f>
        <v/>
      </c>
      <c r="O21">
        <f>IF(COUNTIFS(T_StockCount[Part Name],$A21,T_StockCount[WeekIndex],14)&gt;0,0,IF(('T_TTAFStock'!O25&lt;&gt;""),'T_TTAFStock'!O25,N21+'Grid_Incoming'!O21-'Grid_TTAFOutgoing'!O21))</f>
        <v/>
      </c>
      <c r="P21">
        <f>IF(COUNTIFS(T_StockCount[Part Name],$A21,T_StockCount[WeekIndex],15)&gt;0,0,IF(('T_TTAFStock'!P25&lt;&gt;""),'T_TTAFStock'!P25,O21+'Grid_Incoming'!P21-'Grid_TTAFOutgoing'!P21))</f>
        <v/>
      </c>
      <c r="Q21">
        <f>IF(COUNTIFS(T_StockCount[Part Name],$A21,T_StockCount[WeekIndex],16)&gt;0,0,IF(('T_TTAFStock'!Q25&lt;&gt;""),'T_TTAFStock'!Q25,P21+'Grid_Incoming'!Q21-'Grid_TTAFOutgoing'!Q21))</f>
        <v/>
      </c>
      <c r="R21">
        <f>IF(COUNTIFS(T_StockCount[Part Name],$A21,T_StockCount[WeekIndex],17)&gt;0,0,IF(('T_TTAFStock'!R25&lt;&gt;""),'T_TTAFStock'!R25,Q21+'Grid_Incoming'!R21-'Grid_TTAFOutgoing'!R21))</f>
        <v/>
      </c>
      <c r="S21">
        <f>IF(COUNTIFS(T_StockCount[Part Name],$A21,T_StockCount[WeekIndex],18)&gt;0,0,IF(('T_TTAFStock'!S25&lt;&gt;""),'T_TTAFStock'!S25,R21+'Grid_Incoming'!S21-'Grid_TTAFOutgoing'!S21))</f>
        <v/>
      </c>
      <c r="T21">
        <f>IF(COUNTIFS(T_StockCount[Part Name],$A21,T_StockCount[WeekIndex],19)&gt;0,0,IF(('T_TTAFStock'!T25&lt;&gt;""),'T_TTAFStock'!T25,S21+'Grid_Incoming'!T21-'Grid_TTAFOutgoing'!T21))</f>
        <v/>
      </c>
      <c r="U21">
        <f>IF(COUNTIFS(T_StockCount[Part Name],$A21,T_StockCount[WeekIndex],20)&gt;0,0,IF(('T_TTAFStock'!U25&lt;&gt;""),'T_TTAFStock'!U25,T21+'Grid_Incoming'!U21-'Grid_TTAFOutgoing'!U21))</f>
        <v/>
      </c>
      <c r="V21">
        <f>IF(COUNTIFS(T_StockCount[Part Name],$A21,T_StockCount[WeekIndex],21)&gt;0,0,IF(('T_TTAFStock'!V25&lt;&gt;""),'T_TTAFStock'!V25,U21+'Grid_Incoming'!V21-'Grid_TTAFOutgoing'!V21))</f>
        <v/>
      </c>
      <c r="W21">
        <f>IF(COUNTIFS(T_StockCount[Part Name],$A21,T_StockCount[WeekIndex],22)&gt;0,0,IF(('T_TTAFStock'!W25&lt;&gt;""),'T_TTAFStock'!W25,V21+'Grid_Incoming'!W21-'Grid_TTAFOutgoing'!W21))</f>
        <v/>
      </c>
      <c r="X21">
        <f>IF(COUNTIFS(T_StockCount[Part Name],$A21,T_StockCount[WeekIndex],23)&gt;0,0,IF(('T_TTAFStock'!X25&lt;&gt;""),'T_TTAFStock'!X25,W21+'Grid_Incoming'!X21-'Grid_TTAFOutgoing'!X21))</f>
        <v/>
      </c>
      <c r="Y21">
        <f>IF(COUNTIFS(T_StockCount[Part Name],$A21,T_StockCount[WeekIndex],24)&gt;0,0,IF(('T_TTAFStock'!Y25&lt;&gt;""),'T_TTAFStock'!Y25,X21+'Grid_Incoming'!Y21-'Grid_TTAFOutgoing'!Y21))</f>
        <v/>
      </c>
      <c r="Z21">
        <f>IF(COUNTIFS(T_StockCount[Part Name],$A21,T_StockCount[WeekIndex],25)&gt;0,0,IF(('T_TTAFStock'!Z25&lt;&gt;""),'T_TTAFStock'!Z25,Y21+'Grid_Incoming'!Z21-'Grid_TTAFOutgoing'!Z21))</f>
        <v/>
      </c>
      <c r="AA21">
        <f>IF(COUNTIFS(T_StockCount[Part Name],$A21,T_StockCount[WeekIndex],26)&gt;0,0,IF(('T_TTAFStock'!AA25&lt;&gt;""),'T_TTAFStock'!AA25,Z21+'Grid_Incoming'!AA21-'Grid_TTAFOutgoing'!AA21))</f>
        <v/>
      </c>
      <c r="AB21">
        <f>IF(COUNTIFS(T_StockCount[Part Name],$A21,T_StockCount[WeekIndex],27)&gt;0,0,IF(('T_TTAFStock'!AB25&lt;&gt;""),'T_TTAFStock'!AB25,AA21+'Grid_Incoming'!AB21-'Grid_TTAFOutgoing'!AB21))</f>
        <v/>
      </c>
      <c r="AC21">
        <f>IF(COUNTIFS(T_StockCount[Part Name],$A21,T_StockCount[WeekIndex],28)&gt;0,0,IF(('T_TTAFStock'!AC25&lt;&gt;""),'T_TTAFStock'!AC25,AB21+'Grid_Incoming'!AC21-'Grid_TTAFOutgoing'!AC21))</f>
        <v/>
      </c>
      <c r="AD21">
        <f>IF(COUNTIFS(T_StockCount[Part Name],$A21,T_StockCount[WeekIndex],29)&gt;0,0,IF(('T_TTAFStock'!AD25&lt;&gt;""),'T_TTAFStock'!AD25,AC21+'Grid_Incoming'!AD21-'Grid_TTAFOutgoing'!AD21))</f>
        <v/>
      </c>
      <c r="AE21">
        <f>IF(COUNTIFS(T_StockCount[Part Name],$A21,T_StockCount[WeekIndex],30)&gt;0,0,IF(('T_TTAFStock'!AE25&lt;&gt;""),'T_TTAFStock'!AE25,AD21+'Grid_Incoming'!AE21-'Grid_TTAFOutgoing'!AE21))</f>
        <v/>
      </c>
      <c r="AF21">
        <f>IF(COUNTIFS(T_StockCount[Part Name],$A21,T_StockCount[WeekIndex],31)&gt;0,0,IF(('T_TTAFStock'!AF25&lt;&gt;""),'T_TTAFStock'!AF25,AE21+'Grid_Incoming'!AF21-'Grid_TTAFOutgoing'!AF21))</f>
        <v/>
      </c>
      <c r="AG21">
        <f>IF(COUNTIFS(T_StockCount[Part Name],$A21,T_StockCount[WeekIndex],32)&gt;0,0,IF(('T_TTAFStock'!AG25&lt;&gt;""),'T_TTAFStock'!AG25,AF21+'Grid_Incoming'!AG21-'Grid_TTAFOutgoing'!AG21))</f>
        <v/>
      </c>
      <c r="AH21">
        <f>IF(COUNTIFS(T_StockCount[Part Name],$A21,T_StockCount[WeekIndex],33)&gt;0,0,IF(('T_TTAFStock'!AH25&lt;&gt;""),'T_TTAFStock'!AH25,AG21+'Grid_Incoming'!AH21-'Grid_TTAFOutgoing'!AH21))</f>
        <v/>
      </c>
      <c r="AI21">
        <f>IF(COUNTIFS(T_StockCount[Part Name],$A21,T_StockCount[WeekIndex],34)&gt;0,0,IF(('T_TTAFStock'!AI25&lt;&gt;""),'T_TTAFStock'!AI25,AH21+'Grid_Incoming'!AI21-'Grid_TTAFOutgoing'!AI21))</f>
        <v/>
      </c>
      <c r="AJ21">
        <f>IF(COUNTIFS(T_StockCount[Part Name],$A21,T_StockCount[WeekIndex],35)&gt;0,0,IF(('T_TTAFStock'!AJ25&lt;&gt;""),'T_TTAFStock'!AJ25,AI21+'Grid_Incoming'!AJ21-'Grid_TTAFOutgoing'!AJ21))</f>
        <v/>
      </c>
      <c r="AK21">
        <f>IF(COUNTIFS(T_StockCount[Part Name],$A21,T_StockCount[WeekIndex],36)&gt;0,0,IF(('T_TTAFStock'!AK25&lt;&gt;""),'T_TTAFStock'!AK25,AJ21+'Grid_Incoming'!AK21-'Grid_TTAFOutgoing'!AK21))</f>
        <v/>
      </c>
      <c r="AL21">
        <f>IF(COUNTIFS(T_StockCount[Part Name],$A21,T_StockCount[WeekIndex],37)&gt;0,0,IF(('T_TTAFStock'!AL25&lt;&gt;""),'T_TTAFStock'!AL25,AK21+'Grid_Incoming'!AL21-'Grid_TTAFOutgoing'!AL21))</f>
        <v/>
      </c>
      <c r="AM21">
        <f>IF(COUNTIFS(T_StockCount[Part Name],$A21,T_StockCount[WeekIndex],38)&gt;0,0,IF(('T_TTAFStock'!AM25&lt;&gt;""),'T_TTAFStock'!AM25,AL21+'Grid_Incoming'!AM21-'Grid_TTAFOutgoing'!AM21))</f>
        <v/>
      </c>
      <c r="AN21">
        <f>IF(COUNTIFS(T_StockCount[Part Name],$A21,T_StockCount[WeekIndex],39)&gt;0,0,IF(('T_TTAFStock'!AN25&lt;&gt;""),'T_TTAFStock'!AN25,AM21+'Grid_Incoming'!AN21-'Grid_TTAFOutgoing'!AN21))</f>
        <v/>
      </c>
      <c r="AO21">
        <f>IF(COUNTIFS(T_StockCount[Part Name],$A21,T_StockCount[WeekIndex],40)&gt;0,0,IF(('T_TTAFStock'!AO25&lt;&gt;""),'T_TTAFStock'!AO25,AN21+'Grid_Incoming'!AO21-'Grid_TTAFOutgoing'!AO21))</f>
        <v/>
      </c>
      <c r="AP21">
        <f>IF(COUNTIFS(T_StockCount[Part Name],$A21,T_StockCount[WeekIndex],41)&gt;0,0,IF(('T_TTAFStock'!AP25&lt;&gt;""),'T_TTAFStock'!AP25,AO21+'Grid_Incoming'!AP21-'Grid_TTAFOutgoing'!AP21))</f>
        <v/>
      </c>
      <c r="AQ21">
        <f>IF(COUNTIFS(T_StockCount[Part Name],$A21,T_StockCount[WeekIndex],42)&gt;0,0,IF(('T_TTAFStock'!AQ25&lt;&gt;""),'T_TTAFStock'!AQ25,AP21+'Grid_Incoming'!AQ21-'Grid_TTAFOutgoing'!AQ21))</f>
        <v/>
      </c>
      <c r="AR21">
        <f>IF(COUNTIFS(T_StockCount[Part Name],$A21,T_StockCount[WeekIndex],43)&gt;0,0,IF(('T_TTAFStock'!AR25&lt;&gt;""),'T_TTAFStock'!AR25,AQ21+'Grid_Incoming'!AR21-'Grid_TTAFOutgoing'!AR21))</f>
        <v/>
      </c>
      <c r="AS21">
        <f>IF(COUNTIFS(T_StockCount[Part Name],$A21,T_StockCount[WeekIndex],44)&gt;0,0,IF(('T_TTAFStock'!AS25&lt;&gt;""),'T_TTAFStock'!AS25,AR21+'Grid_Incoming'!AS21-'Grid_TTAFOutgoing'!AS21))</f>
        <v/>
      </c>
      <c r="AT21">
        <f>IF(COUNTIFS(T_StockCount[Part Name],$A21,T_StockCount[WeekIndex],45)&gt;0,0,IF(('T_TTAFStock'!AT25&lt;&gt;""),'T_TTAFStock'!AT25,AS21+'Grid_Incoming'!AT21-'Grid_TTAFOutgoing'!AT21))</f>
        <v/>
      </c>
      <c r="AU21">
        <f>IF(COUNTIFS(T_StockCount[Part Name],$A21,T_StockCount[WeekIndex],46)&gt;0,0,IF(('T_TTAFStock'!AU25&lt;&gt;""),'T_TTAFStock'!AU25,AT21+'Grid_Incoming'!AU21-'Grid_TTAFOutgoing'!AU21))</f>
        <v/>
      </c>
      <c r="AV21">
        <f>IF(COUNTIFS(T_StockCount[Part Name],$A21,T_StockCount[WeekIndex],47)&gt;0,0,IF(('T_TTAFStock'!AV25&lt;&gt;""),'T_TTAFStock'!AV25,AU21+'Grid_Incoming'!AV21-'Grid_TTAFOutgoing'!AV21))</f>
        <v/>
      </c>
      <c r="AW21">
        <f>IF(COUNTIFS(T_StockCount[Part Name],$A21,T_StockCount[WeekIndex],48)&gt;0,0,IF(('T_TTAFStock'!AW25&lt;&gt;""),'T_TTAFStock'!AW25,AV21+'Grid_Incoming'!AW21-'Grid_TTAFOutgoing'!AW21))</f>
        <v/>
      </c>
      <c r="AX21">
        <f>IF(COUNTIFS(T_StockCount[Part Name],$A21,T_StockCount[WeekIndex],49)&gt;0,0,IF(('T_TTAFStock'!AX25&lt;&gt;""),'T_TTAFStock'!AX25,AW21+'Grid_Incoming'!AX21-'Grid_TTAFOutgoing'!AX21))</f>
        <v/>
      </c>
      <c r="AY21">
        <f>IF(COUNTIFS(T_StockCount[Part Name],$A21,T_StockCount[WeekIndex],50)&gt;0,0,IF(('T_TTAFStock'!AY25&lt;&gt;""),'T_TTAFStock'!AY25,AX21+'Grid_Incoming'!AY21-'Grid_TTAFOutgoing'!AY21))</f>
        <v/>
      </c>
      <c r="AZ21">
        <f>IF(COUNTIFS(T_StockCount[Part Name],$A21,T_StockCount[WeekIndex],51)&gt;0,0,IF(('T_TTAFStock'!AZ25&lt;&gt;""),'T_TTAFStock'!AZ25,AY21+'Grid_Incoming'!AZ21-'Grid_TTAFOutgoing'!AZ21))</f>
        <v/>
      </c>
      <c r="BA21">
        <f>IF(COUNTIFS(T_StockCount[Part Name],$A21,T_StockCount[WeekIndex],52)&gt;0,0,IF(('T_TTAFStock'!BA25&lt;&gt;""),'T_TTAFStock'!BA25,AZ21+'Grid_Incoming'!BA21-'Grid_TTAFOutgoing'!BA21))</f>
        <v/>
      </c>
      <c r="BB21">
        <f>IF(COUNTIFS(T_StockCount[Part Name],$A21,T_StockCount[WeekIndex],53)&gt;0,0,IF(('T_TTAFStock'!BB25&lt;&gt;""),'T_TTAFStock'!BB25,BA21+'Grid_Incoming'!BB21-'Grid_TTAFOutgoing'!BB21))</f>
        <v/>
      </c>
      <c r="BC21">
        <f>IF(COUNTIFS(T_StockCount[Part Name],$A21,T_StockCount[WeekIndex],54)&gt;0,0,IF(('T_TTAFStock'!BC25&lt;&gt;""),'T_TTAFStock'!BC25,BB21+'Grid_Incoming'!BC21-'Grid_TTAFOutgoing'!BC21))</f>
        <v/>
      </c>
      <c r="BD21">
        <f>IF(COUNTIFS(T_StockCount[Part Name],$A21,T_StockCount[WeekIndex],55)&gt;0,0,IF(('T_TTAFStock'!BD25&lt;&gt;""),'T_TTAFStock'!BD25,BC21+'Grid_Incoming'!BD21-'Grid_TTAFOutgoing'!BD21))</f>
        <v/>
      </c>
      <c r="BE21">
        <f>IF(COUNTIFS(T_StockCount[Part Name],$A21,T_StockCount[WeekIndex],56)&gt;0,0,IF(('T_TTAFStock'!BE25&lt;&gt;""),'T_TTAFStock'!BE25,BD21+'Grid_Incoming'!BE21-'Grid_TTAFOutgoing'!BE21))</f>
        <v/>
      </c>
      <c r="BF21">
        <f>IF(COUNTIFS(T_StockCount[Part Name],$A21,T_StockCount[WeekIndex],57)&gt;0,0,IF(('T_TTAFStock'!BF25&lt;&gt;""),'T_TTAFStock'!BF25,BE21+'Grid_Incoming'!BF21-'Grid_TTAFOutgoing'!BF21))</f>
        <v/>
      </c>
      <c r="BG21">
        <f>IF(COUNTIFS(T_StockCount[Part Name],$A21,T_StockCount[WeekIndex],58)&gt;0,0,IF(('T_TTAFStock'!BG25&lt;&gt;""),'T_TTAFStock'!BG25,BF21+'Grid_Incoming'!BG21-'Grid_TTAFOutgoing'!BG21))</f>
        <v/>
      </c>
      <c r="BH21">
        <f>IF(COUNTIFS(T_StockCount[Part Name],$A21,T_StockCount[WeekIndex],59)&gt;0,0,IF(('T_TTAFStock'!BH25&lt;&gt;""),'T_TTAFStock'!BH25,BG21+'Grid_Incoming'!BH21-'Grid_TTAFOutgoing'!BH21))</f>
        <v/>
      </c>
      <c r="BI21">
        <f>IF(COUNTIFS(T_StockCount[Part Name],$A21,T_StockCount[WeekIndex],60)&gt;0,0,IF(('T_TTAFStock'!BI25&lt;&gt;""),'T_TTAFStock'!BI25,BH21+'Grid_Incoming'!BI21-'Grid_TTAFOutgoing'!BI21))</f>
        <v/>
      </c>
      <c r="BJ21">
        <f>IF(COUNTIFS(T_StockCount[Part Name],$A21,T_StockCount[WeekIndex],61)&gt;0,0,IF(('T_TTAFStock'!BJ25&lt;&gt;""),'T_TTAFStock'!BJ25,BI21+'Grid_Incoming'!BJ21-'Grid_TTAFOutgoing'!BJ21))</f>
        <v/>
      </c>
      <c r="BK21">
        <f>IF(COUNTIFS(T_StockCount[Part Name],$A21,T_StockCount[WeekIndex],62)&gt;0,0,IF(('T_TTAFStock'!BK25&lt;&gt;""),'T_TTAFStock'!BK25,BJ21+'Grid_Incoming'!BK21-'Grid_TTAFOutgoing'!BK21))</f>
        <v/>
      </c>
      <c r="BL21">
        <f>IF(COUNTIFS(T_StockCount[Part Name],$A21,T_StockCount[WeekIndex],63)&gt;0,0,IF(('T_TTAFStock'!BL25&lt;&gt;""),'T_TTAFStock'!BL25,BK21+'Grid_Incoming'!BL21-'Grid_TTAFOutgoing'!BL21))</f>
        <v/>
      </c>
      <c r="BM21">
        <f>IF(COUNTIFS(T_StockCount[Part Name],$A21,T_StockCount[WeekIndex],64)&gt;0,0,IF(('T_TTAFStock'!BM25&lt;&gt;""),'T_TTAFStock'!BM25,BL21+'Grid_Incoming'!BM21-'Grid_TTAFOutgoing'!BM21))</f>
        <v/>
      </c>
      <c r="BN21">
        <f>IF(COUNTIFS(T_StockCount[Part Name],$A21,T_StockCount[WeekIndex],65)&gt;0,0,IF(('T_TTAFStock'!BN25&lt;&gt;""),'T_TTAFStock'!BN25,BM21+'Grid_Incoming'!BN21-'Grid_TTAFOutgoing'!BN21))</f>
        <v/>
      </c>
      <c r="BO21">
        <f>IF(COUNTIFS(T_StockCount[Part Name],$A21,T_StockCount[WeekIndex],66)&gt;0,0,IF(('T_TTAFStock'!BO25&lt;&gt;""),'T_TTAFStock'!BO25,BN21+'Grid_Incoming'!BO21-'Grid_TTAFOutgoing'!BO21))</f>
        <v/>
      </c>
      <c r="BP21">
        <f>IF(COUNTIFS(T_StockCount[Part Name],$A21,T_StockCount[WeekIndex],67)&gt;0,0,IF(('T_TTAFStock'!BP25&lt;&gt;""),'T_TTAFStock'!BP25,BO21+'Grid_Incoming'!BP21-'Grid_TTAFOutgoing'!BP21))</f>
        <v/>
      </c>
      <c r="BQ21">
        <f>IF(COUNTIFS(T_StockCount[Part Name],$A21,T_StockCount[WeekIndex],68)&gt;0,0,IF(('T_TTAFStock'!BQ25&lt;&gt;""),'T_TTAFStock'!BQ25,BP21+'Grid_Incoming'!BQ21-'Grid_TTAFOutgoing'!BQ21))</f>
        <v/>
      </c>
      <c r="BR21">
        <f>IF(COUNTIFS(T_StockCount[Part Name],$A21,T_StockCount[WeekIndex],69)&gt;0,0,IF(('T_TTAFStock'!BR25&lt;&gt;""),'T_TTAFStock'!BR25,BQ21+'Grid_Incoming'!BR21-'Grid_TTAFOutgoing'!BR21))</f>
        <v/>
      </c>
      <c r="BS21">
        <f>IF(COUNTIFS(T_StockCount[Part Name],$A21,T_StockCount[WeekIndex],70)&gt;0,0,IF(('T_TTAFStock'!BS25&lt;&gt;""),'T_TTAFStock'!BS25,BR21+'Grid_Incoming'!BS21-'Grid_TTAFOutgoing'!BS21))</f>
        <v/>
      </c>
      <c r="BT21">
        <f>IF(COUNTIFS(T_StockCount[Part Name],$A21,T_StockCount[WeekIndex],71)&gt;0,0,IF(('T_TTAFStock'!BT25&lt;&gt;""),'T_TTAFStock'!BT25,BS21+'Grid_Incoming'!BT21-'Grid_TTAFOutgoing'!BT21))</f>
        <v/>
      </c>
      <c r="BU21">
        <f>IF(COUNTIFS(T_StockCount[Part Name],$A21,T_StockCount[WeekIndex],72)&gt;0,0,IF(('T_TTAFStock'!BU25&lt;&gt;""),'T_TTAFStock'!BU25,BT21+'Grid_Incoming'!BU21-'Grid_TTAFOutgoing'!BU21))</f>
        <v/>
      </c>
      <c r="BV21">
        <f>IF(COUNTIFS(T_StockCount[Part Name],$A21,T_StockCount[WeekIndex],73)&gt;0,0,IF(('T_TTAFStock'!BV25&lt;&gt;""),'T_TTAFStock'!BV25,BU21+'Grid_Incoming'!BV21-'Grid_TTAFOutgoing'!BV21))</f>
        <v/>
      </c>
      <c r="BW21">
        <f>IF(COUNTIFS(T_StockCount[Part Name],$A21,T_StockCount[WeekIndex],74)&gt;0,0,IF(('T_TTAFStock'!BW25&lt;&gt;""),'T_TTAFStock'!BW25,BV21+'Grid_Incoming'!BW21-'Grid_TTAFOutgoing'!BW21))</f>
        <v/>
      </c>
      <c r="BX21">
        <f>IF(COUNTIFS(T_StockCount[Part Name],$A21,T_StockCount[WeekIndex],75)&gt;0,0,IF(('T_TTAFStock'!BX25&lt;&gt;""),'T_TTAFStock'!BX25,BW21+'Grid_Incoming'!BX21-'Grid_TTAFOutgoing'!BX21))</f>
        <v/>
      </c>
      <c r="BY21">
        <f>IF(COUNTIFS(T_StockCount[Part Name],$A21,T_StockCount[WeekIndex],76)&gt;0,0,IF(('T_TTAFStock'!BY25&lt;&gt;""),'T_TTAFStock'!BY25,BX21+'Grid_Incoming'!BY21-'Grid_TTAFOutgoing'!BY21))</f>
        <v/>
      </c>
      <c r="BZ21">
        <f>IF(COUNTIFS(T_StockCount[Part Name],$A21,T_StockCount[WeekIndex],77)&gt;0,0,IF(('T_TTAFStock'!BZ25&lt;&gt;""),'T_TTAFStock'!BZ25,BY21+'Grid_Incoming'!BZ21-'Grid_TTAFOutgoing'!BZ21))</f>
        <v/>
      </c>
      <c r="CA21">
        <f>IF(COUNTIFS(T_StockCount[Part Name],$A21,T_StockCount[WeekIndex],78)&gt;0,0,IF(('T_TTAFStock'!CA25&lt;&gt;""),'T_TTAFStock'!CA25,BZ21+'Grid_Incoming'!CA21-'Grid_TTAFOutgoing'!CA21))</f>
        <v/>
      </c>
      <c r="CB21">
        <f>IF(COUNTIFS(T_StockCount[Part Name],$A21,T_StockCount[WeekIndex],79)&gt;0,0,IF(('T_TTAFStock'!CB25&lt;&gt;""),'T_TTAFStock'!CB25,CA21+'Grid_Incoming'!CB21-'Grid_TTAFOutgoing'!CB21))</f>
        <v/>
      </c>
      <c r="CC21">
        <f>IF(COUNTIFS(T_StockCount[Part Name],$A21,T_StockCount[WeekIndex],80)&gt;0,0,IF(('T_TTAFStock'!CC25&lt;&gt;""),'T_TTAFStock'!CC25,CB21+'Grid_Incoming'!CC21-'Grid_TTAFOutgoing'!CC21))</f>
        <v/>
      </c>
      <c r="CD21">
        <f>IF(COUNTIFS(T_StockCount[Part Name],$A21,T_StockCount[WeekIndex],81)&gt;0,0,IF(('T_TTAFStock'!CD25&lt;&gt;""),'T_TTAFStock'!CD25,CC21+'Grid_Incoming'!CD21-'Grid_TTAFOutgoing'!CD21))</f>
        <v/>
      </c>
      <c r="CE21">
        <f>IF(COUNTIFS(T_StockCount[Part Name],$A21,T_StockCount[WeekIndex],82)&gt;0,0,IF(('T_TTAFStock'!CE25&lt;&gt;""),'T_TTAFStock'!CE25,CD21+'Grid_Incoming'!CE21-'Grid_TTAFOutgoing'!CE21))</f>
        <v/>
      </c>
      <c r="CF21">
        <f>IF(COUNTIFS(T_StockCount[Part Name],$A21,T_StockCount[WeekIndex],83)&gt;0,0,IF(('T_TTAFStock'!CF25&lt;&gt;""),'T_TTAFStock'!CF25,CE21+'Grid_Incoming'!CF21-'Grid_TTAFOutgoing'!CF21))</f>
        <v/>
      </c>
      <c r="CG21">
        <f>IF(COUNTIFS(T_StockCount[Part Name],$A21,T_StockCount[WeekIndex],84)&gt;0,0,IF(('T_TTAFStock'!CG25&lt;&gt;""),'T_TTAFStock'!CG25,CF21+'Grid_Incoming'!CG21-'Grid_TTAFOutgoing'!CG21))</f>
        <v/>
      </c>
      <c r="CH21">
        <f>IF(COUNTIFS(T_StockCount[Part Name],$A21,T_StockCount[WeekIndex],85)&gt;0,0,IF(('T_TTAFStock'!CH25&lt;&gt;""),'T_TTAFStock'!CH25,CG21+'Grid_Incoming'!CH21-'Grid_TTAFOutgoing'!CH21))</f>
        <v/>
      </c>
      <c r="CI21">
        <f>IF(COUNTIFS(T_StockCount[Part Name],$A21,T_StockCount[WeekIndex],86)&gt;0,0,IF(('T_TTAFStock'!CI25&lt;&gt;""),'T_TTAFStock'!CI25,CH21+'Grid_Incoming'!CI21-'Grid_TTAFOutgoing'!CI21))</f>
        <v/>
      </c>
      <c r="CJ21">
        <f>IF(COUNTIFS(T_StockCount[Part Name],$A21,T_StockCount[WeekIndex],87)&gt;0,0,IF(('T_TTAFStock'!CJ25&lt;&gt;""),'T_TTAFStock'!CJ25,CI21+'Grid_Incoming'!CJ21-'Grid_TTAFOutgoing'!CJ21))</f>
        <v/>
      </c>
      <c r="CK21">
        <f>IF(COUNTIFS(T_StockCount[Part Name],$A21,T_StockCount[WeekIndex],88)&gt;0,0,IF(('T_TTAFStock'!CK25&lt;&gt;""),'T_TTAFStock'!CK25,CJ21+'Grid_Incoming'!CK21-'Grid_TTAFOutgoing'!CK21))</f>
        <v/>
      </c>
      <c r="CL21">
        <f>IF(COUNTIFS(T_StockCount[Part Name],$A21,T_StockCount[WeekIndex],89)&gt;0,0,IF(('T_TTAFStock'!CL25&lt;&gt;""),'T_TTAFStock'!CL25,CK21+'Grid_Incoming'!CL21-'Grid_TTAFOutgoing'!CL21))</f>
        <v/>
      </c>
      <c r="CM21">
        <f>IF(COUNTIFS(T_StockCount[Part Name],$A21,T_StockCount[WeekIndex],90)&gt;0,0,IF(('T_TTAFStock'!CM25&lt;&gt;""),'T_TTAFStock'!CM25,CL21+'Grid_Incoming'!CM21-'Grid_TTAFOutgoing'!CM21))</f>
        <v/>
      </c>
      <c r="CN21">
        <f>IF(COUNTIFS(T_StockCount[Part Name],$A21,T_StockCount[WeekIndex],91)&gt;0,0,IF(('T_TTAFStock'!CN25&lt;&gt;""),'T_TTAFStock'!CN25,CM21+'Grid_Incoming'!CN21-'Grid_TTAFOutgoing'!CN21))</f>
        <v/>
      </c>
      <c r="CO21">
        <f>IF(COUNTIFS(T_StockCount[Part Name],$A21,T_StockCount[WeekIndex],92)&gt;0,0,IF(('T_TTAFStock'!CO25&lt;&gt;""),'T_TTAFStock'!CO25,CN21+'Grid_Incoming'!CO21-'Grid_TTAFOutgoing'!CO21))</f>
        <v/>
      </c>
      <c r="CP21">
        <f>IF(COUNTIFS(T_StockCount[Part Name],$A21,T_StockCount[WeekIndex],93)&gt;0,0,IF(('T_TTAFStock'!CP25&lt;&gt;""),'T_TTAFStock'!CP25,CO21+'Grid_Incoming'!CP21-'Grid_TTAFOutgoing'!CP21))</f>
        <v/>
      </c>
      <c r="CQ21">
        <f>IF(COUNTIFS(T_StockCount[Part Name],$A21,T_StockCount[WeekIndex],94)&gt;0,0,IF(('T_TTAFStock'!CQ25&lt;&gt;""),'T_TTAFStock'!CQ25,CP21+'Grid_Incoming'!CQ21-'Grid_TTAFOutgoing'!CQ21))</f>
        <v/>
      </c>
      <c r="CR21">
        <f>IF(COUNTIFS(T_StockCount[Part Name],$A21,T_StockCount[WeekIndex],95)&gt;0,0,IF(('T_TTAFStock'!CR25&lt;&gt;""),'T_TTAFStock'!CR25,CQ21+'Grid_Incoming'!CR21-'Grid_TTAFOutgoing'!CR21))</f>
        <v/>
      </c>
      <c r="CS21">
        <f>IF(COUNTIFS(T_StockCount[Part Name],$A21,T_StockCount[WeekIndex],96)&gt;0,0,IF(('T_TTAFStock'!CS25&lt;&gt;""),'T_TTAFStock'!CS25,CR21+'Grid_Incoming'!CS21-'Grid_TTAFOutgoing'!CS21))</f>
        <v/>
      </c>
      <c r="CT21">
        <f>IF(COUNTIFS(T_StockCount[Part Name],$A21,T_StockCount[WeekIndex],97)&gt;0,0,IF(('T_TTAFStock'!CT25&lt;&gt;""),'T_TTAFStock'!CT25,CS21+'Grid_Incoming'!CT21-'Grid_TTAFOutgoing'!CT21))</f>
        <v/>
      </c>
      <c r="CU21">
        <f>IF(COUNTIFS(T_StockCount[Part Name],$A21,T_StockCount[WeekIndex],98)&gt;0,0,IF(('T_TTAFStock'!CU25&lt;&gt;""),'T_TTAFStock'!CU25,CT21+'Grid_Incoming'!CU21-'Grid_TTAFOutgoing'!CU21))</f>
        <v/>
      </c>
      <c r="CV21">
        <f>IF(COUNTIFS(T_StockCount[Part Name],$A21,T_StockCount[WeekIndex],99)&gt;0,0,IF(('T_TTAFStock'!CV25&lt;&gt;""),'T_TTAFStock'!CV25,CU21+'Grid_Incoming'!CV21-'Grid_TTAFOutgoing'!CV21))</f>
        <v/>
      </c>
      <c r="CW21">
        <f>IF(COUNTIFS(T_StockCount[Part Name],$A21,T_StockCount[WeekIndex],100)&gt;0,0,IF(('T_TTAFStock'!CW25&lt;&gt;""),'T_TTAFStock'!CW25,CV21+'Grid_Incoming'!CW21-'Grid_TTAFOutgoing'!CW21))</f>
        <v/>
      </c>
      <c r="CX21">
        <f>IF(COUNTIFS(T_StockCount[Part Name],$A21,T_StockCount[WeekIndex],101)&gt;0,0,IF(('T_TTAFStock'!CX25&lt;&gt;""),'T_TTAFStock'!CX25,CW21+'Grid_Incoming'!CX21-'Grid_TTAFOutgoing'!CX21))</f>
        <v/>
      </c>
      <c r="CY21">
        <f>IF(COUNTIFS(T_StockCount[Part Name],$A21,T_StockCount[WeekIndex],102)&gt;0,0,IF(('T_TTAFStock'!CY25&lt;&gt;""),'T_TTAFStock'!CY25,CX21+'Grid_Incoming'!CY21-'Grid_TTAFOutgoing'!CY21))</f>
        <v/>
      </c>
      <c r="CZ21">
        <f>IF(COUNTIFS(T_StockCount[Part Name],$A21,T_StockCount[WeekIndex],103)&gt;0,0,IF(('T_TTAFStock'!CZ25&lt;&gt;""),'T_TTAFStock'!CZ25,CY21+'Grid_Incoming'!CZ21-'Grid_TTAFOutgoing'!CZ21))</f>
        <v/>
      </c>
      <c r="DA21">
        <f>IF(COUNTIFS(T_StockCount[Part Name],$A21,T_StockCount[WeekIndex],104)&gt;0,0,IF(('T_TTAFStock'!DA25&lt;&gt;""),'T_TTAFStock'!DA25,CZ21+'Grid_Incoming'!DA21-'Grid_TTAFOutgoing'!DA21))</f>
        <v/>
      </c>
    </row>
    <row r="22">
      <c r="A22" t="inlineStr">
        <is>
          <t>0JN</t>
        </is>
      </c>
      <c r="B22">
        <f>IF(COUNTIFS(T_StockCount[Part Name],$A22,T_StockCount[WeekIndex],1)&gt;0,0,IF(('T_TTAFStock'!B26&lt;&gt;""),'T_TTAFStock'!B26,0+'Grid_Incoming'!B22-'Grid_TTAFOutgoing'!B22))</f>
        <v/>
      </c>
      <c r="C22">
        <f>IF(COUNTIFS(T_StockCount[Part Name],$A22,T_StockCount[WeekIndex],2)&gt;0,0,IF(('T_TTAFStock'!C26&lt;&gt;""),'T_TTAFStock'!C26,B22+'Grid_Incoming'!C22-'Grid_TTAFOutgoing'!C22))</f>
        <v/>
      </c>
      <c r="D22">
        <f>IF(COUNTIFS(T_StockCount[Part Name],$A22,T_StockCount[WeekIndex],3)&gt;0,0,IF(('T_TTAFStock'!D26&lt;&gt;""),'T_TTAFStock'!D26,C22+'Grid_Incoming'!D22-'Grid_TTAFOutgoing'!D22))</f>
        <v/>
      </c>
      <c r="E22">
        <f>IF(COUNTIFS(T_StockCount[Part Name],$A22,T_StockCount[WeekIndex],4)&gt;0,0,IF(('T_TTAFStock'!E26&lt;&gt;""),'T_TTAFStock'!E26,D22+'Grid_Incoming'!E22-'Grid_TTAFOutgoing'!E22))</f>
        <v/>
      </c>
      <c r="F22">
        <f>IF(COUNTIFS(T_StockCount[Part Name],$A22,T_StockCount[WeekIndex],5)&gt;0,0,IF(('T_TTAFStock'!F26&lt;&gt;""),'T_TTAFStock'!F26,E22+'Grid_Incoming'!F22-'Grid_TTAFOutgoing'!F22))</f>
        <v/>
      </c>
      <c r="G22">
        <f>IF(COUNTIFS(T_StockCount[Part Name],$A22,T_StockCount[WeekIndex],6)&gt;0,0,IF(('T_TTAFStock'!G26&lt;&gt;""),'T_TTAFStock'!G26,F22+'Grid_Incoming'!G22-'Grid_TTAFOutgoing'!G22))</f>
        <v/>
      </c>
      <c r="H22">
        <f>IF(COUNTIFS(T_StockCount[Part Name],$A22,T_StockCount[WeekIndex],7)&gt;0,0,IF(('T_TTAFStock'!H26&lt;&gt;""),'T_TTAFStock'!H26,G22+'Grid_Incoming'!H22-'Grid_TTAFOutgoing'!H22))</f>
        <v/>
      </c>
      <c r="I22">
        <f>IF(COUNTIFS(T_StockCount[Part Name],$A22,T_StockCount[WeekIndex],8)&gt;0,0,IF(('T_TTAFStock'!I26&lt;&gt;""),'T_TTAFStock'!I26,H22+'Grid_Incoming'!I22-'Grid_TTAFOutgoing'!I22))</f>
        <v/>
      </c>
      <c r="J22">
        <f>IF(COUNTIFS(T_StockCount[Part Name],$A22,T_StockCount[WeekIndex],9)&gt;0,0,IF(('T_TTAFStock'!J26&lt;&gt;""),'T_TTAFStock'!J26,I22+'Grid_Incoming'!J22-'Grid_TTAFOutgoing'!J22))</f>
        <v/>
      </c>
      <c r="K22">
        <f>IF(COUNTIFS(T_StockCount[Part Name],$A22,T_StockCount[WeekIndex],10)&gt;0,0,IF(('T_TTAFStock'!K26&lt;&gt;""),'T_TTAFStock'!K26,J22+'Grid_Incoming'!K22-'Grid_TTAFOutgoing'!K22))</f>
        <v/>
      </c>
      <c r="L22">
        <f>IF(COUNTIFS(T_StockCount[Part Name],$A22,T_StockCount[WeekIndex],11)&gt;0,0,IF(('T_TTAFStock'!L26&lt;&gt;""),'T_TTAFStock'!L26,K22+'Grid_Incoming'!L22-'Grid_TTAFOutgoing'!L22))</f>
        <v/>
      </c>
      <c r="M22">
        <f>IF(COUNTIFS(T_StockCount[Part Name],$A22,T_StockCount[WeekIndex],12)&gt;0,0,IF(('T_TTAFStock'!M26&lt;&gt;""),'T_TTAFStock'!M26,L22+'Grid_Incoming'!M22-'Grid_TTAFOutgoing'!M22))</f>
        <v/>
      </c>
      <c r="N22">
        <f>IF(COUNTIFS(T_StockCount[Part Name],$A22,T_StockCount[WeekIndex],13)&gt;0,0,IF(('T_TTAFStock'!N26&lt;&gt;""),'T_TTAFStock'!N26,M22+'Grid_Incoming'!N22-'Grid_TTAFOutgoing'!N22))</f>
        <v/>
      </c>
      <c r="O22">
        <f>IF(COUNTIFS(T_StockCount[Part Name],$A22,T_StockCount[WeekIndex],14)&gt;0,0,IF(('T_TTAFStock'!O26&lt;&gt;""),'T_TTAFStock'!O26,N22+'Grid_Incoming'!O22-'Grid_TTAFOutgoing'!O22))</f>
        <v/>
      </c>
      <c r="P22">
        <f>IF(COUNTIFS(T_StockCount[Part Name],$A22,T_StockCount[WeekIndex],15)&gt;0,0,IF(('T_TTAFStock'!P26&lt;&gt;""),'T_TTAFStock'!P26,O22+'Grid_Incoming'!P22-'Grid_TTAFOutgoing'!P22))</f>
        <v/>
      </c>
      <c r="Q22">
        <f>IF(COUNTIFS(T_StockCount[Part Name],$A22,T_StockCount[WeekIndex],16)&gt;0,0,IF(('T_TTAFStock'!Q26&lt;&gt;""),'T_TTAFStock'!Q26,P22+'Grid_Incoming'!Q22-'Grid_TTAFOutgoing'!Q22))</f>
        <v/>
      </c>
      <c r="R22">
        <f>IF(COUNTIFS(T_StockCount[Part Name],$A22,T_StockCount[WeekIndex],17)&gt;0,0,IF(('T_TTAFStock'!R26&lt;&gt;""),'T_TTAFStock'!R26,Q22+'Grid_Incoming'!R22-'Grid_TTAFOutgoing'!R22))</f>
        <v/>
      </c>
      <c r="S22">
        <f>IF(COUNTIFS(T_StockCount[Part Name],$A22,T_StockCount[WeekIndex],18)&gt;0,0,IF(('T_TTAFStock'!S26&lt;&gt;""),'T_TTAFStock'!S26,R22+'Grid_Incoming'!S22-'Grid_TTAFOutgoing'!S22))</f>
        <v/>
      </c>
      <c r="T22">
        <f>IF(COUNTIFS(T_StockCount[Part Name],$A22,T_StockCount[WeekIndex],19)&gt;0,0,IF(('T_TTAFStock'!T26&lt;&gt;""),'T_TTAFStock'!T26,S22+'Grid_Incoming'!T22-'Grid_TTAFOutgoing'!T22))</f>
        <v/>
      </c>
      <c r="U22">
        <f>IF(COUNTIFS(T_StockCount[Part Name],$A22,T_StockCount[WeekIndex],20)&gt;0,0,IF(('T_TTAFStock'!U26&lt;&gt;""),'T_TTAFStock'!U26,T22+'Grid_Incoming'!U22-'Grid_TTAFOutgoing'!U22))</f>
        <v/>
      </c>
      <c r="V22">
        <f>IF(COUNTIFS(T_StockCount[Part Name],$A22,T_StockCount[WeekIndex],21)&gt;0,0,IF(('T_TTAFStock'!V26&lt;&gt;""),'T_TTAFStock'!V26,U22+'Grid_Incoming'!V22-'Grid_TTAFOutgoing'!V22))</f>
        <v/>
      </c>
      <c r="W22">
        <f>IF(COUNTIFS(T_StockCount[Part Name],$A22,T_StockCount[WeekIndex],22)&gt;0,0,IF(('T_TTAFStock'!W26&lt;&gt;""),'T_TTAFStock'!W26,V22+'Grid_Incoming'!W22-'Grid_TTAFOutgoing'!W22))</f>
        <v/>
      </c>
      <c r="X22">
        <f>IF(COUNTIFS(T_StockCount[Part Name],$A22,T_StockCount[WeekIndex],23)&gt;0,0,IF(('T_TTAFStock'!X26&lt;&gt;""),'T_TTAFStock'!X26,W22+'Grid_Incoming'!X22-'Grid_TTAFOutgoing'!X22))</f>
        <v/>
      </c>
      <c r="Y22">
        <f>IF(COUNTIFS(T_StockCount[Part Name],$A22,T_StockCount[WeekIndex],24)&gt;0,0,IF(('T_TTAFStock'!Y26&lt;&gt;""),'T_TTAFStock'!Y26,X22+'Grid_Incoming'!Y22-'Grid_TTAFOutgoing'!Y22))</f>
        <v/>
      </c>
      <c r="Z22">
        <f>IF(COUNTIFS(T_StockCount[Part Name],$A22,T_StockCount[WeekIndex],25)&gt;0,0,IF(('T_TTAFStock'!Z26&lt;&gt;""),'T_TTAFStock'!Z26,Y22+'Grid_Incoming'!Z22-'Grid_TTAFOutgoing'!Z22))</f>
        <v/>
      </c>
      <c r="AA22">
        <f>IF(COUNTIFS(T_StockCount[Part Name],$A22,T_StockCount[WeekIndex],26)&gt;0,0,IF(('T_TTAFStock'!AA26&lt;&gt;""),'T_TTAFStock'!AA26,Z22+'Grid_Incoming'!AA22-'Grid_TTAFOutgoing'!AA22))</f>
        <v/>
      </c>
      <c r="AB22">
        <f>IF(COUNTIFS(T_StockCount[Part Name],$A22,T_StockCount[WeekIndex],27)&gt;0,0,IF(('T_TTAFStock'!AB26&lt;&gt;""),'T_TTAFStock'!AB26,AA22+'Grid_Incoming'!AB22-'Grid_TTAFOutgoing'!AB22))</f>
        <v/>
      </c>
      <c r="AC22">
        <f>IF(COUNTIFS(T_StockCount[Part Name],$A22,T_StockCount[WeekIndex],28)&gt;0,0,IF(('T_TTAFStock'!AC26&lt;&gt;""),'T_TTAFStock'!AC26,AB22+'Grid_Incoming'!AC22-'Grid_TTAFOutgoing'!AC22))</f>
        <v/>
      </c>
      <c r="AD22">
        <f>IF(COUNTIFS(T_StockCount[Part Name],$A22,T_StockCount[WeekIndex],29)&gt;0,0,IF(('T_TTAFStock'!AD26&lt;&gt;""),'T_TTAFStock'!AD26,AC22+'Grid_Incoming'!AD22-'Grid_TTAFOutgoing'!AD22))</f>
        <v/>
      </c>
      <c r="AE22">
        <f>IF(COUNTIFS(T_StockCount[Part Name],$A22,T_StockCount[WeekIndex],30)&gt;0,0,IF(('T_TTAFStock'!AE26&lt;&gt;""),'T_TTAFStock'!AE26,AD22+'Grid_Incoming'!AE22-'Grid_TTAFOutgoing'!AE22))</f>
        <v/>
      </c>
      <c r="AF22">
        <f>IF(COUNTIFS(T_StockCount[Part Name],$A22,T_StockCount[WeekIndex],31)&gt;0,0,IF(('T_TTAFStock'!AF26&lt;&gt;""),'T_TTAFStock'!AF26,AE22+'Grid_Incoming'!AF22-'Grid_TTAFOutgoing'!AF22))</f>
        <v/>
      </c>
      <c r="AG22">
        <f>IF(COUNTIFS(T_StockCount[Part Name],$A22,T_StockCount[WeekIndex],32)&gt;0,0,IF(('T_TTAFStock'!AG26&lt;&gt;""),'T_TTAFStock'!AG26,AF22+'Grid_Incoming'!AG22-'Grid_TTAFOutgoing'!AG22))</f>
        <v/>
      </c>
      <c r="AH22">
        <f>IF(COUNTIFS(T_StockCount[Part Name],$A22,T_StockCount[WeekIndex],33)&gt;0,0,IF(('T_TTAFStock'!AH26&lt;&gt;""),'T_TTAFStock'!AH26,AG22+'Grid_Incoming'!AH22-'Grid_TTAFOutgoing'!AH22))</f>
        <v/>
      </c>
      <c r="AI22">
        <f>IF(COUNTIFS(T_StockCount[Part Name],$A22,T_StockCount[WeekIndex],34)&gt;0,0,IF(('T_TTAFStock'!AI26&lt;&gt;""),'T_TTAFStock'!AI26,AH22+'Grid_Incoming'!AI22-'Grid_TTAFOutgoing'!AI22))</f>
        <v/>
      </c>
      <c r="AJ22">
        <f>IF(COUNTIFS(T_StockCount[Part Name],$A22,T_StockCount[WeekIndex],35)&gt;0,0,IF(('T_TTAFStock'!AJ26&lt;&gt;""),'T_TTAFStock'!AJ26,AI22+'Grid_Incoming'!AJ22-'Grid_TTAFOutgoing'!AJ22))</f>
        <v/>
      </c>
      <c r="AK22">
        <f>IF(COUNTIFS(T_StockCount[Part Name],$A22,T_StockCount[WeekIndex],36)&gt;0,0,IF(('T_TTAFStock'!AK26&lt;&gt;""),'T_TTAFStock'!AK26,AJ22+'Grid_Incoming'!AK22-'Grid_TTAFOutgoing'!AK22))</f>
        <v/>
      </c>
      <c r="AL22">
        <f>IF(COUNTIFS(T_StockCount[Part Name],$A22,T_StockCount[WeekIndex],37)&gt;0,0,IF(('T_TTAFStock'!AL26&lt;&gt;""),'T_TTAFStock'!AL26,AK22+'Grid_Incoming'!AL22-'Grid_TTAFOutgoing'!AL22))</f>
        <v/>
      </c>
      <c r="AM22">
        <f>IF(COUNTIFS(T_StockCount[Part Name],$A22,T_StockCount[WeekIndex],38)&gt;0,0,IF(('T_TTAFStock'!AM26&lt;&gt;""),'T_TTAFStock'!AM26,AL22+'Grid_Incoming'!AM22-'Grid_TTAFOutgoing'!AM22))</f>
        <v/>
      </c>
      <c r="AN22">
        <f>IF(COUNTIFS(T_StockCount[Part Name],$A22,T_StockCount[WeekIndex],39)&gt;0,0,IF(('T_TTAFStock'!AN26&lt;&gt;""),'T_TTAFStock'!AN26,AM22+'Grid_Incoming'!AN22-'Grid_TTAFOutgoing'!AN22))</f>
        <v/>
      </c>
      <c r="AO22">
        <f>IF(COUNTIFS(T_StockCount[Part Name],$A22,T_StockCount[WeekIndex],40)&gt;0,0,IF(('T_TTAFStock'!AO26&lt;&gt;""),'T_TTAFStock'!AO26,AN22+'Grid_Incoming'!AO22-'Grid_TTAFOutgoing'!AO22))</f>
        <v/>
      </c>
      <c r="AP22">
        <f>IF(COUNTIFS(T_StockCount[Part Name],$A22,T_StockCount[WeekIndex],41)&gt;0,0,IF(('T_TTAFStock'!AP26&lt;&gt;""),'T_TTAFStock'!AP26,AO22+'Grid_Incoming'!AP22-'Grid_TTAFOutgoing'!AP22))</f>
        <v/>
      </c>
      <c r="AQ22">
        <f>IF(COUNTIFS(T_StockCount[Part Name],$A22,T_StockCount[WeekIndex],42)&gt;0,0,IF(('T_TTAFStock'!AQ26&lt;&gt;""),'T_TTAFStock'!AQ26,AP22+'Grid_Incoming'!AQ22-'Grid_TTAFOutgoing'!AQ22))</f>
        <v/>
      </c>
      <c r="AR22">
        <f>IF(COUNTIFS(T_StockCount[Part Name],$A22,T_StockCount[WeekIndex],43)&gt;0,0,IF(('T_TTAFStock'!AR26&lt;&gt;""),'T_TTAFStock'!AR26,AQ22+'Grid_Incoming'!AR22-'Grid_TTAFOutgoing'!AR22))</f>
        <v/>
      </c>
      <c r="AS22">
        <f>IF(COUNTIFS(T_StockCount[Part Name],$A22,T_StockCount[WeekIndex],44)&gt;0,0,IF(('T_TTAFStock'!AS26&lt;&gt;""),'T_TTAFStock'!AS26,AR22+'Grid_Incoming'!AS22-'Grid_TTAFOutgoing'!AS22))</f>
        <v/>
      </c>
      <c r="AT22">
        <f>IF(COUNTIFS(T_StockCount[Part Name],$A22,T_StockCount[WeekIndex],45)&gt;0,0,IF(('T_TTAFStock'!AT26&lt;&gt;""),'T_TTAFStock'!AT26,AS22+'Grid_Incoming'!AT22-'Grid_TTAFOutgoing'!AT22))</f>
        <v/>
      </c>
      <c r="AU22">
        <f>IF(COUNTIFS(T_StockCount[Part Name],$A22,T_StockCount[WeekIndex],46)&gt;0,0,IF(('T_TTAFStock'!AU26&lt;&gt;""),'T_TTAFStock'!AU26,AT22+'Grid_Incoming'!AU22-'Grid_TTAFOutgoing'!AU22))</f>
        <v/>
      </c>
      <c r="AV22">
        <f>IF(COUNTIFS(T_StockCount[Part Name],$A22,T_StockCount[WeekIndex],47)&gt;0,0,IF(('T_TTAFStock'!AV26&lt;&gt;""),'T_TTAFStock'!AV26,AU22+'Grid_Incoming'!AV22-'Grid_TTAFOutgoing'!AV22))</f>
        <v/>
      </c>
      <c r="AW22">
        <f>IF(COUNTIFS(T_StockCount[Part Name],$A22,T_StockCount[WeekIndex],48)&gt;0,0,IF(('T_TTAFStock'!AW26&lt;&gt;""),'T_TTAFStock'!AW26,AV22+'Grid_Incoming'!AW22-'Grid_TTAFOutgoing'!AW22))</f>
        <v/>
      </c>
      <c r="AX22">
        <f>IF(COUNTIFS(T_StockCount[Part Name],$A22,T_StockCount[WeekIndex],49)&gt;0,0,IF(('T_TTAFStock'!AX26&lt;&gt;""),'T_TTAFStock'!AX26,AW22+'Grid_Incoming'!AX22-'Grid_TTAFOutgoing'!AX22))</f>
        <v/>
      </c>
      <c r="AY22">
        <f>IF(COUNTIFS(T_StockCount[Part Name],$A22,T_StockCount[WeekIndex],50)&gt;0,0,IF(('T_TTAFStock'!AY26&lt;&gt;""),'T_TTAFStock'!AY26,AX22+'Grid_Incoming'!AY22-'Grid_TTAFOutgoing'!AY22))</f>
        <v/>
      </c>
      <c r="AZ22">
        <f>IF(COUNTIFS(T_StockCount[Part Name],$A22,T_StockCount[WeekIndex],51)&gt;0,0,IF(('T_TTAFStock'!AZ26&lt;&gt;""),'T_TTAFStock'!AZ26,AY22+'Grid_Incoming'!AZ22-'Grid_TTAFOutgoing'!AZ22))</f>
        <v/>
      </c>
      <c r="BA22">
        <f>IF(COUNTIFS(T_StockCount[Part Name],$A22,T_StockCount[WeekIndex],52)&gt;0,0,IF(('T_TTAFStock'!BA26&lt;&gt;""),'T_TTAFStock'!BA26,AZ22+'Grid_Incoming'!BA22-'Grid_TTAFOutgoing'!BA22))</f>
        <v/>
      </c>
      <c r="BB22">
        <f>IF(COUNTIFS(T_StockCount[Part Name],$A22,T_StockCount[WeekIndex],53)&gt;0,0,IF(('T_TTAFStock'!BB26&lt;&gt;""),'T_TTAFStock'!BB26,BA22+'Grid_Incoming'!BB22-'Grid_TTAFOutgoing'!BB22))</f>
        <v/>
      </c>
      <c r="BC22">
        <f>IF(COUNTIFS(T_StockCount[Part Name],$A22,T_StockCount[WeekIndex],54)&gt;0,0,IF(('T_TTAFStock'!BC26&lt;&gt;""),'T_TTAFStock'!BC26,BB22+'Grid_Incoming'!BC22-'Grid_TTAFOutgoing'!BC22))</f>
        <v/>
      </c>
      <c r="BD22">
        <f>IF(COUNTIFS(T_StockCount[Part Name],$A22,T_StockCount[WeekIndex],55)&gt;0,0,IF(('T_TTAFStock'!BD26&lt;&gt;""),'T_TTAFStock'!BD26,BC22+'Grid_Incoming'!BD22-'Grid_TTAFOutgoing'!BD22))</f>
        <v/>
      </c>
      <c r="BE22">
        <f>IF(COUNTIFS(T_StockCount[Part Name],$A22,T_StockCount[WeekIndex],56)&gt;0,0,IF(('T_TTAFStock'!BE26&lt;&gt;""),'T_TTAFStock'!BE26,BD22+'Grid_Incoming'!BE22-'Grid_TTAFOutgoing'!BE22))</f>
        <v/>
      </c>
      <c r="BF22">
        <f>IF(COUNTIFS(T_StockCount[Part Name],$A22,T_StockCount[WeekIndex],57)&gt;0,0,IF(('T_TTAFStock'!BF26&lt;&gt;""),'T_TTAFStock'!BF26,BE22+'Grid_Incoming'!BF22-'Grid_TTAFOutgoing'!BF22))</f>
        <v/>
      </c>
      <c r="BG22">
        <f>IF(COUNTIFS(T_StockCount[Part Name],$A22,T_StockCount[WeekIndex],58)&gt;0,0,IF(('T_TTAFStock'!BG26&lt;&gt;""),'T_TTAFStock'!BG26,BF22+'Grid_Incoming'!BG22-'Grid_TTAFOutgoing'!BG22))</f>
        <v/>
      </c>
      <c r="BH22">
        <f>IF(COUNTIFS(T_StockCount[Part Name],$A22,T_StockCount[WeekIndex],59)&gt;0,0,IF(('T_TTAFStock'!BH26&lt;&gt;""),'T_TTAFStock'!BH26,BG22+'Grid_Incoming'!BH22-'Grid_TTAFOutgoing'!BH22))</f>
        <v/>
      </c>
      <c r="BI22">
        <f>IF(COUNTIFS(T_StockCount[Part Name],$A22,T_StockCount[WeekIndex],60)&gt;0,0,IF(('T_TTAFStock'!BI26&lt;&gt;""),'T_TTAFStock'!BI26,BH22+'Grid_Incoming'!BI22-'Grid_TTAFOutgoing'!BI22))</f>
        <v/>
      </c>
      <c r="BJ22">
        <f>IF(COUNTIFS(T_StockCount[Part Name],$A22,T_StockCount[WeekIndex],61)&gt;0,0,IF(('T_TTAFStock'!BJ26&lt;&gt;""),'T_TTAFStock'!BJ26,BI22+'Grid_Incoming'!BJ22-'Grid_TTAFOutgoing'!BJ22))</f>
        <v/>
      </c>
      <c r="BK22">
        <f>IF(COUNTIFS(T_StockCount[Part Name],$A22,T_StockCount[WeekIndex],62)&gt;0,0,IF(('T_TTAFStock'!BK26&lt;&gt;""),'T_TTAFStock'!BK26,BJ22+'Grid_Incoming'!BK22-'Grid_TTAFOutgoing'!BK22))</f>
        <v/>
      </c>
      <c r="BL22">
        <f>IF(COUNTIFS(T_StockCount[Part Name],$A22,T_StockCount[WeekIndex],63)&gt;0,0,IF(('T_TTAFStock'!BL26&lt;&gt;""),'T_TTAFStock'!BL26,BK22+'Grid_Incoming'!BL22-'Grid_TTAFOutgoing'!BL22))</f>
        <v/>
      </c>
      <c r="BM22">
        <f>IF(COUNTIFS(T_StockCount[Part Name],$A22,T_StockCount[WeekIndex],64)&gt;0,0,IF(('T_TTAFStock'!BM26&lt;&gt;""),'T_TTAFStock'!BM26,BL22+'Grid_Incoming'!BM22-'Grid_TTAFOutgoing'!BM22))</f>
        <v/>
      </c>
      <c r="BN22">
        <f>IF(COUNTIFS(T_StockCount[Part Name],$A22,T_StockCount[WeekIndex],65)&gt;0,0,IF(('T_TTAFStock'!BN26&lt;&gt;""),'T_TTAFStock'!BN26,BM22+'Grid_Incoming'!BN22-'Grid_TTAFOutgoing'!BN22))</f>
        <v/>
      </c>
      <c r="BO22">
        <f>IF(COUNTIFS(T_StockCount[Part Name],$A22,T_StockCount[WeekIndex],66)&gt;0,0,IF(('T_TTAFStock'!BO26&lt;&gt;""),'T_TTAFStock'!BO26,BN22+'Grid_Incoming'!BO22-'Grid_TTAFOutgoing'!BO22))</f>
        <v/>
      </c>
      <c r="BP22">
        <f>IF(COUNTIFS(T_StockCount[Part Name],$A22,T_StockCount[WeekIndex],67)&gt;0,0,IF(('T_TTAFStock'!BP26&lt;&gt;""),'T_TTAFStock'!BP26,BO22+'Grid_Incoming'!BP22-'Grid_TTAFOutgoing'!BP22))</f>
        <v/>
      </c>
      <c r="BQ22">
        <f>IF(COUNTIFS(T_StockCount[Part Name],$A22,T_StockCount[WeekIndex],68)&gt;0,0,IF(('T_TTAFStock'!BQ26&lt;&gt;""),'T_TTAFStock'!BQ26,BP22+'Grid_Incoming'!BQ22-'Grid_TTAFOutgoing'!BQ22))</f>
        <v/>
      </c>
      <c r="BR22">
        <f>IF(COUNTIFS(T_StockCount[Part Name],$A22,T_StockCount[WeekIndex],69)&gt;0,0,IF(('T_TTAFStock'!BR26&lt;&gt;""),'T_TTAFStock'!BR26,BQ22+'Grid_Incoming'!BR22-'Grid_TTAFOutgoing'!BR22))</f>
        <v/>
      </c>
      <c r="BS22">
        <f>IF(COUNTIFS(T_StockCount[Part Name],$A22,T_StockCount[WeekIndex],70)&gt;0,0,IF(('T_TTAFStock'!BS26&lt;&gt;""),'T_TTAFStock'!BS26,BR22+'Grid_Incoming'!BS22-'Grid_TTAFOutgoing'!BS22))</f>
        <v/>
      </c>
      <c r="BT22">
        <f>IF(COUNTIFS(T_StockCount[Part Name],$A22,T_StockCount[WeekIndex],71)&gt;0,0,IF(('T_TTAFStock'!BT26&lt;&gt;""),'T_TTAFStock'!BT26,BS22+'Grid_Incoming'!BT22-'Grid_TTAFOutgoing'!BT22))</f>
        <v/>
      </c>
      <c r="BU22">
        <f>IF(COUNTIFS(T_StockCount[Part Name],$A22,T_StockCount[WeekIndex],72)&gt;0,0,IF(('T_TTAFStock'!BU26&lt;&gt;""),'T_TTAFStock'!BU26,BT22+'Grid_Incoming'!BU22-'Grid_TTAFOutgoing'!BU22))</f>
        <v/>
      </c>
      <c r="BV22">
        <f>IF(COUNTIFS(T_StockCount[Part Name],$A22,T_StockCount[WeekIndex],73)&gt;0,0,IF(('T_TTAFStock'!BV26&lt;&gt;""),'T_TTAFStock'!BV26,BU22+'Grid_Incoming'!BV22-'Grid_TTAFOutgoing'!BV22))</f>
        <v/>
      </c>
      <c r="BW22">
        <f>IF(COUNTIFS(T_StockCount[Part Name],$A22,T_StockCount[WeekIndex],74)&gt;0,0,IF(('T_TTAFStock'!BW26&lt;&gt;""),'T_TTAFStock'!BW26,BV22+'Grid_Incoming'!BW22-'Grid_TTAFOutgoing'!BW22))</f>
        <v/>
      </c>
      <c r="BX22">
        <f>IF(COUNTIFS(T_StockCount[Part Name],$A22,T_StockCount[WeekIndex],75)&gt;0,0,IF(('T_TTAFStock'!BX26&lt;&gt;""),'T_TTAFStock'!BX26,BW22+'Grid_Incoming'!BX22-'Grid_TTAFOutgoing'!BX22))</f>
        <v/>
      </c>
      <c r="BY22">
        <f>IF(COUNTIFS(T_StockCount[Part Name],$A22,T_StockCount[WeekIndex],76)&gt;0,0,IF(('T_TTAFStock'!BY26&lt;&gt;""),'T_TTAFStock'!BY26,BX22+'Grid_Incoming'!BY22-'Grid_TTAFOutgoing'!BY22))</f>
        <v/>
      </c>
      <c r="BZ22">
        <f>IF(COUNTIFS(T_StockCount[Part Name],$A22,T_StockCount[WeekIndex],77)&gt;0,0,IF(('T_TTAFStock'!BZ26&lt;&gt;""),'T_TTAFStock'!BZ26,BY22+'Grid_Incoming'!BZ22-'Grid_TTAFOutgoing'!BZ22))</f>
        <v/>
      </c>
      <c r="CA22">
        <f>IF(COUNTIFS(T_StockCount[Part Name],$A22,T_StockCount[WeekIndex],78)&gt;0,0,IF(('T_TTAFStock'!CA26&lt;&gt;""),'T_TTAFStock'!CA26,BZ22+'Grid_Incoming'!CA22-'Grid_TTAFOutgoing'!CA22))</f>
        <v/>
      </c>
      <c r="CB22">
        <f>IF(COUNTIFS(T_StockCount[Part Name],$A22,T_StockCount[WeekIndex],79)&gt;0,0,IF(('T_TTAFStock'!CB26&lt;&gt;""),'T_TTAFStock'!CB26,CA22+'Grid_Incoming'!CB22-'Grid_TTAFOutgoing'!CB22))</f>
        <v/>
      </c>
      <c r="CC22">
        <f>IF(COUNTIFS(T_StockCount[Part Name],$A22,T_StockCount[WeekIndex],80)&gt;0,0,IF(('T_TTAFStock'!CC26&lt;&gt;""),'T_TTAFStock'!CC26,CB22+'Grid_Incoming'!CC22-'Grid_TTAFOutgoing'!CC22))</f>
        <v/>
      </c>
      <c r="CD22">
        <f>IF(COUNTIFS(T_StockCount[Part Name],$A22,T_StockCount[WeekIndex],81)&gt;0,0,IF(('T_TTAFStock'!CD26&lt;&gt;""),'T_TTAFStock'!CD26,CC22+'Grid_Incoming'!CD22-'Grid_TTAFOutgoing'!CD22))</f>
        <v/>
      </c>
      <c r="CE22">
        <f>IF(COUNTIFS(T_StockCount[Part Name],$A22,T_StockCount[WeekIndex],82)&gt;0,0,IF(('T_TTAFStock'!CE26&lt;&gt;""),'T_TTAFStock'!CE26,CD22+'Grid_Incoming'!CE22-'Grid_TTAFOutgoing'!CE22))</f>
        <v/>
      </c>
      <c r="CF22">
        <f>IF(COUNTIFS(T_StockCount[Part Name],$A22,T_StockCount[WeekIndex],83)&gt;0,0,IF(('T_TTAFStock'!CF26&lt;&gt;""),'T_TTAFStock'!CF26,CE22+'Grid_Incoming'!CF22-'Grid_TTAFOutgoing'!CF22))</f>
        <v/>
      </c>
      <c r="CG22">
        <f>IF(COUNTIFS(T_StockCount[Part Name],$A22,T_StockCount[WeekIndex],84)&gt;0,0,IF(('T_TTAFStock'!CG26&lt;&gt;""),'T_TTAFStock'!CG26,CF22+'Grid_Incoming'!CG22-'Grid_TTAFOutgoing'!CG22))</f>
        <v/>
      </c>
      <c r="CH22">
        <f>IF(COUNTIFS(T_StockCount[Part Name],$A22,T_StockCount[WeekIndex],85)&gt;0,0,IF(('T_TTAFStock'!CH26&lt;&gt;""),'T_TTAFStock'!CH26,CG22+'Grid_Incoming'!CH22-'Grid_TTAFOutgoing'!CH22))</f>
        <v/>
      </c>
      <c r="CI22">
        <f>IF(COUNTIFS(T_StockCount[Part Name],$A22,T_StockCount[WeekIndex],86)&gt;0,0,IF(('T_TTAFStock'!CI26&lt;&gt;""),'T_TTAFStock'!CI26,CH22+'Grid_Incoming'!CI22-'Grid_TTAFOutgoing'!CI22))</f>
        <v/>
      </c>
      <c r="CJ22">
        <f>IF(COUNTIFS(T_StockCount[Part Name],$A22,T_StockCount[WeekIndex],87)&gt;0,0,IF(('T_TTAFStock'!CJ26&lt;&gt;""),'T_TTAFStock'!CJ26,CI22+'Grid_Incoming'!CJ22-'Grid_TTAFOutgoing'!CJ22))</f>
        <v/>
      </c>
      <c r="CK22">
        <f>IF(COUNTIFS(T_StockCount[Part Name],$A22,T_StockCount[WeekIndex],88)&gt;0,0,IF(('T_TTAFStock'!CK26&lt;&gt;""),'T_TTAFStock'!CK26,CJ22+'Grid_Incoming'!CK22-'Grid_TTAFOutgoing'!CK22))</f>
        <v/>
      </c>
      <c r="CL22">
        <f>IF(COUNTIFS(T_StockCount[Part Name],$A22,T_StockCount[WeekIndex],89)&gt;0,0,IF(('T_TTAFStock'!CL26&lt;&gt;""),'T_TTAFStock'!CL26,CK22+'Grid_Incoming'!CL22-'Grid_TTAFOutgoing'!CL22))</f>
        <v/>
      </c>
      <c r="CM22">
        <f>IF(COUNTIFS(T_StockCount[Part Name],$A22,T_StockCount[WeekIndex],90)&gt;0,0,IF(('T_TTAFStock'!CM26&lt;&gt;""),'T_TTAFStock'!CM26,CL22+'Grid_Incoming'!CM22-'Grid_TTAFOutgoing'!CM22))</f>
        <v/>
      </c>
      <c r="CN22">
        <f>IF(COUNTIFS(T_StockCount[Part Name],$A22,T_StockCount[WeekIndex],91)&gt;0,0,IF(('T_TTAFStock'!CN26&lt;&gt;""),'T_TTAFStock'!CN26,CM22+'Grid_Incoming'!CN22-'Grid_TTAFOutgoing'!CN22))</f>
        <v/>
      </c>
      <c r="CO22">
        <f>IF(COUNTIFS(T_StockCount[Part Name],$A22,T_StockCount[WeekIndex],92)&gt;0,0,IF(('T_TTAFStock'!CO26&lt;&gt;""),'T_TTAFStock'!CO26,CN22+'Grid_Incoming'!CO22-'Grid_TTAFOutgoing'!CO22))</f>
        <v/>
      </c>
      <c r="CP22">
        <f>IF(COUNTIFS(T_StockCount[Part Name],$A22,T_StockCount[WeekIndex],93)&gt;0,0,IF(('T_TTAFStock'!CP26&lt;&gt;""),'T_TTAFStock'!CP26,CO22+'Grid_Incoming'!CP22-'Grid_TTAFOutgoing'!CP22))</f>
        <v/>
      </c>
      <c r="CQ22">
        <f>IF(COUNTIFS(T_StockCount[Part Name],$A22,T_StockCount[WeekIndex],94)&gt;0,0,IF(('T_TTAFStock'!CQ26&lt;&gt;""),'T_TTAFStock'!CQ26,CP22+'Grid_Incoming'!CQ22-'Grid_TTAFOutgoing'!CQ22))</f>
        <v/>
      </c>
      <c r="CR22">
        <f>IF(COUNTIFS(T_StockCount[Part Name],$A22,T_StockCount[WeekIndex],95)&gt;0,0,IF(('T_TTAFStock'!CR26&lt;&gt;""),'T_TTAFStock'!CR26,CQ22+'Grid_Incoming'!CR22-'Grid_TTAFOutgoing'!CR22))</f>
        <v/>
      </c>
      <c r="CS22">
        <f>IF(COUNTIFS(T_StockCount[Part Name],$A22,T_StockCount[WeekIndex],96)&gt;0,0,IF(('T_TTAFStock'!CS26&lt;&gt;""),'T_TTAFStock'!CS26,CR22+'Grid_Incoming'!CS22-'Grid_TTAFOutgoing'!CS22))</f>
        <v/>
      </c>
      <c r="CT22">
        <f>IF(COUNTIFS(T_StockCount[Part Name],$A22,T_StockCount[WeekIndex],97)&gt;0,0,IF(('T_TTAFStock'!CT26&lt;&gt;""),'T_TTAFStock'!CT26,CS22+'Grid_Incoming'!CT22-'Grid_TTAFOutgoing'!CT22))</f>
        <v/>
      </c>
      <c r="CU22">
        <f>IF(COUNTIFS(T_StockCount[Part Name],$A22,T_StockCount[WeekIndex],98)&gt;0,0,IF(('T_TTAFStock'!CU26&lt;&gt;""),'T_TTAFStock'!CU26,CT22+'Grid_Incoming'!CU22-'Grid_TTAFOutgoing'!CU22))</f>
        <v/>
      </c>
      <c r="CV22">
        <f>IF(COUNTIFS(T_StockCount[Part Name],$A22,T_StockCount[WeekIndex],99)&gt;0,0,IF(('T_TTAFStock'!CV26&lt;&gt;""),'T_TTAFStock'!CV26,CU22+'Grid_Incoming'!CV22-'Grid_TTAFOutgoing'!CV22))</f>
        <v/>
      </c>
      <c r="CW22">
        <f>IF(COUNTIFS(T_StockCount[Part Name],$A22,T_StockCount[WeekIndex],100)&gt;0,0,IF(('T_TTAFStock'!CW26&lt;&gt;""),'T_TTAFStock'!CW26,CV22+'Grid_Incoming'!CW22-'Grid_TTAFOutgoing'!CW22))</f>
        <v/>
      </c>
      <c r="CX22">
        <f>IF(COUNTIFS(T_StockCount[Part Name],$A22,T_StockCount[WeekIndex],101)&gt;0,0,IF(('T_TTAFStock'!CX26&lt;&gt;""),'T_TTAFStock'!CX26,CW22+'Grid_Incoming'!CX22-'Grid_TTAFOutgoing'!CX22))</f>
        <v/>
      </c>
      <c r="CY22">
        <f>IF(COUNTIFS(T_StockCount[Part Name],$A22,T_StockCount[WeekIndex],102)&gt;0,0,IF(('T_TTAFStock'!CY26&lt;&gt;""),'T_TTAFStock'!CY26,CX22+'Grid_Incoming'!CY22-'Grid_TTAFOutgoing'!CY22))</f>
        <v/>
      </c>
      <c r="CZ22">
        <f>IF(COUNTIFS(T_StockCount[Part Name],$A22,T_StockCount[WeekIndex],103)&gt;0,0,IF(('T_TTAFStock'!CZ26&lt;&gt;""),'T_TTAFStock'!CZ26,CY22+'Grid_Incoming'!CZ22-'Grid_TTAFOutgoing'!CZ22))</f>
        <v/>
      </c>
      <c r="DA22">
        <f>IF(COUNTIFS(T_StockCount[Part Name],$A22,T_StockCount[WeekIndex],104)&gt;0,0,IF(('T_TTAFStock'!DA26&lt;&gt;""),'T_TTAFStock'!DA26,CZ22+'Grid_Incoming'!DA22-'Grid_TTAFOutgoing'!DA22))</f>
        <v/>
      </c>
    </row>
    <row r="23">
      <c r="A23" t="inlineStr">
        <is>
          <t>CHEM-1760</t>
        </is>
      </c>
      <c r="B23">
        <f>IF(COUNTIFS(T_StockCount[Part Name],$A23,T_StockCount[WeekIndex],1)&gt;0,0,IF(('T_TTAFStock'!B27&lt;&gt;""),'T_TTAFStock'!B27,0+'Grid_Incoming'!B23-'Grid_TTAFOutgoing'!B23))</f>
        <v/>
      </c>
      <c r="C23">
        <f>IF(COUNTIFS(T_StockCount[Part Name],$A23,T_StockCount[WeekIndex],2)&gt;0,0,IF(('T_TTAFStock'!C27&lt;&gt;""),'T_TTAFStock'!C27,B23+'Grid_Incoming'!C23-'Grid_TTAFOutgoing'!C23))</f>
        <v/>
      </c>
      <c r="D23">
        <f>IF(COUNTIFS(T_StockCount[Part Name],$A23,T_StockCount[WeekIndex],3)&gt;0,0,IF(('T_TTAFStock'!D27&lt;&gt;""),'T_TTAFStock'!D27,C23+'Grid_Incoming'!D23-'Grid_TTAFOutgoing'!D23))</f>
        <v/>
      </c>
      <c r="E23">
        <f>IF(COUNTIFS(T_StockCount[Part Name],$A23,T_StockCount[WeekIndex],4)&gt;0,0,IF(('T_TTAFStock'!E27&lt;&gt;""),'T_TTAFStock'!E27,D23+'Grid_Incoming'!E23-'Grid_TTAFOutgoing'!E23))</f>
        <v/>
      </c>
      <c r="F23">
        <f>IF(COUNTIFS(T_StockCount[Part Name],$A23,T_StockCount[WeekIndex],5)&gt;0,0,IF(('T_TTAFStock'!F27&lt;&gt;""),'T_TTAFStock'!F27,E23+'Grid_Incoming'!F23-'Grid_TTAFOutgoing'!F23))</f>
        <v/>
      </c>
      <c r="G23">
        <f>IF(COUNTIFS(T_StockCount[Part Name],$A23,T_StockCount[WeekIndex],6)&gt;0,0,IF(('T_TTAFStock'!G27&lt;&gt;""),'T_TTAFStock'!G27,F23+'Grid_Incoming'!G23-'Grid_TTAFOutgoing'!G23))</f>
        <v/>
      </c>
      <c r="H23">
        <f>IF(COUNTIFS(T_StockCount[Part Name],$A23,T_StockCount[WeekIndex],7)&gt;0,0,IF(('T_TTAFStock'!H27&lt;&gt;""),'T_TTAFStock'!H27,G23+'Grid_Incoming'!H23-'Grid_TTAFOutgoing'!H23))</f>
        <v/>
      </c>
      <c r="I23">
        <f>IF(COUNTIFS(T_StockCount[Part Name],$A23,T_StockCount[WeekIndex],8)&gt;0,0,IF(('T_TTAFStock'!I27&lt;&gt;""),'T_TTAFStock'!I27,H23+'Grid_Incoming'!I23-'Grid_TTAFOutgoing'!I23))</f>
        <v/>
      </c>
      <c r="J23">
        <f>IF(COUNTIFS(T_StockCount[Part Name],$A23,T_StockCount[WeekIndex],9)&gt;0,0,IF(('T_TTAFStock'!J27&lt;&gt;""),'T_TTAFStock'!J27,I23+'Grid_Incoming'!J23-'Grid_TTAFOutgoing'!J23))</f>
        <v/>
      </c>
      <c r="K23">
        <f>IF(COUNTIFS(T_StockCount[Part Name],$A23,T_StockCount[WeekIndex],10)&gt;0,0,IF(('T_TTAFStock'!K27&lt;&gt;""),'T_TTAFStock'!K27,J23+'Grid_Incoming'!K23-'Grid_TTAFOutgoing'!K23))</f>
        <v/>
      </c>
      <c r="L23">
        <f>IF(COUNTIFS(T_StockCount[Part Name],$A23,T_StockCount[WeekIndex],11)&gt;0,0,IF(('T_TTAFStock'!L27&lt;&gt;""),'T_TTAFStock'!L27,K23+'Grid_Incoming'!L23-'Grid_TTAFOutgoing'!L23))</f>
        <v/>
      </c>
      <c r="M23">
        <f>IF(COUNTIFS(T_StockCount[Part Name],$A23,T_StockCount[WeekIndex],12)&gt;0,0,IF(('T_TTAFStock'!M27&lt;&gt;""),'T_TTAFStock'!M27,L23+'Grid_Incoming'!M23-'Grid_TTAFOutgoing'!M23))</f>
        <v/>
      </c>
      <c r="N23">
        <f>IF(COUNTIFS(T_StockCount[Part Name],$A23,T_StockCount[WeekIndex],13)&gt;0,0,IF(('T_TTAFStock'!N27&lt;&gt;""),'T_TTAFStock'!N27,M23+'Grid_Incoming'!N23-'Grid_TTAFOutgoing'!N23))</f>
        <v/>
      </c>
      <c r="O23">
        <f>IF(COUNTIFS(T_StockCount[Part Name],$A23,T_StockCount[WeekIndex],14)&gt;0,0,IF(('T_TTAFStock'!O27&lt;&gt;""),'T_TTAFStock'!O27,N23+'Grid_Incoming'!O23-'Grid_TTAFOutgoing'!O23))</f>
        <v/>
      </c>
      <c r="P23">
        <f>IF(COUNTIFS(T_StockCount[Part Name],$A23,T_StockCount[WeekIndex],15)&gt;0,0,IF(('T_TTAFStock'!P27&lt;&gt;""),'T_TTAFStock'!P27,O23+'Grid_Incoming'!P23-'Grid_TTAFOutgoing'!P23))</f>
        <v/>
      </c>
      <c r="Q23">
        <f>IF(COUNTIFS(T_StockCount[Part Name],$A23,T_StockCount[WeekIndex],16)&gt;0,0,IF(('T_TTAFStock'!Q27&lt;&gt;""),'T_TTAFStock'!Q27,P23+'Grid_Incoming'!Q23-'Grid_TTAFOutgoing'!Q23))</f>
        <v/>
      </c>
      <c r="R23">
        <f>IF(COUNTIFS(T_StockCount[Part Name],$A23,T_StockCount[WeekIndex],17)&gt;0,0,IF(('T_TTAFStock'!R27&lt;&gt;""),'T_TTAFStock'!R27,Q23+'Grid_Incoming'!R23-'Grid_TTAFOutgoing'!R23))</f>
        <v/>
      </c>
      <c r="S23">
        <f>IF(COUNTIFS(T_StockCount[Part Name],$A23,T_StockCount[WeekIndex],18)&gt;0,0,IF(('T_TTAFStock'!S27&lt;&gt;""),'T_TTAFStock'!S27,R23+'Grid_Incoming'!S23-'Grid_TTAFOutgoing'!S23))</f>
        <v/>
      </c>
      <c r="T23">
        <f>IF(COUNTIFS(T_StockCount[Part Name],$A23,T_StockCount[WeekIndex],19)&gt;0,0,IF(('T_TTAFStock'!T27&lt;&gt;""),'T_TTAFStock'!T27,S23+'Grid_Incoming'!T23-'Grid_TTAFOutgoing'!T23))</f>
        <v/>
      </c>
      <c r="U23">
        <f>IF(COUNTIFS(T_StockCount[Part Name],$A23,T_StockCount[WeekIndex],20)&gt;0,0,IF(('T_TTAFStock'!U27&lt;&gt;""),'T_TTAFStock'!U27,T23+'Grid_Incoming'!U23-'Grid_TTAFOutgoing'!U23))</f>
        <v/>
      </c>
      <c r="V23">
        <f>IF(COUNTIFS(T_StockCount[Part Name],$A23,T_StockCount[WeekIndex],21)&gt;0,0,IF(('T_TTAFStock'!V27&lt;&gt;""),'T_TTAFStock'!V27,U23+'Grid_Incoming'!V23-'Grid_TTAFOutgoing'!V23))</f>
        <v/>
      </c>
      <c r="W23">
        <f>IF(COUNTIFS(T_StockCount[Part Name],$A23,T_StockCount[WeekIndex],22)&gt;0,0,IF(('T_TTAFStock'!W27&lt;&gt;""),'T_TTAFStock'!W27,V23+'Grid_Incoming'!W23-'Grid_TTAFOutgoing'!W23))</f>
        <v/>
      </c>
      <c r="X23">
        <f>IF(COUNTIFS(T_StockCount[Part Name],$A23,T_StockCount[WeekIndex],23)&gt;0,0,IF(('T_TTAFStock'!X27&lt;&gt;""),'T_TTAFStock'!X27,W23+'Grid_Incoming'!X23-'Grid_TTAFOutgoing'!X23))</f>
        <v/>
      </c>
      <c r="Y23">
        <f>IF(COUNTIFS(T_StockCount[Part Name],$A23,T_StockCount[WeekIndex],24)&gt;0,0,IF(('T_TTAFStock'!Y27&lt;&gt;""),'T_TTAFStock'!Y27,X23+'Grid_Incoming'!Y23-'Grid_TTAFOutgoing'!Y23))</f>
        <v/>
      </c>
      <c r="Z23">
        <f>IF(COUNTIFS(T_StockCount[Part Name],$A23,T_StockCount[WeekIndex],25)&gt;0,0,IF(('T_TTAFStock'!Z27&lt;&gt;""),'T_TTAFStock'!Z27,Y23+'Grid_Incoming'!Z23-'Grid_TTAFOutgoing'!Z23))</f>
        <v/>
      </c>
      <c r="AA23">
        <f>IF(COUNTIFS(T_StockCount[Part Name],$A23,T_StockCount[WeekIndex],26)&gt;0,0,IF(('T_TTAFStock'!AA27&lt;&gt;""),'T_TTAFStock'!AA27,Z23+'Grid_Incoming'!AA23-'Grid_TTAFOutgoing'!AA23))</f>
        <v/>
      </c>
      <c r="AB23">
        <f>IF(COUNTIFS(T_StockCount[Part Name],$A23,T_StockCount[WeekIndex],27)&gt;0,0,IF(('T_TTAFStock'!AB27&lt;&gt;""),'T_TTAFStock'!AB27,AA23+'Grid_Incoming'!AB23-'Grid_TTAFOutgoing'!AB23))</f>
        <v/>
      </c>
      <c r="AC23">
        <f>IF(COUNTIFS(T_StockCount[Part Name],$A23,T_StockCount[WeekIndex],28)&gt;0,0,IF(('T_TTAFStock'!AC27&lt;&gt;""),'T_TTAFStock'!AC27,AB23+'Grid_Incoming'!AC23-'Grid_TTAFOutgoing'!AC23))</f>
        <v/>
      </c>
      <c r="AD23">
        <f>IF(COUNTIFS(T_StockCount[Part Name],$A23,T_StockCount[WeekIndex],29)&gt;0,0,IF(('T_TTAFStock'!AD27&lt;&gt;""),'T_TTAFStock'!AD27,AC23+'Grid_Incoming'!AD23-'Grid_TTAFOutgoing'!AD23))</f>
        <v/>
      </c>
      <c r="AE23">
        <f>IF(COUNTIFS(T_StockCount[Part Name],$A23,T_StockCount[WeekIndex],30)&gt;0,0,IF(('T_TTAFStock'!AE27&lt;&gt;""),'T_TTAFStock'!AE27,AD23+'Grid_Incoming'!AE23-'Grid_TTAFOutgoing'!AE23))</f>
        <v/>
      </c>
      <c r="AF23">
        <f>IF(COUNTIFS(T_StockCount[Part Name],$A23,T_StockCount[WeekIndex],31)&gt;0,0,IF(('T_TTAFStock'!AF27&lt;&gt;""),'T_TTAFStock'!AF27,AE23+'Grid_Incoming'!AF23-'Grid_TTAFOutgoing'!AF23))</f>
        <v/>
      </c>
      <c r="AG23">
        <f>IF(COUNTIFS(T_StockCount[Part Name],$A23,T_StockCount[WeekIndex],32)&gt;0,0,IF(('T_TTAFStock'!AG27&lt;&gt;""),'T_TTAFStock'!AG27,AF23+'Grid_Incoming'!AG23-'Grid_TTAFOutgoing'!AG23))</f>
        <v/>
      </c>
      <c r="AH23">
        <f>IF(COUNTIFS(T_StockCount[Part Name],$A23,T_StockCount[WeekIndex],33)&gt;0,0,IF(('T_TTAFStock'!AH27&lt;&gt;""),'T_TTAFStock'!AH27,AG23+'Grid_Incoming'!AH23-'Grid_TTAFOutgoing'!AH23))</f>
        <v/>
      </c>
      <c r="AI23">
        <f>IF(COUNTIFS(T_StockCount[Part Name],$A23,T_StockCount[WeekIndex],34)&gt;0,0,IF(('T_TTAFStock'!AI27&lt;&gt;""),'T_TTAFStock'!AI27,AH23+'Grid_Incoming'!AI23-'Grid_TTAFOutgoing'!AI23))</f>
        <v/>
      </c>
      <c r="AJ23">
        <f>IF(COUNTIFS(T_StockCount[Part Name],$A23,T_StockCount[WeekIndex],35)&gt;0,0,IF(('T_TTAFStock'!AJ27&lt;&gt;""),'T_TTAFStock'!AJ27,AI23+'Grid_Incoming'!AJ23-'Grid_TTAFOutgoing'!AJ23))</f>
        <v/>
      </c>
      <c r="AK23">
        <f>IF(COUNTIFS(T_StockCount[Part Name],$A23,T_StockCount[WeekIndex],36)&gt;0,0,IF(('T_TTAFStock'!AK27&lt;&gt;""),'T_TTAFStock'!AK27,AJ23+'Grid_Incoming'!AK23-'Grid_TTAFOutgoing'!AK23))</f>
        <v/>
      </c>
      <c r="AL23">
        <f>IF(COUNTIFS(T_StockCount[Part Name],$A23,T_StockCount[WeekIndex],37)&gt;0,0,IF(('T_TTAFStock'!AL27&lt;&gt;""),'T_TTAFStock'!AL27,AK23+'Grid_Incoming'!AL23-'Grid_TTAFOutgoing'!AL23))</f>
        <v/>
      </c>
      <c r="AM23">
        <f>IF(COUNTIFS(T_StockCount[Part Name],$A23,T_StockCount[WeekIndex],38)&gt;0,0,IF(('T_TTAFStock'!AM27&lt;&gt;""),'T_TTAFStock'!AM27,AL23+'Grid_Incoming'!AM23-'Grid_TTAFOutgoing'!AM23))</f>
        <v/>
      </c>
      <c r="AN23">
        <f>IF(COUNTIFS(T_StockCount[Part Name],$A23,T_StockCount[WeekIndex],39)&gt;0,0,IF(('T_TTAFStock'!AN27&lt;&gt;""),'T_TTAFStock'!AN27,AM23+'Grid_Incoming'!AN23-'Grid_TTAFOutgoing'!AN23))</f>
        <v/>
      </c>
      <c r="AO23">
        <f>IF(COUNTIFS(T_StockCount[Part Name],$A23,T_StockCount[WeekIndex],40)&gt;0,0,IF(('T_TTAFStock'!AO27&lt;&gt;""),'T_TTAFStock'!AO27,AN23+'Grid_Incoming'!AO23-'Grid_TTAFOutgoing'!AO23))</f>
        <v/>
      </c>
      <c r="AP23">
        <f>IF(COUNTIFS(T_StockCount[Part Name],$A23,T_StockCount[WeekIndex],41)&gt;0,0,IF(('T_TTAFStock'!AP27&lt;&gt;""),'T_TTAFStock'!AP27,AO23+'Grid_Incoming'!AP23-'Grid_TTAFOutgoing'!AP23))</f>
        <v/>
      </c>
      <c r="AQ23">
        <f>IF(COUNTIFS(T_StockCount[Part Name],$A23,T_StockCount[WeekIndex],42)&gt;0,0,IF(('T_TTAFStock'!AQ27&lt;&gt;""),'T_TTAFStock'!AQ27,AP23+'Grid_Incoming'!AQ23-'Grid_TTAFOutgoing'!AQ23))</f>
        <v/>
      </c>
      <c r="AR23">
        <f>IF(COUNTIFS(T_StockCount[Part Name],$A23,T_StockCount[WeekIndex],43)&gt;0,0,IF(('T_TTAFStock'!AR27&lt;&gt;""),'T_TTAFStock'!AR27,AQ23+'Grid_Incoming'!AR23-'Grid_TTAFOutgoing'!AR23))</f>
        <v/>
      </c>
      <c r="AS23">
        <f>IF(COUNTIFS(T_StockCount[Part Name],$A23,T_StockCount[WeekIndex],44)&gt;0,0,IF(('T_TTAFStock'!AS27&lt;&gt;""),'T_TTAFStock'!AS27,AR23+'Grid_Incoming'!AS23-'Grid_TTAFOutgoing'!AS23))</f>
        <v/>
      </c>
      <c r="AT23">
        <f>IF(COUNTIFS(T_StockCount[Part Name],$A23,T_StockCount[WeekIndex],45)&gt;0,0,IF(('T_TTAFStock'!AT27&lt;&gt;""),'T_TTAFStock'!AT27,AS23+'Grid_Incoming'!AT23-'Grid_TTAFOutgoing'!AT23))</f>
        <v/>
      </c>
      <c r="AU23">
        <f>IF(COUNTIFS(T_StockCount[Part Name],$A23,T_StockCount[WeekIndex],46)&gt;0,0,IF(('T_TTAFStock'!AU27&lt;&gt;""),'T_TTAFStock'!AU27,AT23+'Grid_Incoming'!AU23-'Grid_TTAFOutgoing'!AU23))</f>
        <v/>
      </c>
      <c r="AV23">
        <f>IF(COUNTIFS(T_StockCount[Part Name],$A23,T_StockCount[WeekIndex],47)&gt;0,0,IF(('T_TTAFStock'!AV27&lt;&gt;""),'T_TTAFStock'!AV27,AU23+'Grid_Incoming'!AV23-'Grid_TTAFOutgoing'!AV23))</f>
        <v/>
      </c>
      <c r="AW23">
        <f>IF(COUNTIFS(T_StockCount[Part Name],$A23,T_StockCount[WeekIndex],48)&gt;0,0,IF(('T_TTAFStock'!AW27&lt;&gt;""),'T_TTAFStock'!AW27,AV23+'Grid_Incoming'!AW23-'Grid_TTAFOutgoing'!AW23))</f>
        <v/>
      </c>
      <c r="AX23">
        <f>IF(COUNTIFS(T_StockCount[Part Name],$A23,T_StockCount[WeekIndex],49)&gt;0,0,IF(('T_TTAFStock'!AX27&lt;&gt;""),'T_TTAFStock'!AX27,AW23+'Grid_Incoming'!AX23-'Grid_TTAFOutgoing'!AX23))</f>
        <v/>
      </c>
      <c r="AY23">
        <f>IF(COUNTIFS(T_StockCount[Part Name],$A23,T_StockCount[WeekIndex],50)&gt;0,0,IF(('T_TTAFStock'!AY27&lt;&gt;""),'T_TTAFStock'!AY27,AX23+'Grid_Incoming'!AY23-'Grid_TTAFOutgoing'!AY23))</f>
        <v/>
      </c>
      <c r="AZ23">
        <f>IF(COUNTIFS(T_StockCount[Part Name],$A23,T_StockCount[WeekIndex],51)&gt;0,0,IF(('T_TTAFStock'!AZ27&lt;&gt;""),'T_TTAFStock'!AZ27,AY23+'Grid_Incoming'!AZ23-'Grid_TTAFOutgoing'!AZ23))</f>
        <v/>
      </c>
      <c r="BA23">
        <f>IF(COUNTIFS(T_StockCount[Part Name],$A23,T_StockCount[WeekIndex],52)&gt;0,0,IF(('T_TTAFStock'!BA27&lt;&gt;""),'T_TTAFStock'!BA27,AZ23+'Grid_Incoming'!BA23-'Grid_TTAFOutgoing'!BA23))</f>
        <v/>
      </c>
      <c r="BB23">
        <f>IF(COUNTIFS(T_StockCount[Part Name],$A23,T_StockCount[WeekIndex],53)&gt;0,0,IF(('T_TTAFStock'!BB27&lt;&gt;""),'T_TTAFStock'!BB27,BA23+'Grid_Incoming'!BB23-'Grid_TTAFOutgoing'!BB23))</f>
        <v/>
      </c>
      <c r="BC23">
        <f>IF(COUNTIFS(T_StockCount[Part Name],$A23,T_StockCount[WeekIndex],54)&gt;0,0,IF(('T_TTAFStock'!BC27&lt;&gt;""),'T_TTAFStock'!BC27,BB23+'Grid_Incoming'!BC23-'Grid_TTAFOutgoing'!BC23))</f>
        <v/>
      </c>
      <c r="BD23">
        <f>IF(COUNTIFS(T_StockCount[Part Name],$A23,T_StockCount[WeekIndex],55)&gt;0,0,IF(('T_TTAFStock'!BD27&lt;&gt;""),'T_TTAFStock'!BD27,BC23+'Grid_Incoming'!BD23-'Grid_TTAFOutgoing'!BD23))</f>
        <v/>
      </c>
      <c r="BE23">
        <f>IF(COUNTIFS(T_StockCount[Part Name],$A23,T_StockCount[WeekIndex],56)&gt;0,0,IF(('T_TTAFStock'!BE27&lt;&gt;""),'T_TTAFStock'!BE27,BD23+'Grid_Incoming'!BE23-'Grid_TTAFOutgoing'!BE23))</f>
        <v/>
      </c>
      <c r="BF23">
        <f>IF(COUNTIFS(T_StockCount[Part Name],$A23,T_StockCount[WeekIndex],57)&gt;0,0,IF(('T_TTAFStock'!BF27&lt;&gt;""),'T_TTAFStock'!BF27,BE23+'Grid_Incoming'!BF23-'Grid_TTAFOutgoing'!BF23))</f>
        <v/>
      </c>
      <c r="BG23">
        <f>IF(COUNTIFS(T_StockCount[Part Name],$A23,T_StockCount[WeekIndex],58)&gt;0,0,IF(('T_TTAFStock'!BG27&lt;&gt;""),'T_TTAFStock'!BG27,BF23+'Grid_Incoming'!BG23-'Grid_TTAFOutgoing'!BG23))</f>
        <v/>
      </c>
      <c r="BH23">
        <f>IF(COUNTIFS(T_StockCount[Part Name],$A23,T_StockCount[WeekIndex],59)&gt;0,0,IF(('T_TTAFStock'!BH27&lt;&gt;""),'T_TTAFStock'!BH27,BG23+'Grid_Incoming'!BH23-'Grid_TTAFOutgoing'!BH23))</f>
        <v/>
      </c>
      <c r="BI23">
        <f>IF(COUNTIFS(T_StockCount[Part Name],$A23,T_StockCount[WeekIndex],60)&gt;0,0,IF(('T_TTAFStock'!BI27&lt;&gt;""),'T_TTAFStock'!BI27,BH23+'Grid_Incoming'!BI23-'Grid_TTAFOutgoing'!BI23))</f>
        <v/>
      </c>
      <c r="BJ23">
        <f>IF(COUNTIFS(T_StockCount[Part Name],$A23,T_StockCount[WeekIndex],61)&gt;0,0,IF(('T_TTAFStock'!BJ27&lt;&gt;""),'T_TTAFStock'!BJ27,BI23+'Grid_Incoming'!BJ23-'Grid_TTAFOutgoing'!BJ23))</f>
        <v/>
      </c>
      <c r="BK23">
        <f>IF(COUNTIFS(T_StockCount[Part Name],$A23,T_StockCount[WeekIndex],62)&gt;0,0,IF(('T_TTAFStock'!BK27&lt;&gt;""),'T_TTAFStock'!BK27,BJ23+'Grid_Incoming'!BK23-'Grid_TTAFOutgoing'!BK23))</f>
        <v/>
      </c>
      <c r="BL23">
        <f>IF(COUNTIFS(T_StockCount[Part Name],$A23,T_StockCount[WeekIndex],63)&gt;0,0,IF(('T_TTAFStock'!BL27&lt;&gt;""),'T_TTAFStock'!BL27,BK23+'Grid_Incoming'!BL23-'Grid_TTAFOutgoing'!BL23))</f>
        <v/>
      </c>
      <c r="BM23">
        <f>IF(COUNTIFS(T_StockCount[Part Name],$A23,T_StockCount[WeekIndex],64)&gt;0,0,IF(('T_TTAFStock'!BM27&lt;&gt;""),'T_TTAFStock'!BM27,BL23+'Grid_Incoming'!BM23-'Grid_TTAFOutgoing'!BM23))</f>
        <v/>
      </c>
      <c r="BN23">
        <f>IF(COUNTIFS(T_StockCount[Part Name],$A23,T_StockCount[WeekIndex],65)&gt;0,0,IF(('T_TTAFStock'!BN27&lt;&gt;""),'T_TTAFStock'!BN27,BM23+'Grid_Incoming'!BN23-'Grid_TTAFOutgoing'!BN23))</f>
        <v/>
      </c>
      <c r="BO23">
        <f>IF(COUNTIFS(T_StockCount[Part Name],$A23,T_StockCount[WeekIndex],66)&gt;0,0,IF(('T_TTAFStock'!BO27&lt;&gt;""),'T_TTAFStock'!BO27,BN23+'Grid_Incoming'!BO23-'Grid_TTAFOutgoing'!BO23))</f>
        <v/>
      </c>
      <c r="BP23">
        <f>IF(COUNTIFS(T_StockCount[Part Name],$A23,T_StockCount[WeekIndex],67)&gt;0,0,IF(('T_TTAFStock'!BP27&lt;&gt;""),'T_TTAFStock'!BP27,BO23+'Grid_Incoming'!BP23-'Grid_TTAFOutgoing'!BP23))</f>
        <v/>
      </c>
      <c r="BQ23">
        <f>IF(COUNTIFS(T_StockCount[Part Name],$A23,T_StockCount[WeekIndex],68)&gt;0,0,IF(('T_TTAFStock'!BQ27&lt;&gt;""),'T_TTAFStock'!BQ27,BP23+'Grid_Incoming'!BQ23-'Grid_TTAFOutgoing'!BQ23))</f>
        <v/>
      </c>
      <c r="BR23">
        <f>IF(COUNTIFS(T_StockCount[Part Name],$A23,T_StockCount[WeekIndex],69)&gt;0,0,IF(('T_TTAFStock'!BR27&lt;&gt;""),'T_TTAFStock'!BR27,BQ23+'Grid_Incoming'!BR23-'Grid_TTAFOutgoing'!BR23))</f>
        <v/>
      </c>
      <c r="BS23">
        <f>IF(COUNTIFS(T_StockCount[Part Name],$A23,T_StockCount[WeekIndex],70)&gt;0,0,IF(('T_TTAFStock'!BS27&lt;&gt;""),'T_TTAFStock'!BS27,BR23+'Grid_Incoming'!BS23-'Grid_TTAFOutgoing'!BS23))</f>
        <v/>
      </c>
      <c r="BT23">
        <f>IF(COUNTIFS(T_StockCount[Part Name],$A23,T_StockCount[WeekIndex],71)&gt;0,0,IF(('T_TTAFStock'!BT27&lt;&gt;""),'T_TTAFStock'!BT27,BS23+'Grid_Incoming'!BT23-'Grid_TTAFOutgoing'!BT23))</f>
        <v/>
      </c>
      <c r="BU23">
        <f>IF(COUNTIFS(T_StockCount[Part Name],$A23,T_StockCount[WeekIndex],72)&gt;0,0,IF(('T_TTAFStock'!BU27&lt;&gt;""),'T_TTAFStock'!BU27,BT23+'Grid_Incoming'!BU23-'Grid_TTAFOutgoing'!BU23))</f>
        <v/>
      </c>
      <c r="BV23">
        <f>IF(COUNTIFS(T_StockCount[Part Name],$A23,T_StockCount[WeekIndex],73)&gt;0,0,IF(('T_TTAFStock'!BV27&lt;&gt;""),'T_TTAFStock'!BV27,BU23+'Grid_Incoming'!BV23-'Grid_TTAFOutgoing'!BV23))</f>
        <v/>
      </c>
      <c r="BW23">
        <f>IF(COUNTIFS(T_StockCount[Part Name],$A23,T_StockCount[WeekIndex],74)&gt;0,0,IF(('T_TTAFStock'!BW27&lt;&gt;""),'T_TTAFStock'!BW27,BV23+'Grid_Incoming'!BW23-'Grid_TTAFOutgoing'!BW23))</f>
        <v/>
      </c>
      <c r="BX23">
        <f>IF(COUNTIFS(T_StockCount[Part Name],$A23,T_StockCount[WeekIndex],75)&gt;0,0,IF(('T_TTAFStock'!BX27&lt;&gt;""),'T_TTAFStock'!BX27,BW23+'Grid_Incoming'!BX23-'Grid_TTAFOutgoing'!BX23))</f>
        <v/>
      </c>
      <c r="BY23">
        <f>IF(COUNTIFS(T_StockCount[Part Name],$A23,T_StockCount[WeekIndex],76)&gt;0,0,IF(('T_TTAFStock'!BY27&lt;&gt;""),'T_TTAFStock'!BY27,BX23+'Grid_Incoming'!BY23-'Grid_TTAFOutgoing'!BY23))</f>
        <v/>
      </c>
      <c r="BZ23">
        <f>IF(COUNTIFS(T_StockCount[Part Name],$A23,T_StockCount[WeekIndex],77)&gt;0,0,IF(('T_TTAFStock'!BZ27&lt;&gt;""),'T_TTAFStock'!BZ27,BY23+'Grid_Incoming'!BZ23-'Grid_TTAFOutgoing'!BZ23))</f>
        <v/>
      </c>
      <c r="CA23">
        <f>IF(COUNTIFS(T_StockCount[Part Name],$A23,T_StockCount[WeekIndex],78)&gt;0,0,IF(('T_TTAFStock'!CA27&lt;&gt;""),'T_TTAFStock'!CA27,BZ23+'Grid_Incoming'!CA23-'Grid_TTAFOutgoing'!CA23))</f>
        <v/>
      </c>
      <c r="CB23">
        <f>IF(COUNTIFS(T_StockCount[Part Name],$A23,T_StockCount[WeekIndex],79)&gt;0,0,IF(('T_TTAFStock'!CB27&lt;&gt;""),'T_TTAFStock'!CB27,CA23+'Grid_Incoming'!CB23-'Grid_TTAFOutgoing'!CB23))</f>
        <v/>
      </c>
      <c r="CC23">
        <f>IF(COUNTIFS(T_StockCount[Part Name],$A23,T_StockCount[WeekIndex],80)&gt;0,0,IF(('T_TTAFStock'!CC27&lt;&gt;""),'T_TTAFStock'!CC27,CB23+'Grid_Incoming'!CC23-'Grid_TTAFOutgoing'!CC23))</f>
        <v/>
      </c>
      <c r="CD23">
        <f>IF(COUNTIFS(T_StockCount[Part Name],$A23,T_StockCount[WeekIndex],81)&gt;0,0,IF(('T_TTAFStock'!CD27&lt;&gt;""),'T_TTAFStock'!CD27,CC23+'Grid_Incoming'!CD23-'Grid_TTAFOutgoing'!CD23))</f>
        <v/>
      </c>
      <c r="CE23">
        <f>IF(COUNTIFS(T_StockCount[Part Name],$A23,T_StockCount[WeekIndex],82)&gt;0,0,IF(('T_TTAFStock'!CE27&lt;&gt;""),'T_TTAFStock'!CE27,CD23+'Grid_Incoming'!CE23-'Grid_TTAFOutgoing'!CE23))</f>
        <v/>
      </c>
      <c r="CF23">
        <f>IF(COUNTIFS(T_StockCount[Part Name],$A23,T_StockCount[WeekIndex],83)&gt;0,0,IF(('T_TTAFStock'!CF27&lt;&gt;""),'T_TTAFStock'!CF27,CE23+'Grid_Incoming'!CF23-'Grid_TTAFOutgoing'!CF23))</f>
        <v/>
      </c>
      <c r="CG23">
        <f>IF(COUNTIFS(T_StockCount[Part Name],$A23,T_StockCount[WeekIndex],84)&gt;0,0,IF(('T_TTAFStock'!CG27&lt;&gt;""),'T_TTAFStock'!CG27,CF23+'Grid_Incoming'!CG23-'Grid_TTAFOutgoing'!CG23))</f>
        <v/>
      </c>
      <c r="CH23">
        <f>IF(COUNTIFS(T_StockCount[Part Name],$A23,T_StockCount[WeekIndex],85)&gt;0,0,IF(('T_TTAFStock'!CH27&lt;&gt;""),'T_TTAFStock'!CH27,CG23+'Grid_Incoming'!CH23-'Grid_TTAFOutgoing'!CH23))</f>
        <v/>
      </c>
      <c r="CI23">
        <f>IF(COUNTIFS(T_StockCount[Part Name],$A23,T_StockCount[WeekIndex],86)&gt;0,0,IF(('T_TTAFStock'!CI27&lt;&gt;""),'T_TTAFStock'!CI27,CH23+'Grid_Incoming'!CI23-'Grid_TTAFOutgoing'!CI23))</f>
        <v/>
      </c>
      <c r="CJ23">
        <f>IF(COUNTIFS(T_StockCount[Part Name],$A23,T_StockCount[WeekIndex],87)&gt;0,0,IF(('T_TTAFStock'!CJ27&lt;&gt;""),'T_TTAFStock'!CJ27,CI23+'Grid_Incoming'!CJ23-'Grid_TTAFOutgoing'!CJ23))</f>
        <v/>
      </c>
      <c r="CK23">
        <f>IF(COUNTIFS(T_StockCount[Part Name],$A23,T_StockCount[WeekIndex],88)&gt;0,0,IF(('T_TTAFStock'!CK27&lt;&gt;""),'T_TTAFStock'!CK27,CJ23+'Grid_Incoming'!CK23-'Grid_TTAFOutgoing'!CK23))</f>
        <v/>
      </c>
      <c r="CL23">
        <f>IF(COUNTIFS(T_StockCount[Part Name],$A23,T_StockCount[WeekIndex],89)&gt;0,0,IF(('T_TTAFStock'!CL27&lt;&gt;""),'T_TTAFStock'!CL27,CK23+'Grid_Incoming'!CL23-'Grid_TTAFOutgoing'!CL23))</f>
        <v/>
      </c>
      <c r="CM23">
        <f>IF(COUNTIFS(T_StockCount[Part Name],$A23,T_StockCount[WeekIndex],90)&gt;0,0,IF(('T_TTAFStock'!CM27&lt;&gt;""),'T_TTAFStock'!CM27,CL23+'Grid_Incoming'!CM23-'Grid_TTAFOutgoing'!CM23))</f>
        <v/>
      </c>
      <c r="CN23">
        <f>IF(COUNTIFS(T_StockCount[Part Name],$A23,T_StockCount[WeekIndex],91)&gt;0,0,IF(('T_TTAFStock'!CN27&lt;&gt;""),'T_TTAFStock'!CN27,CM23+'Grid_Incoming'!CN23-'Grid_TTAFOutgoing'!CN23))</f>
        <v/>
      </c>
      <c r="CO23">
        <f>IF(COUNTIFS(T_StockCount[Part Name],$A23,T_StockCount[WeekIndex],92)&gt;0,0,IF(('T_TTAFStock'!CO27&lt;&gt;""),'T_TTAFStock'!CO27,CN23+'Grid_Incoming'!CO23-'Grid_TTAFOutgoing'!CO23))</f>
        <v/>
      </c>
      <c r="CP23">
        <f>IF(COUNTIFS(T_StockCount[Part Name],$A23,T_StockCount[WeekIndex],93)&gt;0,0,IF(('T_TTAFStock'!CP27&lt;&gt;""),'T_TTAFStock'!CP27,CO23+'Grid_Incoming'!CP23-'Grid_TTAFOutgoing'!CP23))</f>
        <v/>
      </c>
      <c r="CQ23">
        <f>IF(COUNTIFS(T_StockCount[Part Name],$A23,T_StockCount[WeekIndex],94)&gt;0,0,IF(('T_TTAFStock'!CQ27&lt;&gt;""),'T_TTAFStock'!CQ27,CP23+'Grid_Incoming'!CQ23-'Grid_TTAFOutgoing'!CQ23))</f>
        <v/>
      </c>
      <c r="CR23">
        <f>IF(COUNTIFS(T_StockCount[Part Name],$A23,T_StockCount[WeekIndex],95)&gt;0,0,IF(('T_TTAFStock'!CR27&lt;&gt;""),'T_TTAFStock'!CR27,CQ23+'Grid_Incoming'!CR23-'Grid_TTAFOutgoing'!CR23))</f>
        <v/>
      </c>
      <c r="CS23">
        <f>IF(COUNTIFS(T_StockCount[Part Name],$A23,T_StockCount[WeekIndex],96)&gt;0,0,IF(('T_TTAFStock'!CS27&lt;&gt;""),'T_TTAFStock'!CS27,CR23+'Grid_Incoming'!CS23-'Grid_TTAFOutgoing'!CS23))</f>
        <v/>
      </c>
      <c r="CT23">
        <f>IF(COUNTIFS(T_StockCount[Part Name],$A23,T_StockCount[WeekIndex],97)&gt;0,0,IF(('T_TTAFStock'!CT27&lt;&gt;""),'T_TTAFStock'!CT27,CS23+'Grid_Incoming'!CT23-'Grid_TTAFOutgoing'!CT23))</f>
        <v/>
      </c>
      <c r="CU23">
        <f>IF(COUNTIFS(T_StockCount[Part Name],$A23,T_StockCount[WeekIndex],98)&gt;0,0,IF(('T_TTAFStock'!CU27&lt;&gt;""),'T_TTAFStock'!CU27,CT23+'Grid_Incoming'!CU23-'Grid_TTAFOutgoing'!CU23))</f>
        <v/>
      </c>
      <c r="CV23">
        <f>IF(COUNTIFS(T_StockCount[Part Name],$A23,T_StockCount[WeekIndex],99)&gt;0,0,IF(('T_TTAFStock'!CV27&lt;&gt;""),'T_TTAFStock'!CV27,CU23+'Grid_Incoming'!CV23-'Grid_TTAFOutgoing'!CV23))</f>
        <v/>
      </c>
      <c r="CW23">
        <f>IF(COUNTIFS(T_StockCount[Part Name],$A23,T_StockCount[WeekIndex],100)&gt;0,0,IF(('T_TTAFStock'!CW27&lt;&gt;""),'T_TTAFStock'!CW27,CV23+'Grid_Incoming'!CW23-'Grid_TTAFOutgoing'!CW23))</f>
        <v/>
      </c>
      <c r="CX23">
        <f>IF(COUNTIFS(T_StockCount[Part Name],$A23,T_StockCount[WeekIndex],101)&gt;0,0,IF(('T_TTAFStock'!CX27&lt;&gt;""),'T_TTAFStock'!CX27,CW23+'Grid_Incoming'!CX23-'Grid_TTAFOutgoing'!CX23))</f>
        <v/>
      </c>
      <c r="CY23">
        <f>IF(COUNTIFS(T_StockCount[Part Name],$A23,T_StockCount[WeekIndex],102)&gt;0,0,IF(('T_TTAFStock'!CY27&lt;&gt;""),'T_TTAFStock'!CY27,CX23+'Grid_Incoming'!CY23-'Grid_TTAFOutgoing'!CY23))</f>
        <v/>
      </c>
      <c r="CZ23">
        <f>IF(COUNTIFS(T_StockCount[Part Name],$A23,T_StockCount[WeekIndex],103)&gt;0,0,IF(('T_TTAFStock'!CZ27&lt;&gt;""),'T_TTAFStock'!CZ27,CY23+'Grid_Incoming'!CZ23-'Grid_TTAFOutgoing'!CZ23))</f>
        <v/>
      </c>
      <c r="DA23">
        <f>IF(COUNTIFS(T_StockCount[Part Name],$A23,T_StockCount[WeekIndex],104)&gt;0,0,IF(('T_TTAFStock'!DA27&lt;&gt;""),'T_TTAFStock'!DA27,CZ23+'Grid_Incoming'!DA23-'Grid_TTAFOutgoing'!DA23))</f>
        <v/>
      </c>
    </row>
    <row r="24">
      <c r="A24" t="inlineStr">
        <is>
          <t>Original Towel</t>
        </is>
      </c>
      <c r="B24">
        <f>IF(COUNTIFS(T_StockCount[Part Name],$A24,T_StockCount[WeekIndex],1)&gt;0,0,IF(('T_TTAFStock'!B28&lt;&gt;""),'T_TTAFStock'!B28,0+'Grid_Incoming'!B24-'Grid_TTAFOutgoing'!B24))</f>
        <v/>
      </c>
      <c r="C24">
        <f>IF(COUNTIFS(T_StockCount[Part Name],$A24,T_StockCount[WeekIndex],2)&gt;0,0,IF(('T_TTAFStock'!C28&lt;&gt;""),'T_TTAFStock'!C28,B24+'Grid_Incoming'!C24-'Grid_TTAFOutgoing'!C24))</f>
        <v/>
      </c>
      <c r="D24">
        <f>IF(COUNTIFS(T_StockCount[Part Name],$A24,T_StockCount[WeekIndex],3)&gt;0,0,IF(('T_TTAFStock'!D28&lt;&gt;""),'T_TTAFStock'!D28,C24+'Grid_Incoming'!D24-'Grid_TTAFOutgoing'!D24))</f>
        <v/>
      </c>
      <c r="E24">
        <f>IF(COUNTIFS(T_StockCount[Part Name],$A24,T_StockCount[WeekIndex],4)&gt;0,0,IF(('T_TTAFStock'!E28&lt;&gt;""),'T_TTAFStock'!E28,D24+'Grid_Incoming'!E24-'Grid_TTAFOutgoing'!E24))</f>
        <v/>
      </c>
      <c r="F24">
        <f>IF(COUNTIFS(T_StockCount[Part Name],$A24,T_StockCount[WeekIndex],5)&gt;0,0,IF(('T_TTAFStock'!F28&lt;&gt;""),'T_TTAFStock'!F28,E24+'Grid_Incoming'!F24-'Grid_TTAFOutgoing'!F24))</f>
        <v/>
      </c>
      <c r="G24">
        <f>IF(COUNTIFS(T_StockCount[Part Name],$A24,T_StockCount[WeekIndex],6)&gt;0,0,IF(('T_TTAFStock'!G28&lt;&gt;""),'T_TTAFStock'!G28,F24+'Grid_Incoming'!G24-'Grid_TTAFOutgoing'!G24))</f>
        <v/>
      </c>
      <c r="H24">
        <f>IF(COUNTIFS(T_StockCount[Part Name],$A24,T_StockCount[WeekIndex],7)&gt;0,0,IF(('T_TTAFStock'!H28&lt;&gt;""),'T_TTAFStock'!H28,G24+'Grid_Incoming'!H24-'Grid_TTAFOutgoing'!H24))</f>
        <v/>
      </c>
      <c r="I24">
        <f>IF(COUNTIFS(T_StockCount[Part Name],$A24,T_StockCount[WeekIndex],8)&gt;0,0,IF(('T_TTAFStock'!I28&lt;&gt;""),'T_TTAFStock'!I28,H24+'Grid_Incoming'!I24-'Grid_TTAFOutgoing'!I24))</f>
        <v/>
      </c>
      <c r="J24">
        <f>IF(COUNTIFS(T_StockCount[Part Name],$A24,T_StockCount[WeekIndex],9)&gt;0,0,IF(('T_TTAFStock'!J28&lt;&gt;""),'T_TTAFStock'!J28,I24+'Grid_Incoming'!J24-'Grid_TTAFOutgoing'!J24))</f>
        <v/>
      </c>
      <c r="K24">
        <f>IF(COUNTIFS(T_StockCount[Part Name],$A24,T_StockCount[WeekIndex],10)&gt;0,0,IF(('T_TTAFStock'!K28&lt;&gt;""),'T_TTAFStock'!K28,J24+'Grid_Incoming'!K24-'Grid_TTAFOutgoing'!K24))</f>
        <v/>
      </c>
      <c r="L24">
        <f>IF(COUNTIFS(T_StockCount[Part Name],$A24,T_StockCount[WeekIndex],11)&gt;0,0,IF(('T_TTAFStock'!L28&lt;&gt;""),'T_TTAFStock'!L28,K24+'Grid_Incoming'!L24-'Grid_TTAFOutgoing'!L24))</f>
        <v/>
      </c>
      <c r="M24">
        <f>IF(COUNTIFS(T_StockCount[Part Name],$A24,T_StockCount[WeekIndex],12)&gt;0,0,IF(('T_TTAFStock'!M28&lt;&gt;""),'T_TTAFStock'!M28,L24+'Grid_Incoming'!M24-'Grid_TTAFOutgoing'!M24))</f>
        <v/>
      </c>
      <c r="N24">
        <f>IF(COUNTIFS(T_StockCount[Part Name],$A24,T_StockCount[WeekIndex],13)&gt;0,0,IF(('T_TTAFStock'!N28&lt;&gt;""),'T_TTAFStock'!N28,M24+'Grid_Incoming'!N24-'Grid_TTAFOutgoing'!N24))</f>
        <v/>
      </c>
      <c r="O24">
        <f>IF(COUNTIFS(T_StockCount[Part Name],$A24,T_StockCount[WeekIndex],14)&gt;0,0,IF(('T_TTAFStock'!O28&lt;&gt;""),'T_TTAFStock'!O28,N24+'Grid_Incoming'!O24-'Grid_TTAFOutgoing'!O24))</f>
        <v/>
      </c>
      <c r="P24">
        <f>IF(COUNTIFS(T_StockCount[Part Name],$A24,T_StockCount[WeekIndex],15)&gt;0,0,IF(('T_TTAFStock'!P28&lt;&gt;""),'T_TTAFStock'!P28,O24+'Grid_Incoming'!P24-'Grid_TTAFOutgoing'!P24))</f>
        <v/>
      </c>
      <c r="Q24">
        <f>IF(COUNTIFS(T_StockCount[Part Name],$A24,T_StockCount[WeekIndex],16)&gt;0,0,IF(('T_TTAFStock'!Q28&lt;&gt;""),'T_TTAFStock'!Q28,P24+'Grid_Incoming'!Q24-'Grid_TTAFOutgoing'!Q24))</f>
        <v/>
      </c>
      <c r="R24">
        <f>IF(COUNTIFS(T_StockCount[Part Name],$A24,T_StockCount[WeekIndex],17)&gt;0,0,IF(('T_TTAFStock'!R28&lt;&gt;""),'T_TTAFStock'!R28,Q24+'Grid_Incoming'!R24-'Grid_TTAFOutgoing'!R24))</f>
        <v/>
      </c>
      <c r="S24">
        <f>IF(COUNTIFS(T_StockCount[Part Name],$A24,T_StockCount[WeekIndex],18)&gt;0,0,IF(('T_TTAFStock'!S28&lt;&gt;""),'T_TTAFStock'!S28,R24+'Grid_Incoming'!S24-'Grid_TTAFOutgoing'!S24))</f>
        <v/>
      </c>
      <c r="T24">
        <f>IF(COUNTIFS(T_StockCount[Part Name],$A24,T_StockCount[WeekIndex],19)&gt;0,0,IF(('T_TTAFStock'!T28&lt;&gt;""),'T_TTAFStock'!T28,S24+'Grid_Incoming'!T24-'Grid_TTAFOutgoing'!T24))</f>
        <v/>
      </c>
      <c r="U24">
        <f>IF(COUNTIFS(T_StockCount[Part Name],$A24,T_StockCount[WeekIndex],20)&gt;0,0,IF(('T_TTAFStock'!U28&lt;&gt;""),'T_TTAFStock'!U28,T24+'Grid_Incoming'!U24-'Grid_TTAFOutgoing'!U24))</f>
        <v/>
      </c>
      <c r="V24">
        <f>IF(COUNTIFS(T_StockCount[Part Name],$A24,T_StockCount[WeekIndex],21)&gt;0,0,IF(('T_TTAFStock'!V28&lt;&gt;""),'T_TTAFStock'!V28,U24+'Grid_Incoming'!V24-'Grid_TTAFOutgoing'!V24))</f>
        <v/>
      </c>
      <c r="W24">
        <f>IF(COUNTIFS(T_StockCount[Part Name],$A24,T_StockCount[WeekIndex],22)&gt;0,0,IF(('T_TTAFStock'!W28&lt;&gt;""),'T_TTAFStock'!W28,V24+'Grid_Incoming'!W24-'Grid_TTAFOutgoing'!W24))</f>
        <v/>
      </c>
      <c r="X24">
        <f>IF(COUNTIFS(T_StockCount[Part Name],$A24,T_StockCount[WeekIndex],23)&gt;0,0,IF(('T_TTAFStock'!X28&lt;&gt;""),'T_TTAFStock'!X28,W24+'Grid_Incoming'!X24-'Grid_TTAFOutgoing'!X24))</f>
        <v/>
      </c>
      <c r="Y24">
        <f>IF(COUNTIFS(T_StockCount[Part Name],$A24,T_StockCount[WeekIndex],24)&gt;0,0,IF(('T_TTAFStock'!Y28&lt;&gt;""),'T_TTAFStock'!Y28,X24+'Grid_Incoming'!Y24-'Grid_TTAFOutgoing'!Y24))</f>
        <v/>
      </c>
      <c r="Z24">
        <f>IF(COUNTIFS(T_StockCount[Part Name],$A24,T_StockCount[WeekIndex],25)&gt;0,0,IF(('T_TTAFStock'!Z28&lt;&gt;""),'T_TTAFStock'!Z28,Y24+'Grid_Incoming'!Z24-'Grid_TTAFOutgoing'!Z24))</f>
        <v/>
      </c>
      <c r="AA24">
        <f>IF(COUNTIFS(T_StockCount[Part Name],$A24,T_StockCount[WeekIndex],26)&gt;0,0,IF(('T_TTAFStock'!AA28&lt;&gt;""),'T_TTAFStock'!AA28,Z24+'Grid_Incoming'!AA24-'Grid_TTAFOutgoing'!AA24))</f>
        <v/>
      </c>
      <c r="AB24">
        <f>IF(COUNTIFS(T_StockCount[Part Name],$A24,T_StockCount[WeekIndex],27)&gt;0,0,IF(('T_TTAFStock'!AB28&lt;&gt;""),'T_TTAFStock'!AB28,AA24+'Grid_Incoming'!AB24-'Grid_TTAFOutgoing'!AB24))</f>
        <v/>
      </c>
      <c r="AC24">
        <f>IF(COUNTIFS(T_StockCount[Part Name],$A24,T_StockCount[WeekIndex],28)&gt;0,0,IF(('T_TTAFStock'!AC28&lt;&gt;""),'T_TTAFStock'!AC28,AB24+'Grid_Incoming'!AC24-'Grid_TTAFOutgoing'!AC24))</f>
        <v/>
      </c>
      <c r="AD24">
        <f>IF(COUNTIFS(T_StockCount[Part Name],$A24,T_StockCount[WeekIndex],29)&gt;0,0,IF(('T_TTAFStock'!AD28&lt;&gt;""),'T_TTAFStock'!AD28,AC24+'Grid_Incoming'!AD24-'Grid_TTAFOutgoing'!AD24))</f>
        <v/>
      </c>
      <c r="AE24">
        <f>IF(COUNTIFS(T_StockCount[Part Name],$A24,T_StockCount[WeekIndex],30)&gt;0,0,IF(('T_TTAFStock'!AE28&lt;&gt;""),'T_TTAFStock'!AE28,AD24+'Grid_Incoming'!AE24-'Grid_TTAFOutgoing'!AE24))</f>
        <v/>
      </c>
      <c r="AF24">
        <f>IF(COUNTIFS(T_StockCount[Part Name],$A24,T_StockCount[WeekIndex],31)&gt;0,0,IF(('T_TTAFStock'!AF28&lt;&gt;""),'T_TTAFStock'!AF28,AE24+'Grid_Incoming'!AF24-'Grid_TTAFOutgoing'!AF24))</f>
        <v/>
      </c>
      <c r="AG24">
        <f>IF(COUNTIFS(T_StockCount[Part Name],$A24,T_StockCount[WeekIndex],32)&gt;0,0,IF(('T_TTAFStock'!AG28&lt;&gt;""),'T_TTAFStock'!AG28,AF24+'Grid_Incoming'!AG24-'Grid_TTAFOutgoing'!AG24))</f>
        <v/>
      </c>
      <c r="AH24">
        <f>IF(COUNTIFS(T_StockCount[Part Name],$A24,T_StockCount[WeekIndex],33)&gt;0,0,IF(('T_TTAFStock'!AH28&lt;&gt;""),'T_TTAFStock'!AH28,AG24+'Grid_Incoming'!AH24-'Grid_TTAFOutgoing'!AH24))</f>
        <v/>
      </c>
      <c r="AI24">
        <f>IF(COUNTIFS(T_StockCount[Part Name],$A24,T_StockCount[WeekIndex],34)&gt;0,0,IF(('T_TTAFStock'!AI28&lt;&gt;""),'T_TTAFStock'!AI28,AH24+'Grid_Incoming'!AI24-'Grid_TTAFOutgoing'!AI24))</f>
        <v/>
      </c>
      <c r="AJ24">
        <f>IF(COUNTIFS(T_StockCount[Part Name],$A24,T_StockCount[WeekIndex],35)&gt;0,0,IF(('T_TTAFStock'!AJ28&lt;&gt;""),'T_TTAFStock'!AJ28,AI24+'Grid_Incoming'!AJ24-'Grid_TTAFOutgoing'!AJ24))</f>
        <v/>
      </c>
      <c r="AK24">
        <f>IF(COUNTIFS(T_StockCount[Part Name],$A24,T_StockCount[WeekIndex],36)&gt;0,0,IF(('T_TTAFStock'!AK28&lt;&gt;""),'T_TTAFStock'!AK28,AJ24+'Grid_Incoming'!AK24-'Grid_TTAFOutgoing'!AK24))</f>
        <v/>
      </c>
      <c r="AL24">
        <f>IF(COUNTIFS(T_StockCount[Part Name],$A24,T_StockCount[WeekIndex],37)&gt;0,0,IF(('T_TTAFStock'!AL28&lt;&gt;""),'T_TTAFStock'!AL28,AK24+'Grid_Incoming'!AL24-'Grid_TTAFOutgoing'!AL24))</f>
        <v/>
      </c>
      <c r="AM24">
        <f>IF(COUNTIFS(T_StockCount[Part Name],$A24,T_StockCount[WeekIndex],38)&gt;0,0,IF(('T_TTAFStock'!AM28&lt;&gt;""),'T_TTAFStock'!AM28,AL24+'Grid_Incoming'!AM24-'Grid_TTAFOutgoing'!AM24))</f>
        <v/>
      </c>
      <c r="AN24">
        <f>IF(COUNTIFS(T_StockCount[Part Name],$A24,T_StockCount[WeekIndex],39)&gt;0,0,IF(('T_TTAFStock'!AN28&lt;&gt;""),'T_TTAFStock'!AN28,AM24+'Grid_Incoming'!AN24-'Grid_TTAFOutgoing'!AN24))</f>
        <v/>
      </c>
      <c r="AO24">
        <f>IF(COUNTIFS(T_StockCount[Part Name],$A24,T_StockCount[WeekIndex],40)&gt;0,0,IF(('T_TTAFStock'!AO28&lt;&gt;""),'T_TTAFStock'!AO28,AN24+'Grid_Incoming'!AO24-'Grid_TTAFOutgoing'!AO24))</f>
        <v/>
      </c>
      <c r="AP24">
        <f>IF(COUNTIFS(T_StockCount[Part Name],$A24,T_StockCount[WeekIndex],41)&gt;0,0,IF(('T_TTAFStock'!AP28&lt;&gt;""),'T_TTAFStock'!AP28,AO24+'Grid_Incoming'!AP24-'Grid_TTAFOutgoing'!AP24))</f>
        <v/>
      </c>
      <c r="AQ24">
        <f>IF(COUNTIFS(T_StockCount[Part Name],$A24,T_StockCount[WeekIndex],42)&gt;0,0,IF(('T_TTAFStock'!AQ28&lt;&gt;""),'T_TTAFStock'!AQ28,AP24+'Grid_Incoming'!AQ24-'Grid_TTAFOutgoing'!AQ24))</f>
        <v/>
      </c>
      <c r="AR24">
        <f>IF(COUNTIFS(T_StockCount[Part Name],$A24,T_StockCount[WeekIndex],43)&gt;0,0,IF(('T_TTAFStock'!AR28&lt;&gt;""),'T_TTAFStock'!AR28,AQ24+'Grid_Incoming'!AR24-'Grid_TTAFOutgoing'!AR24))</f>
        <v/>
      </c>
      <c r="AS24">
        <f>IF(COUNTIFS(T_StockCount[Part Name],$A24,T_StockCount[WeekIndex],44)&gt;0,0,IF(('T_TTAFStock'!AS28&lt;&gt;""),'T_TTAFStock'!AS28,AR24+'Grid_Incoming'!AS24-'Grid_TTAFOutgoing'!AS24))</f>
        <v/>
      </c>
      <c r="AT24">
        <f>IF(COUNTIFS(T_StockCount[Part Name],$A24,T_StockCount[WeekIndex],45)&gt;0,0,IF(('T_TTAFStock'!AT28&lt;&gt;""),'T_TTAFStock'!AT28,AS24+'Grid_Incoming'!AT24-'Grid_TTAFOutgoing'!AT24))</f>
        <v/>
      </c>
      <c r="AU24">
        <f>IF(COUNTIFS(T_StockCount[Part Name],$A24,T_StockCount[WeekIndex],46)&gt;0,0,IF(('T_TTAFStock'!AU28&lt;&gt;""),'T_TTAFStock'!AU28,AT24+'Grid_Incoming'!AU24-'Grid_TTAFOutgoing'!AU24))</f>
        <v/>
      </c>
      <c r="AV24">
        <f>IF(COUNTIFS(T_StockCount[Part Name],$A24,T_StockCount[WeekIndex],47)&gt;0,0,IF(('T_TTAFStock'!AV28&lt;&gt;""),'T_TTAFStock'!AV28,AU24+'Grid_Incoming'!AV24-'Grid_TTAFOutgoing'!AV24))</f>
        <v/>
      </c>
      <c r="AW24">
        <f>IF(COUNTIFS(T_StockCount[Part Name],$A24,T_StockCount[WeekIndex],48)&gt;0,0,IF(('T_TTAFStock'!AW28&lt;&gt;""),'T_TTAFStock'!AW28,AV24+'Grid_Incoming'!AW24-'Grid_TTAFOutgoing'!AW24))</f>
        <v/>
      </c>
      <c r="AX24">
        <f>IF(COUNTIFS(T_StockCount[Part Name],$A24,T_StockCount[WeekIndex],49)&gt;0,0,IF(('T_TTAFStock'!AX28&lt;&gt;""),'T_TTAFStock'!AX28,AW24+'Grid_Incoming'!AX24-'Grid_TTAFOutgoing'!AX24))</f>
        <v/>
      </c>
      <c r="AY24">
        <f>IF(COUNTIFS(T_StockCount[Part Name],$A24,T_StockCount[WeekIndex],50)&gt;0,0,IF(('T_TTAFStock'!AY28&lt;&gt;""),'T_TTAFStock'!AY28,AX24+'Grid_Incoming'!AY24-'Grid_TTAFOutgoing'!AY24))</f>
        <v/>
      </c>
      <c r="AZ24">
        <f>IF(COUNTIFS(T_StockCount[Part Name],$A24,T_StockCount[WeekIndex],51)&gt;0,0,IF(('T_TTAFStock'!AZ28&lt;&gt;""),'T_TTAFStock'!AZ28,AY24+'Grid_Incoming'!AZ24-'Grid_TTAFOutgoing'!AZ24))</f>
        <v/>
      </c>
      <c r="BA24">
        <f>IF(COUNTIFS(T_StockCount[Part Name],$A24,T_StockCount[WeekIndex],52)&gt;0,0,IF(('T_TTAFStock'!BA28&lt;&gt;""),'T_TTAFStock'!BA28,AZ24+'Grid_Incoming'!BA24-'Grid_TTAFOutgoing'!BA24))</f>
        <v/>
      </c>
      <c r="BB24">
        <f>IF(COUNTIFS(T_StockCount[Part Name],$A24,T_StockCount[WeekIndex],53)&gt;0,0,IF(('T_TTAFStock'!BB28&lt;&gt;""),'T_TTAFStock'!BB28,BA24+'Grid_Incoming'!BB24-'Grid_TTAFOutgoing'!BB24))</f>
        <v/>
      </c>
      <c r="BC24">
        <f>IF(COUNTIFS(T_StockCount[Part Name],$A24,T_StockCount[WeekIndex],54)&gt;0,0,IF(('T_TTAFStock'!BC28&lt;&gt;""),'T_TTAFStock'!BC28,BB24+'Grid_Incoming'!BC24-'Grid_TTAFOutgoing'!BC24))</f>
        <v/>
      </c>
      <c r="BD24">
        <f>IF(COUNTIFS(T_StockCount[Part Name],$A24,T_StockCount[WeekIndex],55)&gt;0,0,IF(('T_TTAFStock'!BD28&lt;&gt;""),'T_TTAFStock'!BD28,BC24+'Grid_Incoming'!BD24-'Grid_TTAFOutgoing'!BD24))</f>
        <v/>
      </c>
      <c r="BE24">
        <f>IF(COUNTIFS(T_StockCount[Part Name],$A24,T_StockCount[WeekIndex],56)&gt;0,0,IF(('T_TTAFStock'!BE28&lt;&gt;""),'T_TTAFStock'!BE28,BD24+'Grid_Incoming'!BE24-'Grid_TTAFOutgoing'!BE24))</f>
        <v/>
      </c>
      <c r="BF24">
        <f>IF(COUNTIFS(T_StockCount[Part Name],$A24,T_StockCount[WeekIndex],57)&gt;0,0,IF(('T_TTAFStock'!BF28&lt;&gt;""),'T_TTAFStock'!BF28,BE24+'Grid_Incoming'!BF24-'Grid_TTAFOutgoing'!BF24))</f>
        <v/>
      </c>
      <c r="BG24">
        <f>IF(COUNTIFS(T_StockCount[Part Name],$A24,T_StockCount[WeekIndex],58)&gt;0,0,IF(('T_TTAFStock'!BG28&lt;&gt;""),'T_TTAFStock'!BG28,BF24+'Grid_Incoming'!BG24-'Grid_TTAFOutgoing'!BG24))</f>
        <v/>
      </c>
      <c r="BH24">
        <f>IF(COUNTIFS(T_StockCount[Part Name],$A24,T_StockCount[WeekIndex],59)&gt;0,0,IF(('T_TTAFStock'!BH28&lt;&gt;""),'T_TTAFStock'!BH28,BG24+'Grid_Incoming'!BH24-'Grid_TTAFOutgoing'!BH24))</f>
        <v/>
      </c>
      <c r="BI24">
        <f>IF(COUNTIFS(T_StockCount[Part Name],$A24,T_StockCount[WeekIndex],60)&gt;0,0,IF(('T_TTAFStock'!BI28&lt;&gt;""),'T_TTAFStock'!BI28,BH24+'Grid_Incoming'!BI24-'Grid_TTAFOutgoing'!BI24))</f>
        <v/>
      </c>
      <c r="BJ24">
        <f>IF(COUNTIFS(T_StockCount[Part Name],$A24,T_StockCount[WeekIndex],61)&gt;0,0,IF(('T_TTAFStock'!BJ28&lt;&gt;""),'T_TTAFStock'!BJ28,BI24+'Grid_Incoming'!BJ24-'Grid_TTAFOutgoing'!BJ24))</f>
        <v/>
      </c>
      <c r="BK24">
        <f>IF(COUNTIFS(T_StockCount[Part Name],$A24,T_StockCount[WeekIndex],62)&gt;0,0,IF(('T_TTAFStock'!BK28&lt;&gt;""),'T_TTAFStock'!BK28,BJ24+'Grid_Incoming'!BK24-'Grid_TTAFOutgoing'!BK24))</f>
        <v/>
      </c>
      <c r="BL24">
        <f>IF(COUNTIFS(T_StockCount[Part Name],$A24,T_StockCount[WeekIndex],63)&gt;0,0,IF(('T_TTAFStock'!BL28&lt;&gt;""),'T_TTAFStock'!BL28,BK24+'Grid_Incoming'!BL24-'Grid_TTAFOutgoing'!BL24))</f>
        <v/>
      </c>
      <c r="BM24">
        <f>IF(COUNTIFS(T_StockCount[Part Name],$A24,T_StockCount[WeekIndex],64)&gt;0,0,IF(('T_TTAFStock'!BM28&lt;&gt;""),'T_TTAFStock'!BM28,BL24+'Grid_Incoming'!BM24-'Grid_TTAFOutgoing'!BM24))</f>
        <v/>
      </c>
      <c r="BN24">
        <f>IF(COUNTIFS(T_StockCount[Part Name],$A24,T_StockCount[WeekIndex],65)&gt;0,0,IF(('T_TTAFStock'!BN28&lt;&gt;""),'T_TTAFStock'!BN28,BM24+'Grid_Incoming'!BN24-'Grid_TTAFOutgoing'!BN24))</f>
        <v/>
      </c>
      <c r="BO24">
        <f>IF(COUNTIFS(T_StockCount[Part Name],$A24,T_StockCount[WeekIndex],66)&gt;0,0,IF(('T_TTAFStock'!BO28&lt;&gt;""),'T_TTAFStock'!BO28,BN24+'Grid_Incoming'!BO24-'Grid_TTAFOutgoing'!BO24))</f>
        <v/>
      </c>
      <c r="BP24">
        <f>IF(COUNTIFS(T_StockCount[Part Name],$A24,T_StockCount[WeekIndex],67)&gt;0,0,IF(('T_TTAFStock'!BP28&lt;&gt;""),'T_TTAFStock'!BP28,BO24+'Grid_Incoming'!BP24-'Grid_TTAFOutgoing'!BP24))</f>
        <v/>
      </c>
      <c r="BQ24">
        <f>IF(COUNTIFS(T_StockCount[Part Name],$A24,T_StockCount[WeekIndex],68)&gt;0,0,IF(('T_TTAFStock'!BQ28&lt;&gt;""),'T_TTAFStock'!BQ28,BP24+'Grid_Incoming'!BQ24-'Grid_TTAFOutgoing'!BQ24))</f>
        <v/>
      </c>
      <c r="BR24">
        <f>IF(COUNTIFS(T_StockCount[Part Name],$A24,T_StockCount[WeekIndex],69)&gt;0,0,IF(('T_TTAFStock'!BR28&lt;&gt;""),'T_TTAFStock'!BR28,BQ24+'Grid_Incoming'!BR24-'Grid_TTAFOutgoing'!BR24))</f>
        <v/>
      </c>
      <c r="BS24">
        <f>IF(COUNTIFS(T_StockCount[Part Name],$A24,T_StockCount[WeekIndex],70)&gt;0,0,IF(('T_TTAFStock'!BS28&lt;&gt;""),'T_TTAFStock'!BS28,BR24+'Grid_Incoming'!BS24-'Grid_TTAFOutgoing'!BS24))</f>
        <v/>
      </c>
      <c r="BT24">
        <f>IF(COUNTIFS(T_StockCount[Part Name],$A24,T_StockCount[WeekIndex],71)&gt;0,0,IF(('T_TTAFStock'!BT28&lt;&gt;""),'T_TTAFStock'!BT28,BS24+'Grid_Incoming'!BT24-'Grid_TTAFOutgoing'!BT24))</f>
        <v/>
      </c>
      <c r="BU24">
        <f>IF(COUNTIFS(T_StockCount[Part Name],$A24,T_StockCount[WeekIndex],72)&gt;0,0,IF(('T_TTAFStock'!BU28&lt;&gt;""),'T_TTAFStock'!BU28,BT24+'Grid_Incoming'!BU24-'Grid_TTAFOutgoing'!BU24))</f>
        <v/>
      </c>
      <c r="BV24">
        <f>IF(COUNTIFS(T_StockCount[Part Name],$A24,T_StockCount[WeekIndex],73)&gt;0,0,IF(('T_TTAFStock'!BV28&lt;&gt;""),'T_TTAFStock'!BV28,BU24+'Grid_Incoming'!BV24-'Grid_TTAFOutgoing'!BV24))</f>
        <v/>
      </c>
      <c r="BW24">
        <f>IF(COUNTIFS(T_StockCount[Part Name],$A24,T_StockCount[WeekIndex],74)&gt;0,0,IF(('T_TTAFStock'!BW28&lt;&gt;""),'T_TTAFStock'!BW28,BV24+'Grid_Incoming'!BW24-'Grid_TTAFOutgoing'!BW24))</f>
        <v/>
      </c>
      <c r="BX24">
        <f>IF(COUNTIFS(T_StockCount[Part Name],$A24,T_StockCount[WeekIndex],75)&gt;0,0,IF(('T_TTAFStock'!BX28&lt;&gt;""),'T_TTAFStock'!BX28,BW24+'Grid_Incoming'!BX24-'Grid_TTAFOutgoing'!BX24))</f>
        <v/>
      </c>
      <c r="BY24">
        <f>IF(COUNTIFS(T_StockCount[Part Name],$A24,T_StockCount[WeekIndex],76)&gt;0,0,IF(('T_TTAFStock'!BY28&lt;&gt;""),'T_TTAFStock'!BY28,BX24+'Grid_Incoming'!BY24-'Grid_TTAFOutgoing'!BY24))</f>
        <v/>
      </c>
      <c r="BZ24">
        <f>IF(COUNTIFS(T_StockCount[Part Name],$A24,T_StockCount[WeekIndex],77)&gt;0,0,IF(('T_TTAFStock'!BZ28&lt;&gt;""),'T_TTAFStock'!BZ28,BY24+'Grid_Incoming'!BZ24-'Grid_TTAFOutgoing'!BZ24))</f>
        <v/>
      </c>
      <c r="CA24">
        <f>IF(COUNTIFS(T_StockCount[Part Name],$A24,T_StockCount[WeekIndex],78)&gt;0,0,IF(('T_TTAFStock'!CA28&lt;&gt;""),'T_TTAFStock'!CA28,BZ24+'Grid_Incoming'!CA24-'Grid_TTAFOutgoing'!CA24))</f>
        <v/>
      </c>
      <c r="CB24">
        <f>IF(COUNTIFS(T_StockCount[Part Name],$A24,T_StockCount[WeekIndex],79)&gt;0,0,IF(('T_TTAFStock'!CB28&lt;&gt;""),'T_TTAFStock'!CB28,CA24+'Grid_Incoming'!CB24-'Grid_TTAFOutgoing'!CB24))</f>
        <v/>
      </c>
      <c r="CC24">
        <f>IF(COUNTIFS(T_StockCount[Part Name],$A24,T_StockCount[WeekIndex],80)&gt;0,0,IF(('T_TTAFStock'!CC28&lt;&gt;""),'T_TTAFStock'!CC28,CB24+'Grid_Incoming'!CC24-'Grid_TTAFOutgoing'!CC24))</f>
        <v/>
      </c>
      <c r="CD24">
        <f>IF(COUNTIFS(T_StockCount[Part Name],$A24,T_StockCount[WeekIndex],81)&gt;0,0,IF(('T_TTAFStock'!CD28&lt;&gt;""),'T_TTAFStock'!CD28,CC24+'Grid_Incoming'!CD24-'Grid_TTAFOutgoing'!CD24))</f>
        <v/>
      </c>
      <c r="CE24">
        <f>IF(COUNTIFS(T_StockCount[Part Name],$A24,T_StockCount[WeekIndex],82)&gt;0,0,IF(('T_TTAFStock'!CE28&lt;&gt;""),'T_TTAFStock'!CE28,CD24+'Grid_Incoming'!CE24-'Grid_TTAFOutgoing'!CE24))</f>
        <v/>
      </c>
      <c r="CF24">
        <f>IF(COUNTIFS(T_StockCount[Part Name],$A24,T_StockCount[WeekIndex],83)&gt;0,0,IF(('T_TTAFStock'!CF28&lt;&gt;""),'T_TTAFStock'!CF28,CE24+'Grid_Incoming'!CF24-'Grid_TTAFOutgoing'!CF24))</f>
        <v/>
      </c>
      <c r="CG24">
        <f>IF(COUNTIFS(T_StockCount[Part Name],$A24,T_StockCount[WeekIndex],84)&gt;0,0,IF(('T_TTAFStock'!CG28&lt;&gt;""),'T_TTAFStock'!CG28,CF24+'Grid_Incoming'!CG24-'Grid_TTAFOutgoing'!CG24))</f>
        <v/>
      </c>
      <c r="CH24">
        <f>IF(COUNTIFS(T_StockCount[Part Name],$A24,T_StockCount[WeekIndex],85)&gt;0,0,IF(('T_TTAFStock'!CH28&lt;&gt;""),'T_TTAFStock'!CH28,CG24+'Grid_Incoming'!CH24-'Grid_TTAFOutgoing'!CH24))</f>
        <v/>
      </c>
      <c r="CI24">
        <f>IF(COUNTIFS(T_StockCount[Part Name],$A24,T_StockCount[WeekIndex],86)&gt;0,0,IF(('T_TTAFStock'!CI28&lt;&gt;""),'T_TTAFStock'!CI28,CH24+'Grid_Incoming'!CI24-'Grid_TTAFOutgoing'!CI24))</f>
        <v/>
      </c>
      <c r="CJ24">
        <f>IF(COUNTIFS(T_StockCount[Part Name],$A24,T_StockCount[WeekIndex],87)&gt;0,0,IF(('T_TTAFStock'!CJ28&lt;&gt;""),'T_TTAFStock'!CJ28,CI24+'Grid_Incoming'!CJ24-'Grid_TTAFOutgoing'!CJ24))</f>
        <v/>
      </c>
      <c r="CK24">
        <f>IF(COUNTIFS(T_StockCount[Part Name],$A24,T_StockCount[WeekIndex],88)&gt;0,0,IF(('T_TTAFStock'!CK28&lt;&gt;""),'T_TTAFStock'!CK28,CJ24+'Grid_Incoming'!CK24-'Grid_TTAFOutgoing'!CK24))</f>
        <v/>
      </c>
      <c r="CL24">
        <f>IF(COUNTIFS(T_StockCount[Part Name],$A24,T_StockCount[WeekIndex],89)&gt;0,0,IF(('T_TTAFStock'!CL28&lt;&gt;""),'T_TTAFStock'!CL28,CK24+'Grid_Incoming'!CL24-'Grid_TTAFOutgoing'!CL24))</f>
        <v/>
      </c>
      <c r="CM24">
        <f>IF(COUNTIFS(T_StockCount[Part Name],$A24,T_StockCount[WeekIndex],90)&gt;0,0,IF(('T_TTAFStock'!CM28&lt;&gt;""),'T_TTAFStock'!CM28,CL24+'Grid_Incoming'!CM24-'Grid_TTAFOutgoing'!CM24))</f>
        <v/>
      </c>
      <c r="CN24">
        <f>IF(COUNTIFS(T_StockCount[Part Name],$A24,T_StockCount[WeekIndex],91)&gt;0,0,IF(('T_TTAFStock'!CN28&lt;&gt;""),'T_TTAFStock'!CN28,CM24+'Grid_Incoming'!CN24-'Grid_TTAFOutgoing'!CN24))</f>
        <v/>
      </c>
      <c r="CO24">
        <f>IF(COUNTIFS(T_StockCount[Part Name],$A24,T_StockCount[WeekIndex],92)&gt;0,0,IF(('T_TTAFStock'!CO28&lt;&gt;""),'T_TTAFStock'!CO28,CN24+'Grid_Incoming'!CO24-'Grid_TTAFOutgoing'!CO24))</f>
        <v/>
      </c>
      <c r="CP24">
        <f>IF(COUNTIFS(T_StockCount[Part Name],$A24,T_StockCount[WeekIndex],93)&gt;0,0,IF(('T_TTAFStock'!CP28&lt;&gt;""),'T_TTAFStock'!CP28,CO24+'Grid_Incoming'!CP24-'Grid_TTAFOutgoing'!CP24))</f>
        <v/>
      </c>
      <c r="CQ24">
        <f>IF(COUNTIFS(T_StockCount[Part Name],$A24,T_StockCount[WeekIndex],94)&gt;0,0,IF(('T_TTAFStock'!CQ28&lt;&gt;""),'T_TTAFStock'!CQ28,CP24+'Grid_Incoming'!CQ24-'Grid_TTAFOutgoing'!CQ24))</f>
        <v/>
      </c>
      <c r="CR24">
        <f>IF(COUNTIFS(T_StockCount[Part Name],$A24,T_StockCount[WeekIndex],95)&gt;0,0,IF(('T_TTAFStock'!CR28&lt;&gt;""),'T_TTAFStock'!CR28,CQ24+'Grid_Incoming'!CR24-'Grid_TTAFOutgoing'!CR24))</f>
        <v/>
      </c>
      <c r="CS24">
        <f>IF(COUNTIFS(T_StockCount[Part Name],$A24,T_StockCount[WeekIndex],96)&gt;0,0,IF(('T_TTAFStock'!CS28&lt;&gt;""),'T_TTAFStock'!CS28,CR24+'Grid_Incoming'!CS24-'Grid_TTAFOutgoing'!CS24))</f>
        <v/>
      </c>
      <c r="CT24">
        <f>IF(COUNTIFS(T_StockCount[Part Name],$A24,T_StockCount[WeekIndex],97)&gt;0,0,IF(('T_TTAFStock'!CT28&lt;&gt;""),'T_TTAFStock'!CT28,CS24+'Grid_Incoming'!CT24-'Grid_TTAFOutgoing'!CT24))</f>
        <v/>
      </c>
      <c r="CU24">
        <f>IF(COUNTIFS(T_StockCount[Part Name],$A24,T_StockCount[WeekIndex],98)&gt;0,0,IF(('T_TTAFStock'!CU28&lt;&gt;""),'T_TTAFStock'!CU28,CT24+'Grid_Incoming'!CU24-'Grid_TTAFOutgoing'!CU24))</f>
        <v/>
      </c>
      <c r="CV24">
        <f>IF(COUNTIFS(T_StockCount[Part Name],$A24,T_StockCount[WeekIndex],99)&gt;0,0,IF(('T_TTAFStock'!CV28&lt;&gt;""),'T_TTAFStock'!CV28,CU24+'Grid_Incoming'!CV24-'Grid_TTAFOutgoing'!CV24))</f>
        <v/>
      </c>
      <c r="CW24">
        <f>IF(COUNTIFS(T_StockCount[Part Name],$A24,T_StockCount[WeekIndex],100)&gt;0,0,IF(('T_TTAFStock'!CW28&lt;&gt;""),'T_TTAFStock'!CW28,CV24+'Grid_Incoming'!CW24-'Grid_TTAFOutgoing'!CW24))</f>
        <v/>
      </c>
      <c r="CX24">
        <f>IF(COUNTIFS(T_StockCount[Part Name],$A24,T_StockCount[WeekIndex],101)&gt;0,0,IF(('T_TTAFStock'!CX28&lt;&gt;""),'T_TTAFStock'!CX28,CW24+'Grid_Incoming'!CX24-'Grid_TTAFOutgoing'!CX24))</f>
        <v/>
      </c>
      <c r="CY24">
        <f>IF(COUNTIFS(T_StockCount[Part Name],$A24,T_StockCount[WeekIndex],102)&gt;0,0,IF(('T_TTAFStock'!CY28&lt;&gt;""),'T_TTAFStock'!CY28,CX24+'Grid_Incoming'!CY24-'Grid_TTAFOutgoing'!CY24))</f>
        <v/>
      </c>
      <c r="CZ24">
        <f>IF(COUNTIFS(T_StockCount[Part Name],$A24,T_StockCount[WeekIndex],103)&gt;0,0,IF(('T_TTAFStock'!CZ28&lt;&gt;""),'T_TTAFStock'!CZ28,CY24+'Grid_Incoming'!CZ24-'Grid_TTAFOutgoing'!CZ24))</f>
        <v/>
      </c>
      <c r="DA24">
        <f>IF(COUNTIFS(T_StockCount[Part Name],$A24,T_StockCount[WeekIndex],104)&gt;0,0,IF(('T_TTAFStock'!DA28&lt;&gt;""),'T_TTAFStock'!DA28,CZ24+'Grid_Incoming'!DA24-'Grid_TTAFOutgoing'!DA24))</f>
        <v/>
      </c>
    </row>
    <row r="25">
      <c r="A25" t="inlineStr">
        <is>
          <t>CHEM-1200</t>
        </is>
      </c>
      <c r="B25">
        <f>IF(COUNTIFS(T_StockCount[Part Name],$A25,T_StockCount[WeekIndex],1)&gt;0,0,IF(('T_TTAFStock'!B29&lt;&gt;""),'T_TTAFStock'!B29,0+'Grid_Incoming'!B25-'Grid_TTAFOutgoing'!B25))</f>
        <v/>
      </c>
      <c r="C25">
        <f>IF(COUNTIFS(T_StockCount[Part Name],$A25,T_StockCount[WeekIndex],2)&gt;0,0,IF(('T_TTAFStock'!C29&lt;&gt;""),'T_TTAFStock'!C29,B25+'Grid_Incoming'!C25-'Grid_TTAFOutgoing'!C25))</f>
        <v/>
      </c>
      <c r="D25">
        <f>IF(COUNTIFS(T_StockCount[Part Name],$A25,T_StockCount[WeekIndex],3)&gt;0,0,IF(('T_TTAFStock'!D29&lt;&gt;""),'T_TTAFStock'!D29,C25+'Grid_Incoming'!D25-'Grid_TTAFOutgoing'!D25))</f>
        <v/>
      </c>
      <c r="E25">
        <f>IF(COUNTIFS(T_StockCount[Part Name],$A25,T_StockCount[WeekIndex],4)&gt;0,0,IF(('T_TTAFStock'!E29&lt;&gt;""),'T_TTAFStock'!E29,D25+'Grid_Incoming'!E25-'Grid_TTAFOutgoing'!E25))</f>
        <v/>
      </c>
      <c r="F25">
        <f>IF(COUNTIFS(T_StockCount[Part Name],$A25,T_StockCount[WeekIndex],5)&gt;0,0,IF(('T_TTAFStock'!F29&lt;&gt;""),'T_TTAFStock'!F29,E25+'Grid_Incoming'!F25-'Grid_TTAFOutgoing'!F25))</f>
        <v/>
      </c>
      <c r="G25">
        <f>IF(COUNTIFS(T_StockCount[Part Name],$A25,T_StockCount[WeekIndex],6)&gt;0,0,IF(('T_TTAFStock'!G29&lt;&gt;""),'T_TTAFStock'!G29,F25+'Grid_Incoming'!G25-'Grid_TTAFOutgoing'!G25))</f>
        <v/>
      </c>
      <c r="H25">
        <f>IF(COUNTIFS(T_StockCount[Part Name],$A25,T_StockCount[WeekIndex],7)&gt;0,0,IF(('T_TTAFStock'!H29&lt;&gt;""),'T_TTAFStock'!H29,G25+'Grid_Incoming'!H25-'Grid_TTAFOutgoing'!H25))</f>
        <v/>
      </c>
      <c r="I25">
        <f>IF(COUNTIFS(T_StockCount[Part Name],$A25,T_StockCount[WeekIndex],8)&gt;0,0,IF(('T_TTAFStock'!I29&lt;&gt;""),'T_TTAFStock'!I29,H25+'Grid_Incoming'!I25-'Grid_TTAFOutgoing'!I25))</f>
        <v/>
      </c>
      <c r="J25">
        <f>IF(COUNTIFS(T_StockCount[Part Name],$A25,T_StockCount[WeekIndex],9)&gt;0,0,IF(('T_TTAFStock'!J29&lt;&gt;""),'T_TTAFStock'!J29,I25+'Grid_Incoming'!J25-'Grid_TTAFOutgoing'!J25))</f>
        <v/>
      </c>
      <c r="K25">
        <f>IF(COUNTIFS(T_StockCount[Part Name],$A25,T_StockCount[WeekIndex],10)&gt;0,0,IF(('T_TTAFStock'!K29&lt;&gt;""),'T_TTAFStock'!K29,J25+'Grid_Incoming'!K25-'Grid_TTAFOutgoing'!K25))</f>
        <v/>
      </c>
      <c r="L25">
        <f>IF(COUNTIFS(T_StockCount[Part Name],$A25,T_StockCount[WeekIndex],11)&gt;0,0,IF(('T_TTAFStock'!L29&lt;&gt;""),'T_TTAFStock'!L29,K25+'Grid_Incoming'!L25-'Grid_TTAFOutgoing'!L25))</f>
        <v/>
      </c>
      <c r="M25">
        <f>IF(COUNTIFS(T_StockCount[Part Name],$A25,T_StockCount[WeekIndex],12)&gt;0,0,IF(('T_TTAFStock'!M29&lt;&gt;""),'T_TTAFStock'!M29,L25+'Grid_Incoming'!M25-'Grid_TTAFOutgoing'!M25))</f>
        <v/>
      </c>
      <c r="N25">
        <f>IF(COUNTIFS(T_StockCount[Part Name],$A25,T_StockCount[WeekIndex],13)&gt;0,0,IF(('T_TTAFStock'!N29&lt;&gt;""),'T_TTAFStock'!N29,M25+'Grid_Incoming'!N25-'Grid_TTAFOutgoing'!N25))</f>
        <v/>
      </c>
      <c r="O25">
        <f>IF(COUNTIFS(T_StockCount[Part Name],$A25,T_StockCount[WeekIndex],14)&gt;0,0,IF(('T_TTAFStock'!O29&lt;&gt;""),'T_TTAFStock'!O29,N25+'Grid_Incoming'!O25-'Grid_TTAFOutgoing'!O25))</f>
        <v/>
      </c>
      <c r="P25">
        <f>IF(COUNTIFS(T_StockCount[Part Name],$A25,T_StockCount[WeekIndex],15)&gt;0,0,IF(('T_TTAFStock'!P29&lt;&gt;""),'T_TTAFStock'!P29,O25+'Grid_Incoming'!P25-'Grid_TTAFOutgoing'!P25))</f>
        <v/>
      </c>
      <c r="Q25">
        <f>IF(COUNTIFS(T_StockCount[Part Name],$A25,T_StockCount[WeekIndex],16)&gt;0,0,IF(('T_TTAFStock'!Q29&lt;&gt;""),'T_TTAFStock'!Q29,P25+'Grid_Incoming'!Q25-'Grid_TTAFOutgoing'!Q25))</f>
        <v/>
      </c>
      <c r="R25">
        <f>IF(COUNTIFS(T_StockCount[Part Name],$A25,T_StockCount[WeekIndex],17)&gt;0,0,IF(('T_TTAFStock'!R29&lt;&gt;""),'T_TTAFStock'!R29,Q25+'Grid_Incoming'!R25-'Grid_TTAFOutgoing'!R25))</f>
        <v/>
      </c>
      <c r="S25">
        <f>IF(COUNTIFS(T_StockCount[Part Name],$A25,T_StockCount[WeekIndex],18)&gt;0,0,IF(('T_TTAFStock'!S29&lt;&gt;""),'T_TTAFStock'!S29,R25+'Grid_Incoming'!S25-'Grid_TTAFOutgoing'!S25))</f>
        <v/>
      </c>
      <c r="T25">
        <f>IF(COUNTIFS(T_StockCount[Part Name],$A25,T_StockCount[WeekIndex],19)&gt;0,0,IF(('T_TTAFStock'!T29&lt;&gt;""),'T_TTAFStock'!T29,S25+'Grid_Incoming'!T25-'Grid_TTAFOutgoing'!T25))</f>
        <v/>
      </c>
      <c r="U25">
        <f>IF(COUNTIFS(T_StockCount[Part Name],$A25,T_StockCount[WeekIndex],20)&gt;0,0,IF(('T_TTAFStock'!U29&lt;&gt;""),'T_TTAFStock'!U29,T25+'Grid_Incoming'!U25-'Grid_TTAFOutgoing'!U25))</f>
        <v/>
      </c>
      <c r="V25">
        <f>IF(COUNTIFS(T_StockCount[Part Name],$A25,T_StockCount[WeekIndex],21)&gt;0,0,IF(('T_TTAFStock'!V29&lt;&gt;""),'T_TTAFStock'!V29,U25+'Grid_Incoming'!V25-'Grid_TTAFOutgoing'!V25))</f>
        <v/>
      </c>
      <c r="W25">
        <f>IF(COUNTIFS(T_StockCount[Part Name],$A25,T_StockCount[WeekIndex],22)&gt;0,0,IF(('T_TTAFStock'!W29&lt;&gt;""),'T_TTAFStock'!W29,V25+'Grid_Incoming'!W25-'Grid_TTAFOutgoing'!W25))</f>
        <v/>
      </c>
      <c r="X25">
        <f>IF(COUNTIFS(T_StockCount[Part Name],$A25,T_StockCount[WeekIndex],23)&gt;0,0,IF(('T_TTAFStock'!X29&lt;&gt;""),'T_TTAFStock'!X29,W25+'Grid_Incoming'!X25-'Grid_TTAFOutgoing'!X25))</f>
        <v/>
      </c>
      <c r="Y25">
        <f>IF(COUNTIFS(T_StockCount[Part Name],$A25,T_StockCount[WeekIndex],24)&gt;0,0,IF(('T_TTAFStock'!Y29&lt;&gt;""),'T_TTAFStock'!Y29,X25+'Grid_Incoming'!Y25-'Grid_TTAFOutgoing'!Y25))</f>
        <v/>
      </c>
      <c r="Z25">
        <f>IF(COUNTIFS(T_StockCount[Part Name],$A25,T_StockCount[WeekIndex],25)&gt;0,0,IF(('T_TTAFStock'!Z29&lt;&gt;""),'T_TTAFStock'!Z29,Y25+'Grid_Incoming'!Z25-'Grid_TTAFOutgoing'!Z25))</f>
        <v/>
      </c>
      <c r="AA25">
        <f>IF(COUNTIFS(T_StockCount[Part Name],$A25,T_StockCount[WeekIndex],26)&gt;0,0,IF(('T_TTAFStock'!AA29&lt;&gt;""),'T_TTAFStock'!AA29,Z25+'Grid_Incoming'!AA25-'Grid_TTAFOutgoing'!AA25))</f>
        <v/>
      </c>
      <c r="AB25">
        <f>IF(COUNTIFS(T_StockCount[Part Name],$A25,T_StockCount[WeekIndex],27)&gt;0,0,IF(('T_TTAFStock'!AB29&lt;&gt;""),'T_TTAFStock'!AB29,AA25+'Grid_Incoming'!AB25-'Grid_TTAFOutgoing'!AB25))</f>
        <v/>
      </c>
      <c r="AC25">
        <f>IF(COUNTIFS(T_StockCount[Part Name],$A25,T_StockCount[WeekIndex],28)&gt;0,0,IF(('T_TTAFStock'!AC29&lt;&gt;""),'T_TTAFStock'!AC29,AB25+'Grid_Incoming'!AC25-'Grid_TTAFOutgoing'!AC25))</f>
        <v/>
      </c>
      <c r="AD25">
        <f>IF(COUNTIFS(T_StockCount[Part Name],$A25,T_StockCount[WeekIndex],29)&gt;0,0,IF(('T_TTAFStock'!AD29&lt;&gt;""),'T_TTAFStock'!AD29,AC25+'Grid_Incoming'!AD25-'Grid_TTAFOutgoing'!AD25))</f>
        <v/>
      </c>
      <c r="AE25">
        <f>IF(COUNTIFS(T_StockCount[Part Name],$A25,T_StockCount[WeekIndex],30)&gt;0,0,IF(('T_TTAFStock'!AE29&lt;&gt;""),'T_TTAFStock'!AE29,AD25+'Grid_Incoming'!AE25-'Grid_TTAFOutgoing'!AE25))</f>
        <v/>
      </c>
      <c r="AF25">
        <f>IF(COUNTIFS(T_StockCount[Part Name],$A25,T_StockCount[WeekIndex],31)&gt;0,0,IF(('T_TTAFStock'!AF29&lt;&gt;""),'T_TTAFStock'!AF29,AE25+'Grid_Incoming'!AF25-'Grid_TTAFOutgoing'!AF25))</f>
        <v/>
      </c>
      <c r="AG25">
        <f>IF(COUNTIFS(T_StockCount[Part Name],$A25,T_StockCount[WeekIndex],32)&gt;0,0,IF(('T_TTAFStock'!AG29&lt;&gt;""),'T_TTAFStock'!AG29,AF25+'Grid_Incoming'!AG25-'Grid_TTAFOutgoing'!AG25))</f>
        <v/>
      </c>
      <c r="AH25">
        <f>IF(COUNTIFS(T_StockCount[Part Name],$A25,T_StockCount[WeekIndex],33)&gt;0,0,IF(('T_TTAFStock'!AH29&lt;&gt;""),'T_TTAFStock'!AH29,AG25+'Grid_Incoming'!AH25-'Grid_TTAFOutgoing'!AH25))</f>
        <v/>
      </c>
      <c r="AI25">
        <f>IF(COUNTIFS(T_StockCount[Part Name],$A25,T_StockCount[WeekIndex],34)&gt;0,0,IF(('T_TTAFStock'!AI29&lt;&gt;""),'T_TTAFStock'!AI29,AH25+'Grid_Incoming'!AI25-'Grid_TTAFOutgoing'!AI25))</f>
        <v/>
      </c>
      <c r="AJ25">
        <f>IF(COUNTIFS(T_StockCount[Part Name],$A25,T_StockCount[WeekIndex],35)&gt;0,0,IF(('T_TTAFStock'!AJ29&lt;&gt;""),'T_TTAFStock'!AJ29,AI25+'Grid_Incoming'!AJ25-'Grid_TTAFOutgoing'!AJ25))</f>
        <v/>
      </c>
      <c r="AK25">
        <f>IF(COUNTIFS(T_StockCount[Part Name],$A25,T_StockCount[WeekIndex],36)&gt;0,0,IF(('T_TTAFStock'!AK29&lt;&gt;""),'T_TTAFStock'!AK29,AJ25+'Grid_Incoming'!AK25-'Grid_TTAFOutgoing'!AK25))</f>
        <v/>
      </c>
      <c r="AL25">
        <f>IF(COUNTIFS(T_StockCount[Part Name],$A25,T_StockCount[WeekIndex],37)&gt;0,0,IF(('T_TTAFStock'!AL29&lt;&gt;""),'T_TTAFStock'!AL29,AK25+'Grid_Incoming'!AL25-'Grid_TTAFOutgoing'!AL25))</f>
        <v/>
      </c>
      <c r="AM25">
        <f>IF(COUNTIFS(T_StockCount[Part Name],$A25,T_StockCount[WeekIndex],38)&gt;0,0,IF(('T_TTAFStock'!AM29&lt;&gt;""),'T_TTAFStock'!AM29,AL25+'Grid_Incoming'!AM25-'Grid_TTAFOutgoing'!AM25))</f>
        <v/>
      </c>
      <c r="AN25">
        <f>IF(COUNTIFS(T_StockCount[Part Name],$A25,T_StockCount[WeekIndex],39)&gt;0,0,IF(('T_TTAFStock'!AN29&lt;&gt;""),'T_TTAFStock'!AN29,AM25+'Grid_Incoming'!AN25-'Grid_TTAFOutgoing'!AN25))</f>
        <v/>
      </c>
      <c r="AO25">
        <f>IF(COUNTIFS(T_StockCount[Part Name],$A25,T_StockCount[WeekIndex],40)&gt;0,0,IF(('T_TTAFStock'!AO29&lt;&gt;""),'T_TTAFStock'!AO29,AN25+'Grid_Incoming'!AO25-'Grid_TTAFOutgoing'!AO25))</f>
        <v/>
      </c>
      <c r="AP25">
        <f>IF(COUNTIFS(T_StockCount[Part Name],$A25,T_StockCount[WeekIndex],41)&gt;0,0,IF(('T_TTAFStock'!AP29&lt;&gt;""),'T_TTAFStock'!AP29,AO25+'Grid_Incoming'!AP25-'Grid_TTAFOutgoing'!AP25))</f>
        <v/>
      </c>
      <c r="AQ25">
        <f>IF(COUNTIFS(T_StockCount[Part Name],$A25,T_StockCount[WeekIndex],42)&gt;0,0,IF(('T_TTAFStock'!AQ29&lt;&gt;""),'T_TTAFStock'!AQ29,AP25+'Grid_Incoming'!AQ25-'Grid_TTAFOutgoing'!AQ25))</f>
        <v/>
      </c>
      <c r="AR25">
        <f>IF(COUNTIFS(T_StockCount[Part Name],$A25,T_StockCount[WeekIndex],43)&gt;0,0,IF(('T_TTAFStock'!AR29&lt;&gt;""),'T_TTAFStock'!AR29,AQ25+'Grid_Incoming'!AR25-'Grid_TTAFOutgoing'!AR25))</f>
        <v/>
      </c>
      <c r="AS25">
        <f>IF(COUNTIFS(T_StockCount[Part Name],$A25,T_StockCount[WeekIndex],44)&gt;0,0,IF(('T_TTAFStock'!AS29&lt;&gt;""),'T_TTAFStock'!AS29,AR25+'Grid_Incoming'!AS25-'Grid_TTAFOutgoing'!AS25))</f>
        <v/>
      </c>
      <c r="AT25">
        <f>IF(COUNTIFS(T_StockCount[Part Name],$A25,T_StockCount[WeekIndex],45)&gt;0,0,IF(('T_TTAFStock'!AT29&lt;&gt;""),'T_TTAFStock'!AT29,AS25+'Grid_Incoming'!AT25-'Grid_TTAFOutgoing'!AT25))</f>
        <v/>
      </c>
      <c r="AU25">
        <f>IF(COUNTIFS(T_StockCount[Part Name],$A25,T_StockCount[WeekIndex],46)&gt;0,0,IF(('T_TTAFStock'!AU29&lt;&gt;""),'T_TTAFStock'!AU29,AT25+'Grid_Incoming'!AU25-'Grid_TTAFOutgoing'!AU25))</f>
        <v/>
      </c>
      <c r="AV25">
        <f>IF(COUNTIFS(T_StockCount[Part Name],$A25,T_StockCount[WeekIndex],47)&gt;0,0,IF(('T_TTAFStock'!AV29&lt;&gt;""),'T_TTAFStock'!AV29,AU25+'Grid_Incoming'!AV25-'Grid_TTAFOutgoing'!AV25))</f>
        <v/>
      </c>
      <c r="AW25">
        <f>IF(COUNTIFS(T_StockCount[Part Name],$A25,T_StockCount[WeekIndex],48)&gt;0,0,IF(('T_TTAFStock'!AW29&lt;&gt;""),'T_TTAFStock'!AW29,AV25+'Grid_Incoming'!AW25-'Grid_TTAFOutgoing'!AW25))</f>
        <v/>
      </c>
      <c r="AX25">
        <f>IF(COUNTIFS(T_StockCount[Part Name],$A25,T_StockCount[WeekIndex],49)&gt;0,0,IF(('T_TTAFStock'!AX29&lt;&gt;""),'T_TTAFStock'!AX29,AW25+'Grid_Incoming'!AX25-'Grid_TTAFOutgoing'!AX25))</f>
        <v/>
      </c>
      <c r="AY25">
        <f>IF(COUNTIFS(T_StockCount[Part Name],$A25,T_StockCount[WeekIndex],50)&gt;0,0,IF(('T_TTAFStock'!AY29&lt;&gt;""),'T_TTAFStock'!AY29,AX25+'Grid_Incoming'!AY25-'Grid_TTAFOutgoing'!AY25))</f>
        <v/>
      </c>
      <c r="AZ25">
        <f>IF(COUNTIFS(T_StockCount[Part Name],$A25,T_StockCount[WeekIndex],51)&gt;0,0,IF(('T_TTAFStock'!AZ29&lt;&gt;""),'T_TTAFStock'!AZ29,AY25+'Grid_Incoming'!AZ25-'Grid_TTAFOutgoing'!AZ25))</f>
        <v/>
      </c>
      <c r="BA25">
        <f>IF(COUNTIFS(T_StockCount[Part Name],$A25,T_StockCount[WeekIndex],52)&gt;0,0,IF(('T_TTAFStock'!BA29&lt;&gt;""),'T_TTAFStock'!BA29,AZ25+'Grid_Incoming'!BA25-'Grid_TTAFOutgoing'!BA25))</f>
        <v/>
      </c>
      <c r="BB25">
        <f>IF(COUNTIFS(T_StockCount[Part Name],$A25,T_StockCount[WeekIndex],53)&gt;0,0,IF(('T_TTAFStock'!BB29&lt;&gt;""),'T_TTAFStock'!BB29,BA25+'Grid_Incoming'!BB25-'Grid_TTAFOutgoing'!BB25))</f>
        <v/>
      </c>
      <c r="BC25">
        <f>IF(COUNTIFS(T_StockCount[Part Name],$A25,T_StockCount[WeekIndex],54)&gt;0,0,IF(('T_TTAFStock'!BC29&lt;&gt;""),'T_TTAFStock'!BC29,BB25+'Grid_Incoming'!BC25-'Grid_TTAFOutgoing'!BC25))</f>
        <v/>
      </c>
      <c r="BD25">
        <f>IF(COUNTIFS(T_StockCount[Part Name],$A25,T_StockCount[WeekIndex],55)&gt;0,0,IF(('T_TTAFStock'!BD29&lt;&gt;""),'T_TTAFStock'!BD29,BC25+'Grid_Incoming'!BD25-'Grid_TTAFOutgoing'!BD25))</f>
        <v/>
      </c>
      <c r="BE25">
        <f>IF(COUNTIFS(T_StockCount[Part Name],$A25,T_StockCount[WeekIndex],56)&gt;0,0,IF(('T_TTAFStock'!BE29&lt;&gt;""),'T_TTAFStock'!BE29,BD25+'Grid_Incoming'!BE25-'Grid_TTAFOutgoing'!BE25))</f>
        <v/>
      </c>
      <c r="BF25">
        <f>IF(COUNTIFS(T_StockCount[Part Name],$A25,T_StockCount[WeekIndex],57)&gt;0,0,IF(('T_TTAFStock'!BF29&lt;&gt;""),'T_TTAFStock'!BF29,BE25+'Grid_Incoming'!BF25-'Grid_TTAFOutgoing'!BF25))</f>
        <v/>
      </c>
      <c r="BG25">
        <f>IF(COUNTIFS(T_StockCount[Part Name],$A25,T_StockCount[WeekIndex],58)&gt;0,0,IF(('T_TTAFStock'!BG29&lt;&gt;""),'T_TTAFStock'!BG29,BF25+'Grid_Incoming'!BG25-'Grid_TTAFOutgoing'!BG25))</f>
        <v/>
      </c>
      <c r="BH25">
        <f>IF(COUNTIFS(T_StockCount[Part Name],$A25,T_StockCount[WeekIndex],59)&gt;0,0,IF(('T_TTAFStock'!BH29&lt;&gt;""),'T_TTAFStock'!BH29,BG25+'Grid_Incoming'!BH25-'Grid_TTAFOutgoing'!BH25))</f>
        <v/>
      </c>
      <c r="BI25">
        <f>IF(COUNTIFS(T_StockCount[Part Name],$A25,T_StockCount[WeekIndex],60)&gt;0,0,IF(('T_TTAFStock'!BI29&lt;&gt;""),'T_TTAFStock'!BI29,BH25+'Grid_Incoming'!BI25-'Grid_TTAFOutgoing'!BI25))</f>
        <v/>
      </c>
      <c r="BJ25">
        <f>IF(COUNTIFS(T_StockCount[Part Name],$A25,T_StockCount[WeekIndex],61)&gt;0,0,IF(('T_TTAFStock'!BJ29&lt;&gt;""),'T_TTAFStock'!BJ29,BI25+'Grid_Incoming'!BJ25-'Grid_TTAFOutgoing'!BJ25))</f>
        <v/>
      </c>
      <c r="BK25">
        <f>IF(COUNTIFS(T_StockCount[Part Name],$A25,T_StockCount[WeekIndex],62)&gt;0,0,IF(('T_TTAFStock'!BK29&lt;&gt;""),'T_TTAFStock'!BK29,BJ25+'Grid_Incoming'!BK25-'Grid_TTAFOutgoing'!BK25))</f>
        <v/>
      </c>
      <c r="BL25">
        <f>IF(COUNTIFS(T_StockCount[Part Name],$A25,T_StockCount[WeekIndex],63)&gt;0,0,IF(('T_TTAFStock'!BL29&lt;&gt;""),'T_TTAFStock'!BL29,BK25+'Grid_Incoming'!BL25-'Grid_TTAFOutgoing'!BL25))</f>
        <v/>
      </c>
      <c r="BM25">
        <f>IF(COUNTIFS(T_StockCount[Part Name],$A25,T_StockCount[WeekIndex],64)&gt;0,0,IF(('T_TTAFStock'!BM29&lt;&gt;""),'T_TTAFStock'!BM29,BL25+'Grid_Incoming'!BM25-'Grid_TTAFOutgoing'!BM25))</f>
        <v/>
      </c>
      <c r="BN25">
        <f>IF(COUNTIFS(T_StockCount[Part Name],$A25,T_StockCount[WeekIndex],65)&gt;0,0,IF(('T_TTAFStock'!BN29&lt;&gt;""),'T_TTAFStock'!BN29,BM25+'Grid_Incoming'!BN25-'Grid_TTAFOutgoing'!BN25))</f>
        <v/>
      </c>
      <c r="BO25">
        <f>IF(COUNTIFS(T_StockCount[Part Name],$A25,T_StockCount[WeekIndex],66)&gt;0,0,IF(('T_TTAFStock'!BO29&lt;&gt;""),'T_TTAFStock'!BO29,BN25+'Grid_Incoming'!BO25-'Grid_TTAFOutgoing'!BO25))</f>
        <v/>
      </c>
      <c r="BP25">
        <f>IF(COUNTIFS(T_StockCount[Part Name],$A25,T_StockCount[WeekIndex],67)&gt;0,0,IF(('T_TTAFStock'!BP29&lt;&gt;""),'T_TTAFStock'!BP29,BO25+'Grid_Incoming'!BP25-'Grid_TTAFOutgoing'!BP25))</f>
        <v/>
      </c>
      <c r="BQ25">
        <f>IF(COUNTIFS(T_StockCount[Part Name],$A25,T_StockCount[WeekIndex],68)&gt;0,0,IF(('T_TTAFStock'!BQ29&lt;&gt;""),'T_TTAFStock'!BQ29,BP25+'Grid_Incoming'!BQ25-'Grid_TTAFOutgoing'!BQ25))</f>
        <v/>
      </c>
      <c r="BR25">
        <f>IF(COUNTIFS(T_StockCount[Part Name],$A25,T_StockCount[WeekIndex],69)&gt;0,0,IF(('T_TTAFStock'!BR29&lt;&gt;""),'T_TTAFStock'!BR29,BQ25+'Grid_Incoming'!BR25-'Grid_TTAFOutgoing'!BR25))</f>
        <v/>
      </c>
      <c r="BS25">
        <f>IF(COUNTIFS(T_StockCount[Part Name],$A25,T_StockCount[WeekIndex],70)&gt;0,0,IF(('T_TTAFStock'!BS29&lt;&gt;""),'T_TTAFStock'!BS29,BR25+'Grid_Incoming'!BS25-'Grid_TTAFOutgoing'!BS25))</f>
        <v/>
      </c>
      <c r="BT25">
        <f>IF(COUNTIFS(T_StockCount[Part Name],$A25,T_StockCount[WeekIndex],71)&gt;0,0,IF(('T_TTAFStock'!BT29&lt;&gt;""),'T_TTAFStock'!BT29,BS25+'Grid_Incoming'!BT25-'Grid_TTAFOutgoing'!BT25))</f>
        <v/>
      </c>
      <c r="BU25">
        <f>IF(COUNTIFS(T_StockCount[Part Name],$A25,T_StockCount[WeekIndex],72)&gt;0,0,IF(('T_TTAFStock'!BU29&lt;&gt;""),'T_TTAFStock'!BU29,BT25+'Grid_Incoming'!BU25-'Grid_TTAFOutgoing'!BU25))</f>
        <v/>
      </c>
      <c r="BV25">
        <f>IF(COUNTIFS(T_StockCount[Part Name],$A25,T_StockCount[WeekIndex],73)&gt;0,0,IF(('T_TTAFStock'!BV29&lt;&gt;""),'T_TTAFStock'!BV29,BU25+'Grid_Incoming'!BV25-'Grid_TTAFOutgoing'!BV25))</f>
        <v/>
      </c>
      <c r="BW25">
        <f>IF(COUNTIFS(T_StockCount[Part Name],$A25,T_StockCount[WeekIndex],74)&gt;0,0,IF(('T_TTAFStock'!BW29&lt;&gt;""),'T_TTAFStock'!BW29,BV25+'Grid_Incoming'!BW25-'Grid_TTAFOutgoing'!BW25))</f>
        <v/>
      </c>
      <c r="BX25">
        <f>IF(COUNTIFS(T_StockCount[Part Name],$A25,T_StockCount[WeekIndex],75)&gt;0,0,IF(('T_TTAFStock'!BX29&lt;&gt;""),'T_TTAFStock'!BX29,BW25+'Grid_Incoming'!BX25-'Grid_TTAFOutgoing'!BX25))</f>
        <v/>
      </c>
      <c r="BY25">
        <f>IF(COUNTIFS(T_StockCount[Part Name],$A25,T_StockCount[WeekIndex],76)&gt;0,0,IF(('T_TTAFStock'!BY29&lt;&gt;""),'T_TTAFStock'!BY29,BX25+'Grid_Incoming'!BY25-'Grid_TTAFOutgoing'!BY25))</f>
        <v/>
      </c>
      <c r="BZ25">
        <f>IF(COUNTIFS(T_StockCount[Part Name],$A25,T_StockCount[WeekIndex],77)&gt;0,0,IF(('T_TTAFStock'!BZ29&lt;&gt;""),'T_TTAFStock'!BZ29,BY25+'Grid_Incoming'!BZ25-'Grid_TTAFOutgoing'!BZ25))</f>
        <v/>
      </c>
      <c r="CA25">
        <f>IF(COUNTIFS(T_StockCount[Part Name],$A25,T_StockCount[WeekIndex],78)&gt;0,0,IF(('T_TTAFStock'!CA29&lt;&gt;""),'T_TTAFStock'!CA29,BZ25+'Grid_Incoming'!CA25-'Grid_TTAFOutgoing'!CA25))</f>
        <v/>
      </c>
      <c r="CB25">
        <f>IF(COUNTIFS(T_StockCount[Part Name],$A25,T_StockCount[WeekIndex],79)&gt;0,0,IF(('T_TTAFStock'!CB29&lt;&gt;""),'T_TTAFStock'!CB29,CA25+'Grid_Incoming'!CB25-'Grid_TTAFOutgoing'!CB25))</f>
        <v/>
      </c>
      <c r="CC25">
        <f>IF(COUNTIFS(T_StockCount[Part Name],$A25,T_StockCount[WeekIndex],80)&gt;0,0,IF(('T_TTAFStock'!CC29&lt;&gt;""),'T_TTAFStock'!CC29,CB25+'Grid_Incoming'!CC25-'Grid_TTAFOutgoing'!CC25))</f>
        <v/>
      </c>
      <c r="CD25">
        <f>IF(COUNTIFS(T_StockCount[Part Name],$A25,T_StockCount[WeekIndex],81)&gt;0,0,IF(('T_TTAFStock'!CD29&lt;&gt;""),'T_TTAFStock'!CD29,CC25+'Grid_Incoming'!CD25-'Grid_TTAFOutgoing'!CD25))</f>
        <v/>
      </c>
      <c r="CE25">
        <f>IF(COUNTIFS(T_StockCount[Part Name],$A25,T_StockCount[WeekIndex],82)&gt;0,0,IF(('T_TTAFStock'!CE29&lt;&gt;""),'T_TTAFStock'!CE29,CD25+'Grid_Incoming'!CE25-'Grid_TTAFOutgoing'!CE25))</f>
        <v/>
      </c>
      <c r="CF25">
        <f>IF(COUNTIFS(T_StockCount[Part Name],$A25,T_StockCount[WeekIndex],83)&gt;0,0,IF(('T_TTAFStock'!CF29&lt;&gt;""),'T_TTAFStock'!CF29,CE25+'Grid_Incoming'!CF25-'Grid_TTAFOutgoing'!CF25))</f>
        <v/>
      </c>
      <c r="CG25">
        <f>IF(COUNTIFS(T_StockCount[Part Name],$A25,T_StockCount[WeekIndex],84)&gt;0,0,IF(('T_TTAFStock'!CG29&lt;&gt;""),'T_TTAFStock'!CG29,CF25+'Grid_Incoming'!CG25-'Grid_TTAFOutgoing'!CG25))</f>
        <v/>
      </c>
      <c r="CH25">
        <f>IF(COUNTIFS(T_StockCount[Part Name],$A25,T_StockCount[WeekIndex],85)&gt;0,0,IF(('T_TTAFStock'!CH29&lt;&gt;""),'T_TTAFStock'!CH29,CG25+'Grid_Incoming'!CH25-'Grid_TTAFOutgoing'!CH25))</f>
        <v/>
      </c>
      <c r="CI25">
        <f>IF(COUNTIFS(T_StockCount[Part Name],$A25,T_StockCount[WeekIndex],86)&gt;0,0,IF(('T_TTAFStock'!CI29&lt;&gt;""),'T_TTAFStock'!CI29,CH25+'Grid_Incoming'!CI25-'Grid_TTAFOutgoing'!CI25))</f>
        <v/>
      </c>
      <c r="CJ25">
        <f>IF(COUNTIFS(T_StockCount[Part Name],$A25,T_StockCount[WeekIndex],87)&gt;0,0,IF(('T_TTAFStock'!CJ29&lt;&gt;""),'T_TTAFStock'!CJ29,CI25+'Grid_Incoming'!CJ25-'Grid_TTAFOutgoing'!CJ25))</f>
        <v/>
      </c>
      <c r="CK25">
        <f>IF(COUNTIFS(T_StockCount[Part Name],$A25,T_StockCount[WeekIndex],88)&gt;0,0,IF(('T_TTAFStock'!CK29&lt;&gt;""),'T_TTAFStock'!CK29,CJ25+'Grid_Incoming'!CK25-'Grid_TTAFOutgoing'!CK25))</f>
        <v/>
      </c>
      <c r="CL25">
        <f>IF(COUNTIFS(T_StockCount[Part Name],$A25,T_StockCount[WeekIndex],89)&gt;0,0,IF(('T_TTAFStock'!CL29&lt;&gt;""),'T_TTAFStock'!CL29,CK25+'Grid_Incoming'!CL25-'Grid_TTAFOutgoing'!CL25))</f>
        <v/>
      </c>
      <c r="CM25">
        <f>IF(COUNTIFS(T_StockCount[Part Name],$A25,T_StockCount[WeekIndex],90)&gt;0,0,IF(('T_TTAFStock'!CM29&lt;&gt;""),'T_TTAFStock'!CM29,CL25+'Grid_Incoming'!CM25-'Grid_TTAFOutgoing'!CM25))</f>
        <v/>
      </c>
      <c r="CN25">
        <f>IF(COUNTIFS(T_StockCount[Part Name],$A25,T_StockCount[WeekIndex],91)&gt;0,0,IF(('T_TTAFStock'!CN29&lt;&gt;""),'T_TTAFStock'!CN29,CM25+'Grid_Incoming'!CN25-'Grid_TTAFOutgoing'!CN25))</f>
        <v/>
      </c>
      <c r="CO25">
        <f>IF(COUNTIFS(T_StockCount[Part Name],$A25,T_StockCount[WeekIndex],92)&gt;0,0,IF(('T_TTAFStock'!CO29&lt;&gt;""),'T_TTAFStock'!CO29,CN25+'Grid_Incoming'!CO25-'Grid_TTAFOutgoing'!CO25))</f>
        <v/>
      </c>
      <c r="CP25">
        <f>IF(COUNTIFS(T_StockCount[Part Name],$A25,T_StockCount[WeekIndex],93)&gt;0,0,IF(('T_TTAFStock'!CP29&lt;&gt;""),'T_TTAFStock'!CP29,CO25+'Grid_Incoming'!CP25-'Grid_TTAFOutgoing'!CP25))</f>
        <v/>
      </c>
      <c r="CQ25">
        <f>IF(COUNTIFS(T_StockCount[Part Name],$A25,T_StockCount[WeekIndex],94)&gt;0,0,IF(('T_TTAFStock'!CQ29&lt;&gt;""),'T_TTAFStock'!CQ29,CP25+'Grid_Incoming'!CQ25-'Grid_TTAFOutgoing'!CQ25))</f>
        <v/>
      </c>
      <c r="CR25">
        <f>IF(COUNTIFS(T_StockCount[Part Name],$A25,T_StockCount[WeekIndex],95)&gt;0,0,IF(('T_TTAFStock'!CR29&lt;&gt;""),'T_TTAFStock'!CR29,CQ25+'Grid_Incoming'!CR25-'Grid_TTAFOutgoing'!CR25))</f>
        <v/>
      </c>
      <c r="CS25">
        <f>IF(COUNTIFS(T_StockCount[Part Name],$A25,T_StockCount[WeekIndex],96)&gt;0,0,IF(('T_TTAFStock'!CS29&lt;&gt;""),'T_TTAFStock'!CS29,CR25+'Grid_Incoming'!CS25-'Grid_TTAFOutgoing'!CS25))</f>
        <v/>
      </c>
      <c r="CT25">
        <f>IF(COUNTIFS(T_StockCount[Part Name],$A25,T_StockCount[WeekIndex],97)&gt;0,0,IF(('T_TTAFStock'!CT29&lt;&gt;""),'T_TTAFStock'!CT29,CS25+'Grid_Incoming'!CT25-'Grid_TTAFOutgoing'!CT25))</f>
        <v/>
      </c>
      <c r="CU25">
        <f>IF(COUNTIFS(T_StockCount[Part Name],$A25,T_StockCount[WeekIndex],98)&gt;0,0,IF(('T_TTAFStock'!CU29&lt;&gt;""),'T_TTAFStock'!CU29,CT25+'Grid_Incoming'!CU25-'Grid_TTAFOutgoing'!CU25))</f>
        <v/>
      </c>
      <c r="CV25">
        <f>IF(COUNTIFS(T_StockCount[Part Name],$A25,T_StockCount[WeekIndex],99)&gt;0,0,IF(('T_TTAFStock'!CV29&lt;&gt;""),'T_TTAFStock'!CV29,CU25+'Grid_Incoming'!CV25-'Grid_TTAFOutgoing'!CV25))</f>
        <v/>
      </c>
      <c r="CW25">
        <f>IF(COUNTIFS(T_StockCount[Part Name],$A25,T_StockCount[WeekIndex],100)&gt;0,0,IF(('T_TTAFStock'!CW29&lt;&gt;""),'T_TTAFStock'!CW29,CV25+'Grid_Incoming'!CW25-'Grid_TTAFOutgoing'!CW25))</f>
        <v/>
      </c>
      <c r="CX25">
        <f>IF(COUNTIFS(T_StockCount[Part Name],$A25,T_StockCount[WeekIndex],101)&gt;0,0,IF(('T_TTAFStock'!CX29&lt;&gt;""),'T_TTAFStock'!CX29,CW25+'Grid_Incoming'!CX25-'Grid_TTAFOutgoing'!CX25))</f>
        <v/>
      </c>
      <c r="CY25">
        <f>IF(COUNTIFS(T_StockCount[Part Name],$A25,T_StockCount[WeekIndex],102)&gt;0,0,IF(('T_TTAFStock'!CY29&lt;&gt;""),'T_TTAFStock'!CY29,CX25+'Grid_Incoming'!CY25-'Grid_TTAFOutgoing'!CY25))</f>
        <v/>
      </c>
      <c r="CZ25">
        <f>IF(COUNTIFS(T_StockCount[Part Name],$A25,T_StockCount[WeekIndex],103)&gt;0,0,IF(('T_TTAFStock'!CZ29&lt;&gt;""),'T_TTAFStock'!CZ29,CY25+'Grid_Incoming'!CZ25-'Grid_TTAFOutgoing'!CZ25))</f>
        <v/>
      </c>
      <c r="DA25">
        <f>IF(COUNTIFS(T_StockCount[Part Name],$A25,T_StockCount[WeekIndex],104)&gt;0,0,IF(('T_TTAFStock'!DA29&lt;&gt;""),'T_TTAFStock'!DA29,CZ25+'Grid_Incoming'!DA25-'Grid_TTAFOutgoing'!DA25))</f>
        <v/>
      </c>
    </row>
    <row r="26">
      <c r="A26" t="inlineStr">
        <is>
          <t>CHEM-1830</t>
        </is>
      </c>
      <c r="B26">
        <f>IF(COUNTIFS(T_StockCount[Part Name],$A26,T_StockCount[WeekIndex],1)&gt;0,0,IF(('T_TTAFStock'!B30&lt;&gt;""),'T_TTAFStock'!B30,0+'Grid_Incoming'!B26-'Grid_TTAFOutgoing'!B26))</f>
        <v/>
      </c>
      <c r="C26">
        <f>IF(COUNTIFS(T_StockCount[Part Name],$A26,T_StockCount[WeekIndex],2)&gt;0,0,IF(('T_TTAFStock'!C30&lt;&gt;""),'T_TTAFStock'!C30,B26+'Grid_Incoming'!C26-'Grid_TTAFOutgoing'!C26))</f>
        <v/>
      </c>
      <c r="D26">
        <f>IF(COUNTIFS(T_StockCount[Part Name],$A26,T_StockCount[WeekIndex],3)&gt;0,0,IF(('T_TTAFStock'!D30&lt;&gt;""),'T_TTAFStock'!D30,C26+'Grid_Incoming'!D26-'Grid_TTAFOutgoing'!D26))</f>
        <v/>
      </c>
      <c r="E26">
        <f>IF(COUNTIFS(T_StockCount[Part Name],$A26,T_StockCount[WeekIndex],4)&gt;0,0,IF(('T_TTAFStock'!E30&lt;&gt;""),'T_TTAFStock'!E30,D26+'Grid_Incoming'!E26-'Grid_TTAFOutgoing'!E26))</f>
        <v/>
      </c>
      <c r="F26">
        <f>IF(COUNTIFS(T_StockCount[Part Name],$A26,T_StockCount[WeekIndex],5)&gt;0,0,IF(('T_TTAFStock'!F30&lt;&gt;""),'T_TTAFStock'!F30,E26+'Grid_Incoming'!F26-'Grid_TTAFOutgoing'!F26))</f>
        <v/>
      </c>
      <c r="G26">
        <f>IF(COUNTIFS(T_StockCount[Part Name],$A26,T_StockCount[WeekIndex],6)&gt;0,0,IF(('T_TTAFStock'!G30&lt;&gt;""),'T_TTAFStock'!G30,F26+'Grid_Incoming'!G26-'Grid_TTAFOutgoing'!G26))</f>
        <v/>
      </c>
      <c r="H26">
        <f>IF(COUNTIFS(T_StockCount[Part Name],$A26,T_StockCount[WeekIndex],7)&gt;0,0,IF(('T_TTAFStock'!H30&lt;&gt;""),'T_TTAFStock'!H30,G26+'Grid_Incoming'!H26-'Grid_TTAFOutgoing'!H26))</f>
        <v/>
      </c>
      <c r="I26">
        <f>IF(COUNTIFS(T_StockCount[Part Name],$A26,T_StockCount[WeekIndex],8)&gt;0,0,IF(('T_TTAFStock'!I30&lt;&gt;""),'T_TTAFStock'!I30,H26+'Grid_Incoming'!I26-'Grid_TTAFOutgoing'!I26))</f>
        <v/>
      </c>
      <c r="J26">
        <f>IF(COUNTIFS(T_StockCount[Part Name],$A26,T_StockCount[WeekIndex],9)&gt;0,0,IF(('T_TTAFStock'!J30&lt;&gt;""),'T_TTAFStock'!J30,I26+'Grid_Incoming'!J26-'Grid_TTAFOutgoing'!J26))</f>
        <v/>
      </c>
      <c r="K26">
        <f>IF(COUNTIFS(T_StockCount[Part Name],$A26,T_StockCount[WeekIndex],10)&gt;0,0,IF(('T_TTAFStock'!K30&lt;&gt;""),'T_TTAFStock'!K30,J26+'Grid_Incoming'!K26-'Grid_TTAFOutgoing'!K26))</f>
        <v/>
      </c>
      <c r="L26">
        <f>IF(COUNTIFS(T_StockCount[Part Name],$A26,T_StockCount[WeekIndex],11)&gt;0,0,IF(('T_TTAFStock'!L30&lt;&gt;""),'T_TTAFStock'!L30,K26+'Grid_Incoming'!L26-'Grid_TTAFOutgoing'!L26))</f>
        <v/>
      </c>
      <c r="M26">
        <f>IF(COUNTIFS(T_StockCount[Part Name],$A26,T_StockCount[WeekIndex],12)&gt;0,0,IF(('T_TTAFStock'!M30&lt;&gt;""),'T_TTAFStock'!M30,L26+'Grid_Incoming'!M26-'Grid_TTAFOutgoing'!M26))</f>
        <v/>
      </c>
      <c r="N26">
        <f>IF(COUNTIFS(T_StockCount[Part Name],$A26,T_StockCount[WeekIndex],13)&gt;0,0,IF(('T_TTAFStock'!N30&lt;&gt;""),'T_TTAFStock'!N30,M26+'Grid_Incoming'!N26-'Grid_TTAFOutgoing'!N26))</f>
        <v/>
      </c>
      <c r="O26">
        <f>IF(COUNTIFS(T_StockCount[Part Name],$A26,T_StockCount[WeekIndex],14)&gt;0,0,IF(('T_TTAFStock'!O30&lt;&gt;""),'T_TTAFStock'!O30,N26+'Grid_Incoming'!O26-'Grid_TTAFOutgoing'!O26))</f>
        <v/>
      </c>
      <c r="P26">
        <f>IF(COUNTIFS(T_StockCount[Part Name],$A26,T_StockCount[WeekIndex],15)&gt;0,0,IF(('T_TTAFStock'!P30&lt;&gt;""),'T_TTAFStock'!P30,O26+'Grid_Incoming'!P26-'Grid_TTAFOutgoing'!P26))</f>
        <v/>
      </c>
      <c r="Q26">
        <f>IF(COUNTIFS(T_StockCount[Part Name],$A26,T_StockCount[WeekIndex],16)&gt;0,0,IF(('T_TTAFStock'!Q30&lt;&gt;""),'T_TTAFStock'!Q30,P26+'Grid_Incoming'!Q26-'Grid_TTAFOutgoing'!Q26))</f>
        <v/>
      </c>
      <c r="R26">
        <f>IF(COUNTIFS(T_StockCount[Part Name],$A26,T_StockCount[WeekIndex],17)&gt;0,0,IF(('T_TTAFStock'!R30&lt;&gt;""),'T_TTAFStock'!R30,Q26+'Grid_Incoming'!R26-'Grid_TTAFOutgoing'!R26))</f>
        <v/>
      </c>
      <c r="S26">
        <f>IF(COUNTIFS(T_StockCount[Part Name],$A26,T_StockCount[WeekIndex],18)&gt;0,0,IF(('T_TTAFStock'!S30&lt;&gt;""),'T_TTAFStock'!S30,R26+'Grid_Incoming'!S26-'Grid_TTAFOutgoing'!S26))</f>
        <v/>
      </c>
      <c r="T26">
        <f>IF(COUNTIFS(T_StockCount[Part Name],$A26,T_StockCount[WeekIndex],19)&gt;0,0,IF(('T_TTAFStock'!T30&lt;&gt;""),'T_TTAFStock'!T30,S26+'Grid_Incoming'!T26-'Grid_TTAFOutgoing'!T26))</f>
        <v/>
      </c>
      <c r="U26">
        <f>IF(COUNTIFS(T_StockCount[Part Name],$A26,T_StockCount[WeekIndex],20)&gt;0,0,IF(('T_TTAFStock'!U30&lt;&gt;""),'T_TTAFStock'!U30,T26+'Grid_Incoming'!U26-'Grid_TTAFOutgoing'!U26))</f>
        <v/>
      </c>
      <c r="V26">
        <f>IF(COUNTIFS(T_StockCount[Part Name],$A26,T_StockCount[WeekIndex],21)&gt;0,0,IF(('T_TTAFStock'!V30&lt;&gt;""),'T_TTAFStock'!V30,U26+'Grid_Incoming'!V26-'Grid_TTAFOutgoing'!V26))</f>
        <v/>
      </c>
      <c r="W26">
        <f>IF(COUNTIFS(T_StockCount[Part Name],$A26,T_StockCount[WeekIndex],22)&gt;0,0,IF(('T_TTAFStock'!W30&lt;&gt;""),'T_TTAFStock'!W30,V26+'Grid_Incoming'!W26-'Grid_TTAFOutgoing'!W26))</f>
        <v/>
      </c>
      <c r="X26">
        <f>IF(COUNTIFS(T_StockCount[Part Name],$A26,T_StockCount[WeekIndex],23)&gt;0,0,IF(('T_TTAFStock'!X30&lt;&gt;""),'T_TTAFStock'!X30,W26+'Grid_Incoming'!X26-'Grid_TTAFOutgoing'!X26))</f>
        <v/>
      </c>
      <c r="Y26">
        <f>IF(COUNTIFS(T_StockCount[Part Name],$A26,T_StockCount[WeekIndex],24)&gt;0,0,IF(('T_TTAFStock'!Y30&lt;&gt;""),'T_TTAFStock'!Y30,X26+'Grid_Incoming'!Y26-'Grid_TTAFOutgoing'!Y26))</f>
        <v/>
      </c>
      <c r="Z26">
        <f>IF(COUNTIFS(T_StockCount[Part Name],$A26,T_StockCount[WeekIndex],25)&gt;0,0,IF(('T_TTAFStock'!Z30&lt;&gt;""),'T_TTAFStock'!Z30,Y26+'Grid_Incoming'!Z26-'Grid_TTAFOutgoing'!Z26))</f>
        <v/>
      </c>
      <c r="AA26">
        <f>IF(COUNTIFS(T_StockCount[Part Name],$A26,T_StockCount[WeekIndex],26)&gt;0,0,IF(('T_TTAFStock'!AA30&lt;&gt;""),'T_TTAFStock'!AA30,Z26+'Grid_Incoming'!AA26-'Grid_TTAFOutgoing'!AA26))</f>
        <v/>
      </c>
      <c r="AB26">
        <f>IF(COUNTIFS(T_StockCount[Part Name],$A26,T_StockCount[WeekIndex],27)&gt;0,0,IF(('T_TTAFStock'!AB30&lt;&gt;""),'T_TTAFStock'!AB30,AA26+'Grid_Incoming'!AB26-'Grid_TTAFOutgoing'!AB26))</f>
        <v/>
      </c>
      <c r="AC26">
        <f>IF(COUNTIFS(T_StockCount[Part Name],$A26,T_StockCount[WeekIndex],28)&gt;0,0,IF(('T_TTAFStock'!AC30&lt;&gt;""),'T_TTAFStock'!AC30,AB26+'Grid_Incoming'!AC26-'Grid_TTAFOutgoing'!AC26))</f>
        <v/>
      </c>
      <c r="AD26">
        <f>IF(COUNTIFS(T_StockCount[Part Name],$A26,T_StockCount[WeekIndex],29)&gt;0,0,IF(('T_TTAFStock'!AD30&lt;&gt;""),'T_TTAFStock'!AD30,AC26+'Grid_Incoming'!AD26-'Grid_TTAFOutgoing'!AD26))</f>
        <v/>
      </c>
      <c r="AE26">
        <f>IF(COUNTIFS(T_StockCount[Part Name],$A26,T_StockCount[WeekIndex],30)&gt;0,0,IF(('T_TTAFStock'!AE30&lt;&gt;""),'T_TTAFStock'!AE30,AD26+'Grid_Incoming'!AE26-'Grid_TTAFOutgoing'!AE26))</f>
        <v/>
      </c>
      <c r="AF26">
        <f>IF(COUNTIFS(T_StockCount[Part Name],$A26,T_StockCount[WeekIndex],31)&gt;0,0,IF(('T_TTAFStock'!AF30&lt;&gt;""),'T_TTAFStock'!AF30,AE26+'Grid_Incoming'!AF26-'Grid_TTAFOutgoing'!AF26))</f>
        <v/>
      </c>
      <c r="AG26">
        <f>IF(COUNTIFS(T_StockCount[Part Name],$A26,T_StockCount[WeekIndex],32)&gt;0,0,IF(('T_TTAFStock'!AG30&lt;&gt;""),'T_TTAFStock'!AG30,AF26+'Grid_Incoming'!AG26-'Grid_TTAFOutgoing'!AG26))</f>
        <v/>
      </c>
      <c r="AH26">
        <f>IF(COUNTIFS(T_StockCount[Part Name],$A26,T_StockCount[WeekIndex],33)&gt;0,0,IF(('T_TTAFStock'!AH30&lt;&gt;""),'T_TTAFStock'!AH30,AG26+'Grid_Incoming'!AH26-'Grid_TTAFOutgoing'!AH26))</f>
        <v/>
      </c>
      <c r="AI26">
        <f>IF(COUNTIFS(T_StockCount[Part Name],$A26,T_StockCount[WeekIndex],34)&gt;0,0,IF(('T_TTAFStock'!AI30&lt;&gt;""),'T_TTAFStock'!AI30,AH26+'Grid_Incoming'!AI26-'Grid_TTAFOutgoing'!AI26))</f>
        <v/>
      </c>
      <c r="AJ26">
        <f>IF(COUNTIFS(T_StockCount[Part Name],$A26,T_StockCount[WeekIndex],35)&gt;0,0,IF(('T_TTAFStock'!AJ30&lt;&gt;""),'T_TTAFStock'!AJ30,AI26+'Grid_Incoming'!AJ26-'Grid_TTAFOutgoing'!AJ26))</f>
        <v/>
      </c>
      <c r="AK26">
        <f>IF(COUNTIFS(T_StockCount[Part Name],$A26,T_StockCount[WeekIndex],36)&gt;0,0,IF(('T_TTAFStock'!AK30&lt;&gt;""),'T_TTAFStock'!AK30,AJ26+'Grid_Incoming'!AK26-'Grid_TTAFOutgoing'!AK26))</f>
        <v/>
      </c>
      <c r="AL26">
        <f>IF(COUNTIFS(T_StockCount[Part Name],$A26,T_StockCount[WeekIndex],37)&gt;0,0,IF(('T_TTAFStock'!AL30&lt;&gt;""),'T_TTAFStock'!AL30,AK26+'Grid_Incoming'!AL26-'Grid_TTAFOutgoing'!AL26))</f>
        <v/>
      </c>
      <c r="AM26">
        <f>IF(COUNTIFS(T_StockCount[Part Name],$A26,T_StockCount[WeekIndex],38)&gt;0,0,IF(('T_TTAFStock'!AM30&lt;&gt;""),'T_TTAFStock'!AM30,AL26+'Grid_Incoming'!AM26-'Grid_TTAFOutgoing'!AM26))</f>
        <v/>
      </c>
      <c r="AN26">
        <f>IF(COUNTIFS(T_StockCount[Part Name],$A26,T_StockCount[WeekIndex],39)&gt;0,0,IF(('T_TTAFStock'!AN30&lt;&gt;""),'T_TTAFStock'!AN30,AM26+'Grid_Incoming'!AN26-'Grid_TTAFOutgoing'!AN26))</f>
        <v/>
      </c>
      <c r="AO26">
        <f>IF(COUNTIFS(T_StockCount[Part Name],$A26,T_StockCount[WeekIndex],40)&gt;0,0,IF(('T_TTAFStock'!AO30&lt;&gt;""),'T_TTAFStock'!AO30,AN26+'Grid_Incoming'!AO26-'Grid_TTAFOutgoing'!AO26))</f>
        <v/>
      </c>
      <c r="AP26">
        <f>IF(COUNTIFS(T_StockCount[Part Name],$A26,T_StockCount[WeekIndex],41)&gt;0,0,IF(('T_TTAFStock'!AP30&lt;&gt;""),'T_TTAFStock'!AP30,AO26+'Grid_Incoming'!AP26-'Grid_TTAFOutgoing'!AP26))</f>
        <v/>
      </c>
      <c r="AQ26">
        <f>IF(COUNTIFS(T_StockCount[Part Name],$A26,T_StockCount[WeekIndex],42)&gt;0,0,IF(('T_TTAFStock'!AQ30&lt;&gt;""),'T_TTAFStock'!AQ30,AP26+'Grid_Incoming'!AQ26-'Grid_TTAFOutgoing'!AQ26))</f>
        <v/>
      </c>
      <c r="AR26">
        <f>IF(COUNTIFS(T_StockCount[Part Name],$A26,T_StockCount[WeekIndex],43)&gt;0,0,IF(('T_TTAFStock'!AR30&lt;&gt;""),'T_TTAFStock'!AR30,AQ26+'Grid_Incoming'!AR26-'Grid_TTAFOutgoing'!AR26))</f>
        <v/>
      </c>
      <c r="AS26">
        <f>IF(COUNTIFS(T_StockCount[Part Name],$A26,T_StockCount[WeekIndex],44)&gt;0,0,IF(('T_TTAFStock'!AS30&lt;&gt;""),'T_TTAFStock'!AS30,AR26+'Grid_Incoming'!AS26-'Grid_TTAFOutgoing'!AS26))</f>
        <v/>
      </c>
      <c r="AT26">
        <f>IF(COUNTIFS(T_StockCount[Part Name],$A26,T_StockCount[WeekIndex],45)&gt;0,0,IF(('T_TTAFStock'!AT30&lt;&gt;""),'T_TTAFStock'!AT30,AS26+'Grid_Incoming'!AT26-'Grid_TTAFOutgoing'!AT26))</f>
        <v/>
      </c>
      <c r="AU26">
        <f>IF(COUNTIFS(T_StockCount[Part Name],$A26,T_StockCount[WeekIndex],46)&gt;0,0,IF(('T_TTAFStock'!AU30&lt;&gt;""),'T_TTAFStock'!AU30,AT26+'Grid_Incoming'!AU26-'Grid_TTAFOutgoing'!AU26))</f>
        <v/>
      </c>
      <c r="AV26">
        <f>IF(COUNTIFS(T_StockCount[Part Name],$A26,T_StockCount[WeekIndex],47)&gt;0,0,IF(('T_TTAFStock'!AV30&lt;&gt;""),'T_TTAFStock'!AV30,AU26+'Grid_Incoming'!AV26-'Grid_TTAFOutgoing'!AV26))</f>
        <v/>
      </c>
      <c r="AW26">
        <f>IF(COUNTIFS(T_StockCount[Part Name],$A26,T_StockCount[WeekIndex],48)&gt;0,0,IF(('T_TTAFStock'!AW30&lt;&gt;""),'T_TTAFStock'!AW30,AV26+'Grid_Incoming'!AW26-'Grid_TTAFOutgoing'!AW26))</f>
        <v/>
      </c>
      <c r="AX26">
        <f>IF(COUNTIFS(T_StockCount[Part Name],$A26,T_StockCount[WeekIndex],49)&gt;0,0,IF(('T_TTAFStock'!AX30&lt;&gt;""),'T_TTAFStock'!AX30,AW26+'Grid_Incoming'!AX26-'Grid_TTAFOutgoing'!AX26))</f>
        <v/>
      </c>
      <c r="AY26">
        <f>IF(COUNTIFS(T_StockCount[Part Name],$A26,T_StockCount[WeekIndex],50)&gt;0,0,IF(('T_TTAFStock'!AY30&lt;&gt;""),'T_TTAFStock'!AY30,AX26+'Grid_Incoming'!AY26-'Grid_TTAFOutgoing'!AY26))</f>
        <v/>
      </c>
      <c r="AZ26">
        <f>IF(COUNTIFS(T_StockCount[Part Name],$A26,T_StockCount[WeekIndex],51)&gt;0,0,IF(('T_TTAFStock'!AZ30&lt;&gt;""),'T_TTAFStock'!AZ30,AY26+'Grid_Incoming'!AZ26-'Grid_TTAFOutgoing'!AZ26))</f>
        <v/>
      </c>
      <c r="BA26">
        <f>IF(COUNTIFS(T_StockCount[Part Name],$A26,T_StockCount[WeekIndex],52)&gt;0,0,IF(('T_TTAFStock'!BA30&lt;&gt;""),'T_TTAFStock'!BA30,AZ26+'Grid_Incoming'!BA26-'Grid_TTAFOutgoing'!BA26))</f>
        <v/>
      </c>
      <c r="BB26">
        <f>IF(COUNTIFS(T_StockCount[Part Name],$A26,T_StockCount[WeekIndex],53)&gt;0,0,IF(('T_TTAFStock'!BB30&lt;&gt;""),'T_TTAFStock'!BB30,BA26+'Grid_Incoming'!BB26-'Grid_TTAFOutgoing'!BB26))</f>
        <v/>
      </c>
      <c r="BC26">
        <f>IF(COUNTIFS(T_StockCount[Part Name],$A26,T_StockCount[WeekIndex],54)&gt;0,0,IF(('T_TTAFStock'!BC30&lt;&gt;""),'T_TTAFStock'!BC30,BB26+'Grid_Incoming'!BC26-'Grid_TTAFOutgoing'!BC26))</f>
        <v/>
      </c>
      <c r="BD26">
        <f>IF(COUNTIFS(T_StockCount[Part Name],$A26,T_StockCount[WeekIndex],55)&gt;0,0,IF(('T_TTAFStock'!BD30&lt;&gt;""),'T_TTAFStock'!BD30,BC26+'Grid_Incoming'!BD26-'Grid_TTAFOutgoing'!BD26))</f>
        <v/>
      </c>
      <c r="BE26">
        <f>IF(COUNTIFS(T_StockCount[Part Name],$A26,T_StockCount[WeekIndex],56)&gt;0,0,IF(('T_TTAFStock'!BE30&lt;&gt;""),'T_TTAFStock'!BE30,BD26+'Grid_Incoming'!BE26-'Grid_TTAFOutgoing'!BE26))</f>
        <v/>
      </c>
      <c r="BF26">
        <f>IF(COUNTIFS(T_StockCount[Part Name],$A26,T_StockCount[WeekIndex],57)&gt;0,0,IF(('T_TTAFStock'!BF30&lt;&gt;""),'T_TTAFStock'!BF30,BE26+'Grid_Incoming'!BF26-'Grid_TTAFOutgoing'!BF26))</f>
        <v/>
      </c>
      <c r="BG26">
        <f>IF(COUNTIFS(T_StockCount[Part Name],$A26,T_StockCount[WeekIndex],58)&gt;0,0,IF(('T_TTAFStock'!BG30&lt;&gt;""),'T_TTAFStock'!BG30,BF26+'Grid_Incoming'!BG26-'Grid_TTAFOutgoing'!BG26))</f>
        <v/>
      </c>
      <c r="BH26">
        <f>IF(COUNTIFS(T_StockCount[Part Name],$A26,T_StockCount[WeekIndex],59)&gt;0,0,IF(('T_TTAFStock'!BH30&lt;&gt;""),'T_TTAFStock'!BH30,BG26+'Grid_Incoming'!BH26-'Grid_TTAFOutgoing'!BH26))</f>
        <v/>
      </c>
      <c r="BI26">
        <f>IF(COUNTIFS(T_StockCount[Part Name],$A26,T_StockCount[WeekIndex],60)&gt;0,0,IF(('T_TTAFStock'!BI30&lt;&gt;""),'T_TTAFStock'!BI30,BH26+'Grid_Incoming'!BI26-'Grid_TTAFOutgoing'!BI26))</f>
        <v/>
      </c>
      <c r="BJ26">
        <f>IF(COUNTIFS(T_StockCount[Part Name],$A26,T_StockCount[WeekIndex],61)&gt;0,0,IF(('T_TTAFStock'!BJ30&lt;&gt;""),'T_TTAFStock'!BJ30,BI26+'Grid_Incoming'!BJ26-'Grid_TTAFOutgoing'!BJ26))</f>
        <v/>
      </c>
      <c r="BK26">
        <f>IF(COUNTIFS(T_StockCount[Part Name],$A26,T_StockCount[WeekIndex],62)&gt;0,0,IF(('T_TTAFStock'!BK30&lt;&gt;""),'T_TTAFStock'!BK30,BJ26+'Grid_Incoming'!BK26-'Grid_TTAFOutgoing'!BK26))</f>
        <v/>
      </c>
      <c r="BL26">
        <f>IF(COUNTIFS(T_StockCount[Part Name],$A26,T_StockCount[WeekIndex],63)&gt;0,0,IF(('T_TTAFStock'!BL30&lt;&gt;""),'T_TTAFStock'!BL30,BK26+'Grid_Incoming'!BL26-'Grid_TTAFOutgoing'!BL26))</f>
        <v/>
      </c>
      <c r="BM26">
        <f>IF(COUNTIFS(T_StockCount[Part Name],$A26,T_StockCount[WeekIndex],64)&gt;0,0,IF(('T_TTAFStock'!BM30&lt;&gt;""),'T_TTAFStock'!BM30,BL26+'Grid_Incoming'!BM26-'Grid_TTAFOutgoing'!BM26))</f>
        <v/>
      </c>
      <c r="BN26">
        <f>IF(COUNTIFS(T_StockCount[Part Name],$A26,T_StockCount[WeekIndex],65)&gt;0,0,IF(('T_TTAFStock'!BN30&lt;&gt;""),'T_TTAFStock'!BN30,BM26+'Grid_Incoming'!BN26-'Grid_TTAFOutgoing'!BN26))</f>
        <v/>
      </c>
      <c r="BO26">
        <f>IF(COUNTIFS(T_StockCount[Part Name],$A26,T_StockCount[WeekIndex],66)&gt;0,0,IF(('T_TTAFStock'!BO30&lt;&gt;""),'T_TTAFStock'!BO30,BN26+'Grid_Incoming'!BO26-'Grid_TTAFOutgoing'!BO26))</f>
        <v/>
      </c>
      <c r="BP26">
        <f>IF(COUNTIFS(T_StockCount[Part Name],$A26,T_StockCount[WeekIndex],67)&gt;0,0,IF(('T_TTAFStock'!BP30&lt;&gt;""),'T_TTAFStock'!BP30,BO26+'Grid_Incoming'!BP26-'Grid_TTAFOutgoing'!BP26))</f>
        <v/>
      </c>
      <c r="BQ26">
        <f>IF(COUNTIFS(T_StockCount[Part Name],$A26,T_StockCount[WeekIndex],68)&gt;0,0,IF(('T_TTAFStock'!BQ30&lt;&gt;""),'T_TTAFStock'!BQ30,BP26+'Grid_Incoming'!BQ26-'Grid_TTAFOutgoing'!BQ26))</f>
        <v/>
      </c>
      <c r="BR26">
        <f>IF(COUNTIFS(T_StockCount[Part Name],$A26,T_StockCount[WeekIndex],69)&gt;0,0,IF(('T_TTAFStock'!BR30&lt;&gt;""),'T_TTAFStock'!BR30,BQ26+'Grid_Incoming'!BR26-'Grid_TTAFOutgoing'!BR26))</f>
        <v/>
      </c>
      <c r="BS26">
        <f>IF(COUNTIFS(T_StockCount[Part Name],$A26,T_StockCount[WeekIndex],70)&gt;0,0,IF(('T_TTAFStock'!BS30&lt;&gt;""),'T_TTAFStock'!BS30,BR26+'Grid_Incoming'!BS26-'Grid_TTAFOutgoing'!BS26))</f>
        <v/>
      </c>
      <c r="BT26">
        <f>IF(COUNTIFS(T_StockCount[Part Name],$A26,T_StockCount[WeekIndex],71)&gt;0,0,IF(('T_TTAFStock'!BT30&lt;&gt;""),'T_TTAFStock'!BT30,BS26+'Grid_Incoming'!BT26-'Grid_TTAFOutgoing'!BT26))</f>
        <v/>
      </c>
      <c r="BU26">
        <f>IF(COUNTIFS(T_StockCount[Part Name],$A26,T_StockCount[WeekIndex],72)&gt;0,0,IF(('T_TTAFStock'!BU30&lt;&gt;""),'T_TTAFStock'!BU30,BT26+'Grid_Incoming'!BU26-'Grid_TTAFOutgoing'!BU26))</f>
        <v/>
      </c>
      <c r="BV26">
        <f>IF(COUNTIFS(T_StockCount[Part Name],$A26,T_StockCount[WeekIndex],73)&gt;0,0,IF(('T_TTAFStock'!BV30&lt;&gt;""),'T_TTAFStock'!BV30,BU26+'Grid_Incoming'!BV26-'Grid_TTAFOutgoing'!BV26))</f>
        <v/>
      </c>
      <c r="BW26">
        <f>IF(COUNTIFS(T_StockCount[Part Name],$A26,T_StockCount[WeekIndex],74)&gt;0,0,IF(('T_TTAFStock'!BW30&lt;&gt;""),'T_TTAFStock'!BW30,BV26+'Grid_Incoming'!BW26-'Grid_TTAFOutgoing'!BW26))</f>
        <v/>
      </c>
      <c r="BX26">
        <f>IF(COUNTIFS(T_StockCount[Part Name],$A26,T_StockCount[WeekIndex],75)&gt;0,0,IF(('T_TTAFStock'!BX30&lt;&gt;""),'T_TTAFStock'!BX30,BW26+'Grid_Incoming'!BX26-'Grid_TTAFOutgoing'!BX26))</f>
        <v/>
      </c>
      <c r="BY26">
        <f>IF(COUNTIFS(T_StockCount[Part Name],$A26,T_StockCount[WeekIndex],76)&gt;0,0,IF(('T_TTAFStock'!BY30&lt;&gt;""),'T_TTAFStock'!BY30,BX26+'Grid_Incoming'!BY26-'Grid_TTAFOutgoing'!BY26))</f>
        <v/>
      </c>
      <c r="BZ26">
        <f>IF(COUNTIFS(T_StockCount[Part Name],$A26,T_StockCount[WeekIndex],77)&gt;0,0,IF(('T_TTAFStock'!BZ30&lt;&gt;""),'T_TTAFStock'!BZ30,BY26+'Grid_Incoming'!BZ26-'Grid_TTAFOutgoing'!BZ26))</f>
        <v/>
      </c>
      <c r="CA26">
        <f>IF(COUNTIFS(T_StockCount[Part Name],$A26,T_StockCount[WeekIndex],78)&gt;0,0,IF(('T_TTAFStock'!CA30&lt;&gt;""),'T_TTAFStock'!CA30,BZ26+'Grid_Incoming'!CA26-'Grid_TTAFOutgoing'!CA26))</f>
        <v/>
      </c>
      <c r="CB26">
        <f>IF(COUNTIFS(T_StockCount[Part Name],$A26,T_StockCount[WeekIndex],79)&gt;0,0,IF(('T_TTAFStock'!CB30&lt;&gt;""),'T_TTAFStock'!CB30,CA26+'Grid_Incoming'!CB26-'Grid_TTAFOutgoing'!CB26))</f>
        <v/>
      </c>
      <c r="CC26">
        <f>IF(COUNTIFS(T_StockCount[Part Name],$A26,T_StockCount[WeekIndex],80)&gt;0,0,IF(('T_TTAFStock'!CC30&lt;&gt;""),'T_TTAFStock'!CC30,CB26+'Grid_Incoming'!CC26-'Grid_TTAFOutgoing'!CC26))</f>
        <v/>
      </c>
      <c r="CD26">
        <f>IF(COUNTIFS(T_StockCount[Part Name],$A26,T_StockCount[WeekIndex],81)&gt;0,0,IF(('T_TTAFStock'!CD30&lt;&gt;""),'T_TTAFStock'!CD30,CC26+'Grid_Incoming'!CD26-'Grid_TTAFOutgoing'!CD26))</f>
        <v/>
      </c>
      <c r="CE26">
        <f>IF(COUNTIFS(T_StockCount[Part Name],$A26,T_StockCount[WeekIndex],82)&gt;0,0,IF(('T_TTAFStock'!CE30&lt;&gt;""),'T_TTAFStock'!CE30,CD26+'Grid_Incoming'!CE26-'Grid_TTAFOutgoing'!CE26))</f>
        <v/>
      </c>
      <c r="CF26">
        <f>IF(COUNTIFS(T_StockCount[Part Name],$A26,T_StockCount[WeekIndex],83)&gt;0,0,IF(('T_TTAFStock'!CF30&lt;&gt;""),'T_TTAFStock'!CF30,CE26+'Grid_Incoming'!CF26-'Grid_TTAFOutgoing'!CF26))</f>
        <v/>
      </c>
      <c r="CG26">
        <f>IF(COUNTIFS(T_StockCount[Part Name],$A26,T_StockCount[WeekIndex],84)&gt;0,0,IF(('T_TTAFStock'!CG30&lt;&gt;""),'T_TTAFStock'!CG30,CF26+'Grid_Incoming'!CG26-'Grid_TTAFOutgoing'!CG26))</f>
        <v/>
      </c>
      <c r="CH26">
        <f>IF(COUNTIFS(T_StockCount[Part Name],$A26,T_StockCount[WeekIndex],85)&gt;0,0,IF(('T_TTAFStock'!CH30&lt;&gt;""),'T_TTAFStock'!CH30,CG26+'Grid_Incoming'!CH26-'Grid_TTAFOutgoing'!CH26))</f>
        <v/>
      </c>
      <c r="CI26">
        <f>IF(COUNTIFS(T_StockCount[Part Name],$A26,T_StockCount[WeekIndex],86)&gt;0,0,IF(('T_TTAFStock'!CI30&lt;&gt;""),'T_TTAFStock'!CI30,CH26+'Grid_Incoming'!CI26-'Grid_TTAFOutgoing'!CI26))</f>
        <v/>
      </c>
      <c r="CJ26">
        <f>IF(COUNTIFS(T_StockCount[Part Name],$A26,T_StockCount[WeekIndex],87)&gt;0,0,IF(('T_TTAFStock'!CJ30&lt;&gt;""),'T_TTAFStock'!CJ30,CI26+'Grid_Incoming'!CJ26-'Grid_TTAFOutgoing'!CJ26))</f>
        <v/>
      </c>
      <c r="CK26">
        <f>IF(COUNTIFS(T_StockCount[Part Name],$A26,T_StockCount[WeekIndex],88)&gt;0,0,IF(('T_TTAFStock'!CK30&lt;&gt;""),'T_TTAFStock'!CK30,CJ26+'Grid_Incoming'!CK26-'Grid_TTAFOutgoing'!CK26))</f>
        <v/>
      </c>
      <c r="CL26">
        <f>IF(COUNTIFS(T_StockCount[Part Name],$A26,T_StockCount[WeekIndex],89)&gt;0,0,IF(('T_TTAFStock'!CL30&lt;&gt;""),'T_TTAFStock'!CL30,CK26+'Grid_Incoming'!CL26-'Grid_TTAFOutgoing'!CL26))</f>
        <v/>
      </c>
      <c r="CM26">
        <f>IF(COUNTIFS(T_StockCount[Part Name],$A26,T_StockCount[WeekIndex],90)&gt;0,0,IF(('T_TTAFStock'!CM30&lt;&gt;""),'T_TTAFStock'!CM30,CL26+'Grid_Incoming'!CM26-'Grid_TTAFOutgoing'!CM26))</f>
        <v/>
      </c>
      <c r="CN26">
        <f>IF(COUNTIFS(T_StockCount[Part Name],$A26,T_StockCount[WeekIndex],91)&gt;0,0,IF(('T_TTAFStock'!CN30&lt;&gt;""),'T_TTAFStock'!CN30,CM26+'Grid_Incoming'!CN26-'Grid_TTAFOutgoing'!CN26))</f>
        <v/>
      </c>
      <c r="CO26">
        <f>IF(COUNTIFS(T_StockCount[Part Name],$A26,T_StockCount[WeekIndex],92)&gt;0,0,IF(('T_TTAFStock'!CO30&lt;&gt;""),'T_TTAFStock'!CO30,CN26+'Grid_Incoming'!CO26-'Grid_TTAFOutgoing'!CO26))</f>
        <v/>
      </c>
      <c r="CP26">
        <f>IF(COUNTIFS(T_StockCount[Part Name],$A26,T_StockCount[WeekIndex],93)&gt;0,0,IF(('T_TTAFStock'!CP30&lt;&gt;""),'T_TTAFStock'!CP30,CO26+'Grid_Incoming'!CP26-'Grid_TTAFOutgoing'!CP26))</f>
        <v/>
      </c>
      <c r="CQ26">
        <f>IF(COUNTIFS(T_StockCount[Part Name],$A26,T_StockCount[WeekIndex],94)&gt;0,0,IF(('T_TTAFStock'!CQ30&lt;&gt;""),'T_TTAFStock'!CQ30,CP26+'Grid_Incoming'!CQ26-'Grid_TTAFOutgoing'!CQ26))</f>
        <v/>
      </c>
      <c r="CR26">
        <f>IF(COUNTIFS(T_StockCount[Part Name],$A26,T_StockCount[WeekIndex],95)&gt;0,0,IF(('T_TTAFStock'!CR30&lt;&gt;""),'T_TTAFStock'!CR30,CQ26+'Grid_Incoming'!CR26-'Grid_TTAFOutgoing'!CR26))</f>
        <v/>
      </c>
      <c r="CS26">
        <f>IF(COUNTIFS(T_StockCount[Part Name],$A26,T_StockCount[WeekIndex],96)&gt;0,0,IF(('T_TTAFStock'!CS30&lt;&gt;""),'T_TTAFStock'!CS30,CR26+'Grid_Incoming'!CS26-'Grid_TTAFOutgoing'!CS26))</f>
        <v/>
      </c>
      <c r="CT26">
        <f>IF(COUNTIFS(T_StockCount[Part Name],$A26,T_StockCount[WeekIndex],97)&gt;0,0,IF(('T_TTAFStock'!CT30&lt;&gt;""),'T_TTAFStock'!CT30,CS26+'Grid_Incoming'!CT26-'Grid_TTAFOutgoing'!CT26))</f>
        <v/>
      </c>
      <c r="CU26">
        <f>IF(COUNTIFS(T_StockCount[Part Name],$A26,T_StockCount[WeekIndex],98)&gt;0,0,IF(('T_TTAFStock'!CU30&lt;&gt;""),'T_TTAFStock'!CU30,CT26+'Grid_Incoming'!CU26-'Grid_TTAFOutgoing'!CU26))</f>
        <v/>
      </c>
      <c r="CV26">
        <f>IF(COUNTIFS(T_StockCount[Part Name],$A26,T_StockCount[WeekIndex],99)&gt;0,0,IF(('T_TTAFStock'!CV30&lt;&gt;""),'T_TTAFStock'!CV30,CU26+'Grid_Incoming'!CV26-'Grid_TTAFOutgoing'!CV26))</f>
        <v/>
      </c>
      <c r="CW26">
        <f>IF(COUNTIFS(T_StockCount[Part Name],$A26,T_StockCount[WeekIndex],100)&gt;0,0,IF(('T_TTAFStock'!CW30&lt;&gt;""),'T_TTAFStock'!CW30,CV26+'Grid_Incoming'!CW26-'Grid_TTAFOutgoing'!CW26))</f>
        <v/>
      </c>
      <c r="CX26">
        <f>IF(COUNTIFS(T_StockCount[Part Name],$A26,T_StockCount[WeekIndex],101)&gt;0,0,IF(('T_TTAFStock'!CX30&lt;&gt;""),'T_TTAFStock'!CX30,CW26+'Grid_Incoming'!CX26-'Grid_TTAFOutgoing'!CX26))</f>
        <v/>
      </c>
      <c r="CY26">
        <f>IF(COUNTIFS(T_StockCount[Part Name],$A26,T_StockCount[WeekIndex],102)&gt;0,0,IF(('T_TTAFStock'!CY30&lt;&gt;""),'T_TTAFStock'!CY30,CX26+'Grid_Incoming'!CY26-'Grid_TTAFOutgoing'!CY26))</f>
        <v/>
      </c>
      <c r="CZ26">
        <f>IF(COUNTIFS(T_StockCount[Part Name],$A26,T_StockCount[WeekIndex],103)&gt;0,0,IF(('T_TTAFStock'!CZ30&lt;&gt;""),'T_TTAFStock'!CZ30,CY26+'Grid_Incoming'!CZ26-'Grid_TTAFOutgoing'!CZ26))</f>
        <v/>
      </c>
      <c r="DA26">
        <f>IF(COUNTIFS(T_StockCount[Part Name],$A26,T_StockCount[WeekIndex],104)&gt;0,0,IF(('T_TTAFStock'!DA30&lt;&gt;""),'T_TTAFStock'!DA30,CZ26+'Grid_Incoming'!DA26-'Grid_TTAFOutgoing'!DA26))</f>
        <v/>
      </c>
    </row>
    <row r="27">
      <c r="A27" t="inlineStr">
        <is>
          <t>CHEM-1680</t>
        </is>
      </c>
      <c r="B27">
        <f>IF(COUNTIFS(T_StockCount[Part Name],$A27,T_StockCount[WeekIndex],1)&gt;0,0,IF(('T_TTAFStock'!B31&lt;&gt;""),'T_TTAFStock'!B31,0+'Grid_Incoming'!B27-'Grid_TTAFOutgoing'!B27))</f>
        <v/>
      </c>
      <c r="C27">
        <f>IF(COUNTIFS(T_StockCount[Part Name],$A27,T_StockCount[WeekIndex],2)&gt;0,0,IF(('T_TTAFStock'!C31&lt;&gt;""),'T_TTAFStock'!C31,B27+'Grid_Incoming'!C27-'Grid_TTAFOutgoing'!C27))</f>
        <v/>
      </c>
      <c r="D27">
        <f>IF(COUNTIFS(T_StockCount[Part Name],$A27,T_StockCount[WeekIndex],3)&gt;0,0,IF(('T_TTAFStock'!D31&lt;&gt;""),'T_TTAFStock'!D31,C27+'Grid_Incoming'!D27-'Grid_TTAFOutgoing'!D27))</f>
        <v/>
      </c>
      <c r="E27">
        <f>IF(COUNTIFS(T_StockCount[Part Name],$A27,T_StockCount[WeekIndex],4)&gt;0,0,IF(('T_TTAFStock'!E31&lt;&gt;""),'T_TTAFStock'!E31,D27+'Grid_Incoming'!E27-'Grid_TTAFOutgoing'!E27))</f>
        <v/>
      </c>
      <c r="F27">
        <f>IF(COUNTIFS(T_StockCount[Part Name],$A27,T_StockCount[WeekIndex],5)&gt;0,0,IF(('T_TTAFStock'!F31&lt;&gt;""),'T_TTAFStock'!F31,E27+'Grid_Incoming'!F27-'Grid_TTAFOutgoing'!F27))</f>
        <v/>
      </c>
      <c r="G27">
        <f>IF(COUNTIFS(T_StockCount[Part Name],$A27,T_StockCount[WeekIndex],6)&gt;0,0,IF(('T_TTAFStock'!G31&lt;&gt;""),'T_TTAFStock'!G31,F27+'Grid_Incoming'!G27-'Grid_TTAFOutgoing'!G27))</f>
        <v/>
      </c>
      <c r="H27">
        <f>IF(COUNTIFS(T_StockCount[Part Name],$A27,T_StockCount[WeekIndex],7)&gt;0,0,IF(('T_TTAFStock'!H31&lt;&gt;""),'T_TTAFStock'!H31,G27+'Grid_Incoming'!H27-'Grid_TTAFOutgoing'!H27))</f>
        <v/>
      </c>
      <c r="I27">
        <f>IF(COUNTIFS(T_StockCount[Part Name],$A27,T_StockCount[WeekIndex],8)&gt;0,0,IF(('T_TTAFStock'!I31&lt;&gt;""),'T_TTAFStock'!I31,H27+'Grid_Incoming'!I27-'Grid_TTAFOutgoing'!I27))</f>
        <v/>
      </c>
      <c r="J27">
        <f>IF(COUNTIFS(T_StockCount[Part Name],$A27,T_StockCount[WeekIndex],9)&gt;0,0,IF(('T_TTAFStock'!J31&lt;&gt;""),'T_TTAFStock'!J31,I27+'Grid_Incoming'!J27-'Grid_TTAFOutgoing'!J27))</f>
        <v/>
      </c>
      <c r="K27">
        <f>IF(COUNTIFS(T_StockCount[Part Name],$A27,T_StockCount[WeekIndex],10)&gt;0,0,IF(('T_TTAFStock'!K31&lt;&gt;""),'T_TTAFStock'!K31,J27+'Grid_Incoming'!K27-'Grid_TTAFOutgoing'!K27))</f>
        <v/>
      </c>
      <c r="L27">
        <f>IF(COUNTIFS(T_StockCount[Part Name],$A27,T_StockCount[WeekIndex],11)&gt;0,0,IF(('T_TTAFStock'!L31&lt;&gt;""),'T_TTAFStock'!L31,K27+'Grid_Incoming'!L27-'Grid_TTAFOutgoing'!L27))</f>
        <v/>
      </c>
      <c r="M27">
        <f>IF(COUNTIFS(T_StockCount[Part Name],$A27,T_StockCount[WeekIndex],12)&gt;0,0,IF(('T_TTAFStock'!M31&lt;&gt;""),'T_TTAFStock'!M31,L27+'Grid_Incoming'!M27-'Grid_TTAFOutgoing'!M27))</f>
        <v/>
      </c>
      <c r="N27">
        <f>IF(COUNTIFS(T_StockCount[Part Name],$A27,T_StockCount[WeekIndex],13)&gt;0,0,IF(('T_TTAFStock'!N31&lt;&gt;""),'T_TTAFStock'!N31,M27+'Grid_Incoming'!N27-'Grid_TTAFOutgoing'!N27))</f>
        <v/>
      </c>
      <c r="O27">
        <f>IF(COUNTIFS(T_StockCount[Part Name],$A27,T_StockCount[WeekIndex],14)&gt;0,0,IF(('T_TTAFStock'!O31&lt;&gt;""),'T_TTAFStock'!O31,N27+'Grid_Incoming'!O27-'Grid_TTAFOutgoing'!O27))</f>
        <v/>
      </c>
      <c r="P27">
        <f>IF(COUNTIFS(T_StockCount[Part Name],$A27,T_StockCount[WeekIndex],15)&gt;0,0,IF(('T_TTAFStock'!P31&lt;&gt;""),'T_TTAFStock'!P31,O27+'Grid_Incoming'!P27-'Grid_TTAFOutgoing'!P27))</f>
        <v/>
      </c>
      <c r="Q27">
        <f>IF(COUNTIFS(T_StockCount[Part Name],$A27,T_StockCount[WeekIndex],16)&gt;0,0,IF(('T_TTAFStock'!Q31&lt;&gt;""),'T_TTAFStock'!Q31,P27+'Grid_Incoming'!Q27-'Grid_TTAFOutgoing'!Q27))</f>
        <v/>
      </c>
      <c r="R27">
        <f>IF(COUNTIFS(T_StockCount[Part Name],$A27,T_StockCount[WeekIndex],17)&gt;0,0,IF(('T_TTAFStock'!R31&lt;&gt;""),'T_TTAFStock'!R31,Q27+'Grid_Incoming'!R27-'Grid_TTAFOutgoing'!R27))</f>
        <v/>
      </c>
      <c r="S27">
        <f>IF(COUNTIFS(T_StockCount[Part Name],$A27,T_StockCount[WeekIndex],18)&gt;0,0,IF(('T_TTAFStock'!S31&lt;&gt;""),'T_TTAFStock'!S31,R27+'Grid_Incoming'!S27-'Grid_TTAFOutgoing'!S27))</f>
        <v/>
      </c>
      <c r="T27">
        <f>IF(COUNTIFS(T_StockCount[Part Name],$A27,T_StockCount[WeekIndex],19)&gt;0,0,IF(('T_TTAFStock'!T31&lt;&gt;""),'T_TTAFStock'!T31,S27+'Grid_Incoming'!T27-'Grid_TTAFOutgoing'!T27))</f>
        <v/>
      </c>
      <c r="U27">
        <f>IF(COUNTIFS(T_StockCount[Part Name],$A27,T_StockCount[WeekIndex],20)&gt;0,0,IF(('T_TTAFStock'!U31&lt;&gt;""),'T_TTAFStock'!U31,T27+'Grid_Incoming'!U27-'Grid_TTAFOutgoing'!U27))</f>
        <v/>
      </c>
      <c r="V27">
        <f>IF(COUNTIFS(T_StockCount[Part Name],$A27,T_StockCount[WeekIndex],21)&gt;0,0,IF(('T_TTAFStock'!V31&lt;&gt;""),'T_TTAFStock'!V31,U27+'Grid_Incoming'!V27-'Grid_TTAFOutgoing'!V27))</f>
        <v/>
      </c>
      <c r="W27">
        <f>IF(COUNTIFS(T_StockCount[Part Name],$A27,T_StockCount[WeekIndex],22)&gt;0,0,IF(('T_TTAFStock'!W31&lt;&gt;""),'T_TTAFStock'!W31,V27+'Grid_Incoming'!W27-'Grid_TTAFOutgoing'!W27))</f>
        <v/>
      </c>
      <c r="X27">
        <f>IF(COUNTIFS(T_StockCount[Part Name],$A27,T_StockCount[WeekIndex],23)&gt;0,0,IF(('T_TTAFStock'!X31&lt;&gt;""),'T_TTAFStock'!X31,W27+'Grid_Incoming'!X27-'Grid_TTAFOutgoing'!X27))</f>
        <v/>
      </c>
      <c r="Y27">
        <f>IF(COUNTIFS(T_StockCount[Part Name],$A27,T_StockCount[WeekIndex],24)&gt;0,0,IF(('T_TTAFStock'!Y31&lt;&gt;""),'T_TTAFStock'!Y31,X27+'Grid_Incoming'!Y27-'Grid_TTAFOutgoing'!Y27))</f>
        <v/>
      </c>
      <c r="Z27">
        <f>IF(COUNTIFS(T_StockCount[Part Name],$A27,T_StockCount[WeekIndex],25)&gt;0,0,IF(('T_TTAFStock'!Z31&lt;&gt;""),'T_TTAFStock'!Z31,Y27+'Grid_Incoming'!Z27-'Grid_TTAFOutgoing'!Z27))</f>
        <v/>
      </c>
      <c r="AA27">
        <f>IF(COUNTIFS(T_StockCount[Part Name],$A27,T_StockCount[WeekIndex],26)&gt;0,0,IF(('T_TTAFStock'!AA31&lt;&gt;""),'T_TTAFStock'!AA31,Z27+'Grid_Incoming'!AA27-'Grid_TTAFOutgoing'!AA27))</f>
        <v/>
      </c>
      <c r="AB27">
        <f>IF(COUNTIFS(T_StockCount[Part Name],$A27,T_StockCount[WeekIndex],27)&gt;0,0,IF(('T_TTAFStock'!AB31&lt;&gt;""),'T_TTAFStock'!AB31,AA27+'Grid_Incoming'!AB27-'Grid_TTAFOutgoing'!AB27))</f>
        <v/>
      </c>
      <c r="AC27">
        <f>IF(COUNTIFS(T_StockCount[Part Name],$A27,T_StockCount[WeekIndex],28)&gt;0,0,IF(('T_TTAFStock'!AC31&lt;&gt;""),'T_TTAFStock'!AC31,AB27+'Grid_Incoming'!AC27-'Grid_TTAFOutgoing'!AC27))</f>
        <v/>
      </c>
      <c r="AD27">
        <f>IF(COUNTIFS(T_StockCount[Part Name],$A27,T_StockCount[WeekIndex],29)&gt;0,0,IF(('T_TTAFStock'!AD31&lt;&gt;""),'T_TTAFStock'!AD31,AC27+'Grid_Incoming'!AD27-'Grid_TTAFOutgoing'!AD27))</f>
        <v/>
      </c>
      <c r="AE27">
        <f>IF(COUNTIFS(T_StockCount[Part Name],$A27,T_StockCount[WeekIndex],30)&gt;0,0,IF(('T_TTAFStock'!AE31&lt;&gt;""),'T_TTAFStock'!AE31,AD27+'Grid_Incoming'!AE27-'Grid_TTAFOutgoing'!AE27))</f>
        <v/>
      </c>
      <c r="AF27">
        <f>IF(COUNTIFS(T_StockCount[Part Name],$A27,T_StockCount[WeekIndex],31)&gt;0,0,IF(('T_TTAFStock'!AF31&lt;&gt;""),'T_TTAFStock'!AF31,AE27+'Grid_Incoming'!AF27-'Grid_TTAFOutgoing'!AF27))</f>
        <v/>
      </c>
      <c r="AG27">
        <f>IF(COUNTIFS(T_StockCount[Part Name],$A27,T_StockCount[WeekIndex],32)&gt;0,0,IF(('T_TTAFStock'!AG31&lt;&gt;""),'T_TTAFStock'!AG31,AF27+'Grid_Incoming'!AG27-'Grid_TTAFOutgoing'!AG27))</f>
        <v/>
      </c>
      <c r="AH27">
        <f>IF(COUNTIFS(T_StockCount[Part Name],$A27,T_StockCount[WeekIndex],33)&gt;0,0,IF(('T_TTAFStock'!AH31&lt;&gt;""),'T_TTAFStock'!AH31,AG27+'Grid_Incoming'!AH27-'Grid_TTAFOutgoing'!AH27))</f>
        <v/>
      </c>
      <c r="AI27">
        <f>IF(COUNTIFS(T_StockCount[Part Name],$A27,T_StockCount[WeekIndex],34)&gt;0,0,IF(('T_TTAFStock'!AI31&lt;&gt;""),'T_TTAFStock'!AI31,AH27+'Grid_Incoming'!AI27-'Grid_TTAFOutgoing'!AI27))</f>
        <v/>
      </c>
      <c r="AJ27">
        <f>IF(COUNTIFS(T_StockCount[Part Name],$A27,T_StockCount[WeekIndex],35)&gt;0,0,IF(('T_TTAFStock'!AJ31&lt;&gt;""),'T_TTAFStock'!AJ31,AI27+'Grid_Incoming'!AJ27-'Grid_TTAFOutgoing'!AJ27))</f>
        <v/>
      </c>
      <c r="AK27">
        <f>IF(COUNTIFS(T_StockCount[Part Name],$A27,T_StockCount[WeekIndex],36)&gt;0,0,IF(('T_TTAFStock'!AK31&lt;&gt;""),'T_TTAFStock'!AK31,AJ27+'Grid_Incoming'!AK27-'Grid_TTAFOutgoing'!AK27))</f>
        <v/>
      </c>
      <c r="AL27">
        <f>IF(COUNTIFS(T_StockCount[Part Name],$A27,T_StockCount[WeekIndex],37)&gt;0,0,IF(('T_TTAFStock'!AL31&lt;&gt;""),'T_TTAFStock'!AL31,AK27+'Grid_Incoming'!AL27-'Grid_TTAFOutgoing'!AL27))</f>
        <v/>
      </c>
      <c r="AM27">
        <f>IF(COUNTIFS(T_StockCount[Part Name],$A27,T_StockCount[WeekIndex],38)&gt;0,0,IF(('T_TTAFStock'!AM31&lt;&gt;""),'T_TTAFStock'!AM31,AL27+'Grid_Incoming'!AM27-'Grid_TTAFOutgoing'!AM27))</f>
        <v/>
      </c>
      <c r="AN27">
        <f>IF(COUNTIFS(T_StockCount[Part Name],$A27,T_StockCount[WeekIndex],39)&gt;0,0,IF(('T_TTAFStock'!AN31&lt;&gt;""),'T_TTAFStock'!AN31,AM27+'Grid_Incoming'!AN27-'Grid_TTAFOutgoing'!AN27))</f>
        <v/>
      </c>
      <c r="AO27">
        <f>IF(COUNTIFS(T_StockCount[Part Name],$A27,T_StockCount[WeekIndex],40)&gt;0,0,IF(('T_TTAFStock'!AO31&lt;&gt;""),'T_TTAFStock'!AO31,AN27+'Grid_Incoming'!AO27-'Grid_TTAFOutgoing'!AO27))</f>
        <v/>
      </c>
      <c r="AP27">
        <f>IF(COUNTIFS(T_StockCount[Part Name],$A27,T_StockCount[WeekIndex],41)&gt;0,0,IF(('T_TTAFStock'!AP31&lt;&gt;""),'T_TTAFStock'!AP31,AO27+'Grid_Incoming'!AP27-'Grid_TTAFOutgoing'!AP27))</f>
        <v/>
      </c>
      <c r="AQ27">
        <f>IF(COUNTIFS(T_StockCount[Part Name],$A27,T_StockCount[WeekIndex],42)&gt;0,0,IF(('T_TTAFStock'!AQ31&lt;&gt;""),'T_TTAFStock'!AQ31,AP27+'Grid_Incoming'!AQ27-'Grid_TTAFOutgoing'!AQ27))</f>
        <v/>
      </c>
      <c r="AR27">
        <f>IF(COUNTIFS(T_StockCount[Part Name],$A27,T_StockCount[WeekIndex],43)&gt;0,0,IF(('T_TTAFStock'!AR31&lt;&gt;""),'T_TTAFStock'!AR31,AQ27+'Grid_Incoming'!AR27-'Grid_TTAFOutgoing'!AR27))</f>
        <v/>
      </c>
      <c r="AS27">
        <f>IF(COUNTIFS(T_StockCount[Part Name],$A27,T_StockCount[WeekIndex],44)&gt;0,0,IF(('T_TTAFStock'!AS31&lt;&gt;""),'T_TTAFStock'!AS31,AR27+'Grid_Incoming'!AS27-'Grid_TTAFOutgoing'!AS27))</f>
        <v/>
      </c>
      <c r="AT27">
        <f>IF(COUNTIFS(T_StockCount[Part Name],$A27,T_StockCount[WeekIndex],45)&gt;0,0,IF(('T_TTAFStock'!AT31&lt;&gt;""),'T_TTAFStock'!AT31,AS27+'Grid_Incoming'!AT27-'Grid_TTAFOutgoing'!AT27))</f>
        <v/>
      </c>
      <c r="AU27">
        <f>IF(COUNTIFS(T_StockCount[Part Name],$A27,T_StockCount[WeekIndex],46)&gt;0,0,IF(('T_TTAFStock'!AU31&lt;&gt;""),'T_TTAFStock'!AU31,AT27+'Grid_Incoming'!AU27-'Grid_TTAFOutgoing'!AU27))</f>
        <v/>
      </c>
      <c r="AV27">
        <f>IF(COUNTIFS(T_StockCount[Part Name],$A27,T_StockCount[WeekIndex],47)&gt;0,0,IF(('T_TTAFStock'!AV31&lt;&gt;""),'T_TTAFStock'!AV31,AU27+'Grid_Incoming'!AV27-'Grid_TTAFOutgoing'!AV27))</f>
        <v/>
      </c>
      <c r="AW27">
        <f>IF(COUNTIFS(T_StockCount[Part Name],$A27,T_StockCount[WeekIndex],48)&gt;0,0,IF(('T_TTAFStock'!AW31&lt;&gt;""),'T_TTAFStock'!AW31,AV27+'Grid_Incoming'!AW27-'Grid_TTAFOutgoing'!AW27))</f>
        <v/>
      </c>
      <c r="AX27">
        <f>IF(COUNTIFS(T_StockCount[Part Name],$A27,T_StockCount[WeekIndex],49)&gt;0,0,IF(('T_TTAFStock'!AX31&lt;&gt;""),'T_TTAFStock'!AX31,AW27+'Grid_Incoming'!AX27-'Grid_TTAFOutgoing'!AX27))</f>
        <v/>
      </c>
      <c r="AY27">
        <f>IF(COUNTIFS(T_StockCount[Part Name],$A27,T_StockCount[WeekIndex],50)&gt;0,0,IF(('T_TTAFStock'!AY31&lt;&gt;""),'T_TTAFStock'!AY31,AX27+'Grid_Incoming'!AY27-'Grid_TTAFOutgoing'!AY27))</f>
        <v/>
      </c>
      <c r="AZ27">
        <f>IF(COUNTIFS(T_StockCount[Part Name],$A27,T_StockCount[WeekIndex],51)&gt;0,0,IF(('T_TTAFStock'!AZ31&lt;&gt;""),'T_TTAFStock'!AZ31,AY27+'Grid_Incoming'!AZ27-'Grid_TTAFOutgoing'!AZ27))</f>
        <v/>
      </c>
      <c r="BA27">
        <f>IF(COUNTIFS(T_StockCount[Part Name],$A27,T_StockCount[WeekIndex],52)&gt;0,0,IF(('T_TTAFStock'!BA31&lt;&gt;""),'T_TTAFStock'!BA31,AZ27+'Grid_Incoming'!BA27-'Grid_TTAFOutgoing'!BA27))</f>
        <v/>
      </c>
      <c r="BB27">
        <f>IF(COUNTIFS(T_StockCount[Part Name],$A27,T_StockCount[WeekIndex],53)&gt;0,0,IF(('T_TTAFStock'!BB31&lt;&gt;""),'T_TTAFStock'!BB31,BA27+'Grid_Incoming'!BB27-'Grid_TTAFOutgoing'!BB27))</f>
        <v/>
      </c>
      <c r="BC27">
        <f>IF(COUNTIFS(T_StockCount[Part Name],$A27,T_StockCount[WeekIndex],54)&gt;0,0,IF(('T_TTAFStock'!BC31&lt;&gt;""),'T_TTAFStock'!BC31,BB27+'Grid_Incoming'!BC27-'Grid_TTAFOutgoing'!BC27))</f>
        <v/>
      </c>
      <c r="BD27">
        <f>IF(COUNTIFS(T_StockCount[Part Name],$A27,T_StockCount[WeekIndex],55)&gt;0,0,IF(('T_TTAFStock'!BD31&lt;&gt;""),'T_TTAFStock'!BD31,BC27+'Grid_Incoming'!BD27-'Grid_TTAFOutgoing'!BD27))</f>
        <v/>
      </c>
      <c r="BE27">
        <f>IF(COUNTIFS(T_StockCount[Part Name],$A27,T_StockCount[WeekIndex],56)&gt;0,0,IF(('T_TTAFStock'!BE31&lt;&gt;""),'T_TTAFStock'!BE31,BD27+'Grid_Incoming'!BE27-'Grid_TTAFOutgoing'!BE27))</f>
        <v/>
      </c>
      <c r="BF27">
        <f>IF(COUNTIFS(T_StockCount[Part Name],$A27,T_StockCount[WeekIndex],57)&gt;0,0,IF(('T_TTAFStock'!BF31&lt;&gt;""),'T_TTAFStock'!BF31,BE27+'Grid_Incoming'!BF27-'Grid_TTAFOutgoing'!BF27))</f>
        <v/>
      </c>
      <c r="BG27">
        <f>IF(COUNTIFS(T_StockCount[Part Name],$A27,T_StockCount[WeekIndex],58)&gt;0,0,IF(('T_TTAFStock'!BG31&lt;&gt;""),'T_TTAFStock'!BG31,BF27+'Grid_Incoming'!BG27-'Grid_TTAFOutgoing'!BG27))</f>
        <v/>
      </c>
      <c r="BH27">
        <f>IF(COUNTIFS(T_StockCount[Part Name],$A27,T_StockCount[WeekIndex],59)&gt;0,0,IF(('T_TTAFStock'!BH31&lt;&gt;""),'T_TTAFStock'!BH31,BG27+'Grid_Incoming'!BH27-'Grid_TTAFOutgoing'!BH27))</f>
        <v/>
      </c>
      <c r="BI27">
        <f>IF(COUNTIFS(T_StockCount[Part Name],$A27,T_StockCount[WeekIndex],60)&gt;0,0,IF(('T_TTAFStock'!BI31&lt;&gt;""),'T_TTAFStock'!BI31,BH27+'Grid_Incoming'!BI27-'Grid_TTAFOutgoing'!BI27))</f>
        <v/>
      </c>
      <c r="BJ27">
        <f>IF(COUNTIFS(T_StockCount[Part Name],$A27,T_StockCount[WeekIndex],61)&gt;0,0,IF(('T_TTAFStock'!BJ31&lt;&gt;""),'T_TTAFStock'!BJ31,BI27+'Grid_Incoming'!BJ27-'Grid_TTAFOutgoing'!BJ27))</f>
        <v/>
      </c>
      <c r="BK27">
        <f>IF(COUNTIFS(T_StockCount[Part Name],$A27,T_StockCount[WeekIndex],62)&gt;0,0,IF(('T_TTAFStock'!BK31&lt;&gt;""),'T_TTAFStock'!BK31,BJ27+'Grid_Incoming'!BK27-'Grid_TTAFOutgoing'!BK27))</f>
        <v/>
      </c>
      <c r="BL27">
        <f>IF(COUNTIFS(T_StockCount[Part Name],$A27,T_StockCount[WeekIndex],63)&gt;0,0,IF(('T_TTAFStock'!BL31&lt;&gt;""),'T_TTAFStock'!BL31,BK27+'Grid_Incoming'!BL27-'Grid_TTAFOutgoing'!BL27))</f>
        <v/>
      </c>
      <c r="BM27">
        <f>IF(COUNTIFS(T_StockCount[Part Name],$A27,T_StockCount[WeekIndex],64)&gt;0,0,IF(('T_TTAFStock'!BM31&lt;&gt;""),'T_TTAFStock'!BM31,BL27+'Grid_Incoming'!BM27-'Grid_TTAFOutgoing'!BM27))</f>
        <v/>
      </c>
      <c r="BN27">
        <f>IF(COUNTIFS(T_StockCount[Part Name],$A27,T_StockCount[WeekIndex],65)&gt;0,0,IF(('T_TTAFStock'!BN31&lt;&gt;""),'T_TTAFStock'!BN31,BM27+'Grid_Incoming'!BN27-'Grid_TTAFOutgoing'!BN27))</f>
        <v/>
      </c>
      <c r="BO27">
        <f>IF(COUNTIFS(T_StockCount[Part Name],$A27,T_StockCount[WeekIndex],66)&gt;0,0,IF(('T_TTAFStock'!BO31&lt;&gt;""),'T_TTAFStock'!BO31,BN27+'Grid_Incoming'!BO27-'Grid_TTAFOutgoing'!BO27))</f>
        <v/>
      </c>
      <c r="BP27">
        <f>IF(COUNTIFS(T_StockCount[Part Name],$A27,T_StockCount[WeekIndex],67)&gt;0,0,IF(('T_TTAFStock'!BP31&lt;&gt;""),'T_TTAFStock'!BP31,BO27+'Grid_Incoming'!BP27-'Grid_TTAFOutgoing'!BP27))</f>
        <v/>
      </c>
      <c r="BQ27">
        <f>IF(COUNTIFS(T_StockCount[Part Name],$A27,T_StockCount[WeekIndex],68)&gt;0,0,IF(('T_TTAFStock'!BQ31&lt;&gt;""),'T_TTAFStock'!BQ31,BP27+'Grid_Incoming'!BQ27-'Grid_TTAFOutgoing'!BQ27))</f>
        <v/>
      </c>
      <c r="BR27">
        <f>IF(COUNTIFS(T_StockCount[Part Name],$A27,T_StockCount[WeekIndex],69)&gt;0,0,IF(('T_TTAFStock'!BR31&lt;&gt;""),'T_TTAFStock'!BR31,BQ27+'Grid_Incoming'!BR27-'Grid_TTAFOutgoing'!BR27))</f>
        <v/>
      </c>
      <c r="BS27">
        <f>IF(COUNTIFS(T_StockCount[Part Name],$A27,T_StockCount[WeekIndex],70)&gt;0,0,IF(('T_TTAFStock'!BS31&lt;&gt;""),'T_TTAFStock'!BS31,BR27+'Grid_Incoming'!BS27-'Grid_TTAFOutgoing'!BS27))</f>
        <v/>
      </c>
      <c r="BT27">
        <f>IF(COUNTIFS(T_StockCount[Part Name],$A27,T_StockCount[WeekIndex],71)&gt;0,0,IF(('T_TTAFStock'!BT31&lt;&gt;""),'T_TTAFStock'!BT31,BS27+'Grid_Incoming'!BT27-'Grid_TTAFOutgoing'!BT27))</f>
        <v/>
      </c>
      <c r="BU27">
        <f>IF(COUNTIFS(T_StockCount[Part Name],$A27,T_StockCount[WeekIndex],72)&gt;0,0,IF(('T_TTAFStock'!BU31&lt;&gt;""),'T_TTAFStock'!BU31,BT27+'Grid_Incoming'!BU27-'Grid_TTAFOutgoing'!BU27))</f>
        <v/>
      </c>
      <c r="BV27">
        <f>IF(COUNTIFS(T_StockCount[Part Name],$A27,T_StockCount[WeekIndex],73)&gt;0,0,IF(('T_TTAFStock'!BV31&lt;&gt;""),'T_TTAFStock'!BV31,BU27+'Grid_Incoming'!BV27-'Grid_TTAFOutgoing'!BV27))</f>
        <v/>
      </c>
      <c r="BW27">
        <f>IF(COUNTIFS(T_StockCount[Part Name],$A27,T_StockCount[WeekIndex],74)&gt;0,0,IF(('T_TTAFStock'!BW31&lt;&gt;""),'T_TTAFStock'!BW31,BV27+'Grid_Incoming'!BW27-'Grid_TTAFOutgoing'!BW27))</f>
        <v/>
      </c>
      <c r="BX27">
        <f>IF(COUNTIFS(T_StockCount[Part Name],$A27,T_StockCount[WeekIndex],75)&gt;0,0,IF(('T_TTAFStock'!BX31&lt;&gt;""),'T_TTAFStock'!BX31,BW27+'Grid_Incoming'!BX27-'Grid_TTAFOutgoing'!BX27))</f>
        <v/>
      </c>
      <c r="BY27">
        <f>IF(COUNTIFS(T_StockCount[Part Name],$A27,T_StockCount[WeekIndex],76)&gt;0,0,IF(('T_TTAFStock'!BY31&lt;&gt;""),'T_TTAFStock'!BY31,BX27+'Grid_Incoming'!BY27-'Grid_TTAFOutgoing'!BY27))</f>
        <v/>
      </c>
      <c r="BZ27">
        <f>IF(COUNTIFS(T_StockCount[Part Name],$A27,T_StockCount[WeekIndex],77)&gt;0,0,IF(('T_TTAFStock'!BZ31&lt;&gt;""),'T_TTAFStock'!BZ31,BY27+'Grid_Incoming'!BZ27-'Grid_TTAFOutgoing'!BZ27))</f>
        <v/>
      </c>
      <c r="CA27">
        <f>IF(COUNTIFS(T_StockCount[Part Name],$A27,T_StockCount[WeekIndex],78)&gt;0,0,IF(('T_TTAFStock'!CA31&lt;&gt;""),'T_TTAFStock'!CA31,BZ27+'Grid_Incoming'!CA27-'Grid_TTAFOutgoing'!CA27))</f>
        <v/>
      </c>
      <c r="CB27">
        <f>IF(COUNTIFS(T_StockCount[Part Name],$A27,T_StockCount[WeekIndex],79)&gt;0,0,IF(('T_TTAFStock'!CB31&lt;&gt;""),'T_TTAFStock'!CB31,CA27+'Grid_Incoming'!CB27-'Grid_TTAFOutgoing'!CB27))</f>
        <v/>
      </c>
      <c r="CC27">
        <f>IF(COUNTIFS(T_StockCount[Part Name],$A27,T_StockCount[WeekIndex],80)&gt;0,0,IF(('T_TTAFStock'!CC31&lt;&gt;""),'T_TTAFStock'!CC31,CB27+'Grid_Incoming'!CC27-'Grid_TTAFOutgoing'!CC27))</f>
        <v/>
      </c>
      <c r="CD27">
        <f>IF(COUNTIFS(T_StockCount[Part Name],$A27,T_StockCount[WeekIndex],81)&gt;0,0,IF(('T_TTAFStock'!CD31&lt;&gt;""),'T_TTAFStock'!CD31,CC27+'Grid_Incoming'!CD27-'Grid_TTAFOutgoing'!CD27))</f>
        <v/>
      </c>
      <c r="CE27">
        <f>IF(COUNTIFS(T_StockCount[Part Name],$A27,T_StockCount[WeekIndex],82)&gt;0,0,IF(('T_TTAFStock'!CE31&lt;&gt;""),'T_TTAFStock'!CE31,CD27+'Grid_Incoming'!CE27-'Grid_TTAFOutgoing'!CE27))</f>
        <v/>
      </c>
      <c r="CF27">
        <f>IF(COUNTIFS(T_StockCount[Part Name],$A27,T_StockCount[WeekIndex],83)&gt;0,0,IF(('T_TTAFStock'!CF31&lt;&gt;""),'T_TTAFStock'!CF31,CE27+'Grid_Incoming'!CF27-'Grid_TTAFOutgoing'!CF27))</f>
        <v/>
      </c>
      <c r="CG27">
        <f>IF(COUNTIFS(T_StockCount[Part Name],$A27,T_StockCount[WeekIndex],84)&gt;0,0,IF(('T_TTAFStock'!CG31&lt;&gt;""),'T_TTAFStock'!CG31,CF27+'Grid_Incoming'!CG27-'Grid_TTAFOutgoing'!CG27))</f>
        <v/>
      </c>
      <c r="CH27">
        <f>IF(COUNTIFS(T_StockCount[Part Name],$A27,T_StockCount[WeekIndex],85)&gt;0,0,IF(('T_TTAFStock'!CH31&lt;&gt;""),'T_TTAFStock'!CH31,CG27+'Grid_Incoming'!CH27-'Grid_TTAFOutgoing'!CH27))</f>
        <v/>
      </c>
      <c r="CI27">
        <f>IF(COUNTIFS(T_StockCount[Part Name],$A27,T_StockCount[WeekIndex],86)&gt;0,0,IF(('T_TTAFStock'!CI31&lt;&gt;""),'T_TTAFStock'!CI31,CH27+'Grid_Incoming'!CI27-'Grid_TTAFOutgoing'!CI27))</f>
        <v/>
      </c>
      <c r="CJ27">
        <f>IF(COUNTIFS(T_StockCount[Part Name],$A27,T_StockCount[WeekIndex],87)&gt;0,0,IF(('T_TTAFStock'!CJ31&lt;&gt;""),'T_TTAFStock'!CJ31,CI27+'Grid_Incoming'!CJ27-'Grid_TTAFOutgoing'!CJ27))</f>
        <v/>
      </c>
      <c r="CK27">
        <f>IF(COUNTIFS(T_StockCount[Part Name],$A27,T_StockCount[WeekIndex],88)&gt;0,0,IF(('T_TTAFStock'!CK31&lt;&gt;""),'T_TTAFStock'!CK31,CJ27+'Grid_Incoming'!CK27-'Grid_TTAFOutgoing'!CK27))</f>
        <v/>
      </c>
      <c r="CL27">
        <f>IF(COUNTIFS(T_StockCount[Part Name],$A27,T_StockCount[WeekIndex],89)&gt;0,0,IF(('T_TTAFStock'!CL31&lt;&gt;""),'T_TTAFStock'!CL31,CK27+'Grid_Incoming'!CL27-'Grid_TTAFOutgoing'!CL27))</f>
        <v/>
      </c>
      <c r="CM27">
        <f>IF(COUNTIFS(T_StockCount[Part Name],$A27,T_StockCount[WeekIndex],90)&gt;0,0,IF(('T_TTAFStock'!CM31&lt;&gt;""),'T_TTAFStock'!CM31,CL27+'Grid_Incoming'!CM27-'Grid_TTAFOutgoing'!CM27))</f>
        <v/>
      </c>
      <c r="CN27">
        <f>IF(COUNTIFS(T_StockCount[Part Name],$A27,T_StockCount[WeekIndex],91)&gt;0,0,IF(('T_TTAFStock'!CN31&lt;&gt;""),'T_TTAFStock'!CN31,CM27+'Grid_Incoming'!CN27-'Grid_TTAFOutgoing'!CN27))</f>
        <v/>
      </c>
      <c r="CO27">
        <f>IF(COUNTIFS(T_StockCount[Part Name],$A27,T_StockCount[WeekIndex],92)&gt;0,0,IF(('T_TTAFStock'!CO31&lt;&gt;""),'T_TTAFStock'!CO31,CN27+'Grid_Incoming'!CO27-'Grid_TTAFOutgoing'!CO27))</f>
        <v/>
      </c>
      <c r="CP27">
        <f>IF(COUNTIFS(T_StockCount[Part Name],$A27,T_StockCount[WeekIndex],93)&gt;0,0,IF(('T_TTAFStock'!CP31&lt;&gt;""),'T_TTAFStock'!CP31,CO27+'Grid_Incoming'!CP27-'Grid_TTAFOutgoing'!CP27))</f>
        <v/>
      </c>
      <c r="CQ27">
        <f>IF(COUNTIFS(T_StockCount[Part Name],$A27,T_StockCount[WeekIndex],94)&gt;0,0,IF(('T_TTAFStock'!CQ31&lt;&gt;""),'T_TTAFStock'!CQ31,CP27+'Grid_Incoming'!CQ27-'Grid_TTAFOutgoing'!CQ27))</f>
        <v/>
      </c>
      <c r="CR27">
        <f>IF(COUNTIFS(T_StockCount[Part Name],$A27,T_StockCount[WeekIndex],95)&gt;0,0,IF(('T_TTAFStock'!CR31&lt;&gt;""),'T_TTAFStock'!CR31,CQ27+'Grid_Incoming'!CR27-'Grid_TTAFOutgoing'!CR27))</f>
        <v/>
      </c>
      <c r="CS27">
        <f>IF(COUNTIFS(T_StockCount[Part Name],$A27,T_StockCount[WeekIndex],96)&gt;0,0,IF(('T_TTAFStock'!CS31&lt;&gt;""),'T_TTAFStock'!CS31,CR27+'Grid_Incoming'!CS27-'Grid_TTAFOutgoing'!CS27))</f>
        <v/>
      </c>
      <c r="CT27">
        <f>IF(COUNTIFS(T_StockCount[Part Name],$A27,T_StockCount[WeekIndex],97)&gt;0,0,IF(('T_TTAFStock'!CT31&lt;&gt;""),'T_TTAFStock'!CT31,CS27+'Grid_Incoming'!CT27-'Grid_TTAFOutgoing'!CT27))</f>
        <v/>
      </c>
      <c r="CU27">
        <f>IF(COUNTIFS(T_StockCount[Part Name],$A27,T_StockCount[WeekIndex],98)&gt;0,0,IF(('T_TTAFStock'!CU31&lt;&gt;""),'T_TTAFStock'!CU31,CT27+'Grid_Incoming'!CU27-'Grid_TTAFOutgoing'!CU27))</f>
        <v/>
      </c>
      <c r="CV27">
        <f>IF(COUNTIFS(T_StockCount[Part Name],$A27,T_StockCount[WeekIndex],99)&gt;0,0,IF(('T_TTAFStock'!CV31&lt;&gt;""),'T_TTAFStock'!CV31,CU27+'Grid_Incoming'!CV27-'Grid_TTAFOutgoing'!CV27))</f>
        <v/>
      </c>
      <c r="CW27">
        <f>IF(COUNTIFS(T_StockCount[Part Name],$A27,T_StockCount[WeekIndex],100)&gt;0,0,IF(('T_TTAFStock'!CW31&lt;&gt;""),'T_TTAFStock'!CW31,CV27+'Grid_Incoming'!CW27-'Grid_TTAFOutgoing'!CW27))</f>
        <v/>
      </c>
      <c r="CX27">
        <f>IF(COUNTIFS(T_StockCount[Part Name],$A27,T_StockCount[WeekIndex],101)&gt;0,0,IF(('T_TTAFStock'!CX31&lt;&gt;""),'T_TTAFStock'!CX31,CW27+'Grid_Incoming'!CX27-'Grid_TTAFOutgoing'!CX27))</f>
        <v/>
      </c>
      <c r="CY27">
        <f>IF(COUNTIFS(T_StockCount[Part Name],$A27,T_StockCount[WeekIndex],102)&gt;0,0,IF(('T_TTAFStock'!CY31&lt;&gt;""),'T_TTAFStock'!CY31,CX27+'Grid_Incoming'!CY27-'Grid_TTAFOutgoing'!CY27))</f>
        <v/>
      </c>
      <c r="CZ27">
        <f>IF(COUNTIFS(T_StockCount[Part Name],$A27,T_StockCount[WeekIndex],103)&gt;0,0,IF(('T_TTAFStock'!CZ31&lt;&gt;""),'T_TTAFStock'!CZ31,CY27+'Grid_Incoming'!CZ27-'Grid_TTAFOutgoing'!CZ27))</f>
        <v/>
      </c>
      <c r="DA27">
        <f>IF(COUNTIFS(T_StockCount[Part Name],$A27,T_StockCount[WeekIndex],104)&gt;0,0,IF(('T_TTAFStock'!DA31&lt;&gt;""),'T_TTAFStock'!DA31,CZ27+'Grid_Incoming'!DA27-'Grid_TTAFOutgoing'!DA27))</f>
        <v/>
      </c>
    </row>
    <row r="28">
      <c r="A28" t="inlineStr">
        <is>
          <t>CHEM-1820</t>
        </is>
      </c>
      <c r="B28">
        <f>IF(COUNTIFS(T_StockCount[Part Name],$A28,T_StockCount[WeekIndex],1)&gt;0,0,IF(('T_TTAFStock'!B32&lt;&gt;""),'T_TTAFStock'!B32,0+'Grid_Incoming'!B28-'Grid_TTAFOutgoing'!B28))</f>
        <v/>
      </c>
      <c r="C28">
        <f>IF(COUNTIFS(T_StockCount[Part Name],$A28,T_StockCount[WeekIndex],2)&gt;0,0,IF(('T_TTAFStock'!C32&lt;&gt;""),'T_TTAFStock'!C32,B28+'Grid_Incoming'!C28-'Grid_TTAFOutgoing'!C28))</f>
        <v/>
      </c>
      <c r="D28">
        <f>IF(COUNTIFS(T_StockCount[Part Name],$A28,T_StockCount[WeekIndex],3)&gt;0,0,IF(('T_TTAFStock'!D32&lt;&gt;""),'T_TTAFStock'!D32,C28+'Grid_Incoming'!D28-'Grid_TTAFOutgoing'!D28))</f>
        <v/>
      </c>
      <c r="E28">
        <f>IF(COUNTIFS(T_StockCount[Part Name],$A28,T_StockCount[WeekIndex],4)&gt;0,0,IF(('T_TTAFStock'!E32&lt;&gt;""),'T_TTAFStock'!E32,D28+'Grid_Incoming'!E28-'Grid_TTAFOutgoing'!E28))</f>
        <v/>
      </c>
      <c r="F28">
        <f>IF(COUNTIFS(T_StockCount[Part Name],$A28,T_StockCount[WeekIndex],5)&gt;0,0,IF(('T_TTAFStock'!F32&lt;&gt;""),'T_TTAFStock'!F32,E28+'Grid_Incoming'!F28-'Grid_TTAFOutgoing'!F28))</f>
        <v/>
      </c>
      <c r="G28">
        <f>IF(COUNTIFS(T_StockCount[Part Name],$A28,T_StockCount[WeekIndex],6)&gt;0,0,IF(('T_TTAFStock'!G32&lt;&gt;""),'T_TTAFStock'!G32,F28+'Grid_Incoming'!G28-'Grid_TTAFOutgoing'!G28))</f>
        <v/>
      </c>
      <c r="H28">
        <f>IF(COUNTIFS(T_StockCount[Part Name],$A28,T_StockCount[WeekIndex],7)&gt;0,0,IF(('T_TTAFStock'!H32&lt;&gt;""),'T_TTAFStock'!H32,G28+'Grid_Incoming'!H28-'Grid_TTAFOutgoing'!H28))</f>
        <v/>
      </c>
      <c r="I28">
        <f>IF(COUNTIFS(T_StockCount[Part Name],$A28,T_StockCount[WeekIndex],8)&gt;0,0,IF(('T_TTAFStock'!I32&lt;&gt;""),'T_TTAFStock'!I32,H28+'Grid_Incoming'!I28-'Grid_TTAFOutgoing'!I28))</f>
        <v/>
      </c>
      <c r="J28">
        <f>IF(COUNTIFS(T_StockCount[Part Name],$A28,T_StockCount[WeekIndex],9)&gt;0,0,IF(('T_TTAFStock'!J32&lt;&gt;""),'T_TTAFStock'!J32,I28+'Grid_Incoming'!J28-'Grid_TTAFOutgoing'!J28))</f>
        <v/>
      </c>
      <c r="K28">
        <f>IF(COUNTIFS(T_StockCount[Part Name],$A28,T_StockCount[WeekIndex],10)&gt;0,0,IF(('T_TTAFStock'!K32&lt;&gt;""),'T_TTAFStock'!K32,J28+'Grid_Incoming'!K28-'Grid_TTAFOutgoing'!K28))</f>
        <v/>
      </c>
      <c r="L28">
        <f>IF(COUNTIFS(T_StockCount[Part Name],$A28,T_StockCount[WeekIndex],11)&gt;0,0,IF(('T_TTAFStock'!L32&lt;&gt;""),'T_TTAFStock'!L32,K28+'Grid_Incoming'!L28-'Grid_TTAFOutgoing'!L28))</f>
        <v/>
      </c>
      <c r="M28">
        <f>IF(COUNTIFS(T_StockCount[Part Name],$A28,T_StockCount[WeekIndex],12)&gt;0,0,IF(('T_TTAFStock'!M32&lt;&gt;""),'T_TTAFStock'!M32,L28+'Grid_Incoming'!M28-'Grid_TTAFOutgoing'!M28))</f>
        <v/>
      </c>
      <c r="N28">
        <f>IF(COUNTIFS(T_StockCount[Part Name],$A28,T_StockCount[WeekIndex],13)&gt;0,0,IF(('T_TTAFStock'!N32&lt;&gt;""),'T_TTAFStock'!N32,M28+'Grid_Incoming'!N28-'Grid_TTAFOutgoing'!N28))</f>
        <v/>
      </c>
      <c r="O28">
        <f>IF(COUNTIFS(T_StockCount[Part Name],$A28,T_StockCount[WeekIndex],14)&gt;0,0,IF(('T_TTAFStock'!O32&lt;&gt;""),'T_TTAFStock'!O32,N28+'Grid_Incoming'!O28-'Grid_TTAFOutgoing'!O28))</f>
        <v/>
      </c>
      <c r="P28">
        <f>IF(COUNTIFS(T_StockCount[Part Name],$A28,T_StockCount[WeekIndex],15)&gt;0,0,IF(('T_TTAFStock'!P32&lt;&gt;""),'T_TTAFStock'!P32,O28+'Grid_Incoming'!P28-'Grid_TTAFOutgoing'!P28))</f>
        <v/>
      </c>
      <c r="Q28">
        <f>IF(COUNTIFS(T_StockCount[Part Name],$A28,T_StockCount[WeekIndex],16)&gt;0,0,IF(('T_TTAFStock'!Q32&lt;&gt;""),'T_TTAFStock'!Q32,P28+'Grid_Incoming'!Q28-'Grid_TTAFOutgoing'!Q28))</f>
        <v/>
      </c>
      <c r="R28">
        <f>IF(COUNTIFS(T_StockCount[Part Name],$A28,T_StockCount[WeekIndex],17)&gt;0,0,IF(('T_TTAFStock'!R32&lt;&gt;""),'T_TTAFStock'!R32,Q28+'Grid_Incoming'!R28-'Grid_TTAFOutgoing'!R28))</f>
        <v/>
      </c>
      <c r="S28">
        <f>IF(COUNTIFS(T_StockCount[Part Name],$A28,T_StockCount[WeekIndex],18)&gt;0,0,IF(('T_TTAFStock'!S32&lt;&gt;""),'T_TTAFStock'!S32,R28+'Grid_Incoming'!S28-'Grid_TTAFOutgoing'!S28))</f>
        <v/>
      </c>
      <c r="T28">
        <f>IF(COUNTIFS(T_StockCount[Part Name],$A28,T_StockCount[WeekIndex],19)&gt;0,0,IF(('T_TTAFStock'!T32&lt;&gt;""),'T_TTAFStock'!T32,S28+'Grid_Incoming'!T28-'Grid_TTAFOutgoing'!T28))</f>
        <v/>
      </c>
      <c r="U28">
        <f>IF(COUNTIFS(T_StockCount[Part Name],$A28,T_StockCount[WeekIndex],20)&gt;0,0,IF(('T_TTAFStock'!U32&lt;&gt;""),'T_TTAFStock'!U32,T28+'Grid_Incoming'!U28-'Grid_TTAFOutgoing'!U28))</f>
        <v/>
      </c>
      <c r="V28">
        <f>IF(COUNTIFS(T_StockCount[Part Name],$A28,T_StockCount[WeekIndex],21)&gt;0,0,IF(('T_TTAFStock'!V32&lt;&gt;""),'T_TTAFStock'!V32,U28+'Grid_Incoming'!V28-'Grid_TTAFOutgoing'!V28))</f>
        <v/>
      </c>
      <c r="W28">
        <f>IF(COUNTIFS(T_StockCount[Part Name],$A28,T_StockCount[WeekIndex],22)&gt;0,0,IF(('T_TTAFStock'!W32&lt;&gt;""),'T_TTAFStock'!W32,V28+'Grid_Incoming'!W28-'Grid_TTAFOutgoing'!W28))</f>
        <v/>
      </c>
      <c r="X28">
        <f>IF(COUNTIFS(T_StockCount[Part Name],$A28,T_StockCount[WeekIndex],23)&gt;0,0,IF(('T_TTAFStock'!X32&lt;&gt;""),'T_TTAFStock'!X32,W28+'Grid_Incoming'!X28-'Grid_TTAFOutgoing'!X28))</f>
        <v/>
      </c>
      <c r="Y28">
        <f>IF(COUNTIFS(T_StockCount[Part Name],$A28,T_StockCount[WeekIndex],24)&gt;0,0,IF(('T_TTAFStock'!Y32&lt;&gt;""),'T_TTAFStock'!Y32,X28+'Grid_Incoming'!Y28-'Grid_TTAFOutgoing'!Y28))</f>
        <v/>
      </c>
      <c r="Z28">
        <f>IF(COUNTIFS(T_StockCount[Part Name],$A28,T_StockCount[WeekIndex],25)&gt;0,0,IF(('T_TTAFStock'!Z32&lt;&gt;""),'T_TTAFStock'!Z32,Y28+'Grid_Incoming'!Z28-'Grid_TTAFOutgoing'!Z28))</f>
        <v/>
      </c>
      <c r="AA28">
        <f>IF(COUNTIFS(T_StockCount[Part Name],$A28,T_StockCount[WeekIndex],26)&gt;0,0,IF(('T_TTAFStock'!AA32&lt;&gt;""),'T_TTAFStock'!AA32,Z28+'Grid_Incoming'!AA28-'Grid_TTAFOutgoing'!AA28))</f>
        <v/>
      </c>
      <c r="AB28">
        <f>IF(COUNTIFS(T_StockCount[Part Name],$A28,T_StockCount[WeekIndex],27)&gt;0,0,IF(('T_TTAFStock'!AB32&lt;&gt;""),'T_TTAFStock'!AB32,AA28+'Grid_Incoming'!AB28-'Grid_TTAFOutgoing'!AB28))</f>
        <v/>
      </c>
      <c r="AC28">
        <f>IF(COUNTIFS(T_StockCount[Part Name],$A28,T_StockCount[WeekIndex],28)&gt;0,0,IF(('T_TTAFStock'!AC32&lt;&gt;""),'T_TTAFStock'!AC32,AB28+'Grid_Incoming'!AC28-'Grid_TTAFOutgoing'!AC28))</f>
        <v/>
      </c>
      <c r="AD28">
        <f>IF(COUNTIFS(T_StockCount[Part Name],$A28,T_StockCount[WeekIndex],29)&gt;0,0,IF(('T_TTAFStock'!AD32&lt;&gt;""),'T_TTAFStock'!AD32,AC28+'Grid_Incoming'!AD28-'Grid_TTAFOutgoing'!AD28))</f>
        <v/>
      </c>
      <c r="AE28">
        <f>IF(COUNTIFS(T_StockCount[Part Name],$A28,T_StockCount[WeekIndex],30)&gt;0,0,IF(('T_TTAFStock'!AE32&lt;&gt;""),'T_TTAFStock'!AE32,AD28+'Grid_Incoming'!AE28-'Grid_TTAFOutgoing'!AE28))</f>
        <v/>
      </c>
      <c r="AF28">
        <f>IF(COUNTIFS(T_StockCount[Part Name],$A28,T_StockCount[WeekIndex],31)&gt;0,0,IF(('T_TTAFStock'!AF32&lt;&gt;""),'T_TTAFStock'!AF32,AE28+'Grid_Incoming'!AF28-'Grid_TTAFOutgoing'!AF28))</f>
        <v/>
      </c>
      <c r="AG28">
        <f>IF(COUNTIFS(T_StockCount[Part Name],$A28,T_StockCount[WeekIndex],32)&gt;0,0,IF(('T_TTAFStock'!AG32&lt;&gt;""),'T_TTAFStock'!AG32,AF28+'Grid_Incoming'!AG28-'Grid_TTAFOutgoing'!AG28))</f>
        <v/>
      </c>
      <c r="AH28">
        <f>IF(COUNTIFS(T_StockCount[Part Name],$A28,T_StockCount[WeekIndex],33)&gt;0,0,IF(('T_TTAFStock'!AH32&lt;&gt;""),'T_TTAFStock'!AH32,AG28+'Grid_Incoming'!AH28-'Grid_TTAFOutgoing'!AH28))</f>
        <v/>
      </c>
      <c r="AI28">
        <f>IF(COUNTIFS(T_StockCount[Part Name],$A28,T_StockCount[WeekIndex],34)&gt;0,0,IF(('T_TTAFStock'!AI32&lt;&gt;""),'T_TTAFStock'!AI32,AH28+'Grid_Incoming'!AI28-'Grid_TTAFOutgoing'!AI28))</f>
        <v/>
      </c>
      <c r="AJ28">
        <f>IF(COUNTIFS(T_StockCount[Part Name],$A28,T_StockCount[WeekIndex],35)&gt;0,0,IF(('T_TTAFStock'!AJ32&lt;&gt;""),'T_TTAFStock'!AJ32,AI28+'Grid_Incoming'!AJ28-'Grid_TTAFOutgoing'!AJ28))</f>
        <v/>
      </c>
      <c r="AK28">
        <f>IF(COUNTIFS(T_StockCount[Part Name],$A28,T_StockCount[WeekIndex],36)&gt;0,0,IF(('T_TTAFStock'!AK32&lt;&gt;""),'T_TTAFStock'!AK32,AJ28+'Grid_Incoming'!AK28-'Grid_TTAFOutgoing'!AK28))</f>
        <v/>
      </c>
      <c r="AL28">
        <f>IF(COUNTIFS(T_StockCount[Part Name],$A28,T_StockCount[WeekIndex],37)&gt;0,0,IF(('T_TTAFStock'!AL32&lt;&gt;""),'T_TTAFStock'!AL32,AK28+'Grid_Incoming'!AL28-'Grid_TTAFOutgoing'!AL28))</f>
        <v/>
      </c>
      <c r="AM28">
        <f>IF(COUNTIFS(T_StockCount[Part Name],$A28,T_StockCount[WeekIndex],38)&gt;0,0,IF(('T_TTAFStock'!AM32&lt;&gt;""),'T_TTAFStock'!AM32,AL28+'Grid_Incoming'!AM28-'Grid_TTAFOutgoing'!AM28))</f>
        <v/>
      </c>
      <c r="AN28">
        <f>IF(COUNTIFS(T_StockCount[Part Name],$A28,T_StockCount[WeekIndex],39)&gt;0,0,IF(('T_TTAFStock'!AN32&lt;&gt;""),'T_TTAFStock'!AN32,AM28+'Grid_Incoming'!AN28-'Grid_TTAFOutgoing'!AN28))</f>
        <v/>
      </c>
      <c r="AO28">
        <f>IF(COUNTIFS(T_StockCount[Part Name],$A28,T_StockCount[WeekIndex],40)&gt;0,0,IF(('T_TTAFStock'!AO32&lt;&gt;""),'T_TTAFStock'!AO32,AN28+'Grid_Incoming'!AO28-'Grid_TTAFOutgoing'!AO28))</f>
        <v/>
      </c>
      <c r="AP28">
        <f>IF(COUNTIFS(T_StockCount[Part Name],$A28,T_StockCount[WeekIndex],41)&gt;0,0,IF(('T_TTAFStock'!AP32&lt;&gt;""),'T_TTAFStock'!AP32,AO28+'Grid_Incoming'!AP28-'Grid_TTAFOutgoing'!AP28))</f>
        <v/>
      </c>
      <c r="AQ28">
        <f>IF(COUNTIFS(T_StockCount[Part Name],$A28,T_StockCount[WeekIndex],42)&gt;0,0,IF(('T_TTAFStock'!AQ32&lt;&gt;""),'T_TTAFStock'!AQ32,AP28+'Grid_Incoming'!AQ28-'Grid_TTAFOutgoing'!AQ28))</f>
        <v/>
      </c>
      <c r="AR28">
        <f>IF(COUNTIFS(T_StockCount[Part Name],$A28,T_StockCount[WeekIndex],43)&gt;0,0,IF(('T_TTAFStock'!AR32&lt;&gt;""),'T_TTAFStock'!AR32,AQ28+'Grid_Incoming'!AR28-'Grid_TTAFOutgoing'!AR28))</f>
        <v/>
      </c>
      <c r="AS28">
        <f>IF(COUNTIFS(T_StockCount[Part Name],$A28,T_StockCount[WeekIndex],44)&gt;0,0,IF(('T_TTAFStock'!AS32&lt;&gt;""),'T_TTAFStock'!AS32,AR28+'Grid_Incoming'!AS28-'Grid_TTAFOutgoing'!AS28))</f>
        <v/>
      </c>
      <c r="AT28">
        <f>IF(COUNTIFS(T_StockCount[Part Name],$A28,T_StockCount[WeekIndex],45)&gt;0,0,IF(('T_TTAFStock'!AT32&lt;&gt;""),'T_TTAFStock'!AT32,AS28+'Grid_Incoming'!AT28-'Grid_TTAFOutgoing'!AT28))</f>
        <v/>
      </c>
      <c r="AU28">
        <f>IF(COUNTIFS(T_StockCount[Part Name],$A28,T_StockCount[WeekIndex],46)&gt;0,0,IF(('T_TTAFStock'!AU32&lt;&gt;""),'T_TTAFStock'!AU32,AT28+'Grid_Incoming'!AU28-'Grid_TTAFOutgoing'!AU28))</f>
        <v/>
      </c>
      <c r="AV28">
        <f>IF(COUNTIFS(T_StockCount[Part Name],$A28,T_StockCount[WeekIndex],47)&gt;0,0,IF(('T_TTAFStock'!AV32&lt;&gt;""),'T_TTAFStock'!AV32,AU28+'Grid_Incoming'!AV28-'Grid_TTAFOutgoing'!AV28))</f>
        <v/>
      </c>
      <c r="AW28">
        <f>IF(COUNTIFS(T_StockCount[Part Name],$A28,T_StockCount[WeekIndex],48)&gt;0,0,IF(('T_TTAFStock'!AW32&lt;&gt;""),'T_TTAFStock'!AW32,AV28+'Grid_Incoming'!AW28-'Grid_TTAFOutgoing'!AW28))</f>
        <v/>
      </c>
      <c r="AX28">
        <f>IF(COUNTIFS(T_StockCount[Part Name],$A28,T_StockCount[WeekIndex],49)&gt;0,0,IF(('T_TTAFStock'!AX32&lt;&gt;""),'T_TTAFStock'!AX32,AW28+'Grid_Incoming'!AX28-'Grid_TTAFOutgoing'!AX28))</f>
        <v/>
      </c>
      <c r="AY28">
        <f>IF(COUNTIFS(T_StockCount[Part Name],$A28,T_StockCount[WeekIndex],50)&gt;0,0,IF(('T_TTAFStock'!AY32&lt;&gt;""),'T_TTAFStock'!AY32,AX28+'Grid_Incoming'!AY28-'Grid_TTAFOutgoing'!AY28))</f>
        <v/>
      </c>
      <c r="AZ28">
        <f>IF(COUNTIFS(T_StockCount[Part Name],$A28,T_StockCount[WeekIndex],51)&gt;0,0,IF(('T_TTAFStock'!AZ32&lt;&gt;""),'T_TTAFStock'!AZ32,AY28+'Grid_Incoming'!AZ28-'Grid_TTAFOutgoing'!AZ28))</f>
        <v/>
      </c>
      <c r="BA28">
        <f>IF(COUNTIFS(T_StockCount[Part Name],$A28,T_StockCount[WeekIndex],52)&gt;0,0,IF(('T_TTAFStock'!BA32&lt;&gt;""),'T_TTAFStock'!BA32,AZ28+'Grid_Incoming'!BA28-'Grid_TTAFOutgoing'!BA28))</f>
        <v/>
      </c>
      <c r="BB28">
        <f>IF(COUNTIFS(T_StockCount[Part Name],$A28,T_StockCount[WeekIndex],53)&gt;0,0,IF(('T_TTAFStock'!BB32&lt;&gt;""),'T_TTAFStock'!BB32,BA28+'Grid_Incoming'!BB28-'Grid_TTAFOutgoing'!BB28))</f>
        <v/>
      </c>
      <c r="BC28">
        <f>IF(COUNTIFS(T_StockCount[Part Name],$A28,T_StockCount[WeekIndex],54)&gt;0,0,IF(('T_TTAFStock'!BC32&lt;&gt;""),'T_TTAFStock'!BC32,BB28+'Grid_Incoming'!BC28-'Grid_TTAFOutgoing'!BC28))</f>
        <v/>
      </c>
      <c r="BD28">
        <f>IF(COUNTIFS(T_StockCount[Part Name],$A28,T_StockCount[WeekIndex],55)&gt;0,0,IF(('T_TTAFStock'!BD32&lt;&gt;""),'T_TTAFStock'!BD32,BC28+'Grid_Incoming'!BD28-'Grid_TTAFOutgoing'!BD28))</f>
        <v/>
      </c>
      <c r="BE28">
        <f>IF(COUNTIFS(T_StockCount[Part Name],$A28,T_StockCount[WeekIndex],56)&gt;0,0,IF(('T_TTAFStock'!BE32&lt;&gt;""),'T_TTAFStock'!BE32,BD28+'Grid_Incoming'!BE28-'Grid_TTAFOutgoing'!BE28))</f>
        <v/>
      </c>
      <c r="BF28">
        <f>IF(COUNTIFS(T_StockCount[Part Name],$A28,T_StockCount[WeekIndex],57)&gt;0,0,IF(('T_TTAFStock'!BF32&lt;&gt;""),'T_TTAFStock'!BF32,BE28+'Grid_Incoming'!BF28-'Grid_TTAFOutgoing'!BF28))</f>
        <v/>
      </c>
      <c r="BG28">
        <f>IF(COUNTIFS(T_StockCount[Part Name],$A28,T_StockCount[WeekIndex],58)&gt;0,0,IF(('T_TTAFStock'!BG32&lt;&gt;""),'T_TTAFStock'!BG32,BF28+'Grid_Incoming'!BG28-'Grid_TTAFOutgoing'!BG28))</f>
        <v/>
      </c>
      <c r="BH28">
        <f>IF(COUNTIFS(T_StockCount[Part Name],$A28,T_StockCount[WeekIndex],59)&gt;0,0,IF(('T_TTAFStock'!BH32&lt;&gt;""),'T_TTAFStock'!BH32,BG28+'Grid_Incoming'!BH28-'Grid_TTAFOutgoing'!BH28))</f>
        <v/>
      </c>
      <c r="BI28">
        <f>IF(COUNTIFS(T_StockCount[Part Name],$A28,T_StockCount[WeekIndex],60)&gt;0,0,IF(('T_TTAFStock'!BI32&lt;&gt;""),'T_TTAFStock'!BI32,BH28+'Grid_Incoming'!BI28-'Grid_TTAFOutgoing'!BI28))</f>
        <v/>
      </c>
      <c r="BJ28">
        <f>IF(COUNTIFS(T_StockCount[Part Name],$A28,T_StockCount[WeekIndex],61)&gt;0,0,IF(('T_TTAFStock'!BJ32&lt;&gt;""),'T_TTAFStock'!BJ32,BI28+'Grid_Incoming'!BJ28-'Grid_TTAFOutgoing'!BJ28))</f>
        <v/>
      </c>
      <c r="BK28">
        <f>IF(COUNTIFS(T_StockCount[Part Name],$A28,T_StockCount[WeekIndex],62)&gt;0,0,IF(('T_TTAFStock'!BK32&lt;&gt;""),'T_TTAFStock'!BK32,BJ28+'Grid_Incoming'!BK28-'Grid_TTAFOutgoing'!BK28))</f>
        <v/>
      </c>
      <c r="BL28">
        <f>IF(COUNTIFS(T_StockCount[Part Name],$A28,T_StockCount[WeekIndex],63)&gt;0,0,IF(('T_TTAFStock'!BL32&lt;&gt;""),'T_TTAFStock'!BL32,BK28+'Grid_Incoming'!BL28-'Grid_TTAFOutgoing'!BL28))</f>
        <v/>
      </c>
      <c r="BM28">
        <f>IF(COUNTIFS(T_StockCount[Part Name],$A28,T_StockCount[WeekIndex],64)&gt;0,0,IF(('T_TTAFStock'!BM32&lt;&gt;""),'T_TTAFStock'!BM32,BL28+'Grid_Incoming'!BM28-'Grid_TTAFOutgoing'!BM28))</f>
        <v/>
      </c>
      <c r="BN28">
        <f>IF(COUNTIFS(T_StockCount[Part Name],$A28,T_StockCount[WeekIndex],65)&gt;0,0,IF(('T_TTAFStock'!BN32&lt;&gt;""),'T_TTAFStock'!BN32,BM28+'Grid_Incoming'!BN28-'Grid_TTAFOutgoing'!BN28))</f>
        <v/>
      </c>
      <c r="BO28">
        <f>IF(COUNTIFS(T_StockCount[Part Name],$A28,T_StockCount[WeekIndex],66)&gt;0,0,IF(('T_TTAFStock'!BO32&lt;&gt;""),'T_TTAFStock'!BO32,BN28+'Grid_Incoming'!BO28-'Grid_TTAFOutgoing'!BO28))</f>
        <v/>
      </c>
      <c r="BP28">
        <f>IF(COUNTIFS(T_StockCount[Part Name],$A28,T_StockCount[WeekIndex],67)&gt;0,0,IF(('T_TTAFStock'!BP32&lt;&gt;""),'T_TTAFStock'!BP32,BO28+'Grid_Incoming'!BP28-'Grid_TTAFOutgoing'!BP28))</f>
        <v/>
      </c>
      <c r="BQ28">
        <f>IF(COUNTIFS(T_StockCount[Part Name],$A28,T_StockCount[WeekIndex],68)&gt;0,0,IF(('T_TTAFStock'!BQ32&lt;&gt;""),'T_TTAFStock'!BQ32,BP28+'Grid_Incoming'!BQ28-'Grid_TTAFOutgoing'!BQ28))</f>
        <v/>
      </c>
      <c r="BR28">
        <f>IF(COUNTIFS(T_StockCount[Part Name],$A28,T_StockCount[WeekIndex],69)&gt;0,0,IF(('T_TTAFStock'!BR32&lt;&gt;""),'T_TTAFStock'!BR32,BQ28+'Grid_Incoming'!BR28-'Grid_TTAFOutgoing'!BR28))</f>
        <v/>
      </c>
      <c r="BS28">
        <f>IF(COUNTIFS(T_StockCount[Part Name],$A28,T_StockCount[WeekIndex],70)&gt;0,0,IF(('T_TTAFStock'!BS32&lt;&gt;""),'T_TTAFStock'!BS32,BR28+'Grid_Incoming'!BS28-'Grid_TTAFOutgoing'!BS28))</f>
        <v/>
      </c>
      <c r="BT28">
        <f>IF(COUNTIFS(T_StockCount[Part Name],$A28,T_StockCount[WeekIndex],71)&gt;0,0,IF(('T_TTAFStock'!BT32&lt;&gt;""),'T_TTAFStock'!BT32,BS28+'Grid_Incoming'!BT28-'Grid_TTAFOutgoing'!BT28))</f>
        <v/>
      </c>
      <c r="BU28">
        <f>IF(COUNTIFS(T_StockCount[Part Name],$A28,T_StockCount[WeekIndex],72)&gt;0,0,IF(('T_TTAFStock'!BU32&lt;&gt;""),'T_TTAFStock'!BU32,BT28+'Grid_Incoming'!BU28-'Grid_TTAFOutgoing'!BU28))</f>
        <v/>
      </c>
      <c r="BV28">
        <f>IF(COUNTIFS(T_StockCount[Part Name],$A28,T_StockCount[WeekIndex],73)&gt;0,0,IF(('T_TTAFStock'!BV32&lt;&gt;""),'T_TTAFStock'!BV32,BU28+'Grid_Incoming'!BV28-'Grid_TTAFOutgoing'!BV28))</f>
        <v/>
      </c>
      <c r="BW28">
        <f>IF(COUNTIFS(T_StockCount[Part Name],$A28,T_StockCount[WeekIndex],74)&gt;0,0,IF(('T_TTAFStock'!BW32&lt;&gt;""),'T_TTAFStock'!BW32,BV28+'Grid_Incoming'!BW28-'Grid_TTAFOutgoing'!BW28))</f>
        <v/>
      </c>
      <c r="BX28">
        <f>IF(COUNTIFS(T_StockCount[Part Name],$A28,T_StockCount[WeekIndex],75)&gt;0,0,IF(('T_TTAFStock'!BX32&lt;&gt;""),'T_TTAFStock'!BX32,BW28+'Grid_Incoming'!BX28-'Grid_TTAFOutgoing'!BX28))</f>
        <v/>
      </c>
      <c r="BY28">
        <f>IF(COUNTIFS(T_StockCount[Part Name],$A28,T_StockCount[WeekIndex],76)&gt;0,0,IF(('T_TTAFStock'!BY32&lt;&gt;""),'T_TTAFStock'!BY32,BX28+'Grid_Incoming'!BY28-'Grid_TTAFOutgoing'!BY28))</f>
        <v/>
      </c>
      <c r="BZ28">
        <f>IF(COUNTIFS(T_StockCount[Part Name],$A28,T_StockCount[WeekIndex],77)&gt;0,0,IF(('T_TTAFStock'!BZ32&lt;&gt;""),'T_TTAFStock'!BZ32,BY28+'Grid_Incoming'!BZ28-'Grid_TTAFOutgoing'!BZ28))</f>
        <v/>
      </c>
      <c r="CA28">
        <f>IF(COUNTIFS(T_StockCount[Part Name],$A28,T_StockCount[WeekIndex],78)&gt;0,0,IF(('T_TTAFStock'!CA32&lt;&gt;""),'T_TTAFStock'!CA32,BZ28+'Grid_Incoming'!CA28-'Grid_TTAFOutgoing'!CA28))</f>
        <v/>
      </c>
      <c r="CB28">
        <f>IF(COUNTIFS(T_StockCount[Part Name],$A28,T_StockCount[WeekIndex],79)&gt;0,0,IF(('T_TTAFStock'!CB32&lt;&gt;""),'T_TTAFStock'!CB32,CA28+'Grid_Incoming'!CB28-'Grid_TTAFOutgoing'!CB28))</f>
        <v/>
      </c>
      <c r="CC28">
        <f>IF(COUNTIFS(T_StockCount[Part Name],$A28,T_StockCount[WeekIndex],80)&gt;0,0,IF(('T_TTAFStock'!CC32&lt;&gt;""),'T_TTAFStock'!CC32,CB28+'Grid_Incoming'!CC28-'Grid_TTAFOutgoing'!CC28))</f>
        <v/>
      </c>
      <c r="CD28">
        <f>IF(COUNTIFS(T_StockCount[Part Name],$A28,T_StockCount[WeekIndex],81)&gt;0,0,IF(('T_TTAFStock'!CD32&lt;&gt;""),'T_TTAFStock'!CD32,CC28+'Grid_Incoming'!CD28-'Grid_TTAFOutgoing'!CD28))</f>
        <v/>
      </c>
      <c r="CE28">
        <f>IF(COUNTIFS(T_StockCount[Part Name],$A28,T_StockCount[WeekIndex],82)&gt;0,0,IF(('T_TTAFStock'!CE32&lt;&gt;""),'T_TTAFStock'!CE32,CD28+'Grid_Incoming'!CE28-'Grid_TTAFOutgoing'!CE28))</f>
        <v/>
      </c>
      <c r="CF28">
        <f>IF(COUNTIFS(T_StockCount[Part Name],$A28,T_StockCount[WeekIndex],83)&gt;0,0,IF(('T_TTAFStock'!CF32&lt;&gt;""),'T_TTAFStock'!CF32,CE28+'Grid_Incoming'!CF28-'Grid_TTAFOutgoing'!CF28))</f>
        <v/>
      </c>
      <c r="CG28">
        <f>IF(COUNTIFS(T_StockCount[Part Name],$A28,T_StockCount[WeekIndex],84)&gt;0,0,IF(('T_TTAFStock'!CG32&lt;&gt;""),'T_TTAFStock'!CG32,CF28+'Grid_Incoming'!CG28-'Grid_TTAFOutgoing'!CG28))</f>
        <v/>
      </c>
      <c r="CH28">
        <f>IF(COUNTIFS(T_StockCount[Part Name],$A28,T_StockCount[WeekIndex],85)&gt;0,0,IF(('T_TTAFStock'!CH32&lt;&gt;""),'T_TTAFStock'!CH32,CG28+'Grid_Incoming'!CH28-'Grid_TTAFOutgoing'!CH28))</f>
        <v/>
      </c>
      <c r="CI28">
        <f>IF(COUNTIFS(T_StockCount[Part Name],$A28,T_StockCount[WeekIndex],86)&gt;0,0,IF(('T_TTAFStock'!CI32&lt;&gt;""),'T_TTAFStock'!CI32,CH28+'Grid_Incoming'!CI28-'Grid_TTAFOutgoing'!CI28))</f>
        <v/>
      </c>
      <c r="CJ28">
        <f>IF(COUNTIFS(T_StockCount[Part Name],$A28,T_StockCount[WeekIndex],87)&gt;0,0,IF(('T_TTAFStock'!CJ32&lt;&gt;""),'T_TTAFStock'!CJ32,CI28+'Grid_Incoming'!CJ28-'Grid_TTAFOutgoing'!CJ28))</f>
        <v/>
      </c>
      <c r="CK28">
        <f>IF(COUNTIFS(T_StockCount[Part Name],$A28,T_StockCount[WeekIndex],88)&gt;0,0,IF(('T_TTAFStock'!CK32&lt;&gt;""),'T_TTAFStock'!CK32,CJ28+'Grid_Incoming'!CK28-'Grid_TTAFOutgoing'!CK28))</f>
        <v/>
      </c>
      <c r="CL28">
        <f>IF(COUNTIFS(T_StockCount[Part Name],$A28,T_StockCount[WeekIndex],89)&gt;0,0,IF(('T_TTAFStock'!CL32&lt;&gt;""),'T_TTAFStock'!CL32,CK28+'Grid_Incoming'!CL28-'Grid_TTAFOutgoing'!CL28))</f>
        <v/>
      </c>
      <c r="CM28">
        <f>IF(COUNTIFS(T_StockCount[Part Name],$A28,T_StockCount[WeekIndex],90)&gt;0,0,IF(('T_TTAFStock'!CM32&lt;&gt;""),'T_TTAFStock'!CM32,CL28+'Grid_Incoming'!CM28-'Grid_TTAFOutgoing'!CM28))</f>
        <v/>
      </c>
      <c r="CN28">
        <f>IF(COUNTIFS(T_StockCount[Part Name],$A28,T_StockCount[WeekIndex],91)&gt;0,0,IF(('T_TTAFStock'!CN32&lt;&gt;""),'T_TTAFStock'!CN32,CM28+'Grid_Incoming'!CN28-'Grid_TTAFOutgoing'!CN28))</f>
        <v/>
      </c>
      <c r="CO28">
        <f>IF(COUNTIFS(T_StockCount[Part Name],$A28,T_StockCount[WeekIndex],92)&gt;0,0,IF(('T_TTAFStock'!CO32&lt;&gt;""),'T_TTAFStock'!CO32,CN28+'Grid_Incoming'!CO28-'Grid_TTAFOutgoing'!CO28))</f>
        <v/>
      </c>
      <c r="CP28">
        <f>IF(COUNTIFS(T_StockCount[Part Name],$A28,T_StockCount[WeekIndex],93)&gt;0,0,IF(('T_TTAFStock'!CP32&lt;&gt;""),'T_TTAFStock'!CP32,CO28+'Grid_Incoming'!CP28-'Grid_TTAFOutgoing'!CP28))</f>
        <v/>
      </c>
      <c r="CQ28">
        <f>IF(COUNTIFS(T_StockCount[Part Name],$A28,T_StockCount[WeekIndex],94)&gt;0,0,IF(('T_TTAFStock'!CQ32&lt;&gt;""),'T_TTAFStock'!CQ32,CP28+'Grid_Incoming'!CQ28-'Grid_TTAFOutgoing'!CQ28))</f>
        <v/>
      </c>
      <c r="CR28">
        <f>IF(COUNTIFS(T_StockCount[Part Name],$A28,T_StockCount[WeekIndex],95)&gt;0,0,IF(('T_TTAFStock'!CR32&lt;&gt;""),'T_TTAFStock'!CR32,CQ28+'Grid_Incoming'!CR28-'Grid_TTAFOutgoing'!CR28))</f>
        <v/>
      </c>
      <c r="CS28">
        <f>IF(COUNTIFS(T_StockCount[Part Name],$A28,T_StockCount[WeekIndex],96)&gt;0,0,IF(('T_TTAFStock'!CS32&lt;&gt;""),'T_TTAFStock'!CS32,CR28+'Grid_Incoming'!CS28-'Grid_TTAFOutgoing'!CS28))</f>
        <v/>
      </c>
      <c r="CT28">
        <f>IF(COUNTIFS(T_StockCount[Part Name],$A28,T_StockCount[WeekIndex],97)&gt;0,0,IF(('T_TTAFStock'!CT32&lt;&gt;""),'T_TTAFStock'!CT32,CS28+'Grid_Incoming'!CT28-'Grid_TTAFOutgoing'!CT28))</f>
        <v/>
      </c>
      <c r="CU28">
        <f>IF(COUNTIFS(T_StockCount[Part Name],$A28,T_StockCount[WeekIndex],98)&gt;0,0,IF(('T_TTAFStock'!CU32&lt;&gt;""),'T_TTAFStock'!CU32,CT28+'Grid_Incoming'!CU28-'Grid_TTAFOutgoing'!CU28))</f>
        <v/>
      </c>
      <c r="CV28">
        <f>IF(COUNTIFS(T_StockCount[Part Name],$A28,T_StockCount[WeekIndex],99)&gt;0,0,IF(('T_TTAFStock'!CV32&lt;&gt;""),'T_TTAFStock'!CV32,CU28+'Grid_Incoming'!CV28-'Grid_TTAFOutgoing'!CV28))</f>
        <v/>
      </c>
      <c r="CW28">
        <f>IF(COUNTIFS(T_StockCount[Part Name],$A28,T_StockCount[WeekIndex],100)&gt;0,0,IF(('T_TTAFStock'!CW32&lt;&gt;""),'T_TTAFStock'!CW32,CV28+'Grid_Incoming'!CW28-'Grid_TTAFOutgoing'!CW28))</f>
        <v/>
      </c>
      <c r="CX28">
        <f>IF(COUNTIFS(T_StockCount[Part Name],$A28,T_StockCount[WeekIndex],101)&gt;0,0,IF(('T_TTAFStock'!CX32&lt;&gt;""),'T_TTAFStock'!CX32,CW28+'Grid_Incoming'!CX28-'Grid_TTAFOutgoing'!CX28))</f>
        <v/>
      </c>
      <c r="CY28">
        <f>IF(COUNTIFS(T_StockCount[Part Name],$A28,T_StockCount[WeekIndex],102)&gt;0,0,IF(('T_TTAFStock'!CY32&lt;&gt;""),'T_TTAFStock'!CY32,CX28+'Grid_Incoming'!CY28-'Grid_TTAFOutgoing'!CY28))</f>
        <v/>
      </c>
      <c r="CZ28">
        <f>IF(COUNTIFS(T_StockCount[Part Name],$A28,T_StockCount[WeekIndex],103)&gt;0,0,IF(('T_TTAFStock'!CZ32&lt;&gt;""),'T_TTAFStock'!CZ32,CY28+'Grid_Incoming'!CZ28-'Grid_TTAFOutgoing'!CZ28))</f>
        <v/>
      </c>
      <c r="DA28">
        <f>IF(COUNTIFS(T_StockCount[Part Name],$A28,T_StockCount[WeekIndex],104)&gt;0,0,IF(('T_TTAFStock'!DA32&lt;&gt;""),'T_TTAFStock'!DA32,CZ28+'Grid_Incoming'!DA28-'Grid_TTAFOutgoing'!DA28))</f>
        <v/>
      </c>
    </row>
    <row r="29">
      <c r="A29" t="inlineStr">
        <is>
          <t>CHEM-1840</t>
        </is>
      </c>
      <c r="B29">
        <f>IF(COUNTIFS(T_StockCount[Part Name],$A29,T_StockCount[WeekIndex],1)&gt;0,0,IF(('T_TTAFStock'!B33&lt;&gt;""),'T_TTAFStock'!B33,0+'Grid_Incoming'!B29-'Grid_TTAFOutgoing'!B29))</f>
        <v/>
      </c>
      <c r="C29">
        <f>IF(COUNTIFS(T_StockCount[Part Name],$A29,T_StockCount[WeekIndex],2)&gt;0,0,IF(('T_TTAFStock'!C33&lt;&gt;""),'T_TTAFStock'!C33,B29+'Grid_Incoming'!C29-'Grid_TTAFOutgoing'!C29))</f>
        <v/>
      </c>
      <c r="D29">
        <f>IF(COUNTIFS(T_StockCount[Part Name],$A29,T_StockCount[WeekIndex],3)&gt;0,0,IF(('T_TTAFStock'!D33&lt;&gt;""),'T_TTAFStock'!D33,C29+'Grid_Incoming'!D29-'Grid_TTAFOutgoing'!D29))</f>
        <v/>
      </c>
      <c r="E29">
        <f>IF(COUNTIFS(T_StockCount[Part Name],$A29,T_StockCount[WeekIndex],4)&gt;0,0,IF(('T_TTAFStock'!E33&lt;&gt;""),'T_TTAFStock'!E33,D29+'Grid_Incoming'!E29-'Grid_TTAFOutgoing'!E29))</f>
        <v/>
      </c>
      <c r="F29">
        <f>IF(COUNTIFS(T_StockCount[Part Name],$A29,T_StockCount[WeekIndex],5)&gt;0,0,IF(('T_TTAFStock'!F33&lt;&gt;""),'T_TTAFStock'!F33,E29+'Grid_Incoming'!F29-'Grid_TTAFOutgoing'!F29))</f>
        <v/>
      </c>
      <c r="G29">
        <f>IF(COUNTIFS(T_StockCount[Part Name],$A29,T_StockCount[WeekIndex],6)&gt;0,0,IF(('T_TTAFStock'!G33&lt;&gt;""),'T_TTAFStock'!G33,F29+'Grid_Incoming'!G29-'Grid_TTAFOutgoing'!G29))</f>
        <v/>
      </c>
      <c r="H29">
        <f>IF(COUNTIFS(T_StockCount[Part Name],$A29,T_StockCount[WeekIndex],7)&gt;0,0,IF(('T_TTAFStock'!H33&lt;&gt;""),'T_TTAFStock'!H33,G29+'Grid_Incoming'!H29-'Grid_TTAFOutgoing'!H29))</f>
        <v/>
      </c>
      <c r="I29">
        <f>IF(COUNTIFS(T_StockCount[Part Name],$A29,T_StockCount[WeekIndex],8)&gt;0,0,IF(('T_TTAFStock'!I33&lt;&gt;""),'T_TTAFStock'!I33,H29+'Grid_Incoming'!I29-'Grid_TTAFOutgoing'!I29))</f>
        <v/>
      </c>
      <c r="J29">
        <f>IF(COUNTIFS(T_StockCount[Part Name],$A29,T_StockCount[WeekIndex],9)&gt;0,0,IF(('T_TTAFStock'!J33&lt;&gt;""),'T_TTAFStock'!J33,I29+'Grid_Incoming'!J29-'Grid_TTAFOutgoing'!J29))</f>
        <v/>
      </c>
      <c r="K29">
        <f>IF(COUNTIFS(T_StockCount[Part Name],$A29,T_StockCount[WeekIndex],10)&gt;0,0,IF(('T_TTAFStock'!K33&lt;&gt;""),'T_TTAFStock'!K33,J29+'Grid_Incoming'!K29-'Grid_TTAFOutgoing'!K29))</f>
        <v/>
      </c>
      <c r="L29">
        <f>IF(COUNTIFS(T_StockCount[Part Name],$A29,T_StockCount[WeekIndex],11)&gt;0,0,IF(('T_TTAFStock'!L33&lt;&gt;""),'T_TTAFStock'!L33,K29+'Grid_Incoming'!L29-'Grid_TTAFOutgoing'!L29))</f>
        <v/>
      </c>
      <c r="M29">
        <f>IF(COUNTIFS(T_StockCount[Part Name],$A29,T_StockCount[WeekIndex],12)&gt;0,0,IF(('T_TTAFStock'!M33&lt;&gt;""),'T_TTAFStock'!M33,L29+'Grid_Incoming'!M29-'Grid_TTAFOutgoing'!M29))</f>
        <v/>
      </c>
      <c r="N29">
        <f>IF(COUNTIFS(T_StockCount[Part Name],$A29,T_StockCount[WeekIndex],13)&gt;0,0,IF(('T_TTAFStock'!N33&lt;&gt;""),'T_TTAFStock'!N33,M29+'Grid_Incoming'!N29-'Grid_TTAFOutgoing'!N29))</f>
        <v/>
      </c>
      <c r="O29">
        <f>IF(COUNTIFS(T_StockCount[Part Name],$A29,T_StockCount[WeekIndex],14)&gt;0,0,IF(('T_TTAFStock'!O33&lt;&gt;""),'T_TTAFStock'!O33,N29+'Grid_Incoming'!O29-'Grid_TTAFOutgoing'!O29))</f>
        <v/>
      </c>
      <c r="P29">
        <f>IF(COUNTIFS(T_StockCount[Part Name],$A29,T_StockCount[WeekIndex],15)&gt;0,0,IF(('T_TTAFStock'!P33&lt;&gt;""),'T_TTAFStock'!P33,O29+'Grid_Incoming'!P29-'Grid_TTAFOutgoing'!P29))</f>
        <v/>
      </c>
      <c r="Q29">
        <f>IF(COUNTIFS(T_StockCount[Part Name],$A29,T_StockCount[WeekIndex],16)&gt;0,0,IF(('T_TTAFStock'!Q33&lt;&gt;""),'T_TTAFStock'!Q33,P29+'Grid_Incoming'!Q29-'Grid_TTAFOutgoing'!Q29))</f>
        <v/>
      </c>
      <c r="R29">
        <f>IF(COUNTIFS(T_StockCount[Part Name],$A29,T_StockCount[WeekIndex],17)&gt;0,0,IF(('T_TTAFStock'!R33&lt;&gt;""),'T_TTAFStock'!R33,Q29+'Grid_Incoming'!R29-'Grid_TTAFOutgoing'!R29))</f>
        <v/>
      </c>
      <c r="S29">
        <f>IF(COUNTIFS(T_StockCount[Part Name],$A29,T_StockCount[WeekIndex],18)&gt;0,0,IF(('T_TTAFStock'!S33&lt;&gt;""),'T_TTAFStock'!S33,R29+'Grid_Incoming'!S29-'Grid_TTAFOutgoing'!S29))</f>
        <v/>
      </c>
      <c r="T29">
        <f>IF(COUNTIFS(T_StockCount[Part Name],$A29,T_StockCount[WeekIndex],19)&gt;0,0,IF(('T_TTAFStock'!T33&lt;&gt;""),'T_TTAFStock'!T33,S29+'Grid_Incoming'!T29-'Grid_TTAFOutgoing'!T29))</f>
        <v/>
      </c>
      <c r="U29">
        <f>IF(COUNTIFS(T_StockCount[Part Name],$A29,T_StockCount[WeekIndex],20)&gt;0,0,IF(('T_TTAFStock'!U33&lt;&gt;""),'T_TTAFStock'!U33,T29+'Grid_Incoming'!U29-'Grid_TTAFOutgoing'!U29))</f>
        <v/>
      </c>
      <c r="V29">
        <f>IF(COUNTIFS(T_StockCount[Part Name],$A29,T_StockCount[WeekIndex],21)&gt;0,0,IF(('T_TTAFStock'!V33&lt;&gt;""),'T_TTAFStock'!V33,U29+'Grid_Incoming'!V29-'Grid_TTAFOutgoing'!V29))</f>
        <v/>
      </c>
      <c r="W29">
        <f>IF(COUNTIFS(T_StockCount[Part Name],$A29,T_StockCount[WeekIndex],22)&gt;0,0,IF(('T_TTAFStock'!W33&lt;&gt;""),'T_TTAFStock'!W33,V29+'Grid_Incoming'!W29-'Grid_TTAFOutgoing'!W29))</f>
        <v/>
      </c>
      <c r="X29">
        <f>IF(COUNTIFS(T_StockCount[Part Name],$A29,T_StockCount[WeekIndex],23)&gt;0,0,IF(('T_TTAFStock'!X33&lt;&gt;""),'T_TTAFStock'!X33,W29+'Grid_Incoming'!X29-'Grid_TTAFOutgoing'!X29))</f>
        <v/>
      </c>
      <c r="Y29">
        <f>IF(COUNTIFS(T_StockCount[Part Name],$A29,T_StockCount[WeekIndex],24)&gt;0,0,IF(('T_TTAFStock'!Y33&lt;&gt;""),'T_TTAFStock'!Y33,X29+'Grid_Incoming'!Y29-'Grid_TTAFOutgoing'!Y29))</f>
        <v/>
      </c>
      <c r="Z29">
        <f>IF(COUNTIFS(T_StockCount[Part Name],$A29,T_StockCount[WeekIndex],25)&gt;0,0,IF(('T_TTAFStock'!Z33&lt;&gt;""),'T_TTAFStock'!Z33,Y29+'Grid_Incoming'!Z29-'Grid_TTAFOutgoing'!Z29))</f>
        <v/>
      </c>
      <c r="AA29">
        <f>IF(COUNTIFS(T_StockCount[Part Name],$A29,T_StockCount[WeekIndex],26)&gt;0,0,IF(('T_TTAFStock'!AA33&lt;&gt;""),'T_TTAFStock'!AA33,Z29+'Grid_Incoming'!AA29-'Grid_TTAFOutgoing'!AA29))</f>
        <v/>
      </c>
      <c r="AB29">
        <f>IF(COUNTIFS(T_StockCount[Part Name],$A29,T_StockCount[WeekIndex],27)&gt;0,0,IF(('T_TTAFStock'!AB33&lt;&gt;""),'T_TTAFStock'!AB33,AA29+'Grid_Incoming'!AB29-'Grid_TTAFOutgoing'!AB29))</f>
        <v/>
      </c>
      <c r="AC29">
        <f>IF(COUNTIFS(T_StockCount[Part Name],$A29,T_StockCount[WeekIndex],28)&gt;0,0,IF(('T_TTAFStock'!AC33&lt;&gt;""),'T_TTAFStock'!AC33,AB29+'Grid_Incoming'!AC29-'Grid_TTAFOutgoing'!AC29))</f>
        <v/>
      </c>
      <c r="AD29">
        <f>IF(COUNTIFS(T_StockCount[Part Name],$A29,T_StockCount[WeekIndex],29)&gt;0,0,IF(('T_TTAFStock'!AD33&lt;&gt;""),'T_TTAFStock'!AD33,AC29+'Grid_Incoming'!AD29-'Grid_TTAFOutgoing'!AD29))</f>
        <v/>
      </c>
      <c r="AE29">
        <f>IF(COUNTIFS(T_StockCount[Part Name],$A29,T_StockCount[WeekIndex],30)&gt;0,0,IF(('T_TTAFStock'!AE33&lt;&gt;""),'T_TTAFStock'!AE33,AD29+'Grid_Incoming'!AE29-'Grid_TTAFOutgoing'!AE29))</f>
        <v/>
      </c>
      <c r="AF29">
        <f>IF(COUNTIFS(T_StockCount[Part Name],$A29,T_StockCount[WeekIndex],31)&gt;0,0,IF(('T_TTAFStock'!AF33&lt;&gt;""),'T_TTAFStock'!AF33,AE29+'Grid_Incoming'!AF29-'Grid_TTAFOutgoing'!AF29))</f>
        <v/>
      </c>
      <c r="AG29">
        <f>IF(COUNTIFS(T_StockCount[Part Name],$A29,T_StockCount[WeekIndex],32)&gt;0,0,IF(('T_TTAFStock'!AG33&lt;&gt;""),'T_TTAFStock'!AG33,AF29+'Grid_Incoming'!AG29-'Grid_TTAFOutgoing'!AG29))</f>
        <v/>
      </c>
      <c r="AH29">
        <f>IF(COUNTIFS(T_StockCount[Part Name],$A29,T_StockCount[WeekIndex],33)&gt;0,0,IF(('T_TTAFStock'!AH33&lt;&gt;""),'T_TTAFStock'!AH33,AG29+'Grid_Incoming'!AH29-'Grid_TTAFOutgoing'!AH29))</f>
        <v/>
      </c>
      <c r="AI29">
        <f>IF(COUNTIFS(T_StockCount[Part Name],$A29,T_StockCount[WeekIndex],34)&gt;0,0,IF(('T_TTAFStock'!AI33&lt;&gt;""),'T_TTAFStock'!AI33,AH29+'Grid_Incoming'!AI29-'Grid_TTAFOutgoing'!AI29))</f>
        <v/>
      </c>
      <c r="AJ29">
        <f>IF(COUNTIFS(T_StockCount[Part Name],$A29,T_StockCount[WeekIndex],35)&gt;0,0,IF(('T_TTAFStock'!AJ33&lt;&gt;""),'T_TTAFStock'!AJ33,AI29+'Grid_Incoming'!AJ29-'Grid_TTAFOutgoing'!AJ29))</f>
        <v/>
      </c>
      <c r="AK29">
        <f>IF(COUNTIFS(T_StockCount[Part Name],$A29,T_StockCount[WeekIndex],36)&gt;0,0,IF(('T_TTAFStock'!AK33&lt;&gt;""),'T_TTAFStock'!AK33,AJ29+'Grid_Incoming'!AK29-'Grid_TTAFOutgoing'!AK29))</f>
        <v/>
      </c>
      <c r="AL29">
        <f>IF(COUNTIFS(T_StockCount[Part Name],$A29,T_StockCount[WeekIndex],37)&gt;0,0,IF(('T_TTAFStock'!AL33&lt;&gt;""),'T_TTAFStock'!AL33,AK29+'Grid_Incoming'!AL29-'Grid_TTAFOutgoing'!AL29))</f>
        <v/>
      </c>
      <c r="AM29">
        <f>IF(COUNTIFS(T_StockCount[Part Name],$A29,T_StockCount[WeekIndex],38)&gt;0,0,IF(('T_TTAFStock'!AM33&lt;&gt;""),'T_TTAFStock'!AM33,AL29+'Grid_Incoming'!AM29-'Grid_TTAFOutgoing'!AM29))</f>
        <v/>
      </c>
      <c r="AN29">
        <f>IF(COUNTIFS(T_StockCount[Part Name],$A29,T_StockCount[WeekIndex],39)&gt;0,0,IF(('T_TTAFStock'!AN33&lt;&gt;""),'T_TTAFStock'!AN33,AM29+'Grid_Incoming'!AN29-'Grid_TTAFOutgoing'!AN29))</f>
        <v/>
      </c>
      <c r="AO29">
        <f>IF(COUNTIFS(T_StockCount[Part Name],$A29,T_StockCount[WeekIndex],40)&gt;0,0,IF(('T_TTAFStock'!AO33&lt;&gt;""),'T_TTAFStock'!AO33,AN29+'Grid_Incoming'!AO29-'Grid_TTAFOutgoing'!AO29))</f>
        <v/>
      </c>
      <c r="AP29">
        <f>IF(COUNTIFS(T_StockCount[Part Name],$A29,T_StockCount[WeekIndex],41)&gt;0,0,IF(('T_TTAFStock'!AP33&lt;&gt;""),'T_TTAFStock'!AP33,AO29+'Grid_Incoming'!AP29-'Grid_TTAFOutgoing'!AP29))</f>
        <v/>
      </c>
      <c r="AQ29">
        <f>IF(COUNTIFS(T_StockCount[Part Name],$A29,T_StockCount[WeekIndex],42)&gt;0,0,IF(('T_TTAFStock'!AQ33&lt;&gt;""),'T_TTAFStock'!AQ33,AP29+'Grid_Incoming'!AQ29-'Grid_TTAFOutgoing'!AQ29))</f>
        <v/>
      </c>
      <c r="AR29">
        <f>IF(COUNTIFS(T_StockCount[Part Name],$A29,T_StockCount[WeekIndex],43)&gt;0,0,IF(('T_TTAFStock'!AR33&lt;&gt;""),'T_TTAFStock'!AR33,AQ29+'Grid_Incoming'!AR29-'Grid_TTAFOutgoing'!AR29))</f>
        <v/>
      </c>
      <c r="AS29">
        <f>IF(COUNTIFS(T_StockCount[Part Name],$A29,T_StockCount[WeekIndex],44)&gt;0,0,IF(('T_TTAFStock'!AS33&lt;&gt;""),'T_TTAFStock'!AS33,AR29+'Grid_Incoming'!AS29-'Grid_TTAFOutgoing'!AS29))</f>
        <v/>
      </c>
      <c r="AT29">
        <f>IF(COUNTIFS(T_StockCount[Part Name],$A29,T_StockCount[WeekIndex],45)&gt;0,0,IF(('T_TTAFStock'!AT33&lt;&gt;""),'T_TTAFStock'!AT33,AS29+'Grid_Incoming'!AT29-'Grid_TTAFOutgoing'!AT29))</f>
        <v/>
      </c>
      <c r="AU29">
        <f>IF(COUNTIFS(T_StockCount[Part Name],$A29,T_StockCount[WeekIndex],46)&gt;0,0,IF(('T_TTAFStock'!AU33&lt;&gt;""),'T_TTAFStock'!AU33,AT29+'Grid_Incoming'!AU29-'Grid_TTAFOutgoing'!AU29))</f>
        <v/>
      </c>
      <c r="AV29">
        <f>IF(COUNTIFS(T_StockCount[Part Name],$A29,T_StockCount[WeekIndex],47)&gt;0,0,IF(('T_TTAFStock'!AV33&lt;&gt;""),'T_TTAFStock'!AV33,AU29+'Grid_Incoming'!AV29-'Grid_TTAFOutgoing'!AV29))</f>
        <v/>
      </c>
      <c r="AW29">
        <f>IF(COUNTIFS(T_StockCount[Part Name],$A29,T_StockCount[WeekIndex],48)&gt;0,0,IF(('T_TTAFStock'!AW33&lt;&gt;""),'T_TTAFStock'!AW33,AV29+'Grid_Incoming'!AW29-'Grid_TTAFOutgoing'!AW29))</f>
        <v/>
      </c>
      <c r="AX29">
        <f>IF(COUNTIFS(T_StockCount[Part Name],$A29,T_StockCount[WeekIndex],49)&gt;0,0,IF(('T_TTAFStock'!AX33&lt;&gt;""),'T_TTAFStock'!AX33,AW29+'Grid_Incoming'!AX29-'Grid_TTAFOutgoing'!AX29))</f>
        <v/>
      </c>
      <c r="AY29">
        <f>IF(COUNTIFS(T_StockCount[Part Name],$A29,T_StockCount[WeekIndex],50)&gt;0,0,IF(('T_TTAFStock'!AY33&lt;&gt;""),'T_TTAFStock'!AY33,AX29+'Grid_Incoming'!AY29-'Grid_TTAFOutgoing'!AY29))</f>
        <v/>
      </c>
      <c r="AZ29">
        <f>IF(COUNTIFS(T_StockCount[Part Name],$A29,T_StockCount[WeekIndex],51)&gt;0,0,IF(('T_TTAFStock'!AZ33&lt;&gt;""),'T_TTAFStock'!AZ33,AY29+'Grid_Incoming'!AZ29-'Grid_TTAFOutgoing'!AZ29))</f>
        <v/>
      </c>
      <c r="BA29">
        <f>IF(COUNTIFS(T_StockCount[Part Name],$A29,T_StockCount[WeekIndex],52)&gt;0,0,IF(('T_TTAFStock'!BA33&lt;&gt;""),'T_TTAFStock'!BA33,AZ29+'Grid_Incoming'!BA29-'Grid_TTAFOutgoing'!BA29))</f>
        <v/>
      </c>
      <c r="BB29">
        <f>IF(COUNTIFS(T_StockCount[Part Name],$A29,T_StockCount[WeekIndex],53)&gt;0,0,IF(('T_TTAFStock'!BB33&lt;&gt;""),'T_TTAFStock'!BB33,BA29+'Grid_Incoming'!BB29-'Grid_TTAFOutgoing'!BB29))</f>
        <v/>
      </c>
      <c r="BC29">
        <f>IF(COUNTIFS(T_StockCount[Part Name],$A29,T_StockCount[WeekIndex],54)&gt;0,0,IF(('T_TTAFStock'!BC33&lt;&gt;""),'T_TTAFStock'!BC33,BB29+'Grid_Incoming'!BC29-'Grid_TTAFOutgoing'!BC29))</f>
        <v/>
      </c>
      <c r="BD29">
        <f>IF(COUNTIFS(T_StockCount[Part Name],$A29,T_StockCount[WeekIndex],55)&gt;0,0,IF(('T_TTAFStock'!BD33&lt;&gt;""),'T_TTAFStock'!BD33,BC29+'Grid_Incoming'!BD29-'Grid_TTAFOutgoing'!BD29))</f>
        <v/>
      </c>
      <c r="BE29">
        <f>IF(COUNTIFS(T_StockCount[Part Name],$A29,T_StockCount[WeekIndex],56)&gt;0,0,IF(('T_TTAFStock'!BE33&lt;&gt;""),'T_TTAFStock'!BE33,BD29+'Grid_Incoming'!BE29-'Grid_TTAFOutgoing'!BE29))</f>
        <v/>
      </c>
      <c r="BF29">
        <f>IF(COUNTIFS(T_StockCount[Part Name],$A29,T_StockCount[WeekIndex],57)&gt;0,0,IF(('T_TTAFStock'!BF33&lt;&gt;""),'T_TTAFStock'!BF33,BE29+'Grid_Incoming'!BF29-'Grid_TTAFOutgoing'!BF29))</f>
        <v/>
      </c>
      <c r="BG29">
        <f>IF(COUNTIFS(T_StockCount[Part Name],$A29,T_StockCount[WeekIndex],58)&gt;0,0,IF(('T_TTAFStock'!BG33&lt;&gt;""),'T_TTAFStock'!BG33,BF29+'Grid_Incoming'!BG29-'Grid_TTAFOutgoing'!BG29))</f>
        <v/>
      </c>
      <c r="BH29">
        <f>IF(COUNTIFS(T_StockCount[Part Name],$A29,T_StockCount[WeekIndex],59)&gt;0,0,IF(('T_TTAFStock'!BH33&lt;&gt;""),'T_TTAFStock'!BH33,BG29+'Grid_Incoming'!BH29-'Grid_TTAFOutgoing'!BH29))</f>
        <v/>
      </c>
      <c r="BI29">
        <f>IF(COUNTIFS(T_StockCount[Part Name],$A29,T_StockCount[WeekIndex],60)&gt;0,0,IF(('T_TTAFStock'!BI33&lt;&gt;""),'T_TTAFStock'!BI33,BH29+'Grid_Incoming'!BI29-'Grid_TTAFOutgoing'!BI29))</f>
        <v/>
      </c>
      <c r="BJ29">
        <f>IF(COUNTIFS(T_StockCount[Part Name],$A29,T_StockCount[WeekIndex],61)&gt;0,0,IF(('T_TTAFStock'!BJ33&lt;&gt;""),'T_TTAFStock'!BJ33,BI29+'Grid_Incoming'!BJ29-'Grid_TTAFOutgoing'!BJ29))</f>
        <v/>
      </c>
      <c r="BK29">
        <f>IF(COUNTIFS(T_StockCount[Part Name],$A29,T_StockCount[WeekIndex],62)&gt;0,0,IF(('T_TTAFStock'!BK33&lt;&gt;""),'T_TTAFStock'!BK33,BJ29+'Grid_Incoming'!BK29-'Grid_TTAFOutgoing'!BK29))</f>
        <v/>
      </c>
      <c r="BL29">
        <f>IF(COUNTIFS(T_StockCount[Part Name],$A29,T_StockCount[WeekIndex],63)&gt;0,0,IF(('T_TTAFStock'!BL33&lt;&gt;""),'T_TTAFStock'!BL33,BK29+'Grid_Incoming'!BL29-'Grid_TTAFOutgoing'!BL29))</f>
        <v/>
      </c>
      <c r="BM29">
        <f>IF(COUNTIFS(T_StockCount[Part Name],$A29,T_StockCount[WeekIndex],64)&gt;0,0,IF(('T_TTAFStock'!BM33&lt;&gt;""),'T_TTAFStock'!BM33,BL29+'Grid_Incoming'!BM29-'Grid_TTAFOutgoing'!BM29))</f>
        <v/>
      </c>
      <c r="BN29">
        <f>IF(COUNTIFS(T_StockCount[Part Name],$A29,T_StockCount[WeekIndex],65)&gt;0,0,IF(('T_TTAFStock'!BN33&lt;&gt;""),'T_TTAFStock'!BN33,BM29+'Grid_Incoming'!BN29-'Grid_TTAFOutgoing'!BN29))</f>
        <v/>
      </c>
      <c r="BO29">
        <f>IF(COUNTIFS(T_StockCount[Part Name],$A29,T_StockCount[WeekIndex],66)&gt;0,0,IF(('T_TTAFStock'!BO33&lt;&gt;""),'T_TTAFStock'!BO33,BN29+'Grid_Incoming'!BO29-'Grid_TTAFOutgoing'!BO29))</f>
        <v/>
      </c>
      <c r="BP29">
        <f>IF(COUNTIFS(T_StockCount[Part Name],$A29,T_StockCount[WeekIndex],67)&gt;0,0,IF(('T_TTAFStock'!BP33&lt;&gt;""),'T_TTAFStock'!BP33,BO29+'Grid_Incoming'!BP29-'Grid_TTAFOutgoing'!BP29))</f>
        <v/>
      </c>
      <c r="BQ29">
        <f>IF(COUNTIFS(T_StockCount[Part Name],$A29,T_StockCount[WeekIndex],68)&gt;0,0,IF(('T_TTAFStock'!BQ33&lt;&gt;""),'T_TTAFStock'!BQ33,BP29+'Grid_Incoming'!BQ29-'Grid_TTAFOutgoing'!BQ29))</f>
        <v/>
      </c>
      <c r="BR29">
        <f>IF(COUNTIFS(T_StockCount[Part Name],$A29,T_StockCount[WeekIndex],69)&gt;0,0,IF(('T_TTAFStock'!BR33&lt;&gt;""),'T_TTAFStock'!BR33,BQ29+'Grid_Incoming'!BR29-'Grid_TTAFOutgoing'!BR29))</f>
        <v/>
      </c>
      <c r="BS29">
        <f>IF(COUNTIFS(T_StockCount[Part Name],$A29,T_StockCount[WeekIndex],70)&gt;0,0,IF(('T_TTAFStock'!BS33&lt;&gt;""),'T_TTAFStock'!BS33,BR29+'Grid_Incoming'!BS29-'Grid_TTAFOutgoing'!BS29))</f>
        <v/>
      </c>
      <c r="BT29">
        <f>IF(COUNTIFS(T_StockCount[Part Name],$A29,T_StockCount[WeekIndex],71)&gt;0,0,IF(('T_TTAFStock'!BT33&lt;&gt;""),'T_TTAFStock'!BT33,BS29+'Grid_Incoming'!BT29-'Grid_TTAFOutgoing'!BT29))</f>
        <v/>
      </c>
      <c r="BU29">
        <f>IF(COUNTIFS(T_StockCount[Part Name],$A29,T_StockCount[WeekIndex],72)&gt;0,0,IF(('T_TTAFStock'!BU33&lt;&gt;""),'T_TTAFStock'!BU33,BT29+'Grid_Incoming'!BU29-'Grid_TTAFOutgoing'!BU29))</f>
        <v/>
      </c>
      <c r="BV29">
        <f>IF(COUNTIFS(T_StockCount[Part Name],$A29,T_StockCount[WeekIndex],73)&gt;0,0,IF(('T_TTAFStock'!BV33&lt;&gt;""),'T_TTAFStock'!BV33,BU29+'Grid_Incoming'!BV29-'Grid_TTAFOutgoing'!BV29))</f>
        <v/>
      </c>
      <c r="BW29">
        <f>IF(COUNTIFS(T_StockCount[Part Name],$A29,T_StockCount[WeekIndex],74)&gt;0,0,IF(('T_TTAFStock'!BW33&lt;&gt;""),'T_TTAFStock'!BW33,BV29+'Grid_Incoming'!BW29-'Grid_TTAFOutgoing'!BW29))</f>
        <v/>
      </c>
      <c r="BX29">
        <f>IF(COUNTIFS(T_StockCount[Part Name],$A29,T_StockCount[WeekIndex],75)&gt;0,0,IF(('T_TTAFStock'!BX33&lt;&gt;""),'T_TTAFStock'!BX33,BW29+'Grid_Incoming'!BX29-'Grid_TTAFOutgoing'!BX29))</f>
        <v/>
      </c>
      <c r="BY29">
        <f>IF(COUNTIFS(T_StockCount[Part Name],$A29,T_StockCount[WeekIndex],76)&gt;0,0,IF(('T_TTAFStock'!BY33&lt;&gt;""),'T_TTAFStock'!BY33,BX29+'Grid_Incoming'!BY29-'Grid_TTAFOutgoing'!BY29))</f>
        <v/>
      </c>
      <c r="BZ29">
        <f>IF(COUNTIFS(T_StockCount[Part Name],$A29,T_StockCount[WeekIndex],77)&gt;0,0,IF(('T_TTAFStock'!BZ33&lt;&gt;""),'T_TTAFStock'!BZ33,BY29+'Grid_Incoming'!BZ29-'Grid_TTAFOutgoing'!BZ29))</f>
        <v/>
      </c>
      <c r="CA29">
        <f>IF(COUNTIFS(T_StockCount[Part Name],$A29,T_StockCount[WeekIndex],78)&gt;0,0,IF(('T_TTAFStock'!CA33&lt;&gt;""),'T_TTAFStock'!CA33,BZ29+'Grid_Incoming'!CA29-'Grid_TTAFOutgoing'!CA29))</f>
        <v/>
      </c>
      <c r="CB29">
        <f>IF(COUNTIFS(T_StockCount[Part Name],$A29,T_StockCount[WeekIndex],79)&gt;0,0,IF(('T_TTAFStock'!CB33&lt;&gt;""),'T_TTAFStock'!CB33,CA29+'Grid_Incoming'!CB29-'Grid_TTAFOutgoing'!CB29))</f>
        <v/>
      </c>
      <c r="CC29">
        <f>IF(COUNTIFS(T_StockCount[Part Name],$A29,T_StockCount[WeekIndex],80)&gt;0,0,IF(('T_TTAFStock'!CC33&lt;&gt;""),'T_TTAFStock'!CC33,CB29+'Grid_Incoming'!CC29-'Grid_TTAFOutgoing'!CC29))</f>
        <v/>
      </c>
      <c r="CD29">
        <f>IF(COUNTIFS(T_StockCount[Part Name],$A29,T_StockCount[WeekIndex],81)&gt;0,0,IF(('T_TTAFStock'!CD33&lt;&gt;""),'T_TTAFStock'!CD33,CC29+'Grid_Incoming'!CD29-'Grid_TTAFOutgoing'!CD29))</f>
        <v/>
      </c>
      <c r="CE29">
        <f>IF(COUNTIFS(T_StockCount[Part Name],$A29,T_StockCount[WeekIndex],82)&gt;0,0,IF(('T_TTAFStock'!CE33&lt;&gt;""),'T_TTAFStock'!CE33,CD29+'Grid_Incoming'!CE29-'Grid_TTAFOutgoing'!CE29))</f>
        <v/>
      </c>
      <c r="CF29">
        <f>IF(COUNTIFS(T_StockCount[Part Name],$A29,T_StockCount[WeekIndex],83)&gt;0,0,IF(('T_TTAFStock'!CF33&lt;&gt;""),'T_TTAFStock'!CF33,CE29+'Grid_Incoming'!CF29-'Grid_TTAFOutgoing'!CF29))</f>
        <v/>
      </c>
      <c r="CG29">
        <f>IF(COUNTIFS(T_StockCount[Part Name],$A29,T_StockCount[WeekIndex],84)&gt;0,0,IF(('T_TTAFStock'!CG33&lt;&gt;""),'T_TTAFStock'!CG33,CF29+'Grid_Incoming'!CG29-'Grid_TTAFOutgoing'!CG29))</f>
        <v/>
      </c>
      <c r="CH29">
        <f>IF(COUNTIFS(T_StockCount[Part Name],$A29,T_StockCount[WeekIndex],85)&gt;0,0,IF(('T_TTAFStock'!CH33&lt;&gt;""),'T_TTAFStock'!CH33,CG29+'Grid_Incoming'!CH29-'Grid_TTAFOutgoing'!CH29))</f>
        <v/>
      </c>
      <c r="CI29">
        <f>IF(COUNTIFS(T_StockCount[Part Name],$A29,T_StockCount[WeekIndex],86)&gt;0,0,IF(('T_TTAFStock'!CI33&lt;&gt;""),'T_TTAFStock'!CI33,CH29+'Grid_Incoming'!CI29-'Grid_TTAFOutgoing'!CI29))</f>
        <v/>
      </c>
      <c r="CJ29">
        <f>IF(COUNTIFS(T_StockCount[Part Name],$A29,T_StockCount[WeekIndex],87)&gt;0,0,IF(('T_TTAFStock'!CJ33&lt;&gt;""),'T_TTAFStock'!CJ33,CI29+'Grid_Incoming'!CJ29-'Grid_TTAFOutgoing'!CJ29))</f>
        <v/>
      </c>
      <c r="CK29">
        <f>IF(COUNTIFS(T_StockCount[Part Name],$A29,T_StockCount[WeekIndex],88)&gt;0,0,IF(('T_TTAFStock'!CK33&lt;&gt;""),'T_TTAFStock'!CK33,CJ29+'Grid_Incoming'!CK29-'Grid_TTAFOutgoing'!CK29))</f>
        <v/>
      </c>
      <c r="CL29">
        <f>IF(COUNTIFS(T_StockCount[Part Name],$A29,T_StockCount[WeekIndex],89)&gt;0,0,IF(('T_TTAFStock'!CL33&lt;&gt;""),'T_TTAFStock'!CL33,CK29+'Grid_Incoming'!CL29-'Grid_TTAFOutgoing'!CL29))</f>
        <v/>
      </c>
      <c r="CM29">
        <f>IF(COUNTIFS(T_StockCount[Part Name],$A29,T_StockCount[WeekIndex],90)&gt;0,0,IF(('T_TTAFStock'!CM33&lt;&gt;""),'T_TTAFStock'!CM33,CL29+'Grid_Incoming'!CM29-'Grid_TTAFOutgoing'!CM29))</f>
        <v/>
      </c>
      <c r="CN29">
        <f>IF(COUNTIFS(T_StockCount[Part Name],$A29,T_StockCount[WeekIndex],91)&gt;0,0,IF(('T_TTAFStock'!CN33&lt;&gt;""),'T_TTAFStock'!CN33,CM29+'Grid_Incoming'!CN29-'Grid_TTAFOutgoing'!CN29))</f>
        <v/>
      </c>
      <c r="CO29">
        <f>IF(COUNTIFS(T_StockCount[Part Name],$A29,T_StockCount[WeekIndex],92)&gt;0,0,IF(('T_TTAFStock'!CO33&lt;&gt;""),'T_TTAFStock'!CO33,CN29+'Grid_Incoming'!CO29-'Grid_TTAFOutgoing'!CO29))</f>
        <v/>
      </c>
      <c r="CP29">
        <f>IF(COUNTIFS(T_StockCount[Part Name],$A29,T_StockCount[WeekIndex],93)&gt;0,0,IF(('T_TTAFStock'!CP33&lt;&gt;""),'T_TTAFStock'!CP33,CO29+'Grid_Incoming'!CP29-'Grid_TTAFOutgoing'!CP29))</f>
        <v/>
      </c>
      <c r="CQ29">
        <f>IF(COUNTIFS(T_StockCount[Part Name],$A29,T_StockCount[WeekIndex],94)&gt;0,0,IF(('T_TTAFStock'!CQ33&lt;&gt;""),'T_TTAFStock'!CQ33,CP29+'Grid_Incoming'!CQ29-'Grid_TTAFOutgoing'!CQ29))</f>
        <v/>
      </c>
      <c r="CR29">
        <f>IF(COUNTIFS(T_StockCount[Part Name],$A29,T_StockCount[WeekIndex],95)&gt;0,0,IF(('T_TTAFStock'!CR33&lt;&gt;""),'T_TTAFStock'!CR33,CQ29+'Grid_Incoming'!CR29-'Grid_TTAFOutgoing'!CR29))</f>
        <v/>
      </c>
      <c r="CS29">
        <f>IF(COUNTIFS(T_StockCount[Part Name],$A29,T_StockCount[WeekIndex],96)&gt;0,0,IF(('T_TTAFStock'!CS33&lt;&gt;""),'T_TTAFStock'!CS33,CR29+'Grid_Incoming'!CS29-'Grid_TTAFOutgoing'!CS29))</f>
        <v/>
      </c>
      <c r="CT29">
        <f>IF(COUNTIFS(T_StockCount[Part Name],$A29,T_StockCount[WeekIndex],97)&gt;0,0,IF(('T_TTAFStock'!CT33&lt;&gt;""),'T_TTAFStock'!CT33,CS29+'Grid_Incoming'!CT29-'Grid_TTAFOutgoing'!CT29))</f>
        <v/>
      </c>
      <c r="CU29">
        <f>IF(COUNTIFS(T_StockCount[Part Name],$A29,T_StockCount[WeekIndex],98)&gt;0,0,IF(('T_TTAFStock'!CU33&lt;&gt;""),'T_TTAFStock'!CU33,CT29+'Grid_Incoming'!CU29-'Grid_TTAFOutgoing'!CU29))</f>
        <v/>
      </c>
      <c r="CV29">
        <f>IF(COUNTIFS(T_StockCount[Part Name],$A29,T_StockCount[WeekIndex],99)&gt;0,0,IF(('T_TTAFStock'!CV33&lt;&gt;""),'T_TTAFStock'!CV33,CU29+'Grid_Incoming'!CV29-'Grid_TTAFOutgoing'!CV29))</f>
        <v/>
      </c>
      <c r="CW29">
        <f>IF(COUNTIFS(T_StockCount[Part Name],$A29,T_StockCount[WeekIndex],100)&gt;0,0,IF(('T_TTAFStock'!CW33&lt;&gt;""),'T_TTAFStock'!CW33,CV29+'Grid_Incoming'!CW29-'Grid_TTAFOutgoing'!CW29))</f>
        <v/>
      </c>
      <c r="CX29">
        <f>IF(COUNTIFS(T_StockCount[Part Name],$A29,T_StockCount[WeekIndex],101)&gt;0,0,IF(('T_TTAFStock'!CX33&lt;&gt;""),'T_TTAFStock'!CX33,CW29+'Grid_Incoming'!CX29-'Grid_TTAFOutgoing'!CX29))</f>
        <v/>
      </c>
      <c r="CY29">
        <f>IF(COUNTIFS(T_StockCount[Part Name],$A29,T_StockCount[WeekIndex],102)&gt;0,0,IF(('T_TTAFStock'!CY33&lt;&gt;""),'T_TTAFStock'!CY33,CX29+'Grid_Incoming'!CY29-'Grid_TTAFOutgoing'!CY29))</f>
        <v/>
      </c>
      <c r="CZ29">
        <f>IF(COUNTIFS(T_StockCount[Part Name],$A29,T_StockCount[WeekIndex],103)&gt;0,0,IF(('T_TTAFStock'!CZ33&lt;&gt;""),'T_TTAFStock'!CZ33,CY29+'Grid_Incoming'!CZ29-'Grid_TTAFOutgoing'!CZ29))</f>
        <v/>
      </c>
      <c r="DA29">
        <f>IF(COUNTIFS(T_StockCount[Part Name],$A29,T_StockCount[WeekIndex],104)&gt;0,0,IF(('T_TTAFStock'!DA33&lt;&gt;""),'T_TTAFStock'!DA33,CZ29+'Grid_Incoming'!DA29-'Grid_TTAFOutgoing'!DA29))</f>
        <v/>
      </c>
    </row>
    <row r="30">
      <c r="A30" t="inlineStr">
        <is>
          <t>TDJ</t>
        </is>
      </c>
      <c r="B30">
        <f>IF(COUNTIFS(T_StockCount[Part Name],$A30,T_StockCount[WeekIndex],1)&gt;0,0,IF(('T_TTAFStock'!B34&lt;&gt;""),'T_TTAFStock'!B34,0+'Grid_Incoming'!B30-'Grid_TTAFOutgoing'!B30))</f>
        <v/>
      </c>
      <c r="C30">
        <f>IF(COUNTIFS(T_StockCount[Part Name],$A30,T_StockCount[WeekIndex],2)&gt;0,0,IF(('T_TTAFStock'!C34&lt;&gt;""),'T_TTAFStock'!C34,B30+'Grid_Incoming'!C30-'Grid_TTAFOutgoing'!C30))</f>
        <v/>
      </c>
      <c r="D30">
        <f>IF(COUNTIFS(T_StockCount[Part Name],$A30,T_StockCount[WeekIndex],3)&gt;0,0,IF(('T_TTAFStock'!D34&lt;&gt;""),'T_TTAFStock'!D34,C30+'Grid_Incoming'!D30-'Grid_TTAFOutgoing'!D30))</f>
        <v/>
      </c>
      <c r="E30">
        <f>IF(COUNTIFS(T_StockCount[Part Name],$A30,T_StockCount[WeekIndex],4)&gt;0,0,IF(('T_TTAFStock'!E34&lt;&gt;""),'T_TTAFStock'!E34,D30+'Grid_Incoming'!E30-'Grid_TTAFOutgoing'!E30))</f>
        <v/>
      </c>
      <c r="F30">
        <f>IF(COUNTIFS(T_StockCount[Part Name],$A30,T_StockCount[WeekIndex],5)&gt;0,0,IF(('T_TTAFStock'!F34&lt;&gt;""),'T_TTAFStock'!F34,E30+'Grid_Incoming'!F30-'Grid_TTAFOutgoing'!F30))</f>
        <v/>
      </c>
      <c r="G30">
        <f>IF(COUNTIFS(T_StockCount[Part Name],$A30,T_StockCount[WeekIndex],6)&gt;0,0,IF(('T_TTAFStock'!G34&lt;&gt;""),'T_TTAFStock'!G34,F30+'Grid_Incoming'!G30-'Grid_TTAFOutgoing'!G30))</f>
        <v/>
      </c>
      <c r="H30">
        <f>IF(COUNTIFS(T_StockCount[Part Name],$A30,T_StockCount[WeekIndex],7)&gt;0,0,IF(('T_TTAFStock'!H34&lt;&gt;""),'T_TTAFStock'!H34,G30+'Grid_Incoming'!H30-'Grid_TTAFOutgoing'!H30))</f>
        <v/>
      </c>
      <c r="I30">
        <f>IF(COUNTIFS(T_StockCount[Part Name],$A30,T_StockCount[WeekIndex],8)&gt;0,0,IF(('T_TTAFStock'!I34&lt;&gt;""),'T_TTAFStock'!I34,H30+'Grid_Incoming'!I30-'Grid_TTAFOutgoing'!I30))</f>
        <v/>
      </c>
      <c r="J30">
        <f>IF(COUNTIFS(T_StockCount[Part Name],$A30,T_StockCount[WeekIndex],9)&gt;0,0,IF(('T_TTAFStock'!J34&lt;&gt;""),'T_TTAFStock'!J34,I30+'Grid_Incoming'!J30-'Grid_TTAFOutgoing'!J30))</f>
        <v/>
      </c>
      <c r="K30">
        <f>IF(COUNTIFS(T_StockCount[Part Name],$A30,T_StockCount[WeekIndex],10)&gt;0,0,IF(('T_TTAFStock'!K34&lt;&gt;""),'T_TTAFStock'!K34,J30+'Grid_Incoming'!K30-'Grid_TTAFOutgoing'!K30))</f>
        <v/>
      </c>
      <c r="L30">
        <f>IF(COUNTIFS(T_StockCount[Part Name],$A30,T_StockCount[WeekIndex],11)&gt;0,0,IF(('T_TTAFStock'!L34&lt;&gt;""),'T_TTAFStock'!L34,K30+'Grid_Incoming'!L30-'Grid_TTAFOutgoing'!L30))</f>
        <v/>
      </c>
      <c r="M30">
        <f>IF(COUNTIFS(T_StockCount[Part Name],$A30,T_StockCount[WeekIndex],12)&gt;0,0,IF(('T_TTAFStock'!M34&lt;&gt;""),'T_TTAFStock'!M34,L30+'Grid_Incoming'!M30-'Grid_TTAFOutgoing'!M30))</f>
        <v/>
      </c>
      <c r="N30">
        <f>IF(COUNTIFS(T_StockCount[Part Name],$A30,T_StockCount[WeekIndex],13)&gt;0,0,IF(('T_TTAFStock'!N34&lt;&gt;""),'T_TTAFStock'!N34,M30+'Grid_Incoming'!N30-'Grid_TTAFOutgoing'!N30))</f>
        <v/>
      </c>
      <c r="O30">
        <f>IF(COUNTIFS(T_StockCount[Part Name],$A30,T_StockCount[WeekIndex],14)&gt;0,0,IF(('T_TTAFStock'!O34&lt;&gt;""),'T_TTAFStock'!O34,N30+'Grid_Incoming'!O30-'Grid_TTAFOutgoing'!O30))</f>
        <v/>
      </c>
      <c r="P30">
        <f>IF(COUNTIFS(T_StockCount[Part Name],$A30,T_StockCount[WeekIndex],15)&gt;0,0,IF(('T_TTAFStock'!P34&lt;&gt;""),'T_TTAFStock'!P34,O30+'Grid_Incoming'!P30-'Grid_TTAFOutgoing'!P30))</f>
        <v/>
      </c>
      <c r="Q30">
        <f>IF(COUNTIFS(T_StockCount[Part Name],$A30,T_StockCount[WeekIndex],16)&gt;0,0,IF(('T_TTAFStock'!Q34&lt;&gt;""),'T_TTAFStock'!Q34,P30+'Grid_Incoming'!Q30-'Grid_TTAFOutgoing'!Q30))</f>
        <v/>
      </c>
      <c r="R30">
        <f>IF(COUNTIFS(T_StockCount[Part Name],$A30,T_StockCount[WeekIndex],17)&gt;0,0,IF(('T_TTAFStock'!R34&lt;&gt;""),'T_TTAFStock'!R34,Q30+'Grid_Incoming'!R30-'Grid_TTAFOutgoing'!R30))</f>
        <v/>
      </c>
      <c r="S30">
        <f>IF(COUNTIFS(T_StockCount[Part Name],$A30,T_StockCount[WeekIndex],18)&gt;0,0,IF(('T_TTAFStock'!S34&lt;&gt;""),'T_TTAFStock'!S34,R30+'Grid_Incoming'!S30-'Grid_TTAFOutgoing'!S30))</f>
        <v/>
      </c>
      <c r="T30">
        <f>IF(COUNTIFS(T_StockCount[Part Name],$A30,T_StockCount[WeekIndex],19)&gt;0,0,IF(('T_TTAFStock'!T34&lt;&gt;""),'T_TTAFStock'!T34,S30+'Grid_Incoming'!T30-'Grid_TTAFOutgoing'!T30))</f>
        <v/>
      </c>
      <c r="U30">
        <f>IF(COUNTIFS(T_StockCount[Part Name],$A30,T_StockCount[WeekIndex],20)&gt;0,0,IF(('T_TTAFStock'!U34&lt;&gt;""),'T_TTAFStock'!U34,T30+'Grid_Incoming'!U30-'Grid_TTAFOutgoing'!U30))</f>
        <v/>
      </c>
      <c r="V30">
        <f>IF(COUNTIFS(T_StockCount[Part Name],$A30,T_StockCount[WeekIndex],21)&gt;0,0,IF(('T_TTAFStock'!V34&lt;&gt;""),'T_TTAFStock'!V34,U30+'Grid_Incoming'!V30-'Grid_TTAFOutgoing'!V30))</f>
        <v/>
      </c>
      <c r="W30">
        <f>IF(COUNTIFS(T_StockCount[Part Name],$A30,T_StockCount[WeekIndex],22)&gt;0,0,IF(('T_TTAFStock'!W34&lt;&gt;""),'T_TTAFStock'!W34,V30+'Grid_Incoming'!W30-'Grid_TTAFOutgoing'!W30))</f>
        <v/>
      </c>
      <c r="X30">
        <f>IF(COUNTIFS(T_StockCount[Part Name],$A30,T_StockCount[WeekIndex],23)&gt;0,0,IF(('T_TTAFStock'!X34&lt;&gt;""),'T_TTAFStock'!X34,W30+'Grid_Incoming'!X30-'Grid_TTAFOutgoing'!X30))</f>
        <v/>
      </c>
      <c r="Y30">
        <f>IF(COUNTIFS(T_StockCount[Part Name],$A30,T_StockCount[WeekIndex],24)&gt;0,0,IF(('T_TTAFStock'!Y34&lt;&gt;""),'T_TTAFStock'!Y34,X30+'Grid_Incoming'!Y30-'Grid_TTAFOutgoing'!Y30))</f>
        <v/>
      </c>
      <c r="Z30">
        <f>IF(COUNTIFS(T_StockCount[Part Name],$A30,T_StockCount[WeekIndex],25)&gt;0,0,IF(('T_TTAFStock'!Z34&lt;&gt;""),'T_TTAFStock'!Z34,Y30+'Grid_Incoming'!Z30-'Grid_TTAFOutgoing'!Z30))</f>
        <v/>
      </c>
      <c r="AA30">
        <f>IF(COUNTIFS(T_StockCount[Part Name],$A30,T_StockCount[WeekIndex],26)&gt;0,0,IF(('T_TTAFStock'!AA34&lt;&gt;""),'T_TTAFStock'!AA34,Z30+'Grid_Incoming'!AA30-'Grid_TTAFOutgoing'!AA30))</f>
        <v/>
      </c>
      <c r="AB30">
        <f>IF(COUNTIFS(T_StockCount[Part Name],$A30,T_StockCount[WeekIndex],27)&gt;0,0,IF(('T_TTAFStock'!AB34&lt;&gt;""),'T_TTAFStock'!AB34,AA30+'Grid_Incoming'!AB30-'Grid_TTAFOutgoing'!AB30))</f>
        <v/>
      </c>
      <c r="AC30">
        <f>IF(COUNTIFS(T_StockCount[Part Name],$A30,T_StockCount[WeekIndex],28)&gt;0,0,IF(('T_TTAFStock'!AC34&lt;&gt;""),'T_TTAFStock'!AC34,AB30+'Grid_Incoming'!AC30-'Grid_TTAFOutgoing'!AC30))</f>
        <v/>
      </c>
      <c r="AD30">
        <f>IF(COUNTIFS(T_StockCount[Part Name],$A30,T_StockCount[WeekIndex],29)&gt;0,0,IF(('T_TTAFStock'!AD34&lt;&gt;""),'T_TTAFStock'!AD34,AC30+'Grid_Incoming'!AD30-'Grid_TTAFOutgoing'!AD30))</f>
        <v/>
      </c>
      <c r="AE30">
        <f>IF(COUNTIFS(T_StockCount[Part Name],$A30,T_StockCount[WeekIndex],30)&gt;0,0,IF(('T_TTAFStock'!AE34&lt;&gt;""),'T_TTAFStock'!AE34,AD30+'Grid_Incoming'!AE30-'Grid_TTAFOutgoing'!AE30))</f>
        <v/>
      </c>
      <c r="AF30">
        <f>IF(COUNTIFS(T_StockCount[Part Name],$A30,T_StockCount[WeekIndex],31)&gt;0,0,IF(('T_TTAFStock'!AF34&lt;&gt;""),'T_TTAFStock'!AF34,AE30+'Grid_Incoming'!AF30-'Grid_TTAFOutgoing'!AF30))</f>
        <v/>
      </c>
      <c r="AG30">
        <f>IF(COUNTIFS(T_StockCount[Part Name],$A30,T_StockCount[WeekIndex],32)&gt;0,0,IF(('T_TTAFStock'!AG34&lt;&gt;""),'T_TTAFStock'!AG34,AF30+'Grid_Incoming'!AG30-'Grid_TTAFOutgoing'!AG30))</f>
        <v/>
      </c>
      <c r="AH30">
        <f>IF(COUNTIFS(T_StockCount[Part Name],$A30,T_StockCount[WeekIndex],33)&gt;0,0,IF(('T_TTAFStock'!AH34&lt;&gt;""),'T_TTAFStock'!AH34,AG30+'Grid_Incoming'!AH30-'Grid_TTAFOutgoing'!AH30))</f>
        <v/>
      </c>
      <c r="AI30">
        <f>IF(COUNTIFS(T_StockCount[Part Name],$A30,T_StockCount[WeekIndex],34)&gt;0,0,IF(('T_TTAFStock'!AI34&lt;&gt;""),'T_TTAFStock'!AI34,AH30+'Grid_Incoming'!AI30-'Grid_TTAFOutgoing'!AI30))</f>
        <v/>
      </c>
      <c r="AJ30">
        <f>IF(COUNTIFS(T_StockCount[Part Name],$A30,T_StockCount[WeekIndex],35)&gt;0,0,IF(('T_TTAFStock'!AJ34&lt;&gt;""),'T_TTAFStock'!AJ34,AI30+'Grid_Incoming'!AJ30-'Grid_TTAFOutgoing'!AJ30))</f>
        <v/>
      </c>
      <c r="AK30">
        <f>IF(COUNTIFS(T_StockCount[Part Name],$A30,T_StockCount[WeekIndex],36)&gt;0,0,IF(('T_TTAFStock'!AK34&lt;&gt;""),'T_TTAFStock'!AK34,AJ30+'Grid_Incoming'!AK30-'Grid_TTAFOutgoing'!AK30))</f>
        <v/>
      </c>
      <c r="AL30">
        <f>IF(COUNTIFS(T_StockCount[Part Name],$A30,T_StockCount[WeekIndex],37)&gt;0,0,IF(('T_TTAFStock'!AL34&lt;&gt;""),'T_TTAFStock'!AL34,AK30+'Grid_Incoming'!AL30-'Grid_TTAFOutgoing'!AL30))</f>
        <v/>
      </c>
      <c r="AM30">
        <f>IF(COUNTIFS(T_StockCount[Part Name],$A30,T_StockCount[WeekIndex],38)&gt;0,0,IF(('T_TTAFStock'!AM34&lt;&gt;""),'T_TTAFStock'!AM34,AL30+'Grid_Incoming'!AM30-'Grid_TTAFOutgoing'!AM30))</f>
        <v/>
      </c>
      <c r="AN30">
        <f>IF(COUNTIFS(T_StockCount[Part Name],$A30,T_StockCount[WeekIndex],39)&gt;0,0,IF(('T_TTAFStock'!AN34&lt;&gt;""),'T_TTAFStock'!AN34,AM30+'Grid_Incoming'!AN30-'Grid_TTAFOutgoing'!AN30))</f>
        <v/>
      </c>
      <c r="AO30">
        <f>IF(COUNTIFS(T_StockCount[Part Name],$A30,T_StockCount[WeekIndex],40)&gt;0,0,IF(('T_TTAFStock'!AO34&lt;&gt;""),'T_TTAFStock'!AO34,AN30+'Grid_Incoming'!AO30-'Grid_TTAFOutgoing'!AO30))</f>
        <v/>
      </c>
      <c r="AP30">
        <f>IF(COUNTIFS(T_StockCount[Part Name],$A30,T_StockCount[WeekIndex],41)&gt;0,0,IF(('T_TTAFStock'!AP34&lt;&gt;""),'T_TTAFStock'!AP34,AO30+'Grid_Incoming'!AP30-'Grid_TTAFOutgoing'!AP30))</f>
        <v/>
      </c>
      <c r="AQ30">
        <f>IF(COUNTIFS(T_StockCount[Part Name],$A30,T_StockCount[WeekIndex],42)&gt;0,0,IF(('T_TTAFStock'!AQ34&lt;&gt;""),'T_TTAFStock'!AQ34,AP30+'Grid_Incoming'!AQ30-'Grid_TTAFOutgoing'!AQ30))</f>
        <v/>
      </c>
      <c r="AR30">
        <f>IF(COUNTIFS(T_StockCount[Part Name],$A30,T_StockCount[WeekIndex],43)&gt;0,0,IF(('T_TTAFStock'!AR34&lt;&gt;""),'T_TTAFStock'!AR34,AQ30+'Grid_Incoming'!AR30-'Grid_TTAFOutgoing'!AR30))</f>
        <v/>
      </c>
      <c r="AS30">
        <f>IF(COUNTIFS(T_StockCount[Part Name],$A30,T_StockCount[WeekIndex],44)&gt;0,0,IF(('T_TTAFStock'!AS34&lt;&gt;""),'T_TTAFStock'!AS34,AR30+'Grid_Incoming'!AS30-'Grid_TTAFOutgoing'!AS30))</f>
        <v/>
      </c>
      <c r="AT30">
        <f>IF(COUNTIFS(T_StockCount[Part Name],$A30,T_StockCount[WeekIndex],45)&gt;0,0,IF(('T_TTAFStock'!AT34&lt;&gt;""),'T_TTAFStock'!AT34,AS30+'Grid_Incoming'!AT30-'Grid_TTAFOutgoing'!AT30))</f>
        <v/>
      </c>
      <c r="AU30">
        <f>IF(COUNTIFS(T_StockCount[Part Name],$A30,T_StockCount[WeekIndex],46)&gt;0,0,IF(('T_TTAFStock'!AU34&lt;&gt;""),'T_TTAFStock'!AU34,AT30+'Grid_Incoming'!AU30-'Grid_TTAFOutgoing'!AU30))</f>
        <v/>
      </c>
      <c r="AV30">
        <f>IF(COUNTIFS(T_StockCount[Part Name],$A30,T_StockCount[WeekIndex],47)&gt;0,0,IF(('T_TTAFStock'!AV34&lt;&gt;""),'T_TTAFStock'!AV34,AU30+'Grid_Incoming'!AV30-'Grid_TTAFOutgoing'!AV30))</f>
        <v/>
      </c>
      <c r="AW30">
        <f>IF(COUNTIFS(T_StockCount[Part Name],$A30,T_StockCount[WeekIndex],48)&gt;0,0,IF(('T_TTAFStock'!AW34&lt;&gt;""),'T_TTAFStock'!AW34,AV30+'Grid_Incoming'!AW30-'Grid_TTAFOutgoing'!AW30))</f>
        <v/>
      </c>
      <c r="AX30">
        <f>IF(COUNTIFS(T_StockCount[Part Name],$A30,T_StockCount[WeekIndex],49)&gt;0,0,IF(('T_TTAFStock'!AX34&lt;&gt;""),'T_TTAFStock'!AX34,AW30+'Grid_Incoming'!AX30-'Grid_TTAFOutgoing'!AX30))</f>
        <v/>
      </c>
      <c r="AY30">
        <f>IF(COUNTIFS(T_StockCount[Part Name],$A30,T_StockCount[WeekIndex],50)&gt;0,0,IF(('T_TTAFStock'!AY34&lt;&gt;""),'T_TTAFStock'!AY34,AX30+'Grid_Incoming'!AY30-'Grid_TTAFOutgoing'!AY30))</f>
        <v/>
      </c>
      <c r="AZ30">
        <f>IF(COUNTIFS(T_StockCount[Part Name],$A30,T_StockCount[WeekIndex],51)&gt;0,0,IF(('T_TTAFStock'!AZ34&lt;&gt;""),'T_TTAFStock'!AZ34,AY30+'Grid_Incoming'!AZ30-'Grid_TTAFOutgoing'!AZ30))</f>
        <v/>
      </c>
      <c r="BA30">
        <f>IF(COUNTIFS(T_StockCount[Part Name],$A30,T_StockCount[WeekIndex],52)&gt;0,0,IF(('T_TTAFStock'!BA34&lt;&gt;""),'T_TTAFStock'!BA34,AZ30+'Grid_Incoming'!BA30-'Grid_TTAFOutgoing'!BA30))</f>
        <v/>
      </c>
      <c r="BB30">
        <f>IF(COUNTIFS(T_StockCount[Part Name],$A30,T_StockCount[WeekIndex],53)&gt;0,0,IF(('T_TTAFStock'!BB34&lt;&gt;""),'T_TTAFStock'!BB34,BA30+'Grid_Incoming'!BB30-'Grid_TTAFOutgoing'!BB30))</f>
        <v/>
      </c>
      <c r="BC30">
        <f>IF(COUNTIFS(T_StockCount[Part Name],$A30,T_StockCount[WeekIndex],54)&gt;0,0,IF(('T_TTAFStock'!BC34&lt;&gt;""),'T_TTAFStock'!BC34,BB30+'Grid_Incoming'!BC30-'Grid_TTAFOutgoing'!BC30))</f>
        <v/>
      </c>
      <c r="BD30">
        <f>IF(COUNTIFS(T_StockCount[Part Name],$A30,T_StockCount[WeekIndex],55)&gt;0,0,IF(('T_TTAFStock'!BD34&lt;&gt;""),'T_TTAFStock'!BD34,BC30+'Grid_Incoming'!BD30-'Grid_TTAFOutgoing'!BD30))</f>
        <v/>
      </c>
      <c r="BE30">
        <f>IF(COUNTIFS(T_StockCount[Part Name],$A30,T_StockCount[WeekIndex],56)&gt;0,0,IF(('T_TTAFStock'!BE34&lt;&gt;""),'T_TTAFStock'!BE34,BD30+'Grid_Incoming'!BE30-'Grid_TTAFOutgoing'!BE30))</f>
        <v/>
      </c>
      <c r="BF30">
        <f>IF(COUNTIFS(T_StockCount[Part Name],$A30,T_StockCount[WeekIndex],57)&gt;0,0,IF(('T_TTAFStock'!BF34&lt;&gt;""),'T_TTAFStock'!BF34,BE30+'Grid_Incoming'!BF30-'Grid_TTAFOutgoing'!BF30))</f>
        <v/>
      </c>
      <c r="BG30">
        <f>IF(COUNTIFS(T_StockCount[Part Name],$A30,T_StockCount[WeekIndex],58)&gt;0,0,IF(('T_TTAFStock'!BG34&lt;&gt;""),'T_TTAFStock'!BG34,BF30+'Grid_Incoming'!BG30-'Grid_TTAFOutgoing'!BG30))</f>
        <v/>
      </c>
      <c r="BH30">
        <f>IF(COUNTIFS(T_StockCount[Part Name],$A30,T_StockCount[WeekIndex],59)&gt;0,0,IF(('T_TTAFStock'!BH34&lt;&gt;""),'T_TTAFStock'!BH34,BG30+'Grid_Incoming'!BH30-'Grid_TTAFOutgoing'!BH30))</f>
        <v/>
      </c>
      <c r="BI30">
        <f>IF(COUNTIFS(T_StockCount[Part Name],$A30,T_StockCount[WeekIndex],60)&gt;0,0,IF(('T_TTAFStock'!BI34&lt;&gt;""),'T_TTAFStock'!BI34,BH30+'Grid_Incoming'!BI30-'Grid_TTAFOutgoing'!BI30))</f>
        <v/>
      </c>
      <c r="BJ30">
        <f>IF(COUNTIFS(T_StockCount[Part Name],$A30,T_StockCount[WeekIndex],61)&gt;0,0,IF(('T_TTAFStock'!BJ34&lt;&gt;""),'T_TTAFStock'!BJ34,BI30+'Grid_Incoming'!BJ30-'Grid_TTAFOutgoing'!BJ30))</f>
        <v/>
      </c>
      <c r="BK30">
        <f>IF(COUNTIFS(T_StockCount[Part Name],$A30,T_StockCount[WeekIndex],62)&gt;0,0,IF(('T_TTAFStock'!BK34&lt;&gt;""),'T_TTAFStock'!BK34,BJ30+'Grid_Incoming'!BK30-'Grid_TTAFOutgoing'!BK30))</f>
        <v/>
      </c>
      <c r="BL30">
        <f>IF(COUNTIFS(T_StockCount[Part Name],$A30,T_StockCount[WeekIndex],63)&gt;0,0,IF(('T_TTAFStock'!BL34&lt;&gt;""),'T_TTAFStock'!BL34,BK30+'Grid_Incoming'!BL30-'Grid_TTAFOutgoing'!BL30))</f>
        <v/>
      </c>
      <c r="BM30">
        <f>IF(COUNTIFS(T_StockCount[Part Name],$A30,T_StockCount[WeekIndex],64)&gt;0,0,IF(('T_TTAFStock'!BM34&lt;&gt;""),'T_TTAFStock'!BM34,BL30+'Grid_Incoming'!BM30-'Grid_TTAFOutgoing'!BM30))</f>
        <v/>
      </c>
      <c r="BN30">
        <f>IF(COUNTIFS(T_StockCount[Part Name],$A30,T_StockCount[WeekIndex],65)&gt;0,0,IF(('T_TTAFStock'!BN34&lt;&gt;""),'T_TTAFStock'!BN34,BM30+'Grid_Incoming'!BN30-'Grid_TTAFOutgoing'!BN30))</f>
        <v/>
      </c>
      <c r="BO30">
        <f>IF(COUNTIFS(T_StockCount[Part Name],$A30,T_StockCount[WeekIndex],66)&gt;0,0,IF(('T_TTAFStock'!BO34&lt;&gt;""),'T_TTAFStock'!BO34,BN30+'Grid_Incoming'!BO30-'Grid_TTAFOutgoing'!BO30))</f>
        <v/>
      </c>
      <c r="BP30">
        <f>IF(COUNTIFS(T_StockCount[Part Name],$A30,T_StockCount[WeekIndex],67)&gt;0,0,IF(('T_TTAFStock'!BP34&lt;&gt;""),'T_TTAFStock'!BP34,BO30+'Grid_Incoming'!BP30-'Grid_TTAFOutgoing'!BP30))</f>
        <v/>
      </c>
      <c r="BQ30">
        <f>IF(COUNTIFS(T_StockCount[Part Name],$A30,T_StockCount[WeekIndex],68)&gt;0,0,IF(('T_TTAFStock'!BQ34&lt;&gt;""),'T_TTAFStock'!BQ34,BP30+'Grid_Incoming'!BQ30-'Grid_TTAFOutgoing'!BQ30))</f>
        <v/>
      </c>
      <c r="BR30">
        <f>IF(COUNTIFS(T_StockCount[Part Name],$A30,T_StockCount[WeekIndex],69)&gt;0,0,IF(('T_TTAFStock'!BR34&lt;&gt;""),'T_TTAFStock'!BR34,BQ30+'Grid_Incoming'!BR30-'Grid_TTAFOutgoing'!BR30))</f>
        <v/>
      </c>
      <c r="BS30">
        <f>IF(COUNTIFS(T_StockCount[Part Name],$A30,T_StockCount[WeekIndex],70)&gt;0,0,IF(('T_TTAFStock'!BS34&lt;&gt;""),'T_TTAFStock'!BS34,BR30+'Grid_Incoming'!BS30-'Grid_TTAFOutgoing'!BS30))</f>
        <v/>
      </c>
      <c r="BT30">
        <f>IF(COUNTIFS(T_StockCount[Part Name],$A30,T_StockCount[WeekIndex],71)&gt;0,0,IF(('T_TTAFStock'!BT34&lt;&gt;""),'T_TTAFStock'!BT34,BS30+'Grid_Incoming'!BT30-'Grid_TTAFOutgoing'!BT30))</f>
        <v/>
      </c>
      <c r="BU30">
        <f>IF(COUNTIFS(T_StockCount[Part Name],$A30,T_StockCount[WeekIndex],72)&gt;0,0,IF(('T_TTAFStock'!BU34&lt;&gt;""),'T_TTAFStock'!BU34,BT30+'Grid_Incoming'!BU30-'Grid_TTAFOutgoing'!BU30))</f>
        <v/>
      </c>
      <c r="BV30">
        <f>IF(COUNTIFS(T_StockCount[Part Name],$A30,T_StockCount[WeekIndex],73)&gt;0,0,IF(('T_TTAFStock'!BV34&lt;&gt;""),'T_TTAFStock'!BV34,BU30+'Grid_Incoming'!BV30-'Grid_TTAFOutgoing'!BV30))</f>
        <v/>
      </c>
      <c r="BW30">
        <f>IF(COUNTIFS(T_StockCount[Part Name],$A30,T_StockCount[WeekIndex],74)&gt;0,0,IF(('T_TTAFStock'!BW34&lt;&gt;""),'T_TTAFStock'!BW34,BV30+'Grid_Incoming'!BW30-'Grid_TTAFOutgoing'!BW30))</f>
        <v/>
      </c>
      <c r="BX30">
        <f>IF(COUNTIFS(T_StockCount[Part Name],$A30,T_StockCount[WeekIndex],75)&gt;0,0,IF(('T_TTAFStock'!BX34&lt;&gt;""),'T_TTAFStock'!BX34,BW30+'Grid_Incoming'!BX30-'Grid_TTAFOutgoing'!BX30))</f>
        <v/>
      </c>
      <c r="BY30">
        <f>IF(COUNTIFS(T_StockCount[Part Name],$A30,T_StockCount[WeekIndex],76)&gt;0,0,IF(('T_TTAFStock'!BY34&lt;&gt;""),'T_TTAFStock'!BY34,BX30+'Grid_Incoming'!BY30-'Grid_TTAFOutgoing'!BY30))</f>
        <v/>
      </c>
      <c r="BZ30">
        <f>IF(COUNTIFS(T_StockCount[Part Name],$A30,T_StockCount[WeekIndex],77)&gt;0,0,IF(('T_TTAFStock'!BZ34&lt;&gt;""),'T_TTAFStock'!BZ34,BY30+'Grid_Incoming'!BZ30-'Grid_TTAFOutgoing'!BZ30))</f>
        <v/>
      </c>
      <c r="CA30">
        <f>IF(COUNTIFS(T_StockCount[Part Name],$A30,T_StockCount[WeekIndex],78)&gt;0,0,IF(('T_TTAFStock'!CA34&lt;&gt;""),'T_TTAFStock'!CA34,BZ30+'Grid_Incoming'!CA30-'Grid_TTAFOutgoing'!CA30))</f>
        <v/>
      </c>
      <c r="CB30">
        <f>IF(COUNTIFS(T_StockCount[Part Name],$A30,T_StockCount[WeekIndex],79)&gt;0,0,IF(('T_TTAFStock'!CB34&lt;&gt;""),'T_TTAFStock'!CB34,CA30+'Grid_Incoming'!CB30-'Grid_TTAFOutgoing'!CB30))</f>
        <v/>
      </c>
      <c r="CC30">
        <f>IF(COUNTIFS(T_StockCount[Part Name],$A30,T_StockCount[WeekIndex],80)&gt;0,0,IF(('T_TTAFStock'!CC34&lt;&gt;""),'T_TTAFStock'!CC34,CB30+'Grid_Incoming'!CC30-'Grid_TTAFOutgoing'!CC30))</f>
        <v/>
      </c>
      <c r="CD30">
        <f>IF(COUNTIFS(T_StockCount[Part Name],$A30,T_StockCount[WeekIndex],81)&gt;0,0,IF(('T_TTAFStock'!CD34&lt;&gt;""),'T_TTAFStock'!CD34,CC30+'Grid_Incoming'!CD30-'Grid_TTAFOutgoing'!CD30))</f>
        <v/>
      </c>
      <c r="CE30">
        <f>IF(COUNTIFS(T_StockCount[Part Name],$A30,T_StockCount[WeekIndex],82)&gt;0,0,IF(('T_TTAFStock'!CE34&lt;&gt;""),'T_TTAFStock'!CE34,CD30+'Grid_Incoming'!CE30-'Grid_TTAFOutgoing'!CE30))</f>
        <v/>
      </c>
      <c r="CF30">
        <f>IF(COUNTIFS(T_StockCount[Part Name],$A30,T_StockCount[WeekIndex],83)&gt;0,0,IF(('T_TTAFStock'!CF34&lt;&gt;""),'T_TTAFStock'!CF34,CE30+'Grid_Incoming'!CF30-'Grid_TTAFOutgoing'!CF30))</f>
        <v/>
      </c>
      <c r="CG30">
        <f>IF(COUNTIFS(T_StockCount[Part Name],$A30,T_StockCount[WeekIndex],84)&gt;0,0,IF(('T_TTAFStock'!CG34&lt;&gt;""),'T_TTAFStock'!CG34,CF30+'Grid_Incoming'!CG30-'Grid_TTAFOutgoing'!CG30))</f>
        <v/>
      </c>
      <c r="CH30">
        <f>IF(COUNTIFS(T_StockCount[Part Name],$A30,T_StockCount[WeekIndex],85)&gt;0,0,IF(('T_TTAFStock'!CH34&lt;&gt;""),'T_TTAFStock'!CH34,CG30+'Grid_Incoming'!CH30-'Grid_TTAFOutgoing'!CH30))</f>
        <v/>
      </c>
      <c r="CI30">
        <f>IF(COUNTIFS(T_StockCount[Part Name],$A30,T_StockCount[WeekIndex],86)&gt;0,0,IF(('T_TTAFStock'!CI34&lt;&gt;""),'T_TTAFStock'!CI34,CH30+'Grid_Incoming'!CI30-'Grid_TTAFOutgoing'!CI30))</f>
        <v/>
      </c>
      <c r="CJ30">
        <f>IF(COUNTIFS(T_StockCount[Part Name],$A30,T_StockCount[WeekIndex],87)&gt;0,0,IF(('T_TTAFStock'!CJ34&lt;&gt;""),'T_TTAFStock'!CJ34,CI30+'Grid_Incoming'!CJ30-'Grid_TTAFOutgoing'!CJ30))</f>
        <v/>
      </c>
      <c r="CK30">
        <f>IF(COUNTIFS(T_StockCount[Part Name],$A30,T_StockCount[WeekIndex],88)&gt;0,0,IF(('T_TTAFStock'!CK34&lt;&gt;""),'T_TTAFStock'!CK34,CJ30+'Grid_Incoming'!CK30-'Grid_TTAFOutgoing'!CK30))</f>
        <v/>
      </c>
      <c r="CL30">
        <f>IF(COUNTIFS(T_StockCount[Part Name],$A30,T_StockCount[WeekIndex],89)&gt;0,0,IF(('T_TTAFStock'!CL34&lt;&gt;""),'T_TTAFStock'!CL34,CK30+'Grid_Incoming'!CL30-'Grid_TTAFOutgoing'!CL30))</f>
        <v/>
      </c>
      <c r="CM30">
        <f>IF(COUNTIFS(T_StockCount[Part Name],$A30,T_StockCount[WeekIndex],90)&gt;0,0,IF(('T_TTAFStock'!CM34&lt;&gt;""),'T_TTAFStock'!CM34,CL30+'Grid_Incoming'!CM30-'Grid_TTAFOutgoing'!CM30))</f>
        <v/>
      </c>
      <c r="CN30">
        <f>IF(COUNTIFS(T_StockCount[Part Name],$A30,T_StockCount[WeekIndex],91)&gt;0,0,IF(('T_TTAFStock'!CN34&lt;&gt;""),'T_TTAFStock'!CN34,CM30+'Grid_Incoming'!CN30-'Grid_TTAFOutgoing'!CN30))</f>
        <v/>
      </c>
      <c r="CO30">
        <f>IF(COUNTIFS(T_StockCount[Part Name],$A30,T_StockCount[WeekIndex],92)&gt;0,0,IF(('T_TTAFStock'!CO34&lt;&gt;""),'T_TTAFStock'!CO34,CN30+'Grid_Incoming'!CO30-'Grid_TTAFOutgoing'!CO30))</f>
        <v/>
      </c>
      <c r="CP30">
        <f>IF(COUNTIFS(T_StockCount[Part Name],$A30,T_StockCount[WeekIndex],93)&gt;0,0,IF(('T_TTAFStock'!CP34&lt;&gt;""),'T_TTAFStock'!CP34,CO30+'Grid_Incoming'!CP30-'Grid_TTAFOutgoing'!CP30))</f>
        <v/>
      </c>
      <c r="CQ30">
        <f>IF(COUNTIFS(T_StockCount[Part Name],$A30,T_StockCount[WeekIndex],94)&gt;0,0,IF(('T_TTAFStock'!CQ34&lt;&gt;""),'T_TTAFStock'!CQ34,CP30+'Grid_Incoming'!CQ30-'Grid_TTAFOutgoing'!CQ30))</f>
        <v/>
      </c>
      <c r="CR30">
        <f>IF(COUNTIFS(T_StockCount[Part Name],$A30,T_StockCount[WeekIndex],95)&gt;0,0,IF(('T_TTAFStock'!CR34&lt;&gt;""),'T_TTAFStock'!CR34,CQ30+'Grid_Incoming'!CR30-'Grid_TTAFOutgoing'!CR30))</f>
        <v/>
      </c>
      <c r="CS30">
        <f>IF(COUNTIFS(T_StockCount[Part Name],$A30,T_StockCount[WeekIndex],96)&gt;0,0,IF(('T_TTAFStock'!CS34&lt;&gt;""),'T_TTAFStock'!CS34,CR30+'Grid_Incoming'!CS30-'Grid_TTAFOutgoing'!CS30))</f>
        <v/>
      </c>
      <c r="CT30">
        <f>IF(COUNTIFS(T_StockCount[Part Name],$A30,T_StockCount[WeekIndex],97)&gt;0,0,IF(('T_TTAFStock'!CT34&lt;&gt;""),'T_TTAFStock'!CT34,CS30+'Grid_Incoming'!CT30-'Grid_TTAFOutgoing'!CT30))</f>
        <v/>
      </c>
      <c r="CU30">
        <f>IF(COUNTIFS(T_StockCount[Part Name],$A30,T_StockCount[WeekIndex],98)&gt;0,0,IF(('T_TTAFStock'!CU34&lt;&gt;""),'T_TTAFStock'!CU34,CT30+'Grid_Incoming'!CU30-'Grid_TTAFOutgoing'!CU30))</f>
        <v/>
      </c>
      <c r="CV30">
        <f>IF(COUNTIFS(T_StockCount[Part Name],$A30,T_StockCount[WeekIndex],99)&gt;0,0,IF(('T_TTAFStock'!CV34&lt;&gt;""),'T_TTAFStock'!CV34,CU30+'Grid_Incoming'!CV30-'Grid_TTAFOutgoing'!CV30))</f>
        <v/>
      </c>
      <c r="CW30">
        <f>IF(COUNTIFS(T_StockCount[Part Name],$A30,T_StockCount[WeekIndex],100)&gt;0,0,IF(('T_TTAFStock'!CW34&lt;&gt;""),'T_TTAFStock'!CW34,CV30+'Grid_Incoming'!CW30-'Grid_TTAFOutgoing'!CW30))</f>
        <v/>
      </c>
      <c r="CX30">
        <f>IF(COUNTIFS(T_StockCount[Part Name],$A30,T_StockCount[WeekIndex],101)&gt;0,0,IF(('T_TTAFStock'!CX34&lt;&gt;""),'T_TTAFStock'!CX34,CW30+'Grid_Incoming'!CX30-'Grid_TTAFOutgoing'!CX30))</f>
        <v/>
      </c>
      <c r="CY30">
        <f>IF(COUNTIFS(T_StockCount[Part Name],$A30,T_StockCount[WeekIndex],102)&gt;0,0,IF(('T_TTAFStock'!CY34&lt;&gt;""),'T_TTAFStock'!CY34,CX30+'Grid_Incoming'!CY30-'Grid_TTAFOutgoing'!CY30))</f>
        <v/>
      </c>
      <c r="CZ30">
        <f>IF(COUNTIFS(T_StockCount[Part Name],$A30,T_StockCount[WeekIndex],103)&gt;0,0,IF(('T_TTAFStock'!CZ34&lt;&gt;""),'T_TTAFStock'!CZ34,CY30+'Grid_Incoming'!CZ30-'Grid_TTAFOutgoing'!CZ30))</f>
        <v/>
      </c>
      <c r="DA30">
        <f>IF(COUNTIFS(T_StockCount[Part Name],$A30,T_StockCount[WeekIndex],104)&gt;0,0,IF(('T_TTAFStock'!DA34&lt;&gt;""),'T_TTAFStock'!DA34,CZ30+'Grid_Incoming'!DA30-'Grid_TTAFOutgoing'!DA30))</f>
        <v/>
      </c>
    </row>
    <row r="31">
      <c r="A31" t="inlineStr">
        <is>
          <t>CHEM-1730</t>
        </is>
      </c>
      <c r="B31">
        <f>IF(COUNTIFS(T_StockCount[Part Name],$A31,T_StockCount[WeekIndex],1)&gt;0,0,IF(('T_TTAFStock'!B35&lt;&gt;""),'T_TTAFStock'!B35,0+'Grid_Incoming'!B31-'Grid_TTAFOutgoing'!B31))</f>
        <v/>
      </c>
      <c r="C31">
        <f>IF(COUNTIFS(T_StockCount[Part Name],$A31,T_StockCount[WeekIndex],2)&gt;0,0,IF(('T_TTAFStock'!C35&lt;&gt;""),'T_TTAFStock'!C35,B31+'Grid_Incoming'!C31-'Grid_TTAFOutgoing'!C31))</f>
        <v/>
      </c>
      <c r="D31">
        <f>IF(COUNTIFS(T_StockCount[Part Name],$A31,T_StockCount[WeekIndex],3)&gt;0,0,IF(('T_TTAFStock'!D35&lt;&gt;""),'T_TTAFStock'!D35,C31+'Grid_Incoming'!D31-'Grid_TTAFOutgoing'!D31))</f>
        <v/>
      </c>
      <c r="E31">
        <f>IF(COUNTIFS(T_StockCount[Part Name],$A31,T_StockCount[WeekIndex],4)&gt;0,0,IF(('T_TTAFStock'!E35&lt;&gt;""),'T_TTAFStock'!E35,D31+'Grid_Incoming'!E31-'Grid_TTAFOutgoing'!E31))</f>
        <v/>
      </c>
      <c r="F31">
        <f>IF(COUNTIFS(T_StockCount[Part Name],$A31,T_StockCount[WeekIndex],5)&gt;0,0,IF(('T_TTAFStock'!F35&lt;&gt;""),'T_TTAFStock'!F35,E31+'Grid_Incoming'!F31-'Grid_TTAFOutgoing'!F31))</f>
        <v/>
      </c>
      <c r="G31">
        <f>IF(COUNTIFS(T_StockCount[Part Name],$A31,T_StockCount[WeekIndex],6)&gt;0,0,IF(('T_TTAFStock'!G35&lt;&gt;""),'T_TTAFStock'!G35,F31+'Grid_Incoming'!G31-'Grid_TTAFOutgoing'!G31))</f>
        <v/>
      </c>
      <c r="H31">
        <f>IF(COUNTIFS(T_StockCount[Part Name],$A31,T_StockCount[WeekIndex],7)&gt;0,0,IF(('T_TTAFStock'!H35&lt;&gt;""),'T_TTAFStock'!H35,G31+'Grid_Incoming'!H31-'Grid_TTAFOutgoing'!H31))</f>
        <v/>
      </c>
      <c r="I31">
        <f>IF(COUNTIFS(T_StockCount[Part Name],$A31,T_StockCount[WeekIndex],8)&gt;0,0,IF(('T_TTAFStock'!I35&lt;&gt;""),'T_TTAFStock'!I35,H31+'Grid_Incoming'!I31-'Grid_TTAFOutgoing'!I31))</f>
        <v/>
      </c>
      <c r="J31">
        <f>IF(COUNTIFS(T_StockCount[Part Name],$A31,T_StockCount[WeekIndex],9)&gt;0,0,IF(('T_TTAFStock'!J35&lt;&gt;""),'T_TTAFStock'!J35,I31+'Grid_Incoming'!J31-'Grid_TTAFOutgoing'!J31))</f>
        <v/>
      </c>
      <c r="K31">
        <f>IF(COUNTIFS(T_StockCount[Part Name],$A31,T_StockCount[WeekIndex],10)&gt;0,0,IF(('T_TTAFStock'!K35&lt;&gt;""),'T_TTAFStock'!K35,J31+'Grid_Incoming'!K31-'Grid_TTAFOutgoing'!K31))</f>
        <v/>
      </c>
      <c r="L31">
        <f>IF(COUNTIFS(T_StockCount[Part Name],$A31,T_StockCount[WeekIndex],11)&gt;0,0,IF(('T_TTAFStock'!L35&lt;&gt;""),'T_TTAFStock'!L35,K31+'Grid_Incoming'!L31-'Grid_TTAFOutgoing'!L31))</f>
        <v/>
      </c>
      <c r="M31">
        <f>IF(COUNTIFS(T_StockCount[Part Name],$A31,T_StockCount[WeekIndex],12)&gt;0,0,IF(('T_TTAFStock'!M35&lt;&gt;""),'T_TTAFStock'!M35,L31+'Grid_Incoming'!M31-'Grid_TTAFOutgoing'!M31))</f>
        <v/>
      </c>
      <c r="N31">
        <f>IF(COUNTIFS(T_StockCount[Part Name],$A31,T_StockCount[WeekIndex],13)&gt;0,0,IF(('T_TTAFStock'!N35&lt;&gt;""),'T_TTAFStock'!N35,M31+'Grid_Incoming'!N31-'Grid_TTAFOutgoing'!N31))</f>
        <v/>
      </c>
      <c r="O31">
        <f>IF(COUNTIFS(T_StockCount[Part Name],$A31,T_StockCount[WeekIndex],14)&gt;0,0,IF(('T_TTAFStock'!O35&lt;&gt;""),'T_TTAFStock'!O35,N31+'Grid_Incoming'!O31-'Grid_TTAFOutgoing'!O31))</f>
        <v/>
      </c>
      <c r="P31">
        <f>IF(COUNTIFS(T_StockCount[Part Name],$A31,T_StockCount[WeekIndex],15)&gt;0,0,IF(('T_TTAFStock'!P35&lt;&gt;""),'T_TTAFStock'!P35,O31+'Grid_Incoming'!P31-'Grid_TTAFOutgoing'!P31))</f>
        <v/>
      </c>
      <c r="Q31">
        <f>IF(COUNTIFS(T_StockCount[Part Name],$A31,T_StockCount[WeekIndex],16)&gt;0,0,IF(('T_TTAFStock'!Q35&lt;&gt;""),'T_TTAFStock'!Q35,P31+'Grid_Incoming'!Q31-'Grid_TTAFOutgoing'!Q31))</f>
        <v/>
      </c>
      <c r="R31">
        <f>IF(COUNTIFS(T_StockCount[Part Name],$A31,T_StockCount[WeekIndex],17)&gt;0,0,IF(('T_TTAFStock'!R35&lt;&gt;""),'T_TTAFStock'!R35,Q31+'Grid_Incoming'!R31-'Grid_TTAFOutgoing'!R31))</f>
        <v/>
      </c>
      <c r="S31">
        <f>IF(COUNTIFS(T_StockCount[Part Name],$A31,T_StockCount[WeekIndex],18)&gt;0,0,IF(('T_TTAFStock'!S35&lt;&gt;""),'T_TTAFStock'!S35,R31+'Grid_Incoming'!S31-'Grid_TTAFOutgoing'!S31))</f>
        <v/>
      </c>
      <c r="T31">
        <f>IF(COUNTIFS(T_StockCount[Part Name],$A31,T_StockCount[WeekIndex],19)&gt;0,0,IF(('T_TTAFStock'!T35&lt;&gt;""),'T_TTAFStock'!T35,S31+'Grid_Incoming'!T31-'Grid_TTAFOutgoing'!T31))</f>
        <v/>
      </c>
      <c r="U31">
        <f>IF(COUNTIFS(T_StockCount[Part Name],$A31,T_StockCount[WeekIndex],20)&gt;0,0,IF(('T_TTAFStock'!U35&lt;&gt;""),'T_TTAFStock'!U35,T31+'Grid_Incoming'!U31-'Grid_TTAFOutgoing'!U31))</f>
        <v/>
      </c>
      <c r="V31">
        <f>IF(COUNTIFS(T_StockCount[Part Name],$A31,T_StockCount[WeekIndex],21)&gt;0,0,IF(('T_TTAFStock'!V35&lt;&gt;""),'T_TTAFStock'!V35,U31+'Grid_Incoming'!V31-'Grid_TTAFOutgoing'!V31))</f>
        <v/>
      </c>
      <c r="W31">
        <f>IF(COUNTIFS(T_StockCount[Part Name],$A31,T_StockCount[WeekIndex],22)&gt;0,0,IF(('T_TTAFStock'!W35&lt;&gt;""),'T_TTAFStock'!W35,V31+'Grid_Incoming'!W31-'Grid_TTAFOutgoing'!W31))</f>
        <v/>
      </c>
      <c r="X31">
        <f>IF(COUNTIFS(T_StockCount[Part Name],$A31,T_StockCount[WeekIndex],23)&gt;0,0,IF(('T_TTAFStock'!X35&lt;&gt;""),'T_TTAFStock'!X35,W31+'Grid_Incoming'!X31-'Grid_TTAFOutgoing'!X31))</f>
        <v/>
      </c>
      <c r="Y31">
        <f>IF(COUNTIFS(T_StockCount[Part Name],$A31,T_StockCount[WeekIndex],24)&gt;0,0,IF(('T_TTAFStock'!Y35&lt;&gt;""),'T_TTAFStock'!Y35,X31+'Grid_Incoming'!Y31-'Grid_TTAFOutgoing'!Y31))</f>
        <v/>
      </c>
      <c r="Z31">
        <f>IF(COUNTIFS(T_StockCount[Part Name],$A31,T_StockCount[WeekIndex],25)&gt;0,0,IF(('T_TTAFStock'!Z35&lt;&gt;""),'T_TTAFStock'!Z35,Y31+'Grid_Incoming'!Z31-'Grid_TTAFOutgoing'!Z31))</f>
        <v/>
      </c>
      <c r="AA31">
        <f>IF(COUNTIFS(T_StockCount[Part Name],$A31,T_StockCount[WeekIndex],26)&gt;0,0,IF(('T_TTAFStock'!AA35&lt;&gt;""),'T_TTAFStock'!AA35,Z31+'Grid_Incoming'!AA31-'Grid_TTAFOutgoing'!AA31))</f>
        <v/>
      </c>
      <c r="AB31">
        <f>IF(COUNTIFS(T_StockCount[Part Name],$A31,T_StockCount[WeekIndex],27)&gt;0,0,IF(('T_TTAFStock'!AB35&lt;&gt;""),'T_TTAFStock'!AB35,AA31+'Grid_Incoming'!AB31-'Grid_TTAFOutgoing'!AB31))</f>
        <v/>
      </c>
      <c r="AC31">
        <f>IF(COUNTIFS(T_StockCount[Part Name],$A31,T_StockCount[WeekIndex],28)&gt;0,0,IF(('T_TTAFStock'!AC35&lt;&gt;""),'T_TTAFStock'!AC35,AB31+'Grid_Incoming'!AC31-'Grid_TTAFOutgoing'!AC31))</f>
        <v/>
      </c>
      <c r="AD31">
        <f>IF(COUNTIFS(T_StockCount[Part Name],$A31,T_StockCount[WeekIndex],29)&gt;0,0,IF(('T_TTAFStock'!AD35&lt;&gt;""),'T_TTAFStock'!AD35,AC31+'Grid_Incoming'!AD31-'Grid_TTAFOutgoing'!AD31))</f>
        <v/>
      </c>
      <c r="AE31">
        <f>IF(COUNTIFS(T_StockCount[Part Name],$A31,T_StockCount[WeekIndex],30)&gt;0,0,IF(('T_TTAFStock'!AE35&lt;&gt;""),'T_TTAFStock'!AE35,AD31+'Grid_Incoming'!AE31-'Grid_TTAFOutgoing'!AE31))</f>
        <v/>
      </c>
      <c r="AF31">
        <f>IF(COUNTIFS(T_StockCount[Part Name],$A31,T_StockCount[WeekIndex],31)&gt;0,0,IF(('T_TTAFStock'!AF35&lt;&gt;""),'T_TTAFStock'!AF35,AE31+'Grid_Incoming'!AF31-'Grid_TTAFOutgoing'!AF31))</f>
        <v/>
      </c>
      <c r="AG31">
        <f>IF(COUNTIFS(T_StockCount[Part Name],$A31,T_StockCount[WeekIndex],32)&gt;0,0,IF(('T_TTAFStock'!AG35&lt;&gt;""),'T_TTAFStock'!AG35,AF31+'Grid_Incoming'!AG31-'Grid_TTAFOutgoing'!AG31))</f>
        <v/>
      </c>
      <c r="AH31">
        <f>IF(COUNTIFS(T_StockCount[Part Name],$A31,T_StockCount[WeekIndex],33)&gt;0,0,IF(('T_TTAFStock'!AH35&lt;&gt;""),'T_TTAFStock'!AH35,AG31+'Grid_Incoming'!AH31-'Grid_TTAFOutgoing'!AH31))</f>
        <v/>
      </c>
      <c r="AI31">
        <f>IF(COUNTIFS(T_StockCount[Part Name],$A31,T_StockCount[WeekIndex],34)&gt;0,0,IF(('T_TTAFStock'!AI35&lt;&gt;""),'T_TTAFStock'!AI35,AH31+'Grid_Incoming'!AI31-'Grid_TTAFOutgoing'!AI31))</f>
        <v/>
      </c>
      <c r="AJ31">
        <f>IF(COUNTIFS(T_StockCount[Part Name],$A31,T_StockCount[WeekIndex],35)&gt;0,0,IF(('T_TTAFStock'!AJ35&lt;&gt;""),'T_TTAFStock'!AJ35,AI31+'Grid_Incoming'!AJ31-'Grid_TTAFOutgoing'!AJ31))</f>
        <v/>
      </c>
      <c r="AK31">
        <f>IF(COUNTIFS(T_StockCount[Part Name],$A31,T_StockCount[WeekIndex],36)&gt;0,0,IF(('T_TTAFStock'!AK35&lt;&gt;""),'T_TTAFStock'!AK35,AJ31+'Grid_Incoming'!AK31-'Grid_TTAFOutgoing'!AK31))</f>
        <v/>
      </c>
      <c r="AL31">
        <f>IF(COUNTIFS(T_StockCount[Part Name],$A31,T_StockCount[WeekIndex],37)&gt;0,0,IF(('T_TTAFStock'!AL35&lt;&gt;""),'T_TTAFStock'!AL35,AK31+'Grid_Incoming'!AL31-'Grid_TTAFOutgoing'!AL31))</f>
        <v/>
      </c>
      <c r="AM31">
        <f>IF(COUNTIFS(T_StockCount[Part Name],$A31,T_StockCount[WeekIndex],38)&gt;0,0,IF(('T_TTAFStock'!AM35&lt;&gt;""),'T_TTAFStock'!AM35,AL31+'Grid_Incoming'!AM31-'Grid_TTAFOutgoing'!AM31))</f>
        <v/>
      </c>
      <c r="AN31">
        <f>IF(COUNTIFS(T_StockCount[Part Name],$A31,T_StockCount[WeekIndex],39)&gt;0,0,IF(('T_TTAFStock'!AN35&lt;&gt;""),'T_TTAFStock'!AN35,AM31+'Grid_Incoming'!AN31-'Grid_TTAFOutgoing'!AN31))</f>
        <v/>
      </c>
      <c r="AO31">
        <f>IF(COUNTIFS(T_StockCount[Part Name],$A31,T_StockCount[WeekIndex],40)&gt;0,0,IF(('T_TTAFStock'!AO35&lt;&gt;""),'T_TTAFStock'!AO35,AN31+'Grid_Incoming'!AO31-'Grid_TTAFOutgoing'!AO31))</f>
        <v/>
      </c>
      <c r="AP31">
        <f>IF(COUNTIFS(T_StockCount[Part Name],$A31,T_StockCount[WeekIndex],41)&gt;0,0,IF(('T_TTAFStock'!AP35&lt;&gt;""),'T_TTAFStock'!AP35,AO31+'Grid_Incoming'!AP31-'Grid_TTAFOutgoing'!AP31))</f>
        <v/>
      </c>
      <c r="AQ31">
        <f>IF(COUNTIFS(T_StockCount[Part Name],$A31,T_StockCount[WeekIndex],42)&gt;0,0,IF(('T_TTAFStock'!AQ35&lt;&gt;""),'T_TTAFStock'!AQ35,AP31+'Grid_Incoming'!AQ31-'Grid_TTAFOutgoing'!AQ31))</f>
        <v/>
      </c>
      <c r="AR31">
        <f>IF(COUNTIFS(T_StockCount[Part Name],$A31,T_StockCount[WeekIndex],43)&gt;0,0,IF(('T_TTAFStock'!AR35&lt;&gt;""),'T_TTAFStock'!AR35,AQ31+'Grid_Incoming'!AR31-'Grid_TTAFOutgoing'!AR31))</f>
        <v/>
      </c>
      <c r="AS31">
        <f>IF(COUNTIFS(T_StockCount[Part Name],$A31,T_StockCount[WeekIndex],44)&gt;0,0,IF(('T_TTAFStock'!AS35&lt;&gt;""),'T_TTAFStock'!AS35,AR31+'Grid_Incoming'!AS31-'Grid_TTAFOutgoing'!AS31))</f>
        <v/>
      </c>
      <c r="AT31">
        <f>IF(COUNTIFS(T_StockCount[Part Name],$A31,T_StockCount[WeekIndex],45)&gt;0,0,IF(('T_TTAFStock'!AT35&lt;&gt;""),'T_TTAFStock'!AT35,AS31+'Grid_Incoming'!AT31-'Grid_TTAFOutgoing'!AT31))</f>
        <v/>
      </c>
      <c r="AU31">
        <f>IF(COUNTIFS(T_StockCount[Part Name],$A31,T_StockCount[WeekIndex],46)&gt;0,0,IF(('T_TTAFStock'!AU35&lt;&gt;""),'T_TTAFStock'!AU35,AT31+'Grid_Incoming'!AU31-'Grid_TTAFOutgoing'!AU31))</f>
        <v/>
      </c>
      <c r="AV31">
        <f>IF(COUNTIFS(T_StockCount[Part Name],$A31,T_StockCount[WeekIndex],47)&gt;0,0,IF(('T_TTAFStock'!AV35&lt;&gt;""),'T_TTAFStock'!AV35,AU31+'Grid_Incoming'!AV31-'Grid_TTAFOutgoing'!AV31))</f>
        <v/>
      </c>
      <c r="AW31">
        <f>IF(COUNTIFS(T_StockCount[Part Name],$A31,T_StockCount[WeekIndex],48)&gt;0,0,IF(('T_TTAFStock'!AW35&lt;&gt;""),'T_TTAFStock'!AW35,AV31+'Grid_Incoming'!AW31-'Grid_TTAFOutgoing'!AW31))</f>
        <v/>
      </c>
      <c r="AX31">
        <f>IF(COUNTIFS(T_StockCount[Part Name],$A31,T_StockCount[WeekIndex],49)&gt;0,0,IF(('T_TTAFStock'!AX35&lt;&gt;""),'T_TTAFStock'!AX35,AW31+'Grid_Incoming'!AX31-'Grid_TTAFOutgoing'!AX31))</f>
        <v/>
      </c>
      <c r="AY31">
        <f>IF(COUNTIFS(T_StockCount[Part Name],$A31,T_StockCount[WeekIndex],50)&gt;0,0,IF(('T_TTAFStock'!AY35&lt;&gt;""),'T_TTAFStock'!AY35,AX31+'Grid_Incoming'!AY31-'Grid_TTAFOutgoing'!AY31))</f>
        <v/>
      </c>
      <c r="AZ31">
        <f>IF(COUNTIFS(T_StockCount[Part Name],$A31,T_StockCount[WeekIndex],51)&gt;0,0,IF(('T_TTAFStock'!AZ35&lt;&gt;""),'T_TTAFStock'!AZ35,AY31+'Grid_Incoming'!AZ31-'Grid_TTAFOutgoing'!AZ31))</f>
        <v/>
      </c>
      <c r="BA31">
        <f>IF(COUNTIFS(T_StockCount[Part Name],$A31,T_StockCount[WeekIndex],52)&gt;0,0,IF(('T_TTAFStock'!BA35&lt;&gt;""),'T_TTAFStock'!BA35,AZ31+'Grid_Incoming'!BA31-'Grid_TTAFOutgoing'!BA31))</f>
        <v/>
      </c>
      <c r="BB31">
        <f>IF(COUNTIFS(T_StockCount[Part Name],$A31,T_StockCount[WeekIndex],53)&gt;0,0,IF(('T_TTAFStock'!BB35&lt;&gt;""),'T_TTAFStock'!BB35,BA31+'Grid_Incoming'!BB31-'Grid_TTAFOutgoing'!BB31))</f>
        <v/>
      </c>
      <c r="BC31">
        <f>IF(COUNTIFS(T_StockCount[Part Name],$A31,T_StockCount[WeekIndex],54)&gt;0,0,IF(('T_TTAFStock'!BC35&lt;&gt;""),'T_TTAFStock'!BC35,BB31+'Grid_Incoming'!BC31-'Grid_TTAFOutgoing'!BC31))</f>
        <v/>
      </c>
      <c r="BD31">
        <f>IF(COUNTIFS(T_StockCount[Part Name],$A31,T_StockCount[WeekIndex],55)&gt;0,0,IF(('T_TTAFStock'!BD35&lt;&gt;""),'T_TTAFStock'!BD35,BC31+'Grid_Incoming'!BD31-'Grid_TTAFOutgoing'!BD31))</f>
        <v/>
      </c>
      <c r="BE31">
        <f>IF(COUNTIFS(T_StockCount[Part Name],$A31,T_StockCount[WeekIndex],56)&gt;0,0,IF(('T_TTAFStock'!BE35&lt;&gt;""),'T_TTAFStock'!BE35,BD31+'Grid_Incoming'!BE31-'Grid_TTAFOutgoing'!BE31))</f>
        <v/>
      </c>
      <c r="BF31">
        <f>IF(COUNTIFS(T_StockCount[Part Name],$A31,T_StockCount[WeekIndex],57)&gt;0,0,IF(('T_TTAFStock'!BF35&lt;&gt;""),'T_TTAFStock'!BF35,BE31+'Grid_Incoming'!BF31-'Grid_TTAFOutgoing'!BF31))</f>
        <v/>
      </c>
      <c r="BG31">
        <f>IF(COUNTIFS(T_StockCount[Part Name],$A31,T_StockCount[WeekIndex],58)&gt;0,0,IF(('T_TTAFStock'!BG35&lt;&gt;""),'T_TTAFStock'!BG35,BF31+'Grid_Incoming'!BG31-'Grid_TTAFOutgoing'!BG31))</f>
        <v/>
      </c>
      <c r="BH31">
        <f>IF(COUNTIFS(T_StockCount[Part Name],$A31,T_StockCount[WeekIndex],59)&gt;0,0,IF(('T_TTAFStock'!BH35&lt;&gt;""),'T_TTAFStock'!BH35,BG31+'Grid_Incoming'!BH31-'Grid_TTAFOutgoing'!BH31))</f>
        <v/>
      </c>
      <c r="BI31">
        <f>IF(COUNTIFS(T_StockCount[Part Name],$A31,T_StockCount[WeekIndex],60)&gt;0,0,IF(('T_TTAFStock'!BI35&lt;&gt;""),'T_TTAFStock'!BI35,BH31+'Grid_Incoming'!BI31-'Grid_TTAFOutgoing'!BI31))</f>
        <v/>
      </c>
      <c r="BJ31">
        <f>IF(COUNTIFS(T_StockCount[Part Name],$A31,T_StockCount[WeekIndex],61)&gt;0,0,IF(('T_TTAFStock'!BJ35&lt;&gt;""),'T_TTAFStock'!BJ35,BI31+'Grid_Incoming'!BJ31-'Grid_TTAFOutgoing'!BJ31))</f>
        <v/>
      </c>
      <c r="BK31">
        <f>IF(COUNTIFS(T_StockCount[Part Name],$A31,T_StockCount[WeekIndex],62)&gt;0,0,IF(('T_TTAFStock'!BK35&lt;&gt;""),'T_TTAFStock'!BK35,BJ31+'Grid_Incoming'!BK31-'Grid_TTAFOutgoing'!BK31))</f>
        <v/>
      </c>
      <c r="BL31">
        <f>IF(COUNTIFS(T_StockCount[Part Name],$A31,T_StockCount[WeekIndex],63)&gt;0,0,IF(('T_TTAFStock'!BL35&lt;&gt;""),'T_TTAFStock'!BL35,BK31+'Grid_Incoming'!BL31-'Grid_TTAFOutgoing'!BL31))</f>
        <v/>
      </c>
      <c r="BM31">
        <f>IF(COUNTIFS(T_StockCount[Part Name],$A31,T_StockCount[WeekIndex],64)&gt;0,0,IF(('T_TTAFStock'!BM35&lt;&gt;""),'T_TTAFStock'!BM35,BL31+'Grid_Incoming'!BM31-'Grid_TTAFOutgoing'!BM31))</f>
        <v/>
      </c>
      <c r="BN31">
        <f>IF(COUNTIFS(T_StockCount[Part Name],$A31,T_StockCount[WeekIndex],65)&gt;0,0,IF(('T_TTAFStock'!BN35&lt;&gt;""),'T_TTAFStock'!BN35,BM31+'Grid_Incoming'!BN31-'Grid_TTAFOutgoing'!BN31))</f>
        <v/>
      </c>
      <c r="BO31">
        <f>IF(COUNTIFS(T_StockCount[Part Name],$A31,T_StockCount[WeekIndex],66)&gt;0,0,IF(('T_TTAFStock'!BO35&lt;&gt;""),'T_TTAFStock'!BO35,BN31+'Grid_Incoming'!BO31-'Grid_TTAFOutgoing'!BO31))</f>
        <v/>
      </c>
      <c r="BP31">
        <f>IF(COUNTIFS(T_StockCount[Part Name],$A31,T_StockCount[WeekIndex],67)&gt;0,0,IF(('T_TTAFStock'!BP35&lt;&gt;""),'T_TTAFStock'!BP35,BO31+'Grid_Incoming'!BP31-'Grid_TTAFOutgoing'!BP31))</f>
        <v/>
      </c>
      <c r="BQ31">
        <f>IF(COUNTIFS(T_StockCount[Part Name],$A31,T_StockCount[WeekIndex],68)&gt;0,0,IF(('T_TTAFStock'!BQ35&lt;&gt;""),'T_TTAFStock'!BQ35,BP31+'Grid_Incoming'!BQ31-'Grid_TTAFOutgoing'!BQ31))</f>
        <v/>
      </c>
      <c r="BR31">
        <f>IF(COUNTIFS(T_StockCount[Part Name],$A31,T_StockCount[WeekIndex],69)&gt;0,0,IF(('T_TTAFStock'!BR35&lt;&gt;""),'T_TTAFStock'!BR35,BQ31+'Grid_Incoming'!BR31-'Grid_TTAFOutgoing'!BR31))</f>
        <v/>
      </c>
      <c r="BS31">
        <f>IF(COUNTIFS(T_StockCount[Part Name],$A31,T_StockCount[WeekIndex],70)&gt;0,0,IF(('T_TTAFStock'!BS35&lt;&gt;""),'T_TTAFStock'!BS35,BR31+'Grid_Incoming'!BS31-'Grid_TTAFOutgoing'!BS31))</f>
        <v/>
      </c>
      <c r="BT31">
        <f>IF(COUNTIFS(T_StockCount[Part Name],$A31,T_StockCount[WeekIndex],71)&gt;0,0,IF(('T_TTAFStock'!BT35&lt;&gt;""),'T_TTAFStock'!BT35,BS31+'Grid_Incoming'!BT31-'Grid_TTAFOutgoing'!BT31))</f>
        <v/>
      </c>
      <c r="BU31">
        <f>IF(COUNTIFS(T_StockCount[Part Name],$A31,T_StockCount[WeekIndex],72)&gt;0,0,IF(('T_TTAFStock'!BU35&lt;&gt;""),'T_TTAFStock'!BU35,BT31+'Grid_Incoming'!BU31-'Grid_TTAFOutgoing'!BU31))</f>
        <v/>
      </c>
      <c r="BV31">
        <f>IF(COUNTIFS(T_StockCount[Part Name],$A31,T_StockCount[WeekIndex],73)&gt;0,0,IF(('T_TTAFStock'!BV35&lt;&gt;""),'T_TTAFStock'!BV35,BU31+'Grid_Incoming'!BV31-'Grid_TTAFOutgoing'!BV31))</f>
        <v/>
      </c>
      <c r="BW31">
        <f>IF(COUNTIFS(T_StockCount[Part Name],$A31,T_StockCount[WeekIndex],74)&gt;0,0,IF(('T_TTAFStock'!BW35&lt;&gt;""),'T_TTAFStock'!BW35,BV31+'Grid_Incoming'!BW31-'Grid_TTAFOutgoing'!BW31))</f>
        <v/>
      </c>
      <c r="BX31">
        <f>IF(COUNTIFS(T_StockCount[Part Name],$A31,T_StockCount[WeekIndex],75)&gt;0,0,IF(('T_TTAFStock'!BX35&lt;&gt;""),'T_TTAFStock'!BX35,BW31+'Grid_Incoming'!BX31-'Grid_TTAFOutgoing'!BX31))</f>
        <v/>
      </c>
      <c r="BY31">
        <f>IF(COUNTIFS(T_StockCount[Part Name],$A31,T_StockCount[WeekIndex],76)&gt;0,0,IF(('T_TTAFStock'!BY35&lt;&gt;""),'T_TTAFStock'!BY35,BX31+'Grid_Incoming'!BY31-'Grid_TTAFOutgoing'!BY31))</f>
        <v/>
      </c>
      <c r="BZ31">
        <f>IF(COUNTIFS(T_StockCount[Part Name],$A31,T_StockCount[WeekIndex],77)&gt;0,0,IF(('T_TTAFStock'!BZ35&lt;&gt;""),'T_TTAFStock'!BZ35,BY31+'Grid_Incoming'!BZ31-'Grid_TTAFOutgoing'!BZ31))</f>
        <v/>
      </c>
      <c r="CA31">
        <f>IF(COUNTIFS(T_StockCount[Part Name],$A31,T_StockCount[WeekIndex],78)&gt;0,0,IF(('T_TTAFStock'!CA35&lt;&gt;""),'T_TTAFStock'!CA35,BZ31+'Grid_Incoming'!CA31-'Grid_TTAFOutgoing'!CA31))</f>
        <v/>
      </c>
      <c r="CB31">
        <f>IF(COUNTIFS(T_StockCount[Part Name],$A31,T_StockCount[WeekIndex],79)&gt;0,0,IF(('T_TTAFStock'!CB35&lt;&gt;""),'T_TTAFStock'!CB35,CA31+'Grid_Incoming'!CB31-'Grid_TTAFOutgoing'!CB31))</f>
        <v/>
      </c>
      <c r="CC31">
        <f>IF(COUNTIFS(T_StockCount[Part Name],$A31,T_StockCount[WeekIndex],80)&gt;0,0,IF(('T_TTAFStock'!CC35&lt;&gt;""),'T_TTAFStock'!CC35,CB31+'Grid_Incoming'!CC31-'Grid_TTAFOutgoing'!CC31))</f>
        <v/>
      </c>
      <c r="CD31">
        <f>IF(COUNTIFS(T_StockCount[Part Name],$A31,T_StockCount[WeekIndex],81)&gt;0,0,IF(('T_TTAFStock'!CD35&lt;&gt;""),'T_TTAFStock'!CD35,CC31+'Grid_Incoming'!CD31-'Grid_TTAFOutgoing'!CD31))</f>
        <v/>
      </c>
      <c r="CE31">
        <f>IF(COUNTIFS(T_StockCount[Part Name],$A31,T_StockCount[WeekIndex],82)&gt;0,0,IF(('T_TTAFStock'!CE35&lt;&gt;""),'T_TTAFStock'!CE35,CD31+'Grid_Incoming'!CE31-'Grid_TTAFOutgoing'!CE31))</f>
        <v/>
      </c>
      <c r="CF31">
        <f>IF(COUNTIFS(T_StockCount[Part Name],$A31,T_StockCount[WeekIndex],83)&gt;0,0,IF(('T_TTAFStock'!CF35&lt;&gt;""),'T_TTAFStock'!CF35,CE31+'Grid_Incoming'!CF31-'Grid_TTAFOutgoing'!CF31))</f>
        <v/>
      </c>
      <c r="CG31">
        <f>IF(COUNTIFS(T_StockCount[Part Name],$A31,T_StockCount[WeekIndex],84)&gt;0,0,IF(('T_TTAFStock'!CG35&lt;&gt;""),'T_TTAFStock'!CG35,CF31+'Grid_Incoming'!CG31-'Grid_TTAFOutgoing'!CG31))</f>
        <v/>
      </c>
      <c r="CH31">
        <f>IF(COUNTIFS(T_StockCount[Part Name],$A31,T_StockCount[WeekIndex],85)&gt;0,0,IF(('T_TTAFStock'!CH35&lt;&gt;""),'T_TTAFStock'!CH35,CG31+'Grid_Incoming'!CH31-'Grid_TTAFOutgoing'!CH31))</f>
        <v/>
      </c>
      <c r="CI31">
        <f>IF(COUNTIFS(T_StockCount[Part Name],$A31,T_StockCount[WeekIndex],86)&gt;0,0,IF(('T_TTAFStock'!CI35&lt;&gt;""),'T_TTAFStock'!CI35,CH31+'Grid_Incoming'!CI31-'Grid_TTAFOutgoing'!CI31))</f>
        <v/>
      </c>
      <c r="CJ31">
        <f>IF(COUNTIFS(T_StockCount[Part Name],$A31,T_StockCount[WeekIndex],87)&gt;0,0,IF(('T_TTAFStock'!CJ35&lt;&gt;""),'T_TTAFStock'!CJ35,CI31+'Grid_Incoming'!CJ31-'Grid_TTAFOutgoing'!CJ31))</f>
        <v/>
      </c>
      <c r="CK31">
        <f>IF(COUNTIFS(T_StockCount[Part Name],$A31,T_StockCount[WeekIndex],88)&gt;0,0,IF(('T_TTAFStock'!CK35&lt;&gt;""),'T_TTAFStock'!CK35,CJ31+'Grid_Incoming'!CK31-'Grid_TTAFOutgoing'!CK31))</f>
        <v/>
      </c>
      <c r="CL31">
        <f>IF(COUNTIFS(T_StockCount[Part Name],$A31,T_StockCount[WeekIndex],89)&gt;0,0,IF(('T_TTAFStock'!CL35&lt;&gt;""),'T_TTAFStock'!CL35,CK31+'Grid_Incoming'!CL31-'Grid_TTAFOutgoing'!CL31))</f>
        <v/>
      </c>
      <c r="CM31">
        <f>IF(COUNTIFS(T_StockCount[Part Name],$A31,T_StockCount[WeekIndex],90)&gt;0,0,IF(('T_TTAFStock'!CM35&lt;&gt;""),'T_TTAFStock'!CM35,CL31+'Grid_Incoming'!CM31-'Grid_TTAFOutgoing'!CM31))</f>
        <v/>
      </c>
      <c r="CN31">
        <f>IF(COUNTIFS(T_StockCount[Part Name],$A31,T_StockCount[WeekIndex],91)&gt;0,0,IF(('T_TTAFStock'!CN35&lt;&gt;""),'T_TTAFStock'!CN35,CM31+'Grid_Incoming'!CN31-'Grid_TTAFOutgoing'!CN31))</f>
        <v/>
      </c>
      <c r="CO31">
        <f>IF(COUNTIFS(T_StockCount[Part Name],$A31,T_StockCount[WeekIndex],92)&gt;0,0,IF(('T_TTAFStock'!CO35&lt;&gt;""),'T_TTAFStock'!CO35,CN31+'Grid_Incoming'!CO31-'Grid_TTAFOutgoing'!CO31))</f>
        <v/>
      </c>
      <c r="CP31">
        <f>IF(COUNTIFS(T_StockCount[Part Name],$A31,T_StockCount[WeekIndex],93)&gt;0,0,IF(('T_TTAFStock'!CP35&lt;&gt;""),'T_TTAFStock'!CP35,CO31+'Grid_Incoming'!CP31-'Grid_TTAFOutgoing'!CP31))</f>
        <v/>
      </c>
      <c r="CQ31">
        <f>IF(COUNTIFS(T_StockCount[Part Name],$A31,T_StockCount[WeekIndex],94)&gt;0,0,IF(('T_TTAFStock'!CQ35&lt;&gt;""),'T_TTAFStock'!CQ35,CP31+'Grid_Incoming'!CQ31-'Grid_TTAFOutgoing'!CQ31))</f>
        <v/>
      </c>
      <c r="CR31">
        <f>IF(COUNTIFS(T_StockCount[Part Name],$A31,T_StockCount[WeekIndex],95)&gt;0,0,IF(('T_TTAFStock'!CR35&lt;&gt;""),'T_TTAFStock'!CR35,CQ31+'Grid_Incoming'!CR31-'Grid_TTAFOutgoing'!CR31))</f>
        <v/>
      </c>
      <c r="CS31">
        <f>IF(COUNTIFS(T_StockCount[Part Name],$A31,T_StockCount[WeekIndex],96)&gt;0,0,IF(('T_TTAFStock'!CS35&lt;&gt;""),'T_TTAFStock'!CS35,CR31+'Grid_Incoming'!CS31-'Grid_TTAFOutgoing'!CS31))</f>
        <v/>
      </c>
      <c r="CT31">
        <f>IF(COUNTIFS(T_StockCount[Part Name],$A31,T_StockCount[WeekIndex],97)&gt;0,0,IF(('T_TTAFStock'!CT35&lt;&gt;""),'T_TTAFStock'!CT35,CS31+'Grid_Incoming'!CT31-'Grid_TTAFOutgoing'!CT31))</f>
        <v/>
      </c>
      <c r="CU31">
        <f>IF(COUNTIFS(T_StockCount[Part Name],$A31,T_StockCount[WeekIndex],98)&gt;0,0,IF(('T_TTAFStock'!CU35&lt;&gt;""),'T_TTAFStock'!CU35,CT31+'Grid_Incoming'!CU31-'Grid_TTAFOutgoing'!CU31))</f>
        <v/>
      </c>
      <c r="CV31">
        <f>IF(COUNTIFS(T_StockCount[Part Name],$A31,T_StockCount[WeekIndex],99)&gt;0,0,IF(('T_TTAFStock'!CV35&lt;&gt;""),'T_TTAFStock'!CV35,CU31+'Grid_Incoming'!CV31-'Grid_TTAFOutgoing'!CV31))</f>
        <v/>
      </c>
      <c r="CW31">
        <f>IF(COUNTIFS(T_StockCount[Part Name],$A31,T_StockCount[WeekIndex],100)&gt;0,0,IF(('T_TTAFStock'!CW35&lt;&gt;""),'T_TTAFStock'!CW35,CV31+'Grid_Incoming'!CW31-'Grid_TTAFOutgoing'!CW31))</f>
        <v/>
      </c>
      <c r="CX31">
        <f>IF(COUNTIFS(T_StockCount[Part Name],$A31,T_StockCount[WeekIndex],101)&gt;0,0,IF(('T_TTAFStock'!CX35&lt;&gt;""),'T_TTAFStock'!CX35,CW31+'Grid_Incoming'!CX31-'Grid_TTAFOutgoing'!CX31))</f>
        <v/>
      </c>
      <c r="CY31">
        <f>IF(COUNTIFS(T_StockCount[Part Name],$A31,T_StockCount[WeekIndex],102)&gt;0,0,IF(('T_TTAFStock'!CY35&lt;&gt;""),'T_TTAFStock'!CY35,CX31+'Grid_Incoming'!CY31-'Grid_TTAFOutgoing'!CY31))</f>
        <v/>
      </c>
      <c r="CZ31">
        <f>IF(COUNTIFS(T_StockCount[Part Name],$A31,T_StockCount[WeekIndex],103)&gt;0,0,IF(('T_TTAFStock'!CZ35&lt;&gt;""),'T_TTAFStock'!CZ35,CY31+'Grid_Incoming'!CZ31-'Grid_TTAFOutgoing'!CZ31))</f>
        <v/>
      </c>
      <c r="DA31">
        <f>IF(COUNTIFS(T_StockCount[Part Name],$A31,T_StockCount[WeekIndex],104)&gt;0,0,IF(('T_TTAFStock'!DA35&lt;&gt;""),'T_TTAFStock'!DA35,CZ31+'Grid_Incoming'!DA31-'Grid_TTAFOutgoing'!DA31))</f>
        <v/>
      </c>
    </row>
    <row r="32">
      <c r="A32" t="inlineStr">
        <is>
          <t>CHEM-1430</t>
        </is>
      </c>
      <c r="B32">
        <f>IF(COUNTIFS(T_StockCount[Part Name],$A32,T_StockCount[WeekIndex],1)&gt;0,0,IF(('T_TTAFStock'!B36&lt;&gt;""),'T_TTAFStock'!B36,0+'Grid_Incoming'!B32-'Grid_TTAFOutgoing'!B32))</f>
        <v/>
      </c>
      <c r="C32">
        <f>IF(COUNTIFS(T_StockCount[Part Name],$A32,T_StockCount[WeekIndex],2)&gt;0,0,IF(('T_TTAFStock'!C36&lt;&gt;""),'T_TTAFStock'!C36,B32+'Grid_Incoming'!C32-'Grid_TTAFOutgoing'!C32))</f>
        <v/>
      </c>
      <c r="D32">
        <f>IF(COUNTIFS(T_StockCount[Part Name],$A32,T_StockCount[WeekIndex],3)&gt;0,0,IF(('T_TTAFStock'!D36&lt;&gt;""),'T_TTAFStock'!D36,C32+'Grid_Incoming'!D32-'Grid_TTAFOutgoing'!D32))</f>
        <v/>
      </c>
      <c r="E32">
        <f>IF(COUNTIFS(T_StockCount[Part Name],$A32,T_StockCount[WeekIndex],4)&gt;0,0,IF(('T_TTAFStock'!E36&lt;&gt;""),'T_TTAFStock'!E36,D32+'Grid_Incoming'!E32-'Grid_TTAFOutgoing'!E32))</f>
        <v/>
      </c>
      <c r="F32">
        <f>IF(COUNTIFS(T_StockCount[Part Name],$A32,T_StockCount[WeekIndex],5)&gt;0,0,IF(('T_TTAFStock'!F36&lt;&gt;""),'T_TTAFStock'!F36,E32+'Grid_Incoming'!F32-'Grid_TTAFOutgoing'!F32))</f>
        <v/>
      </c>
      <c r="G32">
        <f>IF(COUNTIFS(T_StockCount[Part Name],$A32,T_StockCount[WeekIndex],6)&gt;0,0,IF(('T_TTAFStock'!G36&lt;&gt;""),'T_TTAFStock'!G36,F32+'Grid_Incoming'!G32-'Grid_TTAFOutgoing'!G32))</f>
        <v/>
      </c>
      <c r="H32">
        <f>IF(COUNTIFS(T_StockCount[Part Name],$A32,T_StockCount[WeekIndex],7)&gt;0,0,IF(('T_TTAFStock'!H36&lt;&gt;""),'T_TTAFStock'!H36,G32+'Grid_Incoming'!H32-'Grid_TTAFOutgoing'!H32))</f>
        <v/>
      </c>
      <c r="I32">
        <f>IF(COUNTIFS(T_StockCount[Part Name],$A32,T_StockCount[WeekIndex],8)&gt;0,0,IF(('T_TTAFStock'!I36&lt;&gt;""),'T_TTAFStock'!I36,H32+'Grid_Incoming'!I32-'Grid_TTAFOutgoing'!I32))</f>
        <v/>
      </c>
      <c r="J32">
        <f>IF(COUNTIFS(T_StockCount[Part Name],$A32,T_StockCount[WeekIndex],9)&gt;0,0,IF(('T_TTAFStock'!J36&lt;&gt;""),'T_TTAFStock'!J36,I32+'Grid_Incoming'!J32-'Grid_TTAFOutgoing'!J32))</f>
        <v/>
      </c>
      <c r="K32">
        <f>IF(COUNTIFS(T_StockCount[Part Name],$A32,T_StockCount[WeekIndex],10)&gt;0,0,IF(('T_TTAFStock'!K36&lt;&gt;""),'T_TTAFStock'!K36,J32+'Grid_Incoming'!K32-'Grid_TTAFOutgoing'!K32))</f>
        <v/>
      </c>
      <c r="L32">
        <f>IF(COUNTIFS(T_StockCount[Part Name],$A32,T_StockCount[WeekIndex],11)&gt;0,0,IF(('T_TTAFStock'!L36&lt;&gt;""),'T_TTAFStock'!L36,K32+'Grid_Incoming'!L32-'Grid_TTAFOutgoing'!L32))</f>
        <v/>
      </c>
      <c r="M32">
        <f>IF(COUNTIFS(T_StockCount[Part Name],$A32,T_StockCount[WeekIndex],12)&gt;0,0,IF(('T_TTAFStock'!M36&lt;&gt;""),'T_TTAFStock'!M36,L32+'Grid_Incoming'!M32-'Grid_TTAFOutgoing'!M32))</f>
        <v/>
      </c>
      <c r="N32">
        <f>IF(COUNTIFS(T_StockCount[Part Name],$A32,T_StockCount[WeekIndex],13)&gt;0,0,IF(('T_TTAFStock'!N36&lt;&gt;""),'T_TTAFStock'!N36,M32+'Grid_Incoming'!N32-'Grid_TTAFOutgoing'!N32))</f>
        <v/>
      </c>
      <c r="O32">
        <f>IF(COUNTIFS(T_StockCount[Part Name],$A32,T_StockCount[WeekIndex],14)&gt;0,0,IF(('T_TTAFStock'!O36&lt;&gt;""),'T_TTAFStock'!O36,N32+'Grid_Incoming'!O32-'Grid_TTAFOutgoing'!O32))</f>
        <v/>
      </c>
      <c r="P32">
        <f>IF(COUNTIFS(T_StockCount[Part Name],$A32,T_StockCount[WeekIndex],15)&gt;0,0,IF(('T_TTAFStock'!P36&lt;&gt;""),'T_TTAFStock'!P36,O32+'Grid_Incoming'!P32-'Grid_TTAFOutgoing'!P32))</f>
        <v/>
      </c>
      <c r="Q32">
        <f>IF(COUNTIFS(T_StockCount[Part Name],$A32,T_StockCount[WeekIndex],16)&gt;0,0,IF(('T_TTAFStock'!Q36&lt;&gt;""),'T_TTAFStock'!Q36,P32+'Grid_Incoming'!Q32-'Grid_TTAFOutgoing'!Q32))</f>
        <v/>
      </c>
      <c r="R32">
        <f>IF(COUNTIFS(T_StockCount[Part Name],$A32,T_StockCount[WeekIndex],17)&gt;0,0,IF(('T_TTAFStock'!R36&lt;&gt;""),'T_TTAFStock'!R36,Q32+'Grid_Incoming'!R32-'Grid_TTAFOutgoing'!R32))</f>
        <v/>
      </c>
      <c r="S32">
        <f>IF(COUNTIFS(T_StockCount[Part Name],$A32,T_StockCount[WeekIndex],18)&gt;0,0,IF(('T_TTAFStock'!S36&lt;&gt;""),'T_TTAFStock'!S36,R32+'Grid_Incoming'!S32-'Grid_TTAFOutgoing'!S32))</f>
        <v/>
      </c>
      <c r="T32">
        <f>IF(COUNTIFS(T_StockCount[Part Name],$A32,T_StockCount[WeekIndex],19)&gt;0,0,IF(('T_TTAFStock'!T36&lt;&gt;""),'T_TTAFStock'!T36,S32+'Grid_Incoming'!T32-'Grid_TTAFOutgoing'!T32))</f>
        <v/>
      </c>
      <c r="U32">
        <f>IF(COUNTIFS(T_StockCount[Part Name],$A32,T_StockCount[WeekIndex],20)&gt;0,0,IF(('T_TTAFStock'!U36&lt;&gt;""),'T_TTAFStock'!U36,T32+'Grid_Incoming'!U32-'Grid_TTAFOutgoing'!U32))</f>
        <v/>
      </c>
      <c r="V32">
        <f>IF(COUNTIFS(T_StockCount[Part Name],$A32,T_StockCount[WeekIndex],21)&gt;0,0,IF(('T_TTAFStock'!V36&lt;&gt;""),'T_TTAFStock'!V36,U32+'Grid_Incoming'!V32-'Grid_TTAFOutgoing'!V32))</f>
        <v/>
      </c>
      <c r="W32">
        <f>IF(COUNTIFS(T_StockCount[Part Name],$A32,T_StockCount[WeekIndex],22)&gt;0,0,IF(('T_TTAFStock'!W36&lt;&gt;""),'T_TTAFStock'!W36,V32+'Grid_Incoming'!W32-'Grid_TTAFOutgoing'!W32))</f>
        <v/>
      </c>
      <c r="X32">
        <f>IF(COUNTIFS(T_StockCount[Part Name],$A32,T_StockCount[WeekIndex],23)&gt;0,0,IF(('T_TTAFStock'!X36&lt;&gt;""),'T_TTAFStock'!X36,W32+'Grid_Incoming'!X32-'Grid_TTAFOutgoing'!X32))</f>
        <v/>
      </c>
      <c r="Y32">
        <f>IF(COUNTIFS(T_StockCount[Part Name],$A32,T_StockCount[WeekIndex],24)&gt;0,0,IF(('T_TTAFStock'!Y36&lt;&gt;""),'T_TTAFStock'!Y36,X32+'Grid_Incoming'!Y32-'Grid_TTAFOutgoing'!Y32))</f>
        <v/>
      </c>
      <c r="Z32">
        <f>IF(COUNTIFS(T_StockCount[Part Name],$A32,T_StockCount[WeekIndex],25)&gt;0,0,IF(('T_TTAFStock'!Z36&lt;&gt;""),'T_TTAFStock'!Z36,Y32+'Grid_Incoming'!Z32-'Grid_TTAFOutgoing'!Z32))</f>
        <v/>
      </c>
      <c r="AA32">
        <f>IF(COUNTIFS(T_StockCount[Part Name],$A32,T_StockCount[WeekIndex],26)&gt;0,0,IF(('T_TTAFStock'!AA36&lt;&gt;""),'T_TTAFStock'!AA36,Z32+'Grid_Incoming'!AA32-'Grid_TTAFOutgoing'!AA32))</f>
        <v/>
      </c>
      <c r="AB32">
        <f>IF(COUNTIFS(T_StockCount[Part Name],$A32,T_StockCount[WeekIndex],27)&gt;0,0,IF(('T_TTAFStock'!AB36&lt;&gt;""),'T_TTAFStock'!AB36,AA32+'Grid_Incoming'!AB32-'Grid_TTAFOutgoing'!AB32))</f>
        <v/>
      </c>
      <c r="AC32">
        <f>IF(COUNTIFS(T_StockCount[Part Name],$A32,T_StockCount[WeekIndex],28)&gt;0,0,IF(('T_TTAFStock'!AC36&lt;&gt;""),'T_TTAFStock'!AC36,AB32+'Grid_Incoming'!AC32-'Grid_TTAFOutgoing'!AC32))</f>
        <v/>
      </c>
      <c r="AD32">
        <f>IF(COUNTIFS(T_StockCount[Part Name],$A32,T_StockCount[WeekIndex],29)&gt;0,0,IF(('T_TTAFStock'!AD36&lt;&gt;""),'T_TTAFStock'!AD36,AC32+'Grid_Incoming'!AD32-'Grid_TTAFOutgoing'!AD32))</f>
        <v/>
      </c>
      <c r="AE32">
        <f>IF(COUNTIFS(T_StockCount[Part Name],$A32,T_StockCount[WeekIndex],30)&gt;0,0,IF(('T_TTAFStock'!AE36&lt;&gt;""),'T_TTAFStock'!AE36,AD32+'Grid_Incoming'!AE32-'Grid_TTAFOutgoing'!AE32))</f>
        <v/>
      </c>
      <c r="AF32">
        <f>IF(COUNTIFS(T_StockCount[Part Name],$A32,T_StockCount[WeekIndex],31)&gt;0,0,IF(('T_TTAFStock'!AF36&lt;&gt;""),'T_TTAFStock'!AF36,AE32+'Grid_Incoming'!AF32-'Grid_TTAFOutgoing'!AF32))</f>
        <v/>
      </c>
      <c r="AG32">
        <f>IF(COUNTIFS(T_StockCount[Part Name],$A32,T_StockCount[WeekIndex],32)&gt;0,0,IF(('T_TTAFStock'!AG36&lt;&gt;""),'T_TTAFStock'!AG36,AF32+'Grid_Incoming'!AG32-'Grid_TTAFOutgoing'!AG32))</f>
        <v/>
      </c>
      <c r="AH32">
        <f>IF(COUNTIFS(T_StockCount[Part Name],$A32,T_StockCount[WeekIndex],33)&gt;0,0,IF(('T_TTAFStock'!AH36&lt;&gt;""),'T_TTAFStock'!AH36,AG32+'Grid_Incoming'!AH32-'Grid_TTAFOutgoing'!AH32))</f>
        <v/>
      </c>
      <c r="AI32">
        <f>IF(COUNTIFS(T_StockCount[Part Name],$A32,T_StockCount[WeekIndex],34)&gt;0,0,IF(('T_TTAFStock'!AI36&lt;&gt;""),'T_TTAFStock'!AI36,AH32+'Grid_Incoming'!AI32-'Grid_TTAFOutgoing'!AI32))</f>
        <v/>
      </c>
      <c r="AJ32">
        <f>IF(COUNTIFS(T_StockCount[Part Name],$A32,T_StockCount[WeekIndex],35)&gt;0,0,IF(('T_TTAFStock'!AJ36&lt;&gt;""),'T_TTAFStock'!AJ36,AI32+'Grid_Incoming'!AJ32-'Grid_TTAFOutgoing'!AJ32))</f>
        <v/>
      </c>
      <c r="AK32">
        <f>IF(COUNTIFS(T_StockCount[Part Name],$A32,T_StockCount[WeekIndex],36)&gt;0,0,IF(('T_TTAFStock'!AK36&lt;&gt;""),'T_TTAFStock'!AK36,AJ32+'Grid_Incoming'!AK32-'Grid_TTAFOutgoing'!AK32))</f>
        <v/>
      </c>
      <c r="AL32">
        <f>IF(COUNTIFS(T_StockCount[Part Name],$A32,T_StockCount[WeekIndex],37)&gt;0,0,IF(('T_TTAFStock'!AL36&lt;&gt;""),'T_TTAFStock'!AL36,AK32+'Grid_Incoming'!AL32-'Grid_TTAFOutgoing'!AL32))</f>
        <v/>
      </c>
      <c r="AM32">
        <f>IF(COUNTIFS(T_StockCount[Part Name],$A32,T_StockCount[WeekIndex],38)&gt;0,0,IF(('T_TTAFStock'!AM36&lt;&gt;""),'T_TTAFStock'!AM36,AL32+'Grid_Incoming'!AM32-'Grid_TTAFOutgoing'!AM32))</f>
        <v/>
      </c>
      <c r="AN32">
        <f>IF(COUNTIFS(T_StockCount[Part Name],$A32,T_StockCount[WeekIndex],39)&gt;0,0,IF(('T_TTAFStock'!AN36&lt;&gt;""),'T_TTAFStock'!AN36,AM32+'Grid_Incoming'!AN32-'Grid_TTAFOutgoing'!AN32))</f>
        <v/>
      </c>
      <c r="AO32">
        <f>IF(COUNTIFS(T_StockCount[Part Name],$A32,T_StockCount[WeekIndex],40)&gt;0,0,IF(('T_TTAFStock'!AO36&lt;&gt;""),'T_TTAFStock'!AO36,AN32+'Grid_Incoming'!AO32-'Grid_TTAFOutgoing'!AO32))</f>
        <v/>
      </c>
      <c r="AP32">
        <f>IF(COUNTIFS(T_StockCount[Part Name],$A32,T_StockCount[WeekIndex],41)&gt;0,0,IF(('T_TTAFStock'!AP36&lt;&gt;""),'T_TTAFStock'!AP36,AO32+'Grid_Incoming'!AP32-'Grid_TTAFOutgoing'!AP32))</f>
        <v/>
      </c>
      <c r="AQ32">
        <f>IF(COUNTIFS(T_StockCount[Part Name],$A32,T_StockCount[WeekIndex],42)&gt;0,0,IF(('T_TTAFStock'!AQ36&lt;&gt;""),'T_TTAFStock'!AQ36,AP32+'Grid_Incoming'!AQ32-'Grid_TTAFOutgoing'!AQ32))</f>
        <v/>
      </c>
      <c r="AR32">
        <f>IF(COUNTIFS(T_StockCount[Part Name],$A32,T_StockCount[WeekIndex],43)&gt;0,0,IF(('T_TTAFStock'!AR36&lt;&gt;""),'T_TTAFStock'!AR36,AQ32+'Grid_Incoming'!AR32-'Grid_TTAFOutgoing'!AR32))</f>
        <v/>
      </c>
      <c r="AS32">
        <f>IF(COUNTIFS(T_StockCount[Part Name],$A32,T_StockCount[WeekIndex],44)&gt;0,0,IF(('T_TTAFStock'!AS36&lt;&gt;""),'T_TTAFStock'!AS36,AR32+'Grid_Incoming'!AS32-'Grid_TTAFOutgoing'!AS32))</f>
        <v/>
      </c>
      <c r="AT32">
        <f>IF(COUNTIFS(T_StockCount[Part Name],$A32,T_StockCount[WeekIndex],45)&gt;0,0,IF(('T_TTAFStock'!AT36&lt;&gt;""),'T_TTAFStock'!AT36,AS32+'Grid_Incoming'!AT32-'Grid_TTAFOutgoing'!AT32))</f>
        <v/>
      </c>
      <c r="AU32">
        <f>IF(COUNTIFS(T_StockCount[Part Name],$A32,T_StockCount[WeekIndex],46)&gt;0,0,IF(('T_TTAFStock'!AU36&lt;&gt;""),'T_TTAFStock'!AU36,AT32+'Grid_Incoming'!AU32-'Grid_TTAFOutgoing'!AU32))</f>
        <v/>
      </c>
      <c r="AV32">
        <f>IF(COUNTIFS(T_StockCount[Part Name],$A32,T_StockCount[WeekIndex],47)&gt;0,0,IF(('T_TTAFStock'!AV36&lt;&gt;""),'T_TTAFStock'!AV36,AU32+'Grid_Incoming'!AV32-'Grid_TTAFOutgoing'!AV32))</f>
        <v/>
      </c>
      <c r="AW32">
        <f>IF(COUNTIFS(T_StockCount[Part Name],$A32,T_StockCount[WeekIndex],48)&gt;0,0,IF(('T_TTAFStock'!AW36&lt;&gt;""),'T_TTAFStock'!AW36,AV32+'Grid_Incoming'!AW32-'Grid_TTAFOutgoing'!AW32))</f>
        <v/>
      </c>
      <c r="AX32">
        <f>IF(COUNTIFS(T_StockCount[Part Name],$A32,T_StockCount[WeekIndex],49)&gt;0,0,IF(('T_TTAFStock'!AX36&lt;&gt;""),'T_TTAFStock'!AX36,AW32+'Grid_Incoming'!AX32-'Grid_TTAFOutgoing'!AX32))</f>
        <v/>
      </c>
      <c r="AY32">
        <f>IF(COUNTIFS(T_StockCount[Part Name],$A32,T_StockCount[WeekIndex],50)&gt;0,0,IF(('T_TTAFStock'!AY36&lt;&gt;""),'T_TTAFStock'!AY36,AX32+'Grid_Incoming'!AY32-'Grid_TTAFOutgoing'!AY32))</f>
        <v/>
      </c>
      <c r="AZ32">
        <f>IF(COUNTIFS(T_StockCount[Part Name],$A32,T_StockCount[WeekIndex],51)&gt;0,0,IF(('T_TTAFStock'!AZ36&lt;&gt;""),'T_TTAFStock'!AZ36,AY32+'Grid_Incoming'!AZ32-'Grid_TTAFOutgoing'!AZ32))</f>
        <v/>
      </c>
      <c r="BA32">
        <f>IF(COUNTIFS(T_StockCount[Part Name],$A32,T_StockCount[WeekIndex],52)&gt;0,0,IF(('T_TTAFStock'!BA36&lt;&gt;""),'T_TTAFStock'!BA36,AZ32+'Grid_Incoming'!BA32-'Grid_TTAFOutgoing'!BA32))</f>
        <v/>
      </c>
      <c r="BB32">
        <f>IF(COUNTIFS(T_StockCount[Part Name],$A32,T_StockCount[WeekIndex],53)&gt;0,0,IF(('T_TTAFStock'!BB36&lt;&gt;""),'T_TTAFStock'!BB36,BA32+'Grid_Incoming'!BB32-'Grid_TTAFOutgoing'!BB32))</f>
        <v/>
      </c>
      <c r="BC32">
        <f>IF(COUNTIFS(T_StockCount[Part Name],$A32,T_StockCount[WeekIndex],54)&gt;0,0,IF(('T_TTAFStock'!BC36&lt;&gt;""),'T_TTAFStock'!BC36,BB32+'Grid_Incoming'!BC32-'Grid_TTAFOutgoing'!BC32))</f>
        <v/>
      </c>
      <c r="BD32">
        <f>IF(COUNTIFS(T_StockCount[Part Name],$A32,T_StockCount[WeekIndex],55)&gt;0,0,IF(('T_TTAFStock'!BD36&lt;&gt;""),'T_TTAFStock'!BD36,BC32+'Grid_Incoming'!BD32-'Grid_TTAFOutgoing'!BD32))</f>
        <v/>
      </c>
      <c r="BE32">
        <f>IF(COUNTIFS(T_StockCount[Part Name],$A32,T_StockCount[WeekIndex],56)&gt;0,0,IF(('T_TTAFStock'!BE36&lt;&gt;""),'T_TTAFStock'!BE36,BD32+'Grid_Incoming'!BE32-'Grid_TTAFOutgoing'!BE32))</f>
        <v/>
      </c>
      <c r="BF32">
        <f>IF(COUNTIFS(T_StockCount[Part Name],$A32,T_StockCount[WeekIndex],57)&gt;0,0,IF(('T_TTAFStock'!BF36&lt;&gt;""),'T_TTAFStock'!BF36,BE32+'Grid_Incoming'!BF32-'Grid_TTAFOutgoing'!BF32))</f>
        <v/>
      </c>
      <c r="BG32">
        <f>IF(COUNTIFS(T_StockCount[Part Name],$A32,T_StockCount[WeekIndex],58)&gt;0,0,IF(('T_TTAFStock'!BG36&lt;&gt;""),'T_TTAFStock'!BG36,BF32+'Grid_Incoming'!BG32-'Grid_TTAFOutgoing'!BG32))</f>
        <v/>
      </c>
      <c r="BH32">
        <f>IF(COUNTIFS(T_StockCount[Part Name],$A32,T_StockCount[WeekIndex],59)&gt;0,0,IF(('T_TTAFStock'!BH36&lt;&gt;""),'T_TTAFStock'!BH36,BG32+'Grid_Incoming'!BH32-'Grid_TTAFOutgoing'!BH32))</f>
        <v/>
      </c>
      <c r="BI32">
        <f>IF(COUNTIFS(T_StockCount[Part Name],$A32,T_StockCount[WeekIndex],60)&gt;0,0,IF(('T_TTAFStock'!BI36&lt;&gt;""),'T_TTAFStock'!BI36,BH32+'Grid_Incoming'!BI32-'Grid_TTAFOutgoing'!BI32))</f>
        <v/>
      </c>
      <c r="BJ32">
        <f>IF(COUNTIFS(T_StockCount[Part Name],$A32,T_StockCount[WeekIndex],61)&gt;0,0,IF(('T_TTAFStock'!BJ36&lt;&gt;""),'T_TTAFStock'!BJ36,BI32+'Grid_Incoming'!BJ32-'Grid_TTAFOutgoing'!BJ32))</f>
        <v/>
      </c>
      <c r="BK32">
        <f>IF(COUNTIFS(T_StockCount[Part Name],$A32,T_StockCount[WeekIndex],62)&gt;0,0,IF(('T_TTAFStock'!BK36&lt;&gt;""),'T_TTAFStock'!BK36,BJ32+'Grid_Incoming'!BK32-'Grid_TTAFOutgoing'!BK32))</f>
        <v/>
      </c>
      <c r="BL32">
        <f>IF(COUNTIFS(T_StockCount[Part Name],$A32,T_StockCount[WeekIndex],63)&gt;0,0,IF(('T_TTAFStock'!BL36&lt;&gt;""),'T_TTAFStock'!BL36,BK32+'Grid_Incoming'!BL32-'Grid_TTAFOutgoing'!BL32))</f>
        <v/>
      </c>
      <c r="BM32">
        <f>IF(COUNTIFS(T_StockCount[Part Name],$A32,T_StockCount[WeekIndex],64)&gt;0,0,IF(('T_TTAFStock'!BM36&lt;&gt;""),'T_TTAFStock'!BM36,BL32+'Grid_Incoming'!BM32-'Grid_TTAFOutgoing'!BM32))</f>
        <v/>
      </c>
      <c r="BN32">
        <f>IF(COUNTIFS(T_StockCount[Part Name],$A32,T_StockCount[WeekIndex],65)&gt;0,0,IF(('T_TTAFStock'!BN36&lt;&gt;""),'T_TTAFStock'!BN36,BM32+'Grid_Incoming'!BN32-'Grid_TTAFOutgoing'!BN32))</f>
        <v/>
      </c>
      <c r="BO32">
        <f>IF(COUNTIFS(T_StockCount[Part Name],$A32,T_StockCount[WeekIndex],66)&gt;0,0,IF(('T_TTAFStock'!BO36&lt;&gt;""),'T_TTAFStock'!BO36,BN32+'Grid_Incoming'!BO32-'Grid_TTAFOutgoing'!BO32))</f>
        <v/>
      </c>
      <c r="BP32">
        <f>IF(COUNTIFS(T_StockCount[Part Name],$A32,T_StockCount[WeekIndex],67)&gt;0,0,IF(('T_TTAFStock'!BP36&lt;&gt;""),'T_TTAFStock'!BP36,BO32+'Grid_Incoming'!BP32-'Grid_TTAFOutgoing'!BP32))</f>
        <v/>
      </c>
      <c r="BQ32">
        <f>IF(COUNTIFS(T_StockCount[Part Name],$A32,T_StockCount[WeekIndex],68)&gt;0,0,IF(('T_TTAFStock'!BQ36&lt;&gt;""),'T_TTAFStock'!BQ36,BP32+'Grid_Incoming'!BQ32-'Grid_TTAFOutgoing'!BQ32))</f>
        <v/>
      </c>
      <c r="BR32">
        <f>IF(COUNTIFS(T_StockCount[Part Name],$A32,T_StockCount[WeekIndex],69)&gt;0,0,IF(('T_TTAFStock'!BR36&lt;&gt;""),'T_TTAFStock'!BR36,BQ32+'Grid_Incoming'!BR32-'Grid_TTAFOutgoing'!BR32))</f>
        <v/>
      </c>
      <c r="BS32">
        <f>IF(COUNTIFS(T_StockCount[Part Name],$A32,T_StockCount[WeekIndex],70)&gt;0,0,IF(('T_TTAFStock'!BS36&lt;&gt;""),'T_TTAFStock'!BS36,BR32+'Grid_Incoming'!BS32-'Grid_TTAFOutgoing'!BS32))</f>
        <v/>
      </c>
      <c r="BT32">
        <f>IF(COUNTIFS(T_StockCount[Part Name],$A32,T_StockCount[WeekIndex],71)&gt;0,0,IF(('T_TTAFStock'!BT36&lt;&gt;""),'T_TTAFStock'!BT36,BS32+'Grid_Incoming'!BT32-'Grid_TTAFOutgoing'!BT32))</f>
        <v/>
      </c>
      <c r="BU32">
        <f>IF(COUNTIFS(T_StockCount[Part Name],$A32,T_StockCount[WeekIndex],72)&gt;0,0,IF(('T_TTAFStock'!BU36&lt;&gt;""),'T_TTAFStock'!BU36,BT32+'Grid_Incoming'!BU32-'Grid_TTAFOutgoing'!BU32))</f>
        <v/>
      </c>
      <c r="BV32">
        <f>IF(COUNTIFS(T_StockCount[Part Name],$A32,T_StockCount[WeekIndex],73)&gt;0,0,IF(('T_TTAFStock'!BV36&lt;&gt;""),'T_TTAFStock'!BV36,BU32+'Grid_Incoming'!BV32-'Grid_TTAFOutgoing'!BV32))</f>
        <v/>
      </c>
      <c r="BW32">
        <f>IF(COUNTIFS(T_StockCount[Part Name],$A32,T_StockCount[WeekIndex],74)&gt;0,0,IF(('T_TTAFStock'!BW36&lt;&gt;""),'T_TTAFStock'!BW36,BV32+'Grid_Incoming'!BW32-'Grid_TTAFOutgoing'!BW32))</f>
        <v/>
      </c>
      <c r="BX32">
        <f>IF(COUNTIFS(T_StockCount[Part Name],$A32,T_StockCount[WeekIndex],75)&gt;0,0,IF(('T_TTAFStock'!BX36&lt;&gt;""),'T_TTAFStock'!BX36,BW32+'Grid_Incoming'!BX32-'Grid_TTAFOutgoing'!BX32))</f>
        <v/>
      </c>
      <c r="BY32">
        <f>IF(COUNTIFS(T_StockCount[Part Name],$A32,T_StockCount[WeekIndex],76)&gt;0,0,IF(('T_TTAFStock'!BY36&lt;&gt;""),'T_TTAFStock'!BY36,BX32+'Grid_Incoming'!BY32-'Grid_TTAFOutgoing'!BY32))</f>
        <v/>
      </c>
      <c r="BZ32">
        <f>IF(COUNTIFS(T_StockCount[Part Name],$A32,T_StockCount[WeekIndex],77)&gt;0,0,IF(('T_TTAFStock'!BZ36&lt;&gt;""),'T_TTAFStock'!BZ36,BY32+'Grid_Incoming'!BZ32-'Grid_TTAFOutgoing'!BZ32))</f>
        <v/>
      </c>
      <c r="CA32">
        <f>IF(COUNTIFS(T_StockCount[Part Name],$A32,T_StockCount[WeekIndex],78)&gt;0,0,IF(('T_TTAFStock'!CA36&lt;&gt;""),'T_TTAFStock'!CA36,BZ32+'Grid_Incoming'!CA32-'Grid_TTAFOutgoing'!CA32))</f>
        <v/>
      </c>
      <c r="CB32">
        <f>IF(COUNTIFS(T_StockCount[Part Name],$A32,T_StockCount[WeekIndex],79)&gt;0,0,IF(('T_TTAFStock'!CB36&lt;&gt;""),'T_TTAFStock'!CB36,CA32+'Grid_Incoming'!CB32-'Grid_TTAFOutgoing'!CB32))</f>
        <v/>
      </c>
      <c r="CC32">
        <f>IF(COUNTIFS(T_StockCount[Part Name],$A32,T_StockCount[WeekIndex],80)&gt;0,0,IF(('T_TTAFStock'!CC36&lt;&gt;""),'T_TTAFStock'!CC36,CB32+'Grid_Incoming'!CC32-'Grid_TTAFOutgoing'!CC32))</f>
        <v/>
      </c>
      <c r="CD32">
        <f>IF(COUNTIFS(T_StockCount[Part Name],$A32,T_StockCount[WeekIndex],81)&gt;0,0,IF(('T_TTAFStock'!CD36&lt;&gt;""),'T_TTAFStock'!CD36,CC32+'Grid_Incoming'!CD32-'Grid_TTAFOutgoing'!CD32))</f>
        <v/>
      </c>
      <c r="CE32">
        <f>IF(COUNTIFS(T_StockCount[Part Name],$A32,T_StockCount[WeekIndex],82)&gt;0,0,IF(('T_TTAFStock'!CE36&lt;&gt;""),'T_TTAFStock'!CE36,CD32+'Grid_Incoming'!CE32-'Grid_TTAFOutgoing'!CE32))</f>
        <v/>
      </c>
      <c r="CF32">
        <f>IF(COUNTIFS(T_StockCount[Part Name],$A32,T_StockCount[WeekIndex],83)&gt;0,0,IF(('T_TTAFStock'!CF36&lt;&gt;""),'T_TTAFStock'!CF36,CE32+'Grid_Incoming'!CF32-'Grid_TTAFOutgoing'!CF32))</f>
        <v/>
      </c>
      <c r="CG32">
        <f>IF(COUNTIFS(T_StockCount[Part Name],$A32,T_StockCount[WeekIndex],84)&gt;0,0,IF(('T_TTAFStock'!CG36&lt;&gt;""),'T_TTAFStock'!CG36,CF32+'Grid_Incoming'!CG32-'Grid_TTAFOutgoing'!CG32))</f>
        <v/>
      </c>
      <c r="CH32">
        <f>IF(COUNTIFS(T_StockCount[Part Name],$A32,T_StockCount[WeekIndex],85)&gt;0,0,IF(('T_TTAFStock'!CH36&lt;&gt;""),'T_TTAFStock'!CH36,CG32+'Grid_Incoming'!CH32-'Grid_TTAFOutgoing'!CH32))</f>
        <v/>
      </c>
      <c r="CI32">
        <f>IF(COUNTIFS(T_StockCount[Part Name],$A32,T_StockCount[WeekIndex],86)&gt;0,0,IF(('T_TTAFStock'!CI36&lt;&gt;""),'T_TTAFStock'!CI36,CH32+'Grid_Incoming'!CI32-'Grid_TTAFOutgoing'!CI32))</f>
        <v/>
      </c>
      <c r="CJ32">
        <f>IF(COUNTIFS(T_StockCount[Part Name],$A32,T_StockCount[WeekIndex],87)&gt;0,0,IF(('T_TTAFStock'!CJ36&lt;&gt;""),'T_TTAFStock'!CJ36,CI32+'Grid_Incoming'!CJ32-'Grid_TTAFOutgoing'!CJ32))</f>
        <v/>
      </c>
      <c r="CK32">
        <f>IF(COUNTIFS(T_StockCount[Part Name],$A32,T_StockCount[WeekIndex],88)&gt;0,0,IF(('T_TTAFStock'!CK36&lt;&gt;""),'T_TTAFStock'!CK36,CJ32+'Grid_Incoming'!CK32-'Grid_TTAFOutgoing'!CK32))</f>
        <v/>
      </c>
      <c r="CL32">
        <f>IF(COUNTIFS(T_StockCount[Part Name],$A32,T_StockCount[WeekIndex],89)&gt;0,0,IF(('T_TTAFStock'!CL36&lt;&gt;""),'T_TTAFStock'!CL36,CK32+'Grid_Incoming'!CL32-'Grid_TTAFOutgoing'!CL32))</f>
        <v/>
      </c>
      <c r="CM32">
        <f>IF(COUNTIFS(T_StockCount[Part Name],$A32,T_StockCount[WeekIndex],90)&gt;0,0,IF(('T_TTAFStock'!CM36&lt;&gt;""),'T_TTAFStock'!CM36,CL32+'Grid_Incoming'!CM32-'Grid_TTAFOutgoing'!CM32))</f>
        <v/>
      </c>
      <c r="CN32">
        <f>IF(COUNTIFS(T_StockCount[Part Name],$A32,T_StockCount[WeekIndex],91)&gt;0,0,IF(('T_TTAFStock'!CN36&lt;&gt;""),'T_TTAFStock'!CN36,CM32+'Grid_Incoming'!CN32-'Grid_TTAFOutgoing'!CN32))</f>
        <v/>
      </c>
      <c r="CO32">
        <f>IF(COUNTIFS(T_StockCount[Part Name],$A32,T_StockCount[WeekIndex],92)&gt;0,0,IF(('T_TTAFStock'!CO36&lt;&gt;""),'T_TTAFStock'!CO36,CN32+'Grid_Incoming'!CO32-'Grid_TTAFOutgoing'!CO32))</f>
        <v/>
      </c>
      <c r="CP32">
        <f>IF(COUNTIFS(T_StockCount[Part Name],$A32,T_StockCount[WeekIndex],93)&gt;0,0,IF(('T_TTAFStock'!CP36&lt;&gt;""),'T_TTAFStock'!CP36,CO32+'Grid_Incoming'!CP32-'Grid_TTAFOutgoing'!CP32))</f>
        <v/>
      </c>
      <c r="CQ32">
        <f>IF(COUNTIFS(T_StockCount[Part Name],$A32,T_StockCount[WeekIndex],94)&gt;0,0,IF(('T_TTAFStock'!CQ36&lt;&gt;""),'T_TTAFStock'!CQ36,CP32+'Grid_Incoming'!CQ32-'Grid_TTAFOutgoing'!CQ32))</f>
        <v/>
      </c>
      <c r="CR32">
        <f>IF(COUNTIFS(T_StockCount[Part Name],$A32,T_StockCount[WeekIndex],95)&gt;0,0,IF(('T_TTAFStock'!CR36&lt;&gt;""),'T_TTAFStock'!CR36,CQ32+'Grid_Incoming'!CR32-'Grid_TTAFOutgoing'!CR32))</f>
        <v/>
      </c>
      <c r="CS32">
        <f>IF(COUNTIFS(T_StockCount[Part Name],$A32,T_StockCount[WeekIndex],96)&gt;0,0,IF(('T_TTAFStock'!CS36&lt;&gt;""),'T_TTAFStock'!CS36,CR32+'Grid_Incoming'!CS32-'Grid_TTAFOutgoing'!CS32))</f>
        <v/>
      </c>
      <c r="CT32">
        <f>IF(COUNTIFS(T_StockCount[Part Name],$A32,T_StockCount[WeekIndex],97)&gt;0,0,IF(('T_TTAFStock'!CT36&lt;&gt;""),'T_TTAFStock'!CT36,CS32+'Grid_Incoming'!CT32-'Grid_TTAFOutgoing'!CT32))</f>
        <v/>
      </c>
      <c r="CU32">
        <f>IF(COUNTIFS(T_StockCount[Part Name],$A32,T_StockCount[WeekIndex],98)&gt;0,0,IF(('T_TTAFStock'!CU36&lt;&gt;""),'T_TTAFStock'!CU36,CT32+'Grid_Incoming'!CU32-'Grid_TTAFOutgoing'!CU32))</f>
        <v/>
      </c>
      <c r="CV32">
        <f>IF(COUNTIFS(T_StockCount[Part Name],$A32,T_StockCount[WeekIndex],99)&gt;0,0,IF(('T_TTAFStock'!CV36&lt;&gt;""),'T_TTAFStock'!CV36,CU32+'Grid_Incoming'!CV32-'Grid_TTAFOutgoing'!CV32))</f>
        <v/>
      </c>
      <c r="CW32">
        <f>IF(COUNTIFS(T_StockCount[Part Name],$A32,T_StockCount[WeekIndex],100)&gt;0,0,IF(('T_TTAFStock'!CW36&lt;&gt;""),'T_TTAFStock'!CW36,CV32+'Grid_Incoming'!CW32-'Grid_TTAFOutgoing'!CW32))</f>
        <v/>
      </c>
      <c r="CX32">
        <f>IF(COUNTIFS(T_StockCount[Part Name],$A32,T_StockCount[WeekIndex],101)&gt;0,0,IF(('T_TTAFStock'!CX36&lt;&gt;""),'T_TTAFStock'!CX36,CW32+'Grid_Incoming'!CX32-'Grid_TTAFOutgoing'!CX32))</f>
        <v/>
      </c>
      <c r="CY32">
        <f>IF(COUNTIFS(T_StockCount[Part Name],$A32,T_StockCount[WeekIndex],102)&gt;0,0,IF(('T_TTAFStock'!CY36&lt;&gt;""),'T_TTAFStock'!CY36,CX32+'Grid_Incoming'!CY32-'Grid_TTAFOutgoing'!CY32))</f>
        <v/>
      </c>
      <c r="CZ32">
        <f>IF(COUNTIFS(T_StockCount[Part Name],$A32,T_StockCount[WeekIndex],103)&gt;0,0,IF(('T_TTAFStock'!CZ36&lt;&gt;""),'T_TTAFStock'!CZ36,CY32+'Grid_Incoming'!CZ32-'Grid_TTAFOutgoing'!CZ32))</f>
        <v/>
      </c>
      <c r="DA32">
        <f>IF(COUNTIFS(T_StockCount[Part Name],$A32,T_StockCount[WeekIndex],104)&gt;0,0,IF(('T_TTAFStock'!DA36&lt;&gt;""),'T_TTAFStock'!DA36,CZ32+'Grid_Incoming'!DA32-'Grid_TTAFOutgoing'!DA32))</f>
        <v/>
      </c>
    </row>
    <row r="33">
      <c r="A33" t="inlineStr">
        <is>
          <t>CHEM-1480</t>
        </is>
      </c>
      <c r="B33">
        <f>IF(COUNTIFS(T_StockCount[Part Name],$A33,T_StockCount[WeekIndex],1)&gt;0,0,IF(('T_TTAFStock'!B37&lt;&gt;""),'T_TTAFStock'!B37,0+'Grid_Incoming'!B33-'Grid_TTAFOutgoing'!B33))</f>
        <v/>
      </c>
      <c r="C33">
        <f>IF(COUNTIFS(T_StockCount[Part Name],$A33,T_StockCount[WeekIndex],2)&gt;0,0,IF(('T_TTAFStock'!C37&lt;&gt;""),'T_TTAFStock'!C37,B33+'Grid_Incoming'!C33-'Grid_TTAFOutgoing'!C33))</f>
        <v/>
      </c>
      <c r="D33">
        <f>IF(COUNTIFS(T_StockCount[Part Name],$A33,T_StockCount[WeekIndex],3)&gt;0,0,IF(('T_TTAFStock'!D37&lt;&gt;""),'T_TTAFStock'!D37,C33+'Grid_Incoming'!D33-'Grid_TTAFOutgoing'!D33))</f>
        <v/>
      </c>
      <c r="E33">
        <f>IF(COUNTIFS(T_StockCount[Part Name],$A33,T_StockCount[WeekIndex],4)&gt;0,0,IF(('T_TTAFStock'!E37&lt;&gt;""),'T_TTAFStock'!E37,D33+'Grid_Incoming'!E33-'Grid_TTAFOutgoing'!E33))</f>
        <v/>
      </c>
      <c r="F33">
        <f>IF(COUNTIFS(T_StockCount[Part Name],$A33,T_StockCount[WeekIndex],5)&gt;0,0,IF(('T_TTAFStock'!F37&lt;&gt;""),'T_TTAFStock'!F37,E33+'Grid_Incoming'!F33-'Grid_TTAFOutgoing'!F33))</f>
        <v/>
      </c>
      <c r="G33">
        <f>IF(COUNTIFS(T_StockCount[Part Name],$A33,T_StockCount[WeekIndex],6)&gt;0,0,IF(('T_TTAFStock'!G37&lt;&gt;""),'T_TTAFStock'!G37,F33+'Grid_Incoming'!G33-'Grid_TTAFOutgoing'!G33))</f>
        <v/>
      </c>
      <c r="H33">
        <f>IF(COUNTIFS(T_StockCount[Part Name],$A33,T_StockCount[WeekIndex],7)&gt;0,0,IF(('T_TTAFStock'!H37&lt;&gt;""),'T_TTAFStock'!H37,G33+'Grid_Incoming'!H33-'Grid_TTAFOutgoing'!H33))</f>
        <v/>
      </c>
      <c r="I33">
        <f>IF(COUNTIFS(T_StockCount[Part Name],$A33,T_StockCount[WeekIndex],8)&gt;0,0,IF(('T_TTAFStock'!I37&lt;&gt;""),'T_TTAFStock'!I37,H33+'Grid_Incoming'!I33-'Grid_TTAFOutgoing'!I33))</f>
        <v/>
      </c>
      <c r="J33">
        <f>IF(COUNTIFS(T_StockCount[Part Name],$A33,T_StockCount[WeekIndex],9)&gt;0,0,IF(('T_TTAFStock'!J37&lt;&gt;""),'T_TTAFStock'!J37,I33+'Grid_Incoming'!J33-'Grid_TTAFOutgoing'!J33))</f>
        <v/>
      </c>
      <c r="K33">
        <f>IF(COUNTIFS(T_StockCount[Part Name],$A33,T_StockCount[WeekIndex],10)&gt;0,0,IF(('T_TTAFStock'!K37&lt;&gt;""),'T_TTAFStock'!K37,J33+'Grid_Incoming'!K33-'Grid_TTAFOutgoing'!K33))</f>
        <v/>
      </c>
      <c r="L33">
        <f>IF(COUNTIFS(T_StockCount[Part Name],$A33,T_StockCount[WeekIndex],11)&gt;0,0,IF(('T_TTAFStock'!L37&lt;&gt;""),'T_TTAFStock'!L37,K33+'Grid_Incoming'!L33-'Grid_TTAFOutgoing'!L33))</f>
        <v/>
      </c>
      <c r="M33">
        <f>IF(COUNTIFS(T_StockCount[Part Name],$A33,T_StockCount[WeekIndex],12)&gt;0,0,IF(('T_TTAFStock'!M37&lt;&gt;""),'T_TTAFStock'!M37,L33+'Grid_Incoming'!M33-'Grid_TTAFOutgoing'!M33))</f>
        <v/>
      </c>
      <c r="N33">
        <f>IF(COUNTIFS(T_StockCount[Part Name],$A33,T_StockCount[WeekIndex],13)&gt;0,0,IF(('T_TTAFStock'!N37&lt;&gt;""),'T_TTAFStock'!N37,M33+'Grid_Incoming'!N33-'Grid_TTAFOutgoing'!N33))</f>
        <v/>
      </c>
      <c r="O33">
        <f>IF(COUNTIFS(T_StockCount[Part Name],$A33,T_StockCount[WeekIndex],14)&gt;0,0,IF(('T_TTAFStock'!O37&lt;&gt;""),'T_TTAFStock'!O37,N33+'Grid_Incoming'!O33-'Grid_TTAFOutgoing'!O33))</f>
        <v/>
      </c>
      <c r="P33">
        <f>IF(COUNTIFS(T_StockCount[Part Name],$A33,T_StockCount[WeekIndex],15)&gt;0,0,IF(('T_TTAFStock'!P37&lt;&gt;""),'T_TTAFStock'!P37,O33+'Grid_Incoming'!P33-'Grid_TTAFOutgoing'!P33))</f>
        <v/>
      </c>
      <c r="Q33">
        <f>IF(COUNTIFS(T_StockCount[Part Name],$A33,T_StockCount[WeekIndex],16)&gt;0,0,IF(('T_TTAFStock'!Q37&lt;&gt;""),'T_TTAFStock'!Q37,P33+'Grid_Incoming'!Q33-'Grid_TTAFOutgoing'!Q33))</f>
        <v/>
      </c>
      <c r="R33">
        <f>IF(COUNTIFS(T_StockCount[Part Name],$A33,T_StockCount[WeekIndex],17)&gt;0,0,IF(('T_TTAFStock'!R37&lt;&gt;""),'T_TTAFStock'!R37,Q33+'Grid_Incoming'!R33-'Grid_TTAFOutgoing'!R33))</f>
        <v/>
      </c>
      <c r="S33">
        <f>IF(COUNTIFS(T_StockCount[Part Name],$A33,T_StockCount[WeekIndex],18)&gt;0,0,IF(('T_TTAFStock'!S37&lt;&gt;""),'T_TTAFStock'!S37,R33+'Grid_Incoming'!S33-'Grid_TTAFOutgoing'!S33))</f>
        <v/>
      </c>
      <c r="T33">
        <f>IF(COUNTIFS(T_StockCount[Part Name],$A33,T_StockCount[WeekIndex],19)&gt;0,0,IF(('T_TTAFStock'!T37&lt;&gt;""),'T_TTAFStock'!T37,S33+'Grid_Incoming'!T33-'Grid_TTAFOutgoing'!T33))</f>
        <v/>
      </c>
      <c r="U33">
        <f>IF(COUNTIFS(T_StockCount[Part Name],$A33,T_StockCount[WeekIndex],20)&gt;0,0,IF(('T_TTAFStock'!U37&lt;&gt;""),'T_TTAFStock'!U37,T33+'Grid_Incoming'!U33-'Grid_TTAFOutgoing'!U33))</f>
        <v/>
      </c>
      <c r="V33">
        <f>IF(COUNTIFS(T_StockCount[Part Name],$A33,T_StockCount[WeekIndex],21)&gt;0,0,IF(('T_TTAFStock'!V37&lt;&gt;""),'T_TTAFStock'!V37,U33+'Grid_Incoming'!V33-'Grid_TTAFOutgoing'!V33))</f>
        <v/>
      </c>
      <c r="W33">
        <f>IF(COUNTIFS(T_StockCount[Part Name],$A33,T_StockCount[WeekIndex],22)&gt;0,0,IF(('T_TTAFStock'!W37&lt;&gt;""),'T_TTAFStock'!W37,V33+'Grid_Incoming'!W33-'Grid_TTAFOutgoing'!W33))</f>
        <v/>
      </c>
      <c r="X33">
        <f>IF(COUNTIFS(T_StockCount[Part Name],$A33,T_StockCount[WeekIndex],23)&gt;0,0,IF(('T_TTAFStock'!X37&lt;&gt;""),'T_TTAFStock'!X37,W33+'Grid_Incoming'!X33-'Grid_TTAFOutgoing'!X33))</f>
        <v/>
      </c>
      <c r="Y33">
        <f>IF(COUNTIFS(T_StockCount[Part Name],$A33,T_StockCount[WeekIndex],24)&gt;0,0,IF(('T_TTAFStock'!Y37&lt;&gt;""),'T_TTAFStock'!Y37,X33+'Grid_Incoming'!Y33-'Grid_TTAFOutgoing'!Y33))</f>
        <v/>
      </c>
      <c r="Z33">
        <f>IF(COUNTIFS(T_StockCount[Part Name],$A33,T_StockCount[WeekIndex],25)&gt;0,0,IF(('T_TTAFStock'!Z37&lt;&gt;""),'T_TTAFStock'!Z37,Y33+'Grid_Incoming'!Z33-'Grid_TTAFOutgoing'!Z33))</f>
        <v/>
      </c>
      <c r="AA33">
        <f>IF(COUNTIFS(T_StockCount[Part Name],$A33,T_StockCount[WeekIndex],26)&gt;0,0,IF(('T_TTAFStock'!AA37&lt;&gt;""),'T_TTAFStock'!AA37,Z33+'Grid_Incoming'!AA33-'Grid_TTAFOutgoing'!AA33))</f>
        <v/>
      </c>
      <c r="AB33">
        <f>IF(COUNTIFS(T_StockCount[Part Name],$A33,T_StockCount[WeekIndex],27)&gt;0,0,IF(('T_TTAFStock'!AB37&lt;&gt;""),'T_TTAFStock'!AB37,AA33+'Grid_Incoming'!AB33-'Grid_TTAFOutgoing'!AB33))</f>
        <v/>
      </c>
      <c r="AC33">
        <f>IF(COUNTIFS(T_StockCount[Part Name],$A33,T_StockCount[WeekIndex],28)&gt;0,0,IF(('T_TTAFStock'!AC37&lt;&gt;""),'T_TTAFStock'!AC37,AB33+'Grid_Incoming'!AC33-'Grid_TTAFOutgoing'!AC33))</f>
        <v/>
      </c>
      <c r="AD33">
        <f>IF(COUNTIFS(T_StockCount[Part Name],$A33,T_StockCount[WeekIndex],29)&gt;0,0,IF(('T_TTAFStock'!AD37&lt;&gt;""),'T_TTAFStock'!AD37,AC33+'Grid_Incoming'!AD33-'Grid_TTAFOutgoing'!AD33))</f>
        <v/>
      </c>
      <c r="AE33">
        <f>IF(COUNTIFS(T_StockCount[Part Name],$A33,T_StockCount[WeekIndex],30)&gt;0,0,IF(('T_TTAFStock'!AE37&lt;&gt;""),'T_TTAFStock'!AE37,AD33+'Grid_Incoming'!AE33-'Grid_TTAFOutgoing'!AE33))</f>
        <v/>
      </c>
      <c r="AF33">
        <f>IF(COUNTIFS(T_StockCount[Part Name],$A33,T_StockCount[WeekIndex],31)&gt;0,0,IF(('T_TTAFStock'!AF37&lt;&gt;""),'T_TTAFStock'!AF37,AE33+'Grid_Incoming'!AF33-'Grid_TTAFOutgoing'!AF33))</f>
        <v/>
      </c>
      <c r="AG33">
        <f>IF(COUNTIFS(T_StockCount[Part Name],$A33,T_StockCount[WeekIndex],32)&gt;0,0,IF(('T_TTAFStock'!AG37&lt;&gt;""),'T_TTAFStock'!AG37,AF33+'Grid_Incoming'!AG33-'Grid_TTAFOutgoing'!AG33))</f>
        <v/>
      </c>
      <c r="AH33">
        <f>IF(COUNTIFS(T_StockCount[Part Name],$A33,T_StockCount[WeekIndex],33)&gt;0,0,IF(('T_TTAFStock'!AH37&lt;&gt;""),'T_TTAFStock'!AH37,AG33+'Grid_Incoming'!AH33-'Grid_TTAFOutgoing'!AH33))</f>
        <v/>
      </c>
      <c r="AI33">
        <f>IF(COUNTIFS(T_StockCount[Part Name],$A33,T_StockCount[WeekIndex],34)&gt;0,0,IF(('T_TTAFStock'!AI37&lt;&gt;""),'T_TTAFStock'!AI37,AH33+'Grid_Incoming'!AI33-'Grid_TTAFOutgoing'!AI33))</f>
        <v/>
      </c>
      <c r="AJ33">
        <f>IF(COUNTIFS(T_StockCount[Part Name],$A33,T_StockCount[WeekIndex],35)&gt;0,0,IF(('T_TTAFStock'!AJ37&lt;&gt;""),'T_TTAFStock'!AJ37,AI33+'Grid_Incoming'!AJ33-'Grid_TTAFOutgoing'!AJ33))</f>
        <v/>
      </c>
      <c r="AK33">
        <f>IF(COUNTIFS(T_StockCount[Part Name],$A33,T_StockCount[WeekIndex],36)&gt;0,0,IF(('T_TTAFStock'!AK37&lt;&gt;""),'T_TTAFStock'!AK37,AJ33+'Grid_Incoming'!AK33-'Grid_TTAFOutgoing'!AK33))</f>
        <v/>
      </c>
      <c r="AL33">
        <f>IF(COUNTIFS(T_StockCount[Part Name],$A33,T_StockCount[WeekIndex],37)&gt;0,0,IF(('T_TTAFStock'!AL37&lt;&gt;""),'T_TTAFStock'!AL37,AK33+'Grid_Incoming'!AL33-'Grid_TTAFOutgoing'!AL33))</f>
        <v/>
      </c>
      <c r="AM33">
        <f>IF(COUNTIFS(T_StockCount[Part Name],$A33,T_StockCount[WeekIndex],38)&gt;0,0,IF(('T_TTAFStock'!AM37&lt;&gt;""),'T_TTAFStock'!AM37,AL33+'Grid_Incoming'!AM33-'Grid_TTAFOutgoing'!AM33))</f>
        <v/>
      </c>
      <c r="AN33">
        <f>IF(COUNTIFS(T_StockCount[Part Name],$A33,T_StockCount[WeekIndex],39)&gt;0,0,IF(('T_TTAFStock'!AN37&lt;&gt;""),'T_TTAFStock'!AN37,AM33+'Grid_Incoming'!AN33-'Grid_TTAFOutgoing'!AN33))</f>
        <v/>
      </c>
      <c r="AO33">
        <f>IF(COUNTIFS(T_StockCount[Part Name],$A33,T_StockCount[WeekIndex],40)&gt;0,0,IF(('T_TTAFStock'!AO37&lt;&gt;""),'T_TTAFStock'!AO37,AN33+'Grid_Incoming'!AO33-'Grid_TTAFOutgoing'!AO33))</f>
        <v/>
      </c>
      <c r="AP33">
        <f>IF(COUNTIFS(T_StockCount[Part Name],$A33,T_StockCount[WeekIndex],41)&gt;0,0,IF(('T_TTAFStock'!AP37&lt;&gt;""),'T_TTAFStock'!AP37,AO33+'Grid_Incoming'!AP33-'Grid_TTAFOutgoing'!AP33))</f>
        <v/>
      </c>
      <c r="AQ33">
        <f>IF(COUNTIFS(T_StockCount[Part Name],$A33,T_StockCount[WeekIndex],42)&gt;0,0,IF(('T_TTAFStock'!AQ37&lt;&gt;""),'T_TTAFStock'!AQ37,AP33+'Grid_Incoming'!AQ33-'Grid_TTAFOutgoing'!AQ33))</f>
        <v/>
      </c>
      <c r="AR33">
        <f>IF(COUNTIFS(T_StockCount[Part Name],$A33,T_StockCount[WeekIndex],43)&gt;0,0,IF(('T_TTAFStock'!AR37&lt;&gt;""),'T_TTAFStock'!AR37,AQ33+'Grid_Incoming'!AR33-'Grid_TTAFOutgoing'!AR33))</f>
        <v/>
      </c>
      <c r="AS33">
        <f>IF(COUNTIFS(T_StockCount[Part Name],$A33,T_StockCount[WeekIndex],44)&gt;0,0,IF(('T_TTAFStock'!AS37&lt;&gt;""),'T_TTAFStock'!AS37,AR33+'Grid_Incoming'!AS33-'Grid_TTAFOutgoing'!AS33))</f>
        <v/>
      </c>
      <c r="AT33">
        <f>IF(COUNTIFS(T_StockCount[Part Name],$A33,T_StockCount[WeekIndex],45)&gt;0,0,IF(('T_TTAFStock'!AT37&lt;&gt;""),'T_TTAFStock'!AT37,AS33+'Grid_Incoming'!AT33-'Grid_TTAFOutgoing'!AT33))</f>
        <v/>
      </c>
      <c r="AU33">
        <f>IF(COUNTIFS(T_StockCount[Part Name],$A33,T_StockCount[WeekIndex],46)&gt;0,0,IF(('T_TTAFStock'!AU37&lt;&gt;""),'T_TTAFStock'!AU37,AT33+'Grid_Incoming'!AU33-'Grid_TTAFOutgoing'!AU33))</f>
        <v/>
      </c>
      <c r="AV33">
        <f>IF(COUNTIFS(T_StockCount[Part Name],$A33,T_StockCount[WeekIndex],47)&gt;0,0,IF(('T_TTAFStock'!AV37&lt;&gt;""),'T_TTAFStock'!AV37,AU33+'Grid_Incoming'!AV33-'Grid_TTAFOutgoing'!AV33))</f>
        <v/>
      </c>
      <c r="AW33">
        <f>IF(COUNTIFS(T_StockCount[Part Name],$A33,T_StockCount[WeekIndex],48)&gt;0,0,IF(('T_TTAFStock'!AW37&lt;&gt;""),'T_TTAFStock'!AW37,AV33+'Grid_Incoming'!AW33-'Grid_TTAFOutgoing'!AW33))</f>
        <v/>
      </c>
      <c r="AX33">
        <f>IF(COUNTIFS(T_StockCount[Part Name],$A33,T_StockCount[WeekIndex],49)&gt;0,0,IF(('T_TTAFStock'!AX37&lt;&gt;""),'T_TTAFStock'!AX37,AW33+'Grid_Incoming'!AX33-'Grid_TTAFOutgoing'!AX33))</f>
        <v/>
      </c>
      <c r="AY33">
        <f>IF(COUNTIFS(T_StockCount[Part Name],$A33,T_StockCount[WeekIndex],50)&gt;0,0,IF(('T_TTAFStock'!AY37&lt;&gt;""),'T_TTAFStock'!AY37,AX33+'Grid_Incoming'!AY33-'Grid_TTAFOutgoing'!AY33))</f>
        <v/>
      </c>
      <c r="AZ33">
        <f>IF(COUNTIFS(T_StockCount[Part Name],$A33,T_StockCount[WeekIndex],51)&gt;0,0,IF(('T_TTAFStock'!AZ37&lt;&gt;""),'T_TTAFStock'!AZ37,AY33+'Grid_Incoming'!AZ33-'Grid_TTAFOutgoing'!AZ33))</f>
        <v/>
      </c>
      <c r="BA33">
        <f>IF(COUNTIFS(T_StockCount[Part Name],$A33,T_StockCount[WeekIndex],52)&gt;0,0,IF(('T_TTAFStock'!BA37&lt;&gt;""),'T_TTAFStock'!BA37,AZ33+'Grid_Incoming'!BA33-'Grid_TTAFOutgoing'!BA33))</f>
        <v/>
      </c>
      <c r="BB33">
        <f>IF(COUNTIFS(T_StockCount[Part Name],$A33,T_StockCount[WeekIndex],53)&gt;0,0,IF(('T_TTAFStock'!BB37&lt;&gt;""),'T_TTAFStock'!BB37,BA33+'Grid_Incoming'!BB33-'Grid_TTAFOutgoing'!BB33))</f>
        <v/>
      </c>
      <c r="BC33">
        <f>IF(COUNTIFS(T_StockCount[Part Name],$A33,T_StockCount[WeekIndex],54)&gt;0,0,IF(('T_TTAFStock'!BC37&lt;&gt;""),'T_TTAFStock'!BC37,BB33+'Grid_Incoming'!BC33-'Grid_TTAFOutgoing'!BC33))</f>
        <v/>
      </c>
      <c r="BD33">
        <f>IF(COUNTIFS(T_StockCount[Part Name],$A33,T_StockCount[WeekIndex],55)&gt;0,0,IF(('T_TTAFStock'!BD37&lt;&gt;""),'T_TTAFStock'!BD37,BC33+'Grid_Incoming'!BD33-'Grid_TTAFOutgoing'!BD33))</f>
        <v/>
      </c>
      <c r="BE33">
        <f>IF(COUNTIFS(T_StockCount[Part Name],$A33,T_StockCount[WeekIndex],56)&gt;0,0,IF(('T_TTAFStock'!BE37&lt;&gt;""),'T_TTAFStock'!BE37,BD33+'Grid_Incoming'!BE33-'Grid_TTAFOutgoing'!BE33))</f>
        <v/>
      </c>
      <c r="BF33">
        <f>IF(COUNTIFS(T_StockCount[Part Name],$A33,T_StockCount[WeekIndex],57)&gt;0,0,IF(('T_TTAFStock'!BF37&lt;&gt;""),'T_TTAFStock'!BF37,BE33+'Grid_Incoming'!BF33-'Grid_TTAFOutgoing'!BF33))</f>
        <v/>
      </c>
      <c r="BG33">
        <f>IF(COUNTIFS(T_StockCount[Part Name],$A33,T_StockCount[WeekIndex],58)&gt;0,0,IF(('T_TTAFStock'!BG37&lt;&gt;""),'T_TTAFStock'!BG37,BF33+'Grid_Incoming'!BG33-'Grid_TTAFOutgoing'!BG33))</f>
        <v/>
      </c>
      <c r="BH33">
        <f>IF(COUNTIFS(T_StockCount[Part Name],$A33,T_StockCount[WeekIndex],59)&gt;0,0,IF(('T_TTAFStock'!BH37&lt;&gt;""),'T_TTAFStock'!BH37,BG33+'Grid_Incoming'!BH33-'Grid_TTAFOutgoing'!BH33))</f>
        <v/>
      </c>
      <c r="BI33">
        <f>IF(COUNTIFS(T_StockCount[Part Name],$A33,T_StockCount[WeekIndex],60)&gt;0,0,IF(('T_TTAFStock'!BI37&lt;&gt;""),'T_TTAFStock'!BI37,BH33+'Grid_Incoming'!BI33-'Grid_TTAFOutgoing'!BI33))</f>
        <v/>
      </c>
      <c r="BJ33">
        <f>IF(COUNTIFS(T_StockCount[Part Name],$A33,T_StockCount[WeekIndex],61)&gt;0,0,IF(('T_TTAFStock'!BJ37&lt;&gt;""),'T_TTAFStock'!BJ37,BI33+'Grid_Incoming'!BJ33-'Grid_TTAFOutgoing'!BJ33))</f>
        <v/>
      </c>
      <c r="BK33">
        <f>IF(COUNTIFS(T_StockCount[Part Name],$A33,T_StockCount[WeekIndex],62)&gt;0,0,IF(('T_TTAFStock'!BK37&lt;&gt;""),'T_TTAFStock'!BK37,BJ33+'Grid_Incoming'!BK33-'Grid_TTAFOutgoing'!BK33))</f>
        <v/>
      </c>
      <c r="BL33">
        <f>IF(COUNTIFS(T_StockCount[Part Name],$A33,T_StockCount[WeekIndex],63)&gt;0,0,IF(('T_TTAFStock'!BL37&lt;&gt;""),'T_TTAFStock'!BL37,BK33+'Grid_Incoming'!BL33-'Grid_TTAFOutgoing'!BL33))</f>
        <v/>
      </c>
      <c r="BM33">
        <f>IF(COUNTIFS(T_StockCount[Part Name],$A33,T_StockCount[WeekIndex],64)&gt;0,0,IF(('T_TTAFStock'!BM37&lt;&gt;""),'T_TTAFStock'!BM37,BL33+'Grid_Incoming'!BM33-'Grid_TTAFOutgoing'!BM33))</f>
        <v/>
      </c>
      <c r="BN33">
        <f>IF(COUNTIFS(T_StockCount[Part Name],$A33,T_StockCount[WeekIndex],65)&gt;0,0,IF(('T_TTAFStock'!BN37&lt;&gt;""),'T_TTAFStock'!BN37,BM33+'Grid_Incoming'!BN33-'Grid_TTAFOutgoing'!BN33))</f>
        <v/>
      </c>
      <c r="BO33">
        <f>IF(COUNTIFS(T_StockCount[Part Name],$A33,T_StockCount[WeekIndex],66)&gt;0,0,IF(('T_TTAFStock'!BO37&lt;&gt;""),'T_TTAFStock'!BO37,BN33+'Grid_Incoming'!BO33-'Grid_TTAFOutgoing'!BO33))</f>
        <v/>
      </c>
      <c r="BP33">
        <f>IF(COUNTIFS(T_StockCount[Part Name],$A33,T_StockCount[WeekIndex],67)&gt;0,0,IF(('T_TTAFStock'!BP37&lt;&gt;""),'T_TTAFStock'!BP37,BO33+'Grid_Incoming'!BP33-'Grid_TTAFOutgoing'!BP33))</f>
        <v/>
      </c>
      <c r="BQ33">
        <f>IF(COUNTIFS(T_StockCount[Part Name],$A33,T_StockCount[WeekIndex],68)&gt;0,0,IF(('T_TTAFStock'!BQ37&lt;&gt;""),'T_TTAFStock'!BQ37,BP33+'Grid_Incoming'!BQ33-'Grid_TTAFOutgoing'!BQ33))</f>
        <v/>
      </c>
      <c r="BR33">
        <f>IF(COUNTIFS(T_StockCount[Part Name],$A33,T_StockCount[WeekIndex],69)&gt;0,0,IF(('T_TTAFStock'!BR37&lt;&gt;""),'T_TTAFStock'!BR37,BQ33+'Grid_Incoming'!BR33-'Grid_TTAFOutgoing'!BR33))</f>
        <v/>
      </c>
      <c r="BS33">
        <f>IF(COUNTIFS(T_StockCount[Part Name],$A33,T_StockCount[WeekIndex],70)&gt;0,0,IF(('T_TTAFStock'!BS37&lt;&gt;""),'T_TTAFStock'!BS37,BR33+'Grid_Incoming'!BS33-'Grid_TTAFOutgoing'!BS33))</f>
        <v/>
      </c>
      <c r="BT33">
        <f>IF(COUNTIFS(T_StockCount[Part Name],$A33,T_StockCount[WeekIndex],71)&gt;0,0,IF(('T_TTAFStock'!BT37&lt;&gt;""),'T_TTAFStock'!BT37,BS33+'Grid_Incoming'!BT33-'Grid_TTAFOutgoing'!BT33))</f>
        <v/>
      </c>
      <c r="BU33">
        <f>IF(COUNTIFS(T_StockCount[Part Name],$A33,T_StockCount[WeekIndex],72)&gt;0,0,IF(('T_TTAFStock'!BU37&lt;&gt;""),'T_TTAFStock'!BU37,BT33+'Grid_Incoming'!BU33-'Grid_TTAFOutgoing'!BU33))</f>
        <v/>
      </c>
      <c r="BV33">
        <f>IF(COUNTIFS(T_StockCount[Part Name],$A33,T_StockCount[WeekIndex],73)&gt;0,0,IF(('T_TTAFStock'!BV37&lt;&gt;""),'T_TTAFStock'!BV37,BU33+'Grid_Incoming'!BV33-'Grid_TTAFOutgoing'!BV33))</f>
        <v/>
      </c>
      <c r="BW33">
        <f>IF(COUNTIFS(T_StockCount[Part Name],$A33,T_StockCount[WeekIndex],74)&gt;0,0,IF(('T_TTAFStock'!BW37&lt;&gt;""),'T_TTAFStock'!BW37,BV33+'Grid_Incoming'!BW33-'Grid_TTAFOutgoing'!BW33))</f>
        <v/>
      </c>
      <c r="BX33">
        <f>IF(COUNTIFS(T_StockCount[Part Name],$A33,T_StockCount[WeekIndex],75)&gt;0,0,IF(('T_TTAFStock'!BX37&lt;&gt;""),'T_TTAFStock'!BX37,BW33+'Grid_Incoming'!BX33-'Grid_TTAFOutgoing'!BX33))</f>
        <v/>
      </c>
      <c r="BY33">
        <f>IF(COUNTIFS(T_StockCount[Part Name],$A33,T_StockCount[WeekIndex],76)&gt;0,0,IF(('T_TTAFStock'!BY37&lt;&gt;""),'T_TTAFStock'!BY37,BX33+'Grid_Incoming'!BY33-'Grid_TTAFOutgoing'!BY33))</f>
        <v/>
      </c>
      <c r="BZ33">
        <f>IF(COUNTIFS(T_StockCount[Part Name],$A33,T_StockCount[WeekIndex],77)&gt;0,0,IF(('T_TTAFStock'!BZ37&lt;&gt;""),'T_TTAFStock'!BZ37,BY33+'Grid_Incoming'!BZ33-'Grid_TTAFOutgoing'!BZ33))</f>
        <v/>
      </c>
      <c r="CA33">
        <f>IF(COUNTIFS(T_StockCount[Part Name],$A33,T_StockCount[WeekIndex],78)&gt;0,0,IF(('T_TTAFStock'!CA37&lt;&gt;""),'T_TTAFStock'!CA37,BZ33+'Grid_Incoming'!CA33-'Grid_TTAFOutgoing'!CA33))</f>
        <v/>
      </c>
      <c r="CB33">
        <f>IF(COUNTIFS(T_StockCount[Part Name],$A33,T_StockCount[WeekIndex],79)&gt;0,0,IF(('T_TTAFStock'!CB37&lt;&gt;""),'T_TTAFStock'!CB37,CA33+'Grid_Incoming'!CB33-'Grid_TTAFOutgoing'!CB33))</f>
        <v/>
      </c>
      <c r="CC33">
        <f>IF(COUNTIFS(T_StockCount[Part Name],$A33,T_StockCount[WeekIndex],80)&gt;0,0,IF(('T_TTAFStock'!CC37&lt;&gt;""),'T_TTAFStock'!CC37,CB33+'Grid_Incoming'!CC33-'Grid_TTAFOutgoing'!CC33))</f>
        <v/>
      </c>
      <c r="CD33">
        <f>IF(COUNTIFS(T_StockCount[Part Name],$A33,T_StockCount[WeekIndex],81)&gt;0,0,IF(('T_TTAFStock'!CD37&lt;&gt;""),'T_TTAFStock'!CD37,CC33+'Grid_Incoming'!CD33-'Grid_TTAFOutgoing'!CD33))</f>
        <v/>
      </c>
      <c r="CE33">
        <f>IF(COUNTIFS(T_StockCount[Part Name],$A33,T_StockCount[WeekIndex],82)&gt;0,0,IF(('T_TTAFStock'!CE37&lt;&gt;""),'T_TTAFStock'!CE37,CD33+'Grid_Incoming'!CE33-'Grid_TTAFOutgoing'!CE33))</f>
        <v/>
      </c>
      <c r="CF33">
        <f>IF(COUNTIFS(T_StockCount[Part Name],$A33,T_StockCount[WeekIndex],83)&gt;0,0,IF(('T_TTAFStock'!CF37&lt;&gt;""),'T_TTAFStock'!CF37,CE33+'Grid_Incoming'!CF33-'Grid_TTAFOutgoing'!CF33))</f>
        <v/>
      </c>
      <c r="CG33">
        <f>IF(COUNTIFS(T_StockCount[Part Name],$A33,T_StockCount[WeekIndex],84)&gt;0,0,IF(('T_TTAFStock'!CG37&lt;&gt;""),'T_TTAFStock'!CG37,CF33+'Grid_Incoming'!CG33-'Grid_TTAFOutgoing'!CG33))</f>
        <v/>
      </c>
      <c r="CH33">
        <f>IF(COUNTIFS(T_StockCount[Part Name],$A33,T_StockCount[WeekIndex],85)&gt;0,0,IF(('T_TTAFStock'!CH37&lt;&gt;""),'T_TTAFStock'!CH37,CG33+'Grid_Incoming'!CH33-'Grid_TTAFOutgoing'!CH33))</f>
        <v/>
      </c>
      <c r="CI33">
        <f>IF(COUNTIFS(T_StockCount[Part Name],$A33,T_StockCount[WeekIndex],86)&gt;0,0,IF(('T_TTAFStock'!CI37&lt;&gt;""),'T_TTAFStock'!CI37,CH33+'Grid_Incoming'!CI33-'Grid_TTAFOutgoing'!CI33))</f>
        <v/>
      </c>
      <c r="CJ33">
        <f>IF(COUNTIFS(T_StockCount[Part Name],$A33,T_StockCount[WeekIndex],87)&gt;0,0,IF(('T_TTAFStock'!CJ37&lt;&gt;""),'T_TTAFStock'!CJ37,CI33+'Grid_Incoming'!CJ33-'Grid_TTAFOutgoing'!CJ33))</f>
        <v/>
      </c>
      <c r="CK33">
        <f>IF(COUNTIFS(T_StockCount[Part Name],$A33,T_StockCount[WeekIndex],88)&gt;0,0,IF(('T_TTAFStock'!CK37&lt;&gt;""),'T_TTAFStock'!CK37,CJ33+'Grid_Incoming'!CK33-'Grid_TTAFOutgoing'!CK33))</f>
        <v/>
      </c>
      <c r="CL33">
        <f>IF(COUNTIFS(T_StockCount[Part Name],$A33,T_StockCount[WeekIndex],89)&gt;0,0,IF(('T_TTAFStock'!CL37&lt;&gt;""),'T_TTAFStock'!CL37,CK33+'Grid_Incoming'!CL33-'Grid_TTAFOutgoing'!CL33))</f>
        <v/>
      </c>
      <c r="CM33">
        <f>IF(COUNTIFS(T_StockCount[Part Name],$A33,T_StockCount[WeekIndex],90)&gt;0,0,IF(('T_TTAFStock'!CM37&lt;&gt;""),'T_TTAFStock'!CM37,CL33+'Grid_Incoming'!CM33-'Grid_TTAFOutgoing'!CM33))</f>
        <v/>
      </c>
      <c r="CN33">
        <f>IF(COUNTIFS(T_StockCount[Part Name],$A33,T_StockCount[WeekIndex],91)&gt;0,0,IF(('T_TTAFStock'!CN37&lt;&gt;""),'T_TTAFStock'!CN37,CM33+'Grid_Incoming'!CN33-'Grid_TTAFOutgoing'!CN33))</f>
        <v/>
      </c>
      <c r="CO33">
        <f>IF(COUNTIFS(T_StockCount[Part Name],$A33,T_StockCount[WeekIndex],92)&gt;0,0,IF(('T_TTAFStock'!CO37&lt;&gt;""),'T_TTAFStock'!CO37,CN33+'Grid_Incoming'!CO33-'Grid_TTAFOutgoing'!CO33))</f>
        <v/>
      </c>
      <c r="CP33">
        <f>IF(COUNTIFS(T_StockCount[Part Name],$A33,T_StockCount[WeekIndex],93)&gt;0,0,IF(('T_TTAFStock'!CP37&lt;&gt;""),'T_TTAFStock'!CP37,CO33+'Grid_Incoming'!CP33-'Grid_TTAFOutgoing'!CP33))</f>
        <v/>
      </c>
      <c r="CQ33">
        <f>IF(COUNTIFS(T_StockCount[Part Name],$A33,T_StockCount[WeekIndex],94)&gt;0,0,IF(('T_TTAFStock'!CQ37&lt;&gt;""),'T_TTAFStock'!CQ37,CP33+'Grid_Incoming'!CQ33-'Grid_TTAFOutgoing'!CQ33))</f>
        <v/>
      </c>
      <c r="CR33">
        <f>IF(COUNTIFS(T_StockCount[Part Name],$A33,T_StockCount[WeekIndex],95)&gt;0,0,IF(('T_TTAFStock'!CR37&lt;&gt;""),'T_TTAFStock'!CR37,CQ33+'Grid_Incoming'!CR33-'Grid_TTAFOutgoing'!CR33))</f>
        <v/>
      </c>
      <c r="CS33">
        <f>IF(COUNTIFS(T_StockCount[Part Name],$A33,T_StockCount[WeekIndex],96)&gt;0,0,IF(('T_TTAFStock'!CS37&lt;&gt;""),'T_TTAFStock'!CS37,CR33+'Grid_Incoming'!CS33-'Grid_TTAFOutgoing'!CS33))</f>
        <v/>
      </c>
      <c r="CT33">
        <f>IF(COUNTIFS(T_StockCount[Part Name],$A33,T_StockCount[WeekIndex],97)&gt;0,0,IF(('T_TTAFStock'!CT37&lt;&gt;""),'T_TTAFStock'!CT37,CS33+'Grid_Incoming'!CT33-'Grid_TTAFOutgoing'!CT33))</f>
        <v/>
      </c>
      <c r="CU33">
        <f>IF(COUNTIFS(T_StockCount[Part Name],$A33,T_StockCount[WeekIndex],98)&gt;0,0,IF(('T_TTAFStock'!CU37&lt;&gt;""),'T_TTAFStock'!CU37,CT33+'Grid_Incoming'!CU33-'Grid_TTAFOutgoing'!CU33))</f>
        <v/>
      </c>
      <c r="CV33">
        <f>IF(COUNTIFS(T_StockCount[Part Name],$A33,T_StockCount[WeekIndex],99)&gt;0,0,IF(('T_TTAFStock'!CV37&lt;&gt;""),'T_TTAFStock'!CV37,CU33+'Grid_Incoming'!CV33-'Grid_TTAFOutgoing'!CV33))</f>
        <v/>
      </c>
      <c r="CW33">
        <f>IF(COUNTIFS(T_StockCount[Part Name],$A33,T_StockCount[WeekIndex],100)&gt;0,0,IF(('T_TTAFStock'!CW37&lt;&gt;""),'T_TTAFStock'!CW37,CV33+'Grid_Incoming'!CW33-'Grid_TTAFOutgoing'!CW33))</f>
        <v/>
      </c>
      <c r="CX33">
        <f>IF(COUNTIFS(T_StockCount[Part Name],$A33,T_StockCount[WeekIndex],101)&gt;0,0,IF(('T_TTAFStock'!CX37&lt;&gt;""),'T_TTAFStock'!CX37,CW33+'Grid_Incoming'!CX33-'Grid_TTAFOutgoing'!CX33))</f>
        <v/>
      </c>
      <c r="CY33">
        <f>IF(COUNTIFS(T_StockCount[Part Name],$A33,T_StockCount[WeekIndex],102)&gt;0,0,IF(('T_TTAFStock'!CY37&lt;&gt;""),'T_TTAFStock'!CY37,CX33+'Grid_Incoming'!CY33-'Grid_TTAFOutgoing'!CY33))</f>
        <v/>
      </c>
      <c r="CZ33">
        <f>IF(COUNTIFS(T_StockCount[Part Name],$A33,T_StockCount[WeekIndex],103)&gt;0,0,IF(('T_TTAFStock'!CZ37&lt;&gt;""),'T_TTAFStock'!CZ37,CY33+'Grid_Incoming'!CZ33-'Grid_TTAFOutgoing'!CZ33))</f>
        <v/>
      </c>
      <c r="DA33">
        <f>IF(COUNTIFS(T_StockCount[Part Name],$A33,T_StockCount[WeekIndex],104)&gt;0,0,IF(('T_TTAFStock'!DA37&lt;&gt;""),'T_TTAFStock'!DA37,CZ33+'Grid_Incoming'!DA33-'Grid_TTAFOutgoing'!DA33))</f>
        <v/>
      </c>
    </row>
    <row r="34">
      <c r="A34" t="inlineStr">
        <is>
          <t>CHEM-1560</t>
        </is>
      </c>
      <c r="B34">
        <f>IF(COUNTIFS(T_StockCount[Part Name],$A34,T_StockCount[WeekIndex],1)&gt;0,0,IF(('T_TTAFStock'!B38&lt;&gt;""),'T_TTAFStock'!B38,0+'Grid_Incoming'!B34-'Grid_TTAFOutgoing'!B34))</f>
        <v/>
      </c>
      <c r="C34">
        <f>IF(COUNTIFS(T_StockCount[Part Name],$A34,T_StockCount[WeekIndex],2)&gt;0,0,IF(('T_TTAFStock'!C38&lt;&gt;""),'T_TTAFStock'!C38,B34+'Grid_Incoming'!C34-'Grid_TTAFOutgoing'!C34))</f>
        <v/>
      </c>
      <c r="D34">
        <f>IF(COUNTIFS(T_StockCount[Part Name],$A34,T_StockCount[WeekIndex],3)&gt;0,0,IF(('T_TTAFStock'!D38&lt;&gt;""),'T_TTAFStock'!D38,C34+'Grid_Incoming'!D34-'Grid_TTAFOutgoing'!D34))</f>
        <v/>
      </c>
      <c r="E34">
        <f>IF(COUNTIFS(T_StockCount[Part Name],$A34,T_StockCount[WeekIndex],4)&gt;0,0,IF(('T_TTAFStock'!E38&lt;&gt;""),'T_TTAFStock'!E38,D34+'Grid_Incoming'!E34-'Grid_TTAFOutgoing'!E34))</f>
        <v/>
      </c>
      <c r="F34">
        <f>IF(COUNTIFS(T_StockCount[Part Name],$A34,T_StockCount[WeekIndex],5)&gt;0,0,IF(('T_TTAFStock'!F38&lt;&gt;""),'T_TTAFStock'!F38,E34+'Grid_Incoming'!F34-'Grid_TTAFOutgoing'!F34))</f>
        <v/>
      </c>
      <c r="G34">
        <f>IF(COUNTIFS(T_StockCount[Part Name],$A34,T_StockCount[WeekIndex],6)&gt;0,0,IF(('T_TTAFStock'!G38&lt;&gt;""),'T_TTAFStock'!G38,F34+'Grid_Incoming'!G34-'Grid_TTAFOutgoing'!G34))</f>
        <v/>
      </c>
      <c r="H34">
        <f>IF(COUNTIFS(T_StockCount[Part Name],$A34,T_StockCount[WeekIndex],7)&gt;0,0,IF(('T_TTAFStock'!H38&lt;&gt;""),'T_TTAFStock'!H38,G34+'Grid_Incoming'!H34-'Grid_TTAFOutgoing'!H34))</f>
        <v/>
      </c>
      <c r="I34">
        <f>IF(COUNTIFS(T_StockCount[Part Name],$A34,T_StockCount[WeekIndex],8)&gt;0,0,IF(('T_TTAFStock'!I38&lt;&gt;""),'T_TTAFStock'!I38,H34+'Grid_Incoming'!I34-'Grid_TTAFOutgoing'!I34))</f>
        <v/>
      </c>
      <c r="J34">
        <f>IF(COUNTIFS(T_StockCount[Part Name],$A34,T_StockCount[WeekIndex],9)&gt;0,0,IF(('T_TTAFStock'!J38&lt;&gt;""),'T_TTAFStock'!J38,I34+'Grid_Incoming'!J34-'Grid_TTAFOutgoing'!J34))</f>
        <v/>
      </c>
      <c r="K34">
        <f>IF(COUNTIFS(T_StockCount[Part Name],$A34,T_StockCount[WeekIndex],10)&gt;0,0,IF(('T_TTAFStock'!K38&lt;&gt;""),'T_TTAFStock'!K38,J34+'Grid_Incoming'!K34-'Grid_TTAFOutgoing'!K34))</f>
        <v/>
      </c>
      <c r="L34">
        <f>IF(COUNTIFS(T_StockCount[Part Name],$A34,T_StockCount[WeekIndex],11)&gt;0,0,IF(('T_TTAFStock'!L38&lt;&gt;""),'T_TTAFStock'!L38,K34+'Grid_Incoming'!L34-'Grid_TTAFOutgoing'!L34))</f>
        <v/>
      </c>
      <c r="M34">
        <f>IF(COUNTIFS(T_StockCount[Part Name],$A34,T_StockCount[WeekIndex],12)&gt;0,0,IF(('T_TTAFStock'!M38&lt;&gt;""),'T_TTAFStock'!M38,L34+'Grid_Incoming'!M34-'Grid_TTAFOutgoing'!M34))</f>
        <v/>
      </c>
      <c r="N34">
        <f>IF(COUNTIFS(T_StockCount[Part Name],$A34,T_StockCount[WeekIndex],13)&gt;0,0,IF(('T_TTAFStock'!N38&lt;&gt;""),'T_TTAFStock'!N38,M34+'Grid_Incoming'!N34-'Grid_TTAFOutgoing'!N34))</f>
        <v/>
      </c>
      <c r="O34">
        <f>IF(COUNTIFS(T_StockCount[Part Name],$A34,T_StockCount[WeekIndex],14)&gt;0,0,IF(('T_TTAFStock'!O38&lt;&gt;""),'T_TTAFStock'!O38,N34+'Grid_Incoming'!O34-'Grid_TTAFOutgoing'!O34))</f>
        <v/>
      </c>
      <c r="P34">
        <f>IF(COUNTIFS(T_StockCount[Part Name],$A34,T_StockCount[WeekIndex],15)&gt;0,0,IF(('T_TTAFStock'!P38&lt;&gt;""),'T_TTAFStock'!P38,O34+'Grid_Incoming'!P34-'Grid_TTAFOutgoing'!P34))</f>
        <v/>
      </c>
      <c r="Q34">
        <f>IF(COUNTIFS(T_StockCount[Part Name],$A34,T_StockCount[WeekIndex],16)&gt;0,0,IF(('T_TTAFStock'!Q38&lt;&gt;""),'T_TTAFStock'!Q38,P34+'Grid_Incoming'!Q34-'Grid_TTAFOutgoing'!Q34))</f>
        <v/>
      </c>
      <c r="R34">
        <f>IF(COUNTIFS(T_StockCount[Part Name],$A34,T_StockCount[WeekIndex],17)&gt;0,0,IF(('T_TTAFStock'!R38&lt;&gt;""),'T_TTAFStock'!R38,Q34+'Grid_Incoming'!R34-'Grid_TTAFOutgoing'!R34))</f>
        <v/>
      </c>
      <c r="S34">
        <f>IF(COUNTIFS(T_StockCount[Part Name],$A34,T_StockCount[WeekIndex],18)&gt;0,0,IF(('T_TTAFStock'!S38&lt;&gt;""),'T_TTAFStock'!S38,R34+'Grid_Incoming'!S34-'Grid_TTAFOutgoing'!S34))</f>
        <v/>
      </c>
      <c r="T34">
        <f>IF(COUNTIFS(T_StockCount[Part Name],$A34,T_StockCount[WeekIndex],19)&gt;0,0,IF(('T_TTAFStock'!T38&lt;&gt;""),'T_TTAFStock'!T38,S34+'Grid_Incoming'!T34-'Grid_TTAFOutgoing'!T34))</f>
        <v/>
      </c>
      <c r="U34">
        <f>IF(COUNTIFS(T_StockCount[Part Name],$A34,T_StockCount[WeekIndex],20)&gt;0,0,IF(('T_TTAFStock'!U38&lt;&gt;""),'T_TTAFStock'!U38,T34+'Grid_Incoming'!U34-'Grid_TTAFOutgoing'!U34))</f>
        <v/>
      </c>
      <c r="V34">
        <f>IF(COUNTIFS(T_StockCount[Part Name],$A34,T_StockCount[WeekIndex],21)&gt;0,0,IF(('T_TTAFStock'!V38&lt;&gt;""),'T_TTAFStock'!V38,U34+'Grid_Incoming'!V34-'Grid_TTAFOutgoing'!V34))</f>
        <v/>
      </c>
      <c r="W34">
        <f>IF(COUNTIFS(T_StockCount[Part Name],$A34,T_StockCount[WeekIndex],22)&gt;0,0,IF(('T_TTAFStock'!W38&lt;&gt;""),'T_TTAFStock'!W38,V34+'Grid_Incoming'!W34-'Grid_TTAFOutgoing'!W34))</f>
        <v/>
      </c>
      <c r="X34">
        <f>IF(COUNTIFS(T_StockCount[Part Name],$A34,T_StockCount[WeekIndex],23)&gt;0,0,IF(('T_TTAFStock'!X38&lt;&gt;""),'T_TTAFStock'!X38,W34+'Grid_Incoming'!X34-'Grid_TTAFOutgoing'!X34))</f>
        <v/>
      </c>
      <c r="Y34">
        <f>IF(COUNTIFS(T_StockCount[Part Name],$A34,T_StockCount[WeekIndex],24)&gt;0,0,IF(('T_TTAFStock'!Y38&lt;&gt;""),'T_TTAFStock'!Y38,X34+'Grid_Incoming'!Y34-'Grid_TTAFOutgoing'!Y34))</f>
        <v/>
      </c>
      <c r="Z34">
        <f>IF(COUNTIFS(T_StockCount[Part Name],$A34,T_StockCount[WeekIndex],25)&gt;0,0,IF(('T_TTAFStock'!Z38&lt;&gt;""),'T_TTAFStock'!Z38,Y34+'Grid_Incoming'!Z34-'Grid_TTAFOutgoing'!Z34))</f>
        <v/>
      </c>
      <c r="AA34">
        <f>IF(COUNTIFS(T_StockCount[Part Name],$A34,T_StockCount[WeekIndex],26)&gt;0,0,IF(('T_TTAFStock'!AA38&lt;&gt;""),'T_TTAFStock'!AA38,Z34+'Grid_Incoming'!AA34-'Grid_TTAFOutgoing'!AA34))</f>
        <v/>
      </c>
      <c r="AB34">
        <f>IF(COUNTIFS(T_StockCount[Part Name],$A34,T_StockCount[WeekIndex],27)&gt;0,0,IF(('T_TTAFStock'!AB38&lt;&gt;""),'T_TTAFStock'!AB38,AA34+'Grid_Incoming'!AB34-'Grid_TTAFOutgoing'!AB34))</f>
        <v/>
      </c>
      <c r="AC34">
        <f>IF(COUNTIFS(T_StockCount[Part Name],$A34,T_StockCount[WeekIndex],28)&gt;0,0,IF(('T_TTAFStock'!AC38&lt;&gt;""),'T_TTAFStock'!AC38,AB34+'Grid_Incoming'!AC34-'Grid_TTAFOutgoing'!AC34))</f>
        <v/>
      </c>
      <c r="AD34">
        <f>IF(COUNTIFS(T_StockCount[Part Name],$A34,T_StockCount[WeekIndex],29)&gt;0,0,IF(('T_TTAFStock'!AD38&lt;&gt;""),'T_TTAFStock'!AD38,AC34+'Grid_Incoming'!AD34-'Grid_TTAFOutgoing'!AD34))</f>
        <v/>
      </c>
      <c r="AE34">
        <f>IF(COUNTIFS(T_StockCount[Part Name],$A34,T_StockCount[WeekIndex],30)&gt;0,0,IF(('T_TTAFStock'!AE38&lt;&gt;""),'T_TTAFStock'!AE38,AD34+'Grid_Incoming'!AE34-'Grid_TTAFOutgoing'!AE34))</f>
        <v/>
      </c>
      <c r="AF34">
        <f>IF(COUNTIFS(T_StockCount[Part Name],$A34,T_StockCount[WeekIndex],31)&gt;0,0,IF(('T_TTAFStock'!AF38&lt;&gt;""),'T_TTAFStock'!AF38,AE34+'Grid_Incoming'!AF34-'Grid_TTAFOutgoing'!AF34))</f>
        <v/>
      </c>
      <c r="AG34">
        <f>IF(COUNTIFS(T_StockCount[Part Name],$A34,T_StockCount[WeekIndex],32)&gt;0,0,IF(('T_TTAFStock'!AG38&lt;&gt;""),'T_TTAFStock'!AG38,AF34+'Grid_Incoming'!AG34-'Grid_TTAFOutgoing'!AG34))</f>
        <v/>
      </c>
      <c r="AH34">
        <f>IF(COUNTIFS(T_StockCount[Part Name],$A34,T_StockCount[WeekIndex],33)&gt;0,0,IF(('T_TTAFStock'!AH38&lt;&gt;""),'T_TTAFStock'!AH38,AG34+'Grid_Incoming'!AH34-'Grid_TTAFOutgoing'!AH34))</f>
        <v/>
      </c>
      <c r="AI34">
        <f>IF(COUNTIFS(T_StockCount[Part Name],$A34,T_StockCount[WeekIndex],34)&gt;0,0,IF(('T_TTAFStock'!AI38&lt;&gt;""),'T_TTAFStock'!AI38,AH34+'Grid_Incoming'!AI34-'Grid_TTAFOutgoing'!AI34))</f>
        <v/>
      </c>
      <c r="AJ34">
        <f>IF(COUNTIFS(T_StockCount[Part Name],$A34,T_StockCount[WeekIndex],35)&gt;0,0,IF(('T_TTAFStock'!AJ38&lt;&gt;""),'T_TTAFStock'!AJ38,AI34+'Grid_Incoming'!AJ34-'Grid_TTAFOutgoing'!AJ34))</f>
        <v/>
      </c>
      <c r="AK34">
        <f>IF(COUNTIFS(T_StockCount[Part Name],$A34,T_StockCount[WeekIndex],36)&gt;0,0,IF(('T_TTAFStock'!AK38&lt;&gt;""),'T_TTAFStock'!AK38,AJ34+'Grid_Incoming'!AK34-'Grid_TTAFOutgoing'!AK34))</f>
        <v/>
      </c>
      <c r="AL34">
        <f>IF(COUNTIFS(T_StockCount[Part Name],$A34,T_StockCount[WeekIndex],37)&gt;0,0,IF(('T_TTAFStock'!AL38&lt;&gt;""),'T_TTAFStock'!AL38,AK34+'Grid_Incoming'!AL34-'Grid_TTAFOutgoing'!AL34))</f>
        <v/>
      </c>
      <c r="AM34">
        <f>IF(COUNTIFS(T_StockCount[Part Name],$A34,T_StockCount[WeekIndex],38)&gt;0,0,IF(('T_TTAFStock'!AM38&lt;&gt;""),'T_TTAFStock'!AM38,AL34+'Grid_Incoming'!AM34-'Grid_TTAFOutgoing'!AM34))</f>
        <v/>
      </c>
      <c r="AN34">
        <f>IF(COUNTIFS(T_StockCount[Part Name],$A34,T_StockCount[WeekIndex],39)&gt;0,0,IF(('T_TTAFStock'!AN38&lt;&gt;""),'T_TTAFStock'!AN38,AM34+'Grid_Incoming'!AN34-'Grid_TTAFOutgoing'!AN34))</f>
        <v/>
      </c>
      <c r="AO34">
        <f>IF(COUNTIFS(T_StockCount[Part Name],$A34,T_StockCount[WeekIndex],40)&gt;0,0,IF(('T_TTAFStock'!AO38&lt;&gt;""),'T_TTAFStock'!AO38,AN34+'Grid_Incoming'!AO34-'Grid_TTAFOutgoing'!AO34))</f>
        <v/>
      </c>
      <c r="AP34">
        <f>IF(COUNTIFS(T_StockCount[Part Name],$A34,T_StockCount[WeekIndex],41)&gt;0,0,IF(('T_TTAFStock'!AP38&lt;&gt;""),'T_TTAFStock'!AP38,AO34+'Grid_Incoming'!AP34-'Grid_TTAFOutgoing'!AP34))</f>
        <v/>
      </c>
      <c r="AQ34">
        <f>IF(COUNTIFS(T_StockCount[Part Name],$A34,T_StockCount[WeekIndex],42)&gt;0,0,IF(('T_TTAFStock'!AQ38&lt;&gt;""),'T_TTAFStock'!AQ38,AP34+'Grid_Incoming'!AQ34-'Grid_TTAFOutgoing'!AQ34))</f>
        <v/>
      </c>
      <c r="AR34">
        <f>IF(COUNTIFS(T_StockCount[Part Name],$A34,T_StockCount[WeekIndex],43)&gt;0,0,IF(('T_TTAFStock'!AR38&lt;&gt;""),'T_TTAFStock'!AR38,AQ34+'Grid_Incoming'!AR34-'Grid_TTAFOutgoing'!AR34))</f>
        <v/>
      </c>
      <c r="AS34">
        <f>IF(COUNTIFS(T_StockCount[Part Name],$A34,T_StockCount[WeekIndex],44)&gt;0,0,IF(('T_TTAFStock'!AS38&lt;&gt;""),'T_TTAFStock'!AS38,AR34+'Grid_Incoming'!AS34-'Grid_TTAFOutgoing'!AS34))</f>
        <v/>
      </c>
      <c r="AT34">
        <f>IF(COUNTIFS(T_StockCount[Part Name],$A34,T_StockCount[WeekIndex],45)&gt;0,0,IF(('T_TTAFStock'!AT38&lt;&gt;""),'T_TTAFStock'!AT38,AS34+'Grid_Incoming'!AT34-'Grid_TTAFOutgoing'!AT34))</f>
        <v/>
      </c>
      <c r="AU34">
        <f>IF(COUNTIFS(T_StockCount[Part Name],$A34,T_StockCount[WeekIndex],46)&gt;0,0,IF(('T_TTAFStock'!AU38&lt;&gt;""),'T_TTAFStock'!AU38,AT34+'Grid_Incoming'!AU34-'Grid_TTAFOutgoing'!AU34))</f>
        <v/>
      </c>
      <c r="AV34">
        <f>IF(COUNTIFS(T_StockCount[Part Name],$A34,T_StockCount[WeekIndex],47)&gt;0,0,IF(('T_TTAFStock'!AV38&lt;&gt;""),'T_TTAFStock'!AV38,AU34+'Grid_Incoming'!AV34-'Grid_TTAFOutgoing'!AV34))</f>
        <v/>
      </c>
      <c r="AW34">
        <f>IF(COUNTIFS(T_StockCount[Part Name],$A34,T_StockCount[WeekIndex],48)&gt;0,0,IF(('T_TTAFStock'!AW38&lt;&gt;""),'T_TTAFStock'!AW38,AV34+'Grid_Incoming'!AW34-'Grid_TTAFOutgoing'!AW34))</f>
        <v/>
      </c>
      <c r="AX34">
        <f>IF(COUNTIFS(T_StockCount[Part Name],$A34,T_StockCount[WeekIndex],49)&gt;0,0,IF(('T_TTAFStock'!AX38&lt;&gt;""),'T_TTAFStock'!AX38,AW34+'Grid_Incoming'!AX34-'Grid_TTAFOutgoing'!AX34))</f>
        <v/>
      </c>
      <c r="AY34">
        <f>IF(COUNTIFS(T_StockCount[Part Name],$A34,T_StockCount[WeekIndex],50)&gt;0,0,IF(('T_TTAFStock'!AY38&lt;&gt;""),'T_TTAFStock'!AY38,AX34+'Grid_Incoming'!AY34-'Grid_TTAFOutgoing'!AY34))</f>
        <v/>
      </c>
      <c r="AZ34">
        <f>IF(COUNTIFS(T_StockCount[Part Name],$A34,T_StockCount[WeekIndex],51)&gt;0,0,IF(('T_TTAFStock'!AZ38&lt;&gt;""),'T_TTAFStock'!AZ38,AY34+'Grid_Incoming'!AZ34-'Grid_TTAFOutgoing'!AZ34))</f>
        <v/>
      </c>
      <c r="BA34">
        <f>IF(COUNTIFS(T_StockCount[Part Name],$A34,T_StockCount[WeekIndex],52)&gt;0,0,IF(('T_TTAFStock'!BA38&lt;&gt;""),'T_TTAFStock'!BA38,AZ34+'Grid_Incoming'!BA34-'Grid_TTAFOutgoing'!BA34))</f>
        <v/>
      </c>
      <c r="BB34">
        <f>IF(COUNTIFS(T_StockCount[Part Name],$A34,T_StockCount[WeekIndex],53)&gt;0,0,IF(('T_TTAFStock'!BB38&lt;&gt;""),'T_TTAFStock'!BB38,BA34+'Grid_Incoming'!BB34-'Grid_TTAFOutgoing'!BB34))</f>
        <v/>
      </c>
      <c r="BC34">
        <f>IF(COUNTIFS(T_StockCount[Part Name],$A34,T_StockCount[WeekIndex],54)&gt;0,0,IF(('T_TTAFStock'!BC38&lt;&gt;""),'T_TTAFStock'!BC38,BB34+'Grid_Incoming'!BC34-'Grid_TTAFOutgoing'!BC34))</f>
        <v/>
      </c>
      <c r="BD34">
        <f>IF(COUNTIFS(T_StockCount[Part Name],$A34,T_StockCount[WeekIndex],55)&gt;0,0,IF(('T_TTAFStock'!BD38&lt;&gt;""),'T_TTAFStock'!BD38,BC34+'Grid_Incoming'!BD34-'Grid_TTAFOutgoing'!BD34))</f>
        <v/>
      </c>
      <c r="BE34">
        <f>IF(COUNTIFS(T_StockCount[Part Name],$A34,T_StockCount[WeekIndex],56)&gt;0,0,IF(('T_TTAFStock'!BE38&lt;&gt;""),'T_TTAFStock'!BE38,BD34+'Grid_Incoming'!BE34-'Grid_TTAFOutgoing'!BE34))</f>
        <v/>
      </c>
      <c r="BF34">
        <f>IF(COUNTIFS(T_StockCount[Part Name],$A34,T_StockCount[WeekIndex],57)&gt;0,0,IF(('T_TTAFStock'!BF38&lt;&gt;""),'T_TTAFStock'!BF38,BE34+'Grid_Incoming'!BF34-'Grid_TTAFOutgoing'!BF34))</f>
        <v/>
      </c>
      <c r="BG34">
        <f>IF(COUNTIFS(T_StockCount[Part Name],$A34,T_StockCount[WeekIndex],58)&gt;0,0,IF(('T_TTAFStock'!BG38&lt;&gt;""),'T_TTAFStock'!BG38,BF34+'Grid_Incoming'!BG34-'Grid_TTAFOutgoing'!BG34))</f>
        <v/>
      </c>
      <c r="BH34">
        <f>IF(COUNTIFS(T_StockCount[Part Name],$A34,T_StockCount[WeekIndex],59)&gt;0,0,IF(('T_TTAFStock'!BH38&lt;&gt;""),'T_TTAFStock'!BH38,BG34+'Grid_Incoming'!BH34-'Grid_TTAFOutgoing'!BH34))</f>
        <v/>
      </c>
      <c r="BI34">
        <f>IF(COUNTIFS(T_StockCount[Part Name],$A34,T_StockCount[WeekIndex],60)&gt;0,0,IF(('T_TTAFStock'!BI38&lt;&gt;""),'T_TTAFStock'!BI38,BH34+'Grid_Incoming'!BI34-'Grid_TTAFOutgoing'!BI34))</f>
        <v/>
      </c>
      <c r="BJ34">
        <f>IF(COUNTIFS(T_StockCount[Part Name],$A34,T_StockCount[WeekIndex],61)&gt;0,0,IF(('T_TTAFStock'!BJ38&lt;&gt;""),'T_TTAFStock'!BJ38,BI34+'Grid_Incoming'!BJ34-'Grid_TTAFOutgoing'!BJ34))</f>
        <v/>
      </c>
      <c r="BK34">
        <f>IF(COUNTIFS(T_StockCount[Part Name],$A34,T_StockCount[WeekIndex],62)&gt;0,0,IF(('T_TTAFStock'!BK38&lt;&gt;""),'T_TTAFStock'!BK38,BJ34+'Grid_Incoming'!BK34-'Grid_TTAFOutgoing'!BK34))</f>
        <v/>
      </c>
      <c r="BL34">
        <f>IF(COUNTIFS(T_StockCount[Part Name],$A34,T_StockCount[WeekIndex],63)&gt;0,0,IF(('T_TTAFStock'!BL38&lt;&gt;""),'T_TTAFStock'!BL38,BK34+'Grid_Incoming'!BL34-'Grid_TTAFOutgoing'!BL34))</f>
        <v/>
      </c>
      <c r="BM34">
        <f>IF(COUNTIFS(T_StockCount[Part Name],$A34,T_StockCount[WeekIndex],64)&gt;0,0,IF(('T_TTAFStock'!BM38&lt;&gt;""),'T_TTAFStock'!BM38,BL34+'Grid_Incoming'!BM34-'Grid_TTAFOutgoing'!BM34))</f>
        <v/>
      </c>
      <c r="BN34">
        <f>IF(COUNTIFS(T_StockCount[Part Name],$A34,T_StockCount[WeekIndex],65)&gt;0,0,IF(('T_TTAFStock'!BN38&lt;&gt;""),'T_TTAFStock'!BN38,BM34+'Grid_Incoming'!BN34-'Grid_TTAFOutgoing'!BN34))</f>
        <v/>
      </c>
      <c r="BO34">
        <f>IF(COUNTIFS(T_StockCount[Part Name],$A34,T_StockCount[WeekIndex],66)&gt;0,0,IF(('T_TTAFStock'!BO38&lt;&gt;""),'T_TTAFStock'!BO38,BN34+'Grid_Incoming'!BO34-'Grid_TTAFOutgoing'!BO34))</f>
        <v/>
      </c>
      <c r="BP34">
        <f>IF(COUNTIFS(T_StockCount[Part Name],$A34,T_StockCount[WeekIndex],67)&gt;0,0,IF(('T_TTAFStock'!BP38&lt;&gt;""),'T_TTAFStock'!BP38,BO34+'Grid_Incoming'!BP34-'Grid_TTAFOutgoing'!BP34))</f>
        <v/>
      </c>
      <c r="BQ34">
        <f>IF(COUNTIFS(T_StockCount[Part Name],$A34,T_StockCount[WeekIndex],68)&gt;0,0,IF(('T_TTAFStock'!BQ38&lt;&gt;""),'T_TTAFStock'!BQ38,BP34+'Grid_Incoming'!BQ34-'Grid_TTAFOutgoing'!BQ34))</f>
        <v/>
      </c>
      <c r="BR34">
        <f>IF(COUNTIFS(T_StockCount[Part Name],$A34,T_StockCount[WeekIndex],69)&gt;0,0,IF(('T_TTAFStock'!BR38&lt;&gt;""),'T_TTAFStock'!BR38,BQ34+'Grid_Incoming'!BR34-'Grid_TTAFOutgoing'!BR34))</f>
        <v/>
      </c>
      <c r="BS34">
        <f>IF(COUNTIFS(T_StockCount[Part Name],$A34,T_StockCount[WeekIndex],70)&gt;0,0,IF(('T_TTAFStock'!BS38&lt;&gt;""),'T_TTAFStock'!BS38,BR34+'Grid_Incoming'!BS34-'Grid_TTAFOutgoing'!BS34))</f>
        <v/>
      </c>
      <c r="BT34">
        <f>IF(COUNTIFS(T_StockCount[Part Name],$A34,T_StockCount[WeekIndex],71)&gt;0,0,IF(('T_TTAFStock'!BT38&lt;&gt;""),'T_TTAFStock'!BT38,BS34+'Grid_Incoming'!BT34-'Grid_TTAFOutgoing'!BT34))</f>
        <v/>
      </c>
      <c r="BU34">
        <f>IF(COUNTIFS(T_StockCount[Part Name],$A34,T_StockCount[WeekIndex],72)&gt;0,0,IF(('T_TTAFStock'!BU38&lt;&gt;""),'T_TTAFStock'!BU38,BT34+'Grid_Incoming'!BU34-'Grid_TTAFOutgoing'!BU34))</f>
        <v/>
      </c>
      <c r="BV34">
        <f>IF(COUNTIFS(T_StockCount[Part Name],$A34,T_StockCount[WeekIndex],73)&gt;0,0,IF(('T_TTAFStock'!BV38&lt;&gt;""),'T_TTAFStock'!BV38,BU34+'Grid_Incoming'!BV34-'Grid_TTAFOutgoing'!BV34))</f>
        <v/>
      </c>
      <c r="BW34">
        <f>IF(COUNTIFS(T_StockCount[Part Name],$A34,T_StockCount[WeekIndex],74)&gt;0,0,IF(('T_TTAFStock'!BW38&lt;&gt;""),'T_TTAFStock'!BW38,BV34+'Grid_Incoming'!BW34-'Grid_TTAFOutgoing'!BW34))</f>
        <v/>
      </c>
      <c r="BX34">
        <f>IF(COUNTIFS(T_StockCount[Part Name],$A34,T_StockCount[WeekIndex],75)&gt;0,0,IF(('T_TTAFStock'!BX38&lt;&gt;""),'T_TTAFStock'!BX38,BW34+'Grid_Incoming'!BX34-'Grid_TTAFOutgoing'!BX34))</f>
        <v/>
      </c>
      <c r="BY34">
        <f>IF(COUNTIFS(T_StockCount[Part Name],$A34,T_StockCount[WeekIndex],76)&gt;0,0,IF(('T_TTAFStock'!BY38&lt;&gt;""),'T_TTAFStock'!BY38,BX34+'Grid_Incoming'!BY34-'Grid_TTAFOutgoing'!BY34))</f>
        <v/>
      </c>
      <c r="BZ34">
        <f>IF(COUNTIFS(T_StockCount[Part Name],$A34,T_StockCount[WeekIndex],77)&gt;0,0,IF(('T_TTAFStock'!BZ38&lt;&gt;""),'T_TTAFStock'!BZ38,BY34+'Grid_Incoming'!BZ34-'Grid_TTAFOutgoing'!BZ34))</f>
        <v/>
      </c>
      <c r="CA34">
        <f>IF(COUNTIFS(T_StockCount[Part Name],$A34,T_StockCount[WeekIndex],78)&gt;0,0,IF(('T_TTAFStock'!CA38&lt;&gt;""),'T_TTAFStock'!CA38,BZ34+'Grid_Incoming'!CA34-'Grid_TTAFOutgoing'!CA34))</f>
        <v/>
      </c>
      <c r="CB34">
        <f>IF(COUNTIFS(T_StockCount[Part Name],$A34,T_StockCount[WeekIndex],79)&gt;0,0,IF(('T_TTAFStock'!CB38&lt;&gt;""),'T_TTAFStock'!CB38,CA34+'Grid_Incoming'!CB34-'Grid_TTAFOutgoing'!CB34))</f>
        <v/>
      </c>
      <c r="CC34">
        <f>IF(COUNTIFS(T_StockCount[Part Name],$A34,T_StockCount[WeekIndex],80)&gt;0,0,IF(('T_TTAFStock'!CC38&lt;&gt;""),'T_TTAFStock'!CC38,CB34+'Grid_Incoming'!CC34-'Grid_TTAFOutgoing'!CC34))</f>
        <v/>
      </c>
      <c r="CD34">
        <f>IF(COUNTIFS(T_StockCount[Part Name],$A34,T_StockCount[WeekIndex],81)&gt;0,0,IF(('T_TTAFStock'!CD38&lt;&gt;""),'T_TTAFStock'!CD38,CC34+'Grid_Incoming'!CD34-'Grid_TTAFOutgoing'!CD34))</f>
        <v/>
      </c>
      <c r="CE34">
        <f>IF(COUNTIFS(T_StockCount[Part Name],$A34,T_StockCount[WeekIndex],82)&gt;0,0,IF(('T_TTAFStock'!CE38&lt;&gt;""),'T_TTAFStock'!CE38,CD34+'Grid_Incoming'!CE34-'Grid_TTAFOutgoing'!CE34))</f>
        <v/>
      </c>
      <c r="CF34">
        <f>IF(COUNTIFS(T_StockCount[Part Name],$A34,T_StockCount[WeekIndex],83)&gt;0,0,IF(('T_TTAFStock'!CF38&lt;&gt;""),'T_TTAFStock'!CF38,CE34+'Grid_Incoming'!CF34-'Grid_TTAFOutgoing'!CF34))</f>
        <v/>
      </c>
      <c r="CG34">
        <f>IF(COUNTIFS(T_StockCount[Part Name],$A34,T_StockCount[WeekIndex],84)&gt;0,0,IF(('T_TTAFStock'!CG38&lt;&gt;""),'T_TTAFStock'!CG38,CF34+'Grid_Incoming'!CG34-'Grid_TTAFOutgoing'!CG34))</f>
        <v/>
      </c>
      <c r="CH34">
        <f>IF(COUNTIFS(T_StockCount[Part Name],$A34,T_StockCount[WeekIndex],85)&gt;0,0,IF(('T_TTAFStock'!CH38&lt;&gt;""),'T_TTAFStock'!CH38,CG34+'Grid_Incoming'!CH34-'Grid_TTAFOutgoing'!CH34))</f>
        <v/>
      </c>
      <c r="CI34">
        <f>IF(COUNTIFS(T_StockCount[Part Name],$A34,T_StockCount[WeekIndex],86)&gt;0,0,IF(('T_TTAFStock'!CI38&lt;&gt;""),'T_TTAFStock'!CI38,CH34+'Grid_Incoming'!CI34-'Grid_TTAFOutgoing'!CI34))</f>
        <v/>
      </c>
      <c r="CJ34">
        <f>IF(COUNTIFS(T_StockCount[Part Name],$A34,T_StockCount[WeekIndex],87)&gt;0,0,IF(('T_TTAFStock'!CJ38&lt;&gt;""),'T_TTAFStock'!CJ38,CI34+'Grid_Incoming'!CJ34-'Grid_TTAFOutgoing'!CJ34))</f>
        <v/>
      </c>
      <c r="CK34">
        <f>IF(COUNTIFS(T_StockCount[Part Name],$A34,T_StockCount[WeekIndex],88)&gt;0,0,IF(('T_TTAFStock'!CK38&lt;&gt;""),'T_TTAFStock'!CK38,CJ34+'Grid_Incoming'!CK34-'Grid_TTAFOutgoing'!CK34))</f>
        <v/>
      </c>
      <c r="CL34">
        <f>IF(COUNTIFS(T_StockCount[Part Name],$A34,T_StockCount[WeekIndex],89)&gt;0,0,IF(('T_TTAFStock'!CL38&lt;&gt;""),'T_TTAFStock'!CL38,CK34+'Grid_Incoming'!CL34-'Grid_TTAFOutgoing'!CL34))</f>
        <v/>
      </c>
      <c r="CM34">
        <f>IF(COUNTIFS(T_StockCount[Part Name],$A34,T_StockCount[WeekIndex],90)&gt;0,0,IF(('T_TTAFStock'!CM38&lt;&gt;""),'T_TTAFStock'!CM38,CL34+'Grid_Incoming'!CM34-'Grid_TTAFOutgoing'!CM34))</f>
        <v/>
      </c>
      <c r="CN34">
        <f>IF(COUNTIFS(T_StockCount[Part Name],$A34,T_StockCount[WeekIndex],91)&gt;0,0,IF(('T_TTAFStock'!CN38&lt;&gt;""),'T_TTAFStock'!CN38,CM34+'Grid_Incoming'!CN34-'Grid_TTAFOutgoing'!CN34))</f>
        <v/>
      </c>
      <c r="CO34">
        <f>IF(COUNTIFS(T_StockCount[Part Name],$A34,T_StockCount[WeekIndex],92)&gt;0,0,IF(('T_TTAFStock'!CO38&lt;&gt;""),'T_TTAFStock'!CO38,CN34+'Grid_Incoming'!CO34-'Grid_TTAFOutgoing'!CO34))</f>
        <v/>
      </c>
      <c r="CP34">
        <f>IF(COUNTIFS(T_StockCount[Part Name],$A34,T_StockCount[WeekIndex],93)&gt;0,0,IF(('T_TTAFStock'!CP38&lt;&gt;""),'T_TTAFStock'!CP38,CO34+'Grid_Incoming'!CP34-'Grid_TTAFOutgoing'!CP34))</f>
        <v/>
      </c>
      <c r="CQ34">
        <f>IF(COUNTIFS(T_StockCount[Part Name],$A34,T_StockCount[WeekIndex],94)&gt;0,0,IF(('T_TTAFStock'!CQ38&lt;&gt;""),'T_TTAFStock'!CQ38,CP34+'Grid_Incoming'!CQ34-'Grid_TTAFOutgoing'!CQ34))</f>
        <v/>
      </c>
      <c r="CR34">
        <f>IF(COUNTIFS(T_StockCount[Part Name],$A34,T_StockCount[WeekIndex],95)&gt;0,0,IF(('T_TTAFStock'!CR38&lt;&gt;""),'T_TTAFStock'!CR38,CQ34+'Grid_Incoming'!CR34-'Grid_TTAFOutgoing'!CR34))</f>
        <v/>
      </c>
      <c r="CS34">
        <f>IF(COUNTIFS(T_StockCount[Part Name],$A34,T_StockCount[WeekIndex],96)&gt;0,0,IF(('T_TTAFStock'!CS38&lt;&gt;""),'T_TTAFStock'!CS38,CR34+'Grid_Incoming'!CS34-'Grid_TTAFOutgoing'!CS34))</f>
        <v/>
      </c>
      <c r="CT34">
        <f>IF(COUNTIFS(T_StockCount[Part Name],$A34,T_StockCount[WeekIndex],97)&gt;0,0,IF(('T_TTAFStock'!CT38&lt;&gt;""),'T_TTAFStock'!CT38,CS34+'Grid_Incoming'!CT34-'Grid_TTAFOutgoing'!CT34))</f>
        <v/>
      </c>
      <c r="CU34">
        <f>IF(COUNTIFS(T_StockCount[Part Name],$A34,T_StockCount[WeekIndex],98)&gt;0,0,IF(('T_TTAFStock'!CU38&lt;&gt;""),'T_TTAFStock'!CU38,CT34+'Grid_Incoming'!CU34-'Grid_TTAFOutgoing'!CU34))</f>
        <v/>
      </c>
      <c r="CV34">
        <f>IF(COUNTIFS(T_StockCount[Part Name],$A34,T_StockCount[WeekIndex],99)&gt;0,0,IF(('T_TTAFStock'!CV38&lt;&gt;""),'T_TTAFStock'!CV38,CU34+'Grid_Incoming'!CV34-'Grid_TTAFOutgoing'!CV34))</f>
        <v/>
      </c>
      <c r="CW34">
        <f>IF(COUNTIFS(T_StockCount[Part Name],$A34,T_StockCount[WeekIndex],100)&gt;0,0,IF(('T_TTAFStock'!CW38&lt;&gt;""),'T_TTAFStock'!CW38,CV34+'Grid_Incoming'!CW34-'Grid_TTAFOutgoing'!CW34))</f>
        <v/>
      </c>
      <c r="CX34">
        <f>IF(COUNTIFS(T_StockCount[Part Name],$A34,T_StockCount[WeekIndex],101)&gt;0,0,IF(('T_TTAFStock'!CX38&lt;&gt;""),'T_TTAFStock'!CX38,CW34+'Grid_Incoming'!CX34-'Grid_TTAFOutgoing'!CX34))</f>
        <v/>
      </c>
      <c r="CY34">
        <f>IF(COUNTIFS(T_StockCount[Part Name],$A34,T_StockCount[WeekIndex],102)&gt;0,0,IF(('T_TTAFStock'!CY38&lt;&gt;""),'T_TTAFStock'!CY38,CX34+'Grid_Incoming'!CY34-'Grid_TTAFOutgoing'!CY34))</f>
        <v/>
      </c>
      <c r="CZ34">
        <f>IF(COUNTIFS(T_StockCount[Part Name],$A34,T_StockCount[WeekIndex],103)&gt;0,0,IF(('T_TTAFStock'!CZ38&lt;&gt;""),'T_TTAFStock'!CZ38,CY34+'Grid_Incoming'!CZ34-'Grid_TTAFOutgoing'!CZ34))</f>
        <v/>
      </c>
      <c r="DA34">
        <f>IF(COUNTIFS(T_StockCount[Part Name],$A34,T_StockCount[WeekIndex],104)&gt;0,0,IF(('T_TTAFStock'!DA38&lt;&gt;""),'T_TTAFStock'!DA38,CZ34+'Grid_Incoming'!DA34-'Grid_TTAFOutgoing'!DA34))</f>
        <v/>
      </c>
    </row>
    <row r="35">
      <c r="A35" t="inlineStr">
        <is>
          <t>CHEM-1510</t>
        </is>
      </c>
      <c r="B35">
        <f>IF(COUNTIFS(T_StockCount[Part Name],$A35,T_StockCount[WeekIndex],1)&gt;0,0,IF(('T_TTAFStock'!B39&lt;&gt;""),'T_TTAFStock'!B39,0+'Grid_Incoming'!B35-'Grid_TTAFOutgoing'!B35))</f>
        <v/>
      </c>
      <c r="C35">
        <f>IF(COUNTIFS(T_StockCount[Part Name],$A35,T_StockCount[WeekIndex],2)&gt;0,0,IF(('T_TTAFStock'!C39&lt;&gt;""),'T_TTAFStock'!C39,B35+'Grid_Incoming'!C35-'Grid_TTAFOutgoing'!C35))</f>
        <v/>
      </c>
      <c r="D35">
        <f>IF(COUNTIFS(T_StockCount[Part Name],$A35,T_StockCount[WeekIndex],3)&gt;0,0,IF(('T_TTAFStock'!D39&lt;&gt;""),'T_TTAFStock'!D39,C35+'Grid_Incoming'!D35-'Grid_TTAFOutgoing'!D35))</f>
        <v/>
      </c>
      <c r="E35">
        <f>IF(COUNTIFS(T_StockCount[Part Name],$A35,T_StockCount[WeekIndex],4)&gt;0,0,IF(('T_TTAFStock'!E39&lt;&gt;""),'T_TTAFStock'!E39,D35+'Grid_Incoming'!E35-'Grid_TTAFOutgoing'!E35))</f>
        <v/>
      </c>
      <c r="F35">
        <f>IF(COUNTIFS(T_StockCount[Part Name],$A35,T_StockCount[WeekIndex],5)&gt;0,0,IF(('T_TTAFStock'!F39&lt;&gt;""),'T_TTAFStock'!F39,E35+'Grid_Incoming'!F35-'Grid_TTAFOutgoing'!F35))</f>
        <v/>
      </c>
      <c r="G35">
        <f>IF(COUNTIFS(T_StockCount[Part Name],$A35,T_StockCount[WeekIndex],6)&gt;0,0,IF(('T_TTAFStock'!G39&lt;&gt;""),'T_TTAFStock'!G39,F35+'Grid_Incoming'!G35-'Grid_TTAFOutgoing'!G35))</f>
        <v/>
      </c>
      <c r="H35">
        <f>IF(COUNTIFS(T_StockCount[Part Name],$A35,T_StockCount[WeekIndex],7)&gt;0,0,IF(('T_TTAFStock'!H39&lt;&gt;""),'T_TTAFStock'!H39,G35+'Grid_Incoming'!H35-'Grid_TTAFOutgoing'!H35))</f>
        <v/>
      </c>
      <c r="I35">
        <f>IF(COUNTIFS(T_StockCount[Part Name],$A35,T_StockCount[WeekIndex],8)&gt;0,0,IF(('T_TTAFStock'!I39&lt;&gt;""),'T_TTAFStock'!I39,H35+'Grid_Incoming'!I35-'Grid_TTAFOutgoing'!I35))</f>
        <v/>
      </c>
      <c r="J35">
        <f>IF(COUNTIFS(T_StockCount[Part Name],$A35,T_StockCount[WeekIndex],9)&gt;0,0,IF(('T_TTAFStock'!J39&lt;&gt;""),'T_TTAFStock'!J39,I35+'Grid_Incoming'!J35-'Grid_TTAFOutgoing'!J35))</f>
        <v/>
      </c>
      <c r="K35">
        <f>IF(COUNTIFS(T_StockCount[Part Name],$A35,T_StockCount[WeekIndex],10)&gt;0,0,IF(('T_TTAFStock'!K39&lt;&gt;""),'T_TTAFStock'!K39,J35+'Grid_Incoming'!K35-'Grid_TTAFOutgoing'!K35))</f>
        <v/>
      </c>
      <c r="L35">
        <f>IF(COUNTIFS(T_StockCount[Part Name],$A35,T_StockCount[WeekIndex],11)&gt;0,0,IF(('T_TTAFStock'!L39&lt;&gt;""),'T_TTAFStock'!L39,K35+'Grid_Incoming'!L35-'Grid_TTAFOutgoing'!L35))</f>
        <v/>
      </c>
      <c r="M35">
        <f>IF(COUNTIFS(T_StockCount[Part Name],$A35,T_StockCount[WeekIndex],12)&gt;0,0,IF(('T_TTAFStock'!M39&lt;&gt;""),'T_TTAFStock'!M39,L35+'Grid_Incoming'!M35-'Grid_TTAFOutgoing'!M35))</f>
        <v/>
      </c>
      <c r="N35">
        <f>IF(COUNTIFS(T_StockCount[Part Name],$A35,T_StockCount[WeekIndex],13)&gt;0,0,IF(('T_TTAFStock'!N39&lt;&gt;""),'T_TTAFStock'!N39,M35+'Grid_Incoming'!N35-'Grid_TTAFOutgoing'!N35))</f>
        <v/>
      </c>
      <c r="O35">
        <f>IF(COUNTIFS(T_StockCount[Part Name],$A35,T_StockCount[WeekIndex],14)&gt;0,0,IF(('T_TTAFStock'!O39&lt;&gt;""),'T_TTAFStock'!O39,N35+'Grid_Incoming'!O35-'Grid_TTAFOutgoing'!O35))</f>
        <v/>
      </c>
      <c r="P35">
        <f>IF(COUNTIFS(T_StockCount[Part Name],$A35,T_StockCount[WeekIndex],15)&gt;0,0,IF(('T_TTAFStock'!P39&lt;&gt;""),'T_TTAFStock'!P39,O35+'Grid_Incoming'!P35-'Grid_TTAFOutgoing'!P35))</f>
        <v/>
      </c>
      <c r="Q35">
        <f>IF(COUNTIFS(T_StockCount[Part Name],$A35,T_StockCount[WeekIndex],16)&gt;0,0,IF(('T_TTAFStock'!Q39&lt;&gt;""),'T_TTAFStock'!Q39,P35+'Grid_Incoming'!Q35-'Grid_TTAFOutgoing'!Q35))</f>
        <v/>
      </c>
      <c r="R35">
        <f>IF(COUNTIFS(T_StockCount[Part Name],$A35,T_StockCount[WeekIndex],17)&gt;0,0,IF(('T_TTAFStock'!R39&lt;&gt;""),'T_TTAFStock'!R39,Q35+'Grid_Incoming'!R35-'Grid_TTAFOutgoing'!R35))</f>
        <v/>
      </c>
      <c r="S35">
        <f>IF(COUNTIFS(T_StockCount[Part Name],$A35,T_StockCount[WeekIndex],18)&gt;0,0,IF(('T_TTAFStock'!S39&lt;&gt;""),'T_TTAFStock'!S39,R35+'Grid_Incoming'!S35-'Grid_TTAFOutgoing'!S35))</f>
        <v/>
      </c>
      <c r="T35">
        <f>IF(COUNTIFS(T_StockCount[Part Name],$A35,T_StockCount[WeekIndex],19)&gt;0,0,IF(('T_TTAFStock'!T39&lt;&gt;""),'T_TTAFStock'!T39,S35+'Grid_Incoming'!T35-'Grid_TTAFOutgoing'!T35))</f>
        <v/>
      </c>
      <c r="U35">
        <f>IF(COUNTIFS(T_StockCount[Part Name],$A35,T_StockCount[WeekIndex],20)&gt;0,0,IF(('T_TTAFStock'!U39&lt;&gt;""),'T_TTAFStock'!U39,T35+'Grid_Incoming'!U35-'Grid_TTAFOutgoing'!U35))</f>
        <v/>
      </c>
      <c r="V35">
        <f>IF(COUNTIFS(T_StockCount[Part Name],$A35,T_StockCount[WeekIndex],21)&gt;0,0,IF(('T_TTAFStock'!V39&lt;&gt;""),'T_TTAFStock'!V39,U35+'Grid_Incoming'!V35-'Grid_TTAFOutgoing'!V35))</f>
        <v/>
      </c>
      <c r="W35">
        <f>IF(COUNTIFS(T_StockCount[Part Name],$A35,T_StockCount[WeekIndex],22)&gt;0,0,IF(('T_TTAFStock'!W39&lt;&gt;""),'T_TTAFStock'!W39,V35+'Grid_Incoming'!W35-'Grid_TTAFOutgoing'!W35))</f>
        <v/>
      </c>
      <c r="X35">
        <f>IF(COUNTIFS(T_StockCount[Part Name],$A35,T_StockCount[WeekIndex],23)&gt;0,0,IF(('T_TTAFStock'!X39&lt;&gt;""),'T_TTAFStock'!X39,W35+'Grid_Incoming'!X35-'Grid_TTAFOutgoing'!X35))</f>
        <v/>
      </c>
      <c r="Y35">
        <f>IF(COUNTIFS(T_StockCount[Part Name],$A35,T_StockCount[WeekIndex],24)&gt;0,0,IF(('T_TTAFStock'!Y39&lt;&gt;""),'T_TTAFStock'!Y39,X35+'Grid_Incoming'!Y35-'Grid_TTAFOutgoing'!Y35))</f>
        <v/>
      </c>
      <c r="Z35">
        <f>IF(COUNTIFS(T_StockCount[Part Name],$A35,T_StockCount[WeekIndex],25)&gt;0,0,IF(('T_TTAFStock'!Z39&lt;&gt;""),'T_TTAFStock'!Z39,Y35+'Grid_Incoming'!Z35-'Grid_TTAFOutgoing'!Z35))</f>
        <v/>
      </c>
      <c r="AA35">
        <f>IF(COUNTIFS(T_StockCount[Part Name],$A35,T_StockCount[WeekIndex],26)&gt;0,0,IF(('T_TTAFStock'!AA39&lt;&gt;""),'T_TTAFStock'!AA39,Z35+'Grid_Incoming'!AA35-'Grid_TTAFOutgoing'!AA35))</f>
        <v/>
      </c>
      <c r="AB35">
        <f>IF(COUNTIFS(T_StockCount[Part Name],$A35,T_StockCount[WeekIndex],27)&gt;0,0,IF(('T_TTAFStock'!AB39&lt;&gt;""),'T_TTAFStock'!AB39,AA35+'Grid_Incoming'!AB35-'Grid_TTAFOutgoing'!AB35))</f>
        <v/>
      </c>
      <c r="AC35">
        <f>IF(COUNTIFS(T_StockCount[Part Name],$A35,T_StockCount[WeekIndex],28)&gt;0,0,IF(('T_TTAFStock'!AC39&lt;&gt;""),'T_TTAFStock'!AC39,AB35+'Grid_Incoming'!AC35-'Grid_TTAFOutgoing'!AC35))</f>
        <v/>
      </c>
      <c r="AD35">
        <f>IF(COUNTIFS(T_StockCount[Part Name],$A35,T_StockCount[WeekIndex],29)&gt;0,0,IF(('T_TTAFStock'!AD39&lt;&gt;""),'T_TTAFStock'!AD39,AC35+'Grid_Incoming'!AD35-'Grid_TTAFOutgoing'!AD35))</f>
        <v/>
      </c>
      <c r="AE35">
        <f>IF(COUNTIFS(T_StockCount[Part Name],$A35,T_StockCount[WeekIndex],30)&gt;0,0,IF(('T_TTAFStock'!AE39&lt;&gt;""),'T_TTAFStock'!AE39,AD35+'Grid_Incoming'!AE35-'Grid_TTAFOutgoing'!AE35))</f>
        <v/>
      </c>
      <c r="AF35">
        <f>IF(COUNTIFS(T_StockCount[Part Name],$A35,T_StockCount[WeekIndex],31)&gt;0,0,IF(('T_TTAFStock'!AF39&lt;&gt;""),'T_TTAFStock'!AF39,AE35+'Grid_Incoming'!AF35-'Grid_TTAFOutgoing'!AF35))</f>
        <v/>
      </c>
      <c r="AG35">
        <f>IF(COUNTIFS(T_StockCount[Part Name],$A35,T_StockCount[WeekIndex],32)&gt;0,0,IF(('T_TTAFStock'!AG39&lt;&gt;""),'T_TTAFStock'!AG39,AF35+'Grid_Incoming'!AG35-'Grid_TTAFOutgoing'!AG35))</f>
        <v/>
      </c>
      <c r="AH35">
        <f>IF(COUNTIFS(T_StockCount[Part Name],$A35,T_StockCount[WeekIndex],33)&gt;0,0,IF(('T_TTAFStock'!AH39&lt;&gt;""),'T_TTAFStock'!AH39,AG35+'Grid_Incoming'!AH35-'Grid_TTAFOutgoing'!AH35))</f>
        <v/>
      </c>
      <c r="AI35">
        <f>IF(COUNTIFS(T_StockCount[Part Name],$A35,T_StockCount[WeekIndex],34)&gt;0,0,IF(('T_TTAFStock'!AI39&lt;&gt;""),'T_TTAFStock'!AI39,AH35+'Grid_Incoming'!AI35-'Grid_TTAFOutgoing'!AI35))</f>
        <v/>
      </c>
      <c r="AJ35">
        <f>IF(COUNTIFS(T_StockCount[Part Name],$A35,T_StockCount[WeekIndex],35)&gt;0,0,IF(('T_TTAFStock'!AJ39&lt;&gt;""),'T_TTAFStock'!AJ39,AI35+'Grid_Incoming'!AJ35-'Grid_TTAFOutgoing'!AJ35))</f>
        <v/>
      </c>
      <c r="AK35">
        <f>IF(COUNTIFS(T_StockCount[Part Name],$A35,T_StockCount[WeekIndex],36)&gt;0,0,IF(('T_TTAFStock'!AK39&lt;&gt;""),'T_TTAFStock'!AK39,AJ35+'Grid_Incoming'!AK35-'Grid_TTAFOutgoing'!AK35))</f>
        <v/>
      </c>
      <c r="AL35">
        <f>IF(COUNTIFS(T_StockCount[Part Name],$A35,T_StockCount[WeekIndex],37)&gt;0,0,IF(('T_TTAFStock'!AL39&lt;&gt;""),'T_TTAFStock'!AL39,AK35+'Grid_Incoming'!AL35-'Grid_TTAFOutgoing'!AL35))</f>
        <v/>
      </c>
      <c r="AM35">
        <f>IF(COUNTIFS(T_StockCount[Part Name],$A35,T_StockCount[WeekIndex],38)&gt;0,0,IF(('T_TTAFStock'!AM39&lt;&gt;""),'T_TTAFStock'!AM39,AL35+'Grid_Incoming'!AM35-'Grid_TTAFOutgoing'!AM35))</f>
        <v/>
      </c>
      <c r="AN35">
        <f>IF(COUNTIFS(T_StockCount[Part Name],$A35,T_StockCount[WeekIndex],39)&gt;0,0,IF(('T_TTAFStock'!AN39&lt;&gt;""),'T_TTAFStock'!AN39,AM35+'Grid_Incoming'!AN35-'Grid_TTAFOutgoing'!AN35))</f>
        <v/>
      </c>
      <c r="AO35">
        <f>IF(COUNTIFS(T_StockCount[Part Name],$A35,T_StockCount[WeekIndex],40)&gt;0,0,IF(('T_TTAFStock'!AO39&lt;&gt;""),'T_TTAFStock'!AO39,AN35+'Grid_Incoming'!AO35-'Grid_TTAFOutgoing'!AO35))</f>
        <v/>
      </c>
      <c r="AP35">
        <f>IF(COUNTIFS(T_StockCount[Part Name],$A35,T_StockCount[WeekIndex],41)&gt;0,0,IF(('T_TTAFStock'!AP39&lt;&gt;""),'T_TTAFStock'!AP39,AO35+'Grid_Incoming'!AP35-'Grid_TTAFOutgoing'!AP35))</f>
        <v/>
      </c>
      <c r="AQ35">
        <f>IF(COUNTIFS(T_StockCount[Part Name],$A35,T_StockCount[WeekIndex],42)&gt;0,0,IF(('T_TTAFStock'!AQ39&lt;&gt;""),'T_TTAFStock'!AQ39,AP35+'Grid_Incoming'!AQ35-'Grid_TTAFOutgoing'!AQ35))</f>
        <v/>
      </c>
      <c r="AR35">
        <f>IF(COUNTIFS(T_StockCount[Part Name],$A35,T_StockCount[WeekIndex],43)&gt;0,0,IF(('T_TTAFStock'!AR39&lt;&gt;""),'T_TTAFStock'!AR39,AQ35+'Grid_Incoming'!AR35-'Grid_TTAFOutgoing'!AR35))</f>
        <v/>
      </c>
      <c r="AS35">
        <f>IF(COUNTIFS(T_StockCount[Part Name],$A35,T_StockCount[WeekIndex],44)&gt;0,0,IF(('T_TTAFStock'!AS39&lt;&gt;""),'T_TTAFStock'!AS39,AR35+'Grid_Incoming'!AS35-'Grid_TTAFOutgoing'!AS35))</f>
        <v/>
      </c>
      <c r="AT35">
        <f>IF(COUNTIFS(T_StockCount[Part Name],$A35,T_StockCount[WeekIndex],45)&gt;0,0,IF(('T_TTAFStock'!AT39&lt;&gt;""),'T_TTAFStock'!AT39,AS35+'Grid_Incoming'!AT35-'Grid_TTAFOutgoing'!AT35))</f>
        <v/>
      </c>
      <c r="AU35">
        <f>IF(COUNTIFS(T_StockCount[Part Name],$A35,T_StockCount[WeekIndex],46)&gt;0,0,IF(('T_TTAFStock'!AU39&lt;&gt;""),'T_TTAFStock'!AU39,AT35+'Grid_Incoming'!AU35-'Grid_TTAFOutgoing'!AU35))</f>
        <v/>
      </c>
      <c r="AV35">
        <f>IF(COUNTIFS(T_StockCount[Part Name],$A35,T_StockCount[WeekIndex],47)&gt;0,0,IF(('T_TTAFStock'!AV39&lt;&gt;""),'T_TTAFStock'!AV39,AU35+'Grid_Incoming'!AV35-'Grid_TTAFOutgoing'!AV35))</f>
        <v/>
      </c>
      <c r="AW35">
        <f>IF(COUNTIFS(T_StockCount[Part Name],$A35,T_StockCount[WeekIndex],48)&gt;0,0,IF(('T_TTAFStock'!AW39&lt;&gt;""),'T_TTAFStock'!AW39,AV35+'Grid_Incoming'!AW35-'Grid_TTAFOutgoing'!AW35))</f>
        <v/>
      </c>
      <c r="AX35">
        <f>IF(COUNTIFS(T_StockCount[Part Name],$A35,T_StockCount[WeekIndex],49)&gt;0,0,IF(('T_TTAFStock'!AX39&lt;&gt;""),'T_TTAFStock'!AX39,AW35+'Grid_Incoming'!AX35-'Grid_TTAFOutgoing'!AX35))</f>
        <v/>
      </c>
      <c r="AY35">
        <f>IF(COUNTIFS(T_StockCount[Part Name],$A35,T_StockCount[WeekIndex],50)&gt;0,0,IF(('T_TTAFStock'!AY39&lt;&gt;""),'T_TTAFStock'!AY39,AX35+'Grid_Incoming'!AY35-'Grid_TTAFOutgoing'!AY35))</f>
        <v/>
      </c>
      <c r="AZ35">
        <f>IF(COUNTIFS(T_StockCount[Part Name],$A35,T_StockCount[WeekIndex],51)&gt;0,0,IF(('T_TTAFStock'!AZ39&lt;&gt;""),'T_TTAFStock'!AZ39,AY35+'Grid_Incoming'!AZ35-'Grid_TTAFOutgoing'!AZ35))</f>
        <v/>
      </c>
      <c r="BA35">
        <f>IF(COUNTIFS(T_StockCount[Part Name],$A35,T_StockCount[WeekIndex],52)&gt;0,0,IF(('T_TTAFStock'!BA39&lt;&gt;""),'T_TTAFStock'!BA39,AZ35+'Grid_Incoming'!BA35-'Grid_TTAFOutgoing'!BA35))</f>
        <v/>
      </c>
      <c r="BB35">
        <f>IF(COUNTIFS(T_StockCount[Part Name],$A35,T_StockCount[WeekIndex],53)&gt;0,0,IF(('T_TTAFStock'!BB39&lt;&gt;""),'T_TTAFStock'!BB39,BA35+'Grid_Incoming'!BB35-'Grid_TTAFOutgoing'!BB35))</f>
        <v/>
      </c>
      <c r="BC35">
        <f>IF(COUNTIFS(T_StockCount[Part Name],$A35,T_StockCount[WeekIndex],54)&gt;0,0,IF(('T_TTAFStock'!BC39&lt;&gt;""),'T_TTAFStock'!BC39,BB35+'Grid_Incoming'!BC35-'Grid_TTAFOutgoing'!BC35))</f>
        <v/>
      </c>
      <c r="BD35">
        <f>IF(COUNTIFS(T_StockCount[Part Name],$A35,T_StockCount[WeekIndex],55)&gt;0,0,IF(('T_TTAFStock'!BD39&lt;&gt;""),'T_TTAFStock'!BD39,BC35+'Grid_Incoming'!BD35-'Grid_TTAFOutgoing'!BD35))</f>
        <v/>
      </c>
      <c r="BE35">
        <f>IF(COUNTIFS(T_StockCount[Part Name],$A35,T_StockCount[WeekIndex],56)&gt;0,0,IF(('T_TTAFStock'!BE39&lt;&gt;""),'T_TTAFStock'!BE39,BD35+'Grid_Incoming'!BE35-'Grid_TTAFOutgoing'!BE35))</f>
        <v/>
      </c>
      <c r="BF35">
        <f>IF(COUNTIFS(T_StockCount[Part Name],$A35,T_StockCount[WeekIndex],57)&gt;0,0,IF(('T_TTAFStock'!BF39&lt;&gt;""),'T_TTAFStock'!BF39,BE35+'Grid_Incoming'!BF35-'Grid_TTAFOutgoing'!BF35))</f>
        <v/>
      </c>
      <c r="BG35">
        <f>IF(COUNTIFS(T_StockCount[Part Name],$A35,T_StockCount[WeekIndex],58)&gt;0,0,IF(('T_TTAFStock'!BG39&lt;&gt;""),'T_TTAFStock'!BG39,BF35+'Grid_Incoming'!BG35-'Grid_TTAFOutgoing'!BG35))</f>
        <v/>
      </c>
      <c r="BH35">
        <f>IF(COUNTIFS(T_StockCount[Part Name],$A35,T_StockCount[WeekIndex],59)&gt;0,0,IF(('T_TTAFStock'!BH39&lt;&gt;""),'T_TTAFStock'!BH39,BG35+'Grid_Incoming'!BH35-'Grid_TTAFOutgoing'!BH35))</f>
        <v/>
      </c>
      <c r="BI35">
        <f>IF(COUNTIFS(T_StockCount[Part Name],$A35,T_StockCount[WeekIndex],60)&gt;0,0,IF(('T_TTAFStock'!BI39&lt;&gt;""),'T_TTAFStock'!BI39,BH35+'Grid_Incoming'!BI35-'Grid_TTAFOutgoing'!BI35))</f>
        <v/>
      </c>
      <c r="BJ35">
        <f>IF(COUNTIFS(T_StockCount[Part Name],$A35,T_StockCount[WeekIndex],61)&gt;0,0,IF(('T_TTAFStock'!BJ39&lt;&gt;""),'T_TTAFStock'!BJ39,BI35+'Grid_Incoming'!BJ35-'Grid_TTAFOutgoing'!BJ35))</f>
        <v/>
      </c>
      <c r="BK35">
        <f>IF(COUNTIFS(T_StockCount[Part Name],$A35,T_StockCount[WeekIndex],62)&gt;0,0,IF(('T_TTAFStock'!BK39&lt;&gt;""),'T_TTAFStock'!BK39,BJ35+'Grid_Incoming'!BK35-'Grid_TTAFOutgoing'!BK35))</f>
        <v/>
      </c>
      <c r="BL35">
        <f>IF(COUNTIFS(T_StockCount[Part Name],$A35,T_StockCount[WeekIndex],63)&gt;0,0,IF(('T_TTAFStock'!BL39&lt;&gt;""),'T_TTAFStock'!BL39,BK35+'Grid_Incoming'!BL35-'Grid_TTAFOutgoing'!BL35))</f>
        <v/>
      </c>
      <c r="BM35">
        <f>IF(COUNTIFS(T_StockCount[Part Name],$A35,T_StockCount[WeekIndex],64)&gt;0,0,IF(('T_TTAFStock'!BM39&lt;&gt;""),'T_TTAFStock'!BM39,BL35+'Grid_Incoming'!BM35-'Grid_TTAFOutgoing'!BM35))</f>
        <v/>
      </c>
      <c r="BN35">
        <f>IF(COUNTIFS(T_StockCount[Part Name],$A35,T_StockCount[WeekIndex],65)&gt;0,0,IF(('T_TTAFStock'!BN39&lt;&gt;""),'T_TTAFStock'!BN39,BM35+'Grid_Incoming'!BN35-'Grid_TTAFOutgoing'!BN35))</f>
        <v/>
      </c>
      <c r="BO35">
        <f>IF(COUNTIFS(T_StockCount[Part Name],$A35,T_StockCount[WeekIndex],66)&gt;0,0,IF(('T_TTAFStock'!BO39&lt;&gt;""),'T_TTAFStock'!BO39,BN35+'Grid_Incoming'!BO35-'Grid_TTAFOutgoing'!BO35))</f>
        <v/>
      </c>
      <c r="BP35">
        <f>IF(COUNTIFS(T_StockCount[Part Name],$A35,T_StockCount[WeekIndex],67)&gt;0,0,IF(('T_TTAFStock'!BP39&lt;&gt;""),'T_TTAFStock'!BP39,BO35+'Grid_Incoming'!BP35-'Grid_TTAFOutgoing'!BP35))</f>
        <v/>
      </c>
      <c r="BQ35">
        <f>IF(COUNTIFS(T_StockCount[Part Name],$A35,T_StockCount[WeekIndex],68)&gt;0,0,IF(('T_TTAFStock'!BQ39&lt;&gt;""),'T_TTAFStock'!BQ39,BP35+'Grid_Incoming'!BQ35-'Grid_TTAFOutgoing'!BQ35))</f>
        <v/>
      </c>
      <c r="BR35">
        <f>IF(COUNTIFS(T_StockCount[Part Name],$A35,T_StockCount[WeekIndex],69)&gt;0,0,IF(('T_TTAFStock'!BR39&lt;&gt;""),'T_TTAFStock'!BR39,BQ35+'Grid_Incoming'!BR35-'Grid_TTAFOutgoing'!BR35))</f>
        <v/>
      </c>
      <c r="BS35">
        <f>IF(COUNTIFS(T_StockCount[Part Name],$A35,T_StockCount[WeekIndex],70)&gt;0,0,IF(('T_TTAFStock'!BS39&lt;&gt;""),'T_TTAFStock'!BS39,BR35+'Grid_Incoming'!BS35-'Grid_TTAFOutgoing'!BS35))</f>
        <v/>
      </c>
      <c r="BT35">
        <f>IF(COUNTIFS(T_StockCount[Part Name],$A35,T_StockCount[WeekIndex],71)&gt;0,0,IF(('T_TTAFStock'!BT39&lt;&gt;""),'T_TTAFStock'!BT39,BS35+'Grid_Incoming'!BT35-'Grid_TTAFOutgoing'!BT35))</f>
        <v/>
      </c>
      <c r="BU35">
        <f>IF(COUNTIFS(T_StockCount[Part Name],$A35,T_StockCount[WeekIndex],72)&gt;0,0,IF(('T_TTAFStock'!BU39&lt;&gt;""),'T_TTAFStock'!BU39,BT35+'Grid_Incoming'!BU35-'Grid_TTAFOutgoing'!BU35))</f>
        <v/>
      </c>
      <c r="BV35">
        <f>IF(COUNTIFS(T_StockCount[Part Name],$A35,T_StockCount[WeekIndex],73)&gt;0,0,IF(('T_TTAFStock'!BV39&lt;&gt;""),'T_TTAFStock'!BV39,BU35+'Grid_Incoming'!BV35-'Grid_TTAFOutgoing'!BV35))</f>
        <v/>
      </c>
      <c r="BW35">
        <f>IF(COUNTIFS(T_StockCount[Part Name],$A35,T_StockCount[WeekIndex],74)&gt;0,0,IF(('T_TTAFStock'!BW39&lt;&gt;""),'T_TTAFStock'!BW39,BV35+'Grid_Incoming'!BW35-'Grid_TTAFOutgoing'!BW35))</f>
        <v/>
      </c>
      <c r="BX35">
        <f>IF(COUNTIFS(T_StockCount[Part Name],$A35,T_StockCount[WeekIndex],75)&gt;0,0,IF(('T_TTAFStock'!BX39&lt;&gt;""),'T_TTAFStock'!BX39,BW35+'Grid_Incoming'!BX35-'Grid_TTAFOutgoing'!BX35))</f>
        <v/>
      </c>
      <c r="BY35">
        <f>IF(COUNTIFS(T_StockCount[Part Name],$A35,T_StockCount[WeekIndex],76)&gt;0,0,IF(('T_TTAFStock'!BY39&lt;&gt;""),'T_TTAFStock'!BY39,BX35+'Grid_Incoming'!BY35-'Grid_TTAFOutgoing'!BY35))</f>
        <v/>
      </c>
      <c r="BZ35">
        <f>IF(COUNTIFS(T_StockCount[Part Name],$A35,T_StockCount[WeekIndex],77)&gt;0,0,IF(('T_TTAFStock'!BZ39&lt;&gt;""),'T_TTAFStock'!BZ39,BY35+'Grid_Incoming'!BZ35-'Grid_TTAFOutgoing'!BZ35))</f>
        <v/>
      </c>
      <c r="CA35">
        <f>IF(COUNTIFS(T_StockCount[Part Name],$A35,T_StockCount[WeekIndex],78)&gt;0,0,IF(('T_TTAFStock'!CA39&lt;&gt;""),'T_TTAFStock'!CA39,BZ35+'Grid_Incoming'!CA35-'Grid_TTAFOutgoing'!CA35))</f>
        <v/>
      </c>
      <c r="CB35">
        <f>IF(COUNTIFS(T_StockCount[Part Name],$A35,T_StockCount[WeekIndex],79)&gt;0,0,IF(('T_TTAFStock'!CB39&lt;&gt;""),'T_TTAFStock'!CB39,CA35+'Grid_Incoming'!CB35-'Grid_TTAFOutgoing'!CB35))</f>
        <v/>
      </c>
      <c r="CC35">
        <f>IF(COUNTIFS(T_StockCount[Part Name],$A35,T_StockCount[WeekIndex],80)&gt;0,0,IF(('T_TTAFStock'!CC39&lt;&gt;""),'T_TTAFStock'!CC39,CB35+'Grid_Incoming'!CC35-'Grid_TTAFOutgoing'!CC35))</f>
        <v/>
      </c>
      <c r="CD35">
        <f>IF(COUNTIFS(T_StockCount[Part Name],$A35,T_StockCount[WeekIndex],81)&gt;0,0,IF(('T_TTAFStock'!CD39&lt;&gt;""),'T_TTAFStock'!CD39,CC35+'Grid_Incoming'!CD35-'Grid_TTAFOutgoing'!CD35))</f>
        <v/>
      </c>
      <c r="CE35">
        <f>IF(COUNTIFS(T_StockCount[Part Name],$A35,T_StockCount[WeekIndex],82)&gt;0,0,IF(('T_TTAFStock'!CE39&lt;&gt;""),'T_TTAFStock'!CE39,CD35+'Grid_Incoming'!CE35-'Grid_TTAFOutgoing'!CE35))</f>
        <v/>
      </c>
      <c r="CF35">
        <f>IF(COUNTIFS(T_StockCount[Part Name],$A35,T_StockCount[WeekIndex],83)&gt;0,0,IF(('T_TTAFStock'!CF39&lt;&gt;""),'T_TTAFStock'!CF39,CE35+'Grid_Incoming'!CF35-'Grid_TTAFOutgoing'!CF35))</f>
        <v/>
      </c>
      <c r="CG35">
        <f>IF(COUNTIFS(T_StockCount[Part Name],$A35,T_StockCount[WeekIndex],84)&gt;0,0,IF(('T_TTAFStock'!CG39&lt;&gt;""),'T_TTAFStock'!CG39,CF35+'Grid_Incoming'!CG35-'Grid_TTAFOutgoing'!CG35))</f>
        <v/>
      </c>
      <c r="CH35">
        <f>IF(COUNTIFS(T_StockCount[Part Name],$A35,T_StockCount[WeekIndex],85)&gt;0,0,IF(('T_TTAFStock'!CH39&lt;&gt;""),'T_TTAFStock'!CH39,CG35+'Grid_Incoming'!CH35-'Grid_TTAFOutgoing'!CH35))</f>
        <v/>
      </c>
      <c r="CI35">
        <f>IF(COUNTIFS(T_StockCount[Part Name],$A35,T_StockCount[WeekIndex],86)&gt;0,0,IF(('T_TTAFStock'!CI39&lt;&gt;""),'T_TTAFStock'!CI39,CH35+'Grid_Incoming'!CI35-'Grid_TTAFOutgoing'!CI35))</f>
        <v/>
      </c>
      <c r="CJ35">
        <f>IF(COUNTIFS(T_StockCount[Part Name],$A35,T_StockCount[WeekIndex],87)&gt;0,0,IF(('T_TTAFStock'!CJ39&lt;&gt;""),'T_TTAFStock'!CJ39,CI35+'Grid_Incoming'!CJ35-'Grid_TTAFOutgoing'!CJ35))</f>
        <v/>
      </c>
      <c r="CK35">
        <f>IF(COUNTIFS(T_StockCount[Part Name],$A35,T_StockCount[WeekIndex],88)&gt;0,0,IF(('T_TTAFStock'!CK39&lt;&gt;""),'T_TTAFStock'!CK39,CJ35+'Grid_Incoming'!CK35-'Grid_TTAFOutgoing'!CK35))</f>
        <v/>
      </c>
      <c r="CL35">
        <f>IF(COUNTIFS(T_StockCount[Part Name],$A35,T_StockCount[WeekIndex],89)&gt;0,0,IF(('T_TTAFStock'!CL39&lt;&gt;""),'T_TTAFStock'!CL39,CK35+'Grid_Incoming'!CL35-'Grid_TTAFOutgoing'!CL35))</f>
        <v/>
      </c>
      <c r="CM35">
        <f>IF(COUNTIFS(T_StockCount[Part Name],$A35,T_StockCount[WeekIndex],90)&gt;0,0,IF(('T_TTAFStock'!CM39&lt;&gt;""),'T_TTAFStock'!CM39,CL35+'Grid_Incoming'!CM35-'Grid_TTAFOutgoing'!CM35))</f>
        <v/>
      </c>
      <c r="CN35">
        <f>IF(COUNTIFS(T_StockCount[Part Name],$A35,T_StockCount[WeekIndex],91)&gt;0,0,IF(('T_TTAFStock'!CN39&lt;&gt;""),'T_TTAFStock'!CN39,CM35+'Grid_Incoming'!CN35-'Grid_TTAFOutgoing'!CN35))</f>
        <v/>
      </c>
      <c r="CO35">
        <f>IF(COUNTIFS(T_StockCount[Part Name],$A35,T_StockCount[WeekIndex],92)&gt;0,0,IF(('T_TTAFStock'!CO39&lt;&gt;""),'T_TTAFStock'!CO39,CN35+'Grid_Incoming'!CO35-'Grid_TTAFOutgoing'!CO35))</f>
        <v/>
      </c>
      <c r="CP35">
        <f>IF(COUNTIFS(T_StockCount[Part Name],$A35,T_StockCount[WeekIndex],93)&gt;0,0,IF(('T_TTAFStock'!CP39&lt;&gt;""),'T_TTAFStock'!CP39,CO35+'Grid_Incoming'!CP35-'Grid_TTAFOutgoing'!CP35))</f>
        <v/>
      </c>
      <c r="CQ35">
        <f>IF(COUNTIFS(T_StockCount[Part Name],$A35,T_StockCount[WeekIndex],94)&gt;0,0,IF(('T_TTAFStock'!CQ39&lt;&gt;""),'T_TTAFStock'!CQ39,CP35+'Grid_Incoming'!CQ35-'Grid_TTAFOutgoing'!CQ35))</f>
        <v/>
      </c>
      <c r="CR35">
        <f>IF(COUNTIFS(T_StockCount[Part Name],$A35,T_StockCount[WeekIndex],95)&gt;0,0,IF(('T_TTAFStock'!CR39&lt;&gt;""),'T_TTAFStock'!CR39,CQ35+'Grid_Incoming'!CR35-'Grid_TTAFOutgoing'!CR35))</f>
        <v/>
      </c>
      <c r="CS35">
        <f>IF(COUNTIFS(T_StockCount[Part Name],$A35,T_StockCount[WeekIndex],96)&gt;0,0,IF(('T_TTAFStock'!CS39&lt;&gt;""),'T_TTAFStock'!CS39,CR35+'Grid_Incoming'!CS35-'Grid_TTAFOutgoing'!CS35))</f>
        <v/>
      </c>
      <c r="CT35">
        <f>IF(COUNTIFS(T_StockCount[Part Name],$A35,T_StockCount[WeekIndex],97)&gt;0,0,IF(('T_TTAFStock'!CT39&lt;&gt;""),'T_TTAFStock'!CT39,CS35+'Grid_Incoming'!CT35-'Grid_TTAFOutgoing'!CT35))</f>
        <v/>
      </c>
      <c r="CU35">
        <f>IF(COUNTIFS(T_StockCount[Part Name],$A35,T_StockCount[WeekIndex],98)&gt;0,0,IF(('T_TTAFStock'!CU39&lt;&gt;""),'T_TTAFStock'!CU39,CT35+'Grid_Incoming'!CU35-'Grid_TTAFOutgoing'!CU35))</f>
        <v/>
      </c>
      <c r="CV35">
        <f>IF(COUNTIFS(T_StockCount[Part Name],$A35,T_StockCount[WeekIndex],99)&gt;0,0,IF(('T_TTAFStock'!CV39&lt;&gt;""),'T_TTAFStock'!CV39,CU35+'Grid_Incoming'!CV35-'Grid_TTAFOutgoing'!CV35))</f>
        <v/>
      </c>
      <c r="CW35">
        <f>IF(COUNTIFS(T_StockCount[Part Name],$A35,T_StockCount[WeekIndex],100)&gt;0,0,IF(('T_TTAFStock'!CW39&lt;&gt;""),'T_TTAFStock'!CW39,CV35+'Grid_Incoming'!CW35-'Grid_TTAFOutgoing'!CW35))</f>
        <v/>
      </c>
      <c r="CX35">
        <f>IF(COUNTIFS(T_StockCount[Part Name],$A35,T_StockCount[WeekIndex],101)&gt;0,0,IF(('T_TTAFStock'!CX39&lt;&gt;""),'T_TTAFStock'!CX39,CW35+'Grid_Incoming'!CX35-'Grid_TTAFOutgoing'!CX35))</f>
        <v/>
      </c>
      <c r="CY35">
        <f>IF(COUNTIFS(T_StockCount[Part Name],$A35,T_StockCount[WeekIndex],102)&gt;0,0,IF(('T_TTAFStock'!CY39&lt;&gt;""),'T_TTAFStock'!CY39,CX35+'Grid_Incoming'!CY35-'Grid_TTAFOutgoing'!CY35))</f>
        <v/>
      </c>
      <c r="CZ35">
        <f>IF(COUNTIFS(T_StockCount[Part Name],$A35,T_StockCount[WeekIndex],103)&gt;0,0,IF(('T_TTAFStock'!CZ39&lt;&gt;""),'T_TTAFStock'!CZ39,CY35+'Grid_Incoming'!CZ35-'Grid_TTAFOutgoing'!CZ35))</f>
        <v/>
      </c>
      <c r="DA35">
        <f>IF(COUNTIFS(T_StockCount[Part Name],$A35,T_StockCount[WeekIndex],104)&gt;0,0,IF(('T_TTAFStock'!DA39&lt;&gt;""),'T_TTAFStock'!DA39,CZ35+'Grid_Incoming'!DA35-'Grid_TTAFOutgoing'!DA35))</f>
        <v/>
      </c>
    </row>
    <row r="36">
      <c r="A36" t="inlineStr">
        <is>
          <t>CHEM-1770</t>
        </is>
      </c>
      <c r="B36">
        <f>IF(COUNTIFS(T_StockCount[Part Name],$A36,T_StockCount[WeekIndex],1)&gt;0,0,IF(('T_TTAFStock'!B40&lt;&gt;""),'T_TTAFStock'!B40,0+'Grid_Incoming'!B36-'Grid_TTAFOutgoing'!B36))</f>
        <v/>
      </c>
      <c r="C36">
        <f>IF(COUNTIFS(T_StockCount[Part Name],$A36,T_StockCount[WeekIndex],2)&gt;0,0,IF(('T_TTAFStock'!C40&lt;&gt;""),'T_TTAFStock'!C40,B36+'Grid_Incoming'!C36-'Grid_TTAFOutgoing'!C36))</f>
        <v/>
      </c>
      <c r="D36">
        <f>IF(COUNTIFS(T_StockCount[Part Name],$A36,T_StockCount[WeekIndex],3)&gt;0,0,IF(('T_TTAFStock'!D40&lt;&gt;""),'T_TTAFStock'!D40,C36+'Grid_Incoming'!D36-'Grid_TTAFOutgoing'!D36))</f>
        <v/>
      </c>
      <c r="E36">
        <f>IF(COUNTIFS(T_StockCount[Part Name],$A36,T_StockCount[WeekIndex],4)&gt;0,0,IF(('T_TTAFStock'!E40&lt;&gt;""),'T_TTAFStock'!E40,D36+'Grid_Incoming'!E36-'Grid_TTAFOutgoing'!E36))</f>
        <v/>
      </c>
      <c r="F36">
        <f>IF(COUNTIFS(T_StockCount[Part Name],$A36,T_StockCount[WeekIndex],5)&gt;0,0,IF(('T_TTAFStock'!F40&lt;&gt;""),'T_TTAFStock'!F40,E36+'Grid_Incoming'!F36-'Grid_TTAFOutgoing'!F36))</f>
        <v/>
      </c>
      <c r="G36">
        <f>IF(COUNTIFS(T_StockCount[Part Name],$A36,T_StockCount[WeekIndex],6)&gt;0,0,IF(('T_TTAFStock'!G40&lt;&gt;""),'T_TTAFStock'!G40,F36+'Grid_Incoming'!G36-'Grid_TTAFOutgoing'!G36))</f>
        <v/>
      </c>
      <c r="H36">
        <f>IF(COUNTIFS(T_StockCount[Part Name],$A36,T_StockCount[WeekIndex],7)&gt;0,0,IF(('T_TTAFStock'!H40&lt;&gt;""),'T_TTAFStock'!H40,G36+'Grid_Incoming'!H36-'Grid_TTAFOutgoing'!H36))</f>
        <v/>
      </c>
      <c r="I36">
        <f>IF(COUNTIFS(T_StockCount[Part Name],$A36,T_StockCount[WeekIndex],8)&gt;0,0,IF(('T_TTAFStock'!I40&lt;&gt;""),'T_TTAFStock'!I40,H36+'Grid_Incoming'!I36-'Grid_TTAFOutgoing'!I36))</f>
        <v/>
      </c>
      <c r="J36">
        <f>IF(COUNTIFS(T_StockCount[Part Name],$A36,T_StockCount[WeekIndex],9)&gt;0,0,IF(('T_TTAFStock'!J40&lt;&gt;""),'T_TTAFStock'!J40,I36+'Grid_Incoming'!J36-'Grid_TTAFOutgoing'!J36))</f>
        <v/>
      </c>
      <c r="K36">
        <f>IF(COUNTIFS(T_StockCount[Part Name],$A36,T_StockCount[WeekIndex],10)&gt;0,0,IF(('T_TTAFStock'!K40&lt;&gt;""),'T_TTAFStock'!K40,J36+'Grid_Incoming'!K36-'Grid_TTAFOutgoing'!K36))</f>
        <v/>
      </c>
      <c r="L36">
        <f>IF(COUNTIFS(T_StockCount[Part Name],$A36,T_StockCount[WeekIndex],11)&gt;0,0,IF(('T_TTAFStock'!L40&lt;&gt;""),'T_TTAFStock'!L40,K36+'Grid_Incoming'!L36-'Grid_TTAFOutgoing'!L36))</f>
        <v/>
      </c>
      <c r="M36">
        <f>IF(COUNTIFS(T_StockCount[Part Name],$A36,T_StockCount[WeekIndex],12)&gt;0,0,IF(('T_TTAFStock'!M40&lt;&gt;""),'T_TTAFStock'!M40,L36+'Grid_Incoming'!M36-'Grid_TTAFOutgoing'!M36))</f>
        <v/>
      </c>
      <c r="N36">
        <f>IF(COUNTIFS(T_StockCount[Part Name],$A36,T_StockCount[WeekIndex],13)&gt;0,0,IF(('T_TTAFStock'!N40&lt;&gt;""),'T_TTAFStock'!N40,M36+'Grid_Incoming'!N36-'Grid_TTAFOutgoing'!N36))</f>
        <v/>
      </c>
      <c r="O36">
        <f>IF(COUNTIFS(T_StockCount[Part Name],$A36,T_StockCount[WeekIndex],14)&gt;0,0,IF(('T_TTAFStock'!O40&lt;&gt;""),'T_TTAFStock'!O40,N36+'Grid_Incoming'!O36-'Grid_TTAFOutgoing'!O36))</f>
        <v/>
      </c>
      <c r="P36">
        <f>IF(COUNTIFS(T_StockCount[Part Name],$A36,T_StockCount[WeekIndex],15)&gt;0,0,IF(('T_TTAFStock'!P40&lt;&gt;""),'T_TTAFStock'!P40,O36+'Grid_Incoming'!P36-'Grid_TTAFOutgoing'!P36))</f>
        <v/>
      </c>
      <c r="Q36">
        <f>IF(COUNTIFS(T_StockCount[Part Name],$A36,T_StockCount[WeekIndex],16)&gt;0,0,IF(('T_TTAFStock'!Q40&lt;&gt;""),'T_TTAFStock'!Q40,P36+'Grid_Incoming'!Q36-'Grid_TTAFOutgoing'!Q36))</f>
        <v/>
      </c>
      <c r="R36">
        <f>IF(COUNTIFS(T_StockCount[Part Name],$A36,T_StockCount[WeekIndex],17)&gt;0,0,IF(('T_TTAFStock'!R40&lt;&gt;""),'T_TTAFStock'!R40,Q36+'Grid_Incoming'!R36-'Grid_TTAFOutgoing'!R36))</f>
        <v/>
      </c>
      <c r="S36">
        <f>IF(COUNTIFS(T_StockCount[Part Name],$A36,T_StockCount[WeekIndex],18)&gt;0,0,IF(('T_TTAFStock'!S40&lt;&gt;""),'T_TTAFStock'!S40,R36+'Grid_Incoming'!S36-'Grid_TTAFOutgoing'!S36))</f>
        <v/>
      </c>
      <c r="T36">
        <f>IF(COUNTIFS(T_StockCount[Part Name],$A36,T_StockCount[WeekIndex],19)&gt;0,0,IF(('T_TTAFStock'!T40&lt;&gt;""),'T_TTAFStock'!T40,S36+'Grid_Incoming'!T36-'Grid_TTAFOutgoing'!T36))</f>
        <v/>
      </c>
      <c r="U36">
        <f>IF(COUNTIFS(T_StockCount[Part Name],$A36,T_StockCount[WeekIndex],20)&gt;0,0,IF(('T_TTAFStock'!U40&lt;&gt;""),'T_TTAFStock'!U40,T36+'Grid_Incoming'!U36-'Grid_TTAFOutgoing'!U36))</f>
        <v/>
      </c>
      <c r="V36">
        <f>IF(COUNTIFS(T_StockCount[Part Name],$A36,T_StockCount[WeekIndex],21)&gt;0,0,IF(('T_TTAFStock'!V40&lt;&gt;""),'T_TTAFStock'!V40,U36+'Grid_Incoming'!V36-'Grid_TTAFOutgoing'!V36))</f>
        <v/>
      </c>
      <c r="W36">
        <f>IF(COUNTIFS(T_StockCount[Part Name],$A36,T_StockCount[WeekIndex],22)&gt;0,0,IF(('T_TTAFStock'!W40&lt;&gt;""),'T_TTAFStock'!W40,V36+'Grid_Incoming'!W36-'Grid_TTAFOutgoing'!W36))</f>
        <v/>
      </c>
      <c r="X36">
        <f>IF(COUNTIFS(T_StockCount[Part Name],$A36,T_StockCount[WeekIndex],23)&gt;0,0,IF(('T_TTAFStock'!X40&lt;&gt;""),'T_TTAFStock'!X40,W36+'Grid_Incoming'!X36-'Grid_TTAFOutgoing'!X36))</f>
        <v/>
      </c>
      <c r="Y36">
        <f>IF(COUNTIFS(T_StockCount[Part Name],$A36,T_StockCount[WeekIndex],24)&gt;0,0,IF(('T_TTAFStock'!Y40&lt;&gt;""),'T_TTAFStock'!Y40,X36+'Grid_Incoming'!Y36-'Grid_TTAFOutgoing'!Y36))</f>
        <v/>
      </c>
      <c r="Z36">
        <f>IF(COUNTIFS(T_StockCount[Part Name],$A36,T_StockCount[WeekIndex],25)&gt;0,0,IF(('T_TTAFStock'!Z40&lt;&gt;""),'T_TTAFStock'!Z40,Y36+'Grid_Incoming'!Z36-'Grid_TTAFOutgoing'!Z36))</f>
        <v/>
      </c>
      <c r="AA36">
        <f>IF(COUNTIFS(T_StockCount[Part Name],$A36,T_StockCount[WeekIndex],26)&gt;0,0,IF(('T_TTAFStock'!AA40&lt;&gt;""),'T_TTAFStock'!AA40,Z36+'Grid_Incoming'!AA36-'Grid_TTAFOutgoing'!AA36))</f>
        <v/>
      </c>
      <c r="AB36">
        <f>IF(COUNTIFS(T_StockCount[Part Name],$A36,T_StockCount[WeekIndex],27)&gt;0,0,IF(('T_TTAFStock'!AB40&lt;&gt;""),'T_TTAFStock'!AB40,AA36+'Grid_Incoming'!AB36-'Grid_TTAFOutgoing'!AB36))</f>
        <v/>
      </c>
      <c r="AC36">
        <f>IF(COUNTIFS(T_StockCount[Part Name],$A36,T_StockCount[WeekIndex],28)&gt;0,0,IF(('T_TTAFStock'!AC40&lt;&gt;""),'T_TTAFStock'!AC40,AB36+'Grid_Incoming'!AC36-'Grid_TTAFOutgoing'!AC36))</f>
        <v/>
      </c>
      <c r="AD36">
        <f>IF(COUNTIFS(T_StockCount[Part Name],$A36,T_StockCount[WeekIndex],29)&gt;0,0,IF(('T_TTAFStock'!AD40&lt;&gt;""),'T_TTAFStock'!AD40,AC36+'Grid_Incoming'!AD36-'Grid_TTAFOutgoing'!AD36))</f>
        <v/>
      </c>
      <c r="AE36">
        <f>IF(COUNTIFS(T_StockCount[Part Name],$A36,T_StockCount[WeekIndex],30)&gt;0,0,IF(('T_TTAFStock'!AE40&lt;&gt;""),'T_TTAFStock'!AE40,AD36+'Grid_Incoming'!AE36-'Grid_TTAFOutgoing'!AE36))</f>
        <v/>
      </c>
      <c r="AF36">
        <f>IF(COUNTIFS(T_StockCount[Part Name],$A36,T_StockCount[WeekIndex],31)&gt;0,0,IF(('T_TTAFStock'!AF40&lt;&gt;""),'T_TTAFStock'!AF40,AE36+'Grid_Incoming'!AF36-'Grid_TTAFOutgoing'!AF36))</f>
        <v/>
      </c>
      <c r="AG36">
        <f>IF(COUNTIFS(T_StockCount[Part Name],$A36,T_StockCount[WeekIndex],32)&gt;0,0,IF(('T_TTAFStock'!AG40&lt;&gt;""),'T_TTAFStock'!AG40,AF36+'Grid_Incoming'!AG36-'Grid_TTAFOutgoing'!AG36))</f>
        <v/>
      </c>
      <c r="AH36">
        <f>IF(COUNTIFS(T_StockCount[Part Name],$A36,T_StockCount[WeekIndex],33)&gt;0,0,IF(('T_TTAFStock'!AH40&lt;&gt;""),'T_TTAFStock'!AH40,AG36+'Grid_Incoming'!AH36-'Grid_TTAFOutgoing'!AH36))</f>
        <v/>
      </c>
      <c r="AI36">
        <f>IF(COUNTIFS(T_StockCount[Part Name],$A36,T_StockCount[WeekIndex],34)&gt;0,0,IF(('T_TTAFStock'!AI40&lt;&gt;""),'T_TTAFStock'!AI40,AH36+'Grid_Incoming'!AI36-'Grid_TTAFOutgoing'!AI36))</f>
        <v/>
      </c>
      <c r="AJ36">
        <f>IF(COUNTIFS(T_StockCount[Part Name],$A36,T_StockCount[WeekIndex],35)&gt;0,0,IF(('T_TTAFStock'!AJ40&lt;&gt;""),'T_TTAFStock'!AJ40,AI36+'Grid_Incoming'!AJ36-'Grid_TTAFOutgoing'!AJ36))</f>
        <v/>
      </c>
      <c r="AK36">
        <f>IF(COUNTIFS(T_StockCount[Part Name],$A36,T_StockCount[WeekIndex],36)&gt;0,0,IF(('T_TTAFStock'!AK40&lt;&gt;""),'T_TTAFStock'!AK40,AJ36+'Grid_Incoming'!AK36-'Grid_TTAFOutgoing'!AK36))</f>
        <v/>
      </c>
      <c r="AL36">
        <f>IF(COUNTIFS(T_StockCount[Part Name],$A36,T_StockCount[WeekIndex],37)&gt;0,0,IF(('T_TTAFStock'!AL40&lt;&gt;""),'T_TTAFStock'!AL40,AK36+'Grid_Incoming'!AL36-'Grid_TTAFOutgoing'!AL36))</f>
        <v/>
      </c>
      <c r="AM36">
        <f>IF(COUNTIFS(T_StockCount[Part Name],$A36,T_StockCount[WeekIndex],38)&gt;0,0,IF(('T_TTAFStock'!AM40&lt;&gt;""),'T_TTAFStock'!AM40,AL36+'Grid_Incoming'!AM36-'Grid_TTAFOutgoing'!AM36))</f>
        <v/>
      </c>
      <c r="AN36">
        <f>IF(COUNTIFS(T_StockCount[Part Name],$A36,T_StockCount[WeekIndex],39)&gt;0,0,IF(('T_TTAFStock'!AN40&lt;&gt;""),'T_TTAFStock'!AN40,AM36+'Grid_Incoming'!AN36-'Grid_TTAFOutgoing'!AN36))</f>
        <v/>
      </c>
      <c r="AO36">
        <f>IF(COUNTIFS(T_StockCount[Part Name],$A36,T_StockCount[WeekIndex],40)&gt;0,0,IF(('T_TTAFStock'!AO40&lt;&gt;""),'T_TTAFStock'!AO40,AN36+'Grid_Incoming'!AO36-'Grid_TTAFOutgoing'!AO36))</f>
        <v/>
      </c>
      <c r="AP36">
        <f>IF(COUNTIFS(T_StockCount[Part Name],$A36,T_StockCount[WeekIndex],41)&gt;0,0,IF(('T_TTAFStock'!AP40&lt;&gt;""),'T_TTAFStock'!AP40,AO36+'Grid_Incoming'!AP36-'Grid_TTAFOutgoing'!AP36))</f>
        <v/>
      </c>
      <c r="AQ36">
        <f>IF(COUNTIFS(T_StockCount[Part Name],$A36,T_StockCount[WeekIndex],42)&gt;0,0,IF(('T_TTAFStock'!AQ40&lt;&gt;""),'T_TTAFStock'!AQ40,AP36+'Grid_Incoming'!AQ36-'Grid_TTAFOutgoing'!AQ36))</f>
        <v/>
      </c>
      <c r="AR36">
        <f>IF(COUNTIFS(T_StockCount[Part Name],$A36,T_StockCount[WeekIndex],43)&gt;0,0,IF(('T_TTAFStock'!AR40&lt;&gt;""),'T_TTAFStock'!AR40,AQ36+'Grid_Incoming'!AR36-'Grid_TTAFOutgoing'!AR36))</f>
        <v/>
      </c>
      <c r="AS36">
        <f>IF(COUNTIFS(T_StockCount[Part Name],$A36,T_StockCount[WeekIndex],44)&gt;0,0,IF(('T_TTAFStock'!AS40&lt;&gt;""),'T_TTAFStock'!AS40,AR36+'Grid_Incoming'!AS36-'Grid_TTAFOutgoing'!AS36))</f>
        <v/>
      </c>
      <c r="AT36">
        <f>IF(COUNTIFS(T_StockCount[Part Name],$A36,T_StockCount[WeekIndex],45)&gt;0,0,IF(('T_TTAFStock'!AT40&lt;&gt;""),'T_TTAFStock'!AT40,AS36+'Grid_Incoming'!AT36-'Grid_TTAFOutgoing'!AT36))</f>
        <v/>
      </c>
      <c r="AU36">
        <f>IF(COUNTIFS(T_StockCount[Part Name],$A36,T_StockCount[WeekIndex],46)&gt;0,0,IF(('T_TTAFStock'!AU40&lt;&gt;""),'T_TTAFStock'!AU40,AT36+'Grid_Incoming'!AU36-'Grid_TTAFOutgoing'!AU36))</f>
        <v/>
      </c>
      <c r="AV36">
        <f>IF(COUNTIFS(T_StockCount[Part Name],$A36,T_StockCount[WeekIndex],47)&gt;0,0,IF(('T_TTAFStock'!AV40&lt;&gt;""),'T_TTAFStock'!AV40,AU36+'Grid_Incoming'!AV36-'Grid_TTAFOutgoing'!AV36))</f>
        <v/>
      </c>
      <c r="AW36">
        <f>IF(COUNTIFS(T_StockCount[Part Name],$A36,T_StockCount[WeekIndex],48)&gt;0,0,IF(('T_TTAFStock'!AW40&lt;&gt;""),'T_TTAFStock'!AW40,AV36+'Grid_Incoming'!AW36-'Grid_TTAFOutgoing'!AW36))</f>
        <v/>
      </c>
      <c r="AX36">
        <f>IF(COUNTIFS(T_StockCount[Part Name],$A36,T_StockCount[WeekIndex],49)&gt;0,0,IF(('T_TTAFStock'!AX40&lt;&gt;""),'T_TTAFStock'!AX40,AW36+'Grid_Incoming'!AX36-'Grid_TTAFOutgoing'!AX36))</f>
        <v/>
      </c>
      <c r="AY36">
        <f>IF(COUNTIFS(T_StockCount[Part Name],$A36,T_StockCount[WeekIndex],50)&gt;0,0,IF(('T_TTAFStock'!AY40&lt;&gt;""),'T_TTAFStock'!AY40,AX36+'Grid_Incoming'!AY36-'Grid_TTAFOutgoing'!AY36))</f>
        <v/>
      </c>
      <c r="AZ36">
        <f>IF(COUNTIFS(T_StockCount[Part Name],$A36,T_StockCount[WeekIndex],51)&gt;0,0,IF(('T_TTAFStock'!AZ40&lt;&gt;""),'T_TTAFStock'!AZ40,AY36+'Grid_Incoming'!AZ36-'Grid_TTAFOutgoing'!AZ36))</f>
        <v/>
      </c>
      <c r="BA36">
        <f>IF(COUNTIFS(T_StockCount[Part Name],$A36,T_StockCount[WeekIndex],52)&gt;0,0,IF(('T_TTAFStock'!BA40&lt;&gt;""),'T_TTAFStock'!BA40,AZ36+'Grid_Incoming'!BA36-'Grid_TTAFOutgoing'!BA36))</f>
        <v/>
      </c>
      <c r="BB36">
        <f>IF(COUNTIFS(T_StockCount[Part Name],$A36,T_StockCount[WeekIndex],53)&gt;0,0,IF(('T_TTAFStock'!BB40&lt;&gt;""),'T_TTAFStock'!BB40,BA36+'Grid_Incoming'!BB36-'Grid_TTAFOutgoing'!BB36))</f>
        <v/>
      </c>
      <c r="BC36">
        <f>IF(COUNTIFS(T_StockCount[Part Name],$A36,T_StockCount[WeekIndex],54)&gt;0,0,IF(('T_TTAFStock'!BC40&lt;&gt;""),'T_TTAFStock'!BC40,BB36+'Grid_Incoming'!BC36-'Grid_TTAFOutgoing'!BC36))</f>
        <v/>
      </c>
      <c r="BD36">
        <f>IF(COUNTIFS(T_StockCount[Part Name],$A36,T_StockCount[WeekIndex],55)&gt;0,0,IF(('T_TTAFStock'!BD40&lt;&gt;""),'T_TTAFStock'!BD40,BC36+'Grid_Incoming'!BD36-'Grid_TTAFOutgoing'!BD36))</f>
        <v/>
      </c>
      <c r="BE36">
        <f>IF(COUNTIFS(T_StockCount[Part Name],$A36,T_StockCount[WeekIndex],56)&gt;0,0,IF(('T_TTAFStock'!BE40&lt;&gt;""),'T_TTAFStock'!BE40,BD36+'Grid_Incoming'!BE36-'Grid_TTAFOutgoing'!BE36))</f>
        <v/>
      </c>
      <c r="BF36">
        <f>IF(COUNTIFS(T_StockCount[Part Name],$A36,T_StockCount[WeekIndex],57)&gt;0,0,IF(('T_TTAFStock'!BF40&lt;&gt;""),'T_TTAFStock'!BF40,BE36+'Grid_Incoming'!BF36-'Grid_TTAFOutgoing'!BF36))</f>
        <v/>
      </c>
      <c r="BG36">
        <f>IF(COUNTIFS(T_StockCount[Part Name],$A36,T_StockCount[WeekIndex],58)&gt;0,0,IF(('T_TTAFStock'!BG40&lt;&gt;""),'T_TTAFStock'!BG40,BF36+'Grid_Incoming'!BG36-'Grid_TTAFOutgoing'!BG36))</f>
        <v/>
      </c>
      <c r="BH36">
        <f>IF(COUNTIFS(T_StockCount[Part Name],$A36,T_StockCount[WeekIndex],59)&gt;0,0,IF(('T_TTAFStock'!BH40&lt;&gt;""),'T_TTAFStock'!BH40,BG36+'Grid_Incoming'!BH36-'Grid_TTAFOutgoing'!BH36))</f>
        <v/>
      </c>
      <c r="BI36">
        <f>IF(COUNTIFS(T_StockCount[Part Name],$A36,T_StockCount[WeekIndex],60)&gt;0,0,IF(('T_TTAFStock'!BI40&lt;&gt;""),'T_TTAFStock'!BI40,BH36+'Grid_Incoming'!BI36-'Grid_TTAFOutgoing'!BI36))</f>
        <v/>
      </c>
      <c r="BJ36">
        <f>IF(COUNTIFS(T_StockCount[Part Name],$A36,T_StockCount[WeekIndex],61)&gt;0,0,IF(('T_TTAFStock'!BJ40&lt;&gt;""),'T_TTAFStock'!BJ40,BI36+'Grid_Incoming'!BJ36-'Grid_TTAFOutgoing'!BJ36))</f>
        <v/>
      </c>
      <c r="BK36">
        <f>IF(COUNTIFS(T_StockCount[Part Name],$A36,T_StockCount[WeekIndex],62)&gt;0,0,IF(('T_TTAFStock'!BK40&lt;&gt;""),'T_TTAFStock'!BK40,BJ36+'Grid_Incoming'!BK36-'Grid_TTAFOutgoing'!BK36))</f>
        <v/>
      </c>
      <c r="BL36">
        <f>IF(COUNTIFS(T_StockCount[Part Name],$A36,T_StockCount[WeekIndex],63)&gt;0,0,IF(('T_TTAFStock'!BL40&lt;&gt;""),'T_TTAFStock'!BL40,BK36+'Grid_Incoming'!BL36-'Grid_TTAFOutgoing'!BL36))</f>
        <v/>
      </c>
      <c r="BM36">
        <f>IF(COUNTIFS(T_StockCount[Part Name],$A36,T_StockCount[WeekIndex],64)&gt;0,0,IF(('T_TTAFStock'!BM40&lt;&gt;""),'T_TTAFStock'!BM40,BL36+'Grid_Incoming'!BM36-'Grid_TTAFOutgoing'!BM36))</f>
        <v/>
      </c>
      <c r="BN36">
        <f>IF(COUNTIFS(T_StockCount[Part Name],$A36,T_StockCount[WeekIndex],65)&gt;0,0,IF(('T_TTAFStock'!BN40&lt;&gt;""),'T_TTAFStock'!BN40,BM36+'Grid_Incoming'!BN36-'Grid_TTAFOutgoing'!BN36))</f>
        <v/>
      </c>
      <c r="BO36">
        <f>IF(COUNTIFS(T_StockCount[Part Name],$A36,T_StockCount[WeekIndex],66)&gt;0,0,IF(('T_TTAFStock'!BO40&lt;&gt;""),'T_TTAFStock'!BO40,BN36+'Grid_Incoming'!BO36-'Grid_TTAFOutgoing'!BO36))</f>
        <v/>
      </c>
      <c r="BP36">
        <f>IF(COUNTIFS(T_StockCount[Part Name],$A36,T_StockCount[WeekIndex],67)&gt;0,0,IF(('T_TTAFStock'!BP40&lt;&gt;""),'T_TTAFStock'!BP40,BO36+'Grid_Incoming'!BP36-'Grid_TTAFOutgoing'!BP36))</f>
        <v/>
      </c>
      <c r="BQ36">
        <f>IF(COUNTIFS(T_StockCount[Part Name],$A36,T_StockCount[WeekIndex],68)&gt;0,0,IF(('T_TTAFStock'!BQ40&lt;&gt;""),'T_TTAFStock'!BQ40,BP36+'Grid_Incoming'!BQ36-'Grid_TTAFOutgoing'!BQ36))</f>
        <v/>
      </c>
      <c r="BR36">
        <f>IF(COUNTIFS(T_StockCount[Part Name],$A36,T_StockCount[WeekIndex],69)&gt;0,0,IF(('T_TTAFStock'!BR40&lt;&gt;""),'T_TTAFStock'!BR40,BQ36+'Grid_Incoming'!BR36-'Grid_TTAFOutgoing'!BR36))</f>
        <v/>
      </c>
      <c r="BS36">
        <f>IF(COUNTIFS(T_StockCount[Part Name],$A36,T_StockCount[WeekIndex],70)&gt;0,0,IF(('T_TTAFStock'!BS40&lt;&gt;""),'T_TTAFStock'!BS40,BR36+'Grid_Incoming'!BS36-'Grid_TTAFOutgoing'!BS36))</f>
        <v/>
      </c>
      <c r="BT36">
        <f>IF(COUNTIFS(T_StockCount[Part Name],$A36,T_StockCount[WeekIndex],71)&gt;0,0,IF(('T_TTAFStock'!BT40&lt;&gt;""),'T_TTAFStock'!BT40,BS36+'Grid_Incoming'!BT36-'Grid_TTAFOutgoing'!BT36))</f>
        <v/>
      </c>
      <c r="BU36">
        <f>IF(COUNTIFS(T_StockCount[Part Name],$A36,T_StockCount[WeekIndex],72)&gt;0,0,IF(('T_TTAFStock'!BU40&lt;&gt;""),'T_TTAFStock'!BU40,BT36+'Grid_Incoming'!BU36-'Grid_TTAFOutgoing'!BU36))</f>
        <v/>
      </c>
      <c r="BV36">
        <f>IF(COUNTIFS(T_StockCount[Part Name],$A36,T_StockCount[WeekIndex],73)&gt;0,0,IF(('T_TTAFStock'!BV40&lt;&gt;""),'T_TTAFStock'!BV40,BU36+'Grid_Incoming'!BV36-'Grid_TTAFOutgoing'!BV36))</f>
        <v/>
      </c>
      <c r="BW36">
        <f>IF(COUNTIFS(T_StockCount[Part Name],$A36,T_StockCount[WeekIndex],74)&gt;0,0,IF(('T_TTAFStock'!BW40&lt;&gt;""),'T_TTAFStock'!BW40,BV36+'Grid_Incoming'!BW36-'Grid_TTAFOutgoing'!BW36))</f>
        <v/>
      </c>
      <c r="BX36">
        <f>IF(COUNTIFS(T_StockCount[Part Name],$A36,T_StockCount[WeekIndex],75)&gt;0,0,IF(('T_TTAFStock'!BX40&lt;&gt;""),'T_TTAFStock'!BX40,BW36+'Grid_Incoming'!BX36-'Grid_TTAFOutgoing'!BX36))</f>
        <v/>
      </c>
      <c r="BY36">
        <f>IF(COUNTIFS(T_StockCount[Part Name],$A36,T_StockCount[WeekIndex],76)&gt;0,0,IF(('T_TTAFStock'!BY40&lt;&gt;""),'T_TTAFStock'!BY40,BX36+'Grid_Incoming'!BY36-'Grid_TTAFOutgoing'!BY36))</f>
        <v/>
      </c>
      <c r="BZ36">
        <f>IF(COUNTIFS(T_StockCount[Part Name],$A36,T_StockCount[WeekIndex],77)&gt;0,0,IF(('T_TTAFStock'!BZ40&lt;&gt;""),'T_TTAFStock'!BZ40,BY36+'Grid_Incoming'!BZ36-'Grid_TTAFOutgoing'!BZ36))</f>
        <v/>
      </c>
      <c r="CA36">
        <f>IF(COUNTIFS(T_StockCount[Part Name],$A36,T_StockCount[WeekIndex],78)&gt;0,0,IF(('T_TTAFStock'!CA40&lt;&gt;""),'T_TTAFStock'!CA40,BZ36+'Grid_Incoming'!CA36-'Grid_TTAFOutgoing'!CA36))</f>
        <v/>
      </c>
      <c r="CB36">
        <f>IF(COUNTIFS(T_StockCount[Part Name],$A36,T_StockCount[WeekIndex],79)&gt;0,0,IF(('T_TTAFStock'!CB40&lt;&gt;""),'T_TTAFStock'!CB40,CA36+'Grid_Incoming'!CB36-'Grid_TTAFOutgoing'!CB36))</f>
        <v/>
      </c>
      <c r="CC36">
        <f>IF(COUNTIFS(T_StockCount[Part Name],$A36,T_StockCount[WeekIndex],80)&gt;0,0,IF(('T_TTAFStock'!CC40&lt;&gt;""),'T_TTAFStock'!CC40,CB36+'Grid_Incoming'!CC36-'Grid_TTAFOutgoing'!CC36))</f>
        <v/>
      </c>
      <c r="CD36">
        <f>IF(COUNTIFS(T_StockCount[Part Name],$A36,T_StockCount[WeekIndex],81)&gt;0,0,IF(('T_TTAFStock'!CD40&lt;&gt;""),'T_TTAFStock'!CD40,CC36+'Grid_Incoming'!CD36-'Grid_TTAFOutgoing'!CD36))</f>
        <v/>
      </c>
      <c r="CE36">
        <f>IF(COUNTIFS(T_StockCount[Part Name],$A36,T_StockCount[WeekIndex],82)&gt;0,0,IF(('T_TTAFStock'!CE40&lt;&gt;""),'T_TTAFStock'!CE40,CD36+'Grid_Incoming'!CE36-'Grid_TTAFOutgoing'!CE36))</f>
        <v/>
      </c>
      <c r="CF36">
        <f>IF(COUNTIFS(T_StockCount[Part Name],$A36,T_StockCount[WeekIndex],83)&gt;0,0,IF(('T_TTAFStock'!CF40&lt;&gt;""),'T_TTAFStock'!CF40,CE36+'Grid_Incoming'!CF36-'Grid_TTAFOutgoing'!CF36))</f>
        <v/>
      </c>
      <c r="CG36">
        <f>IF(COUNTIFS(T_StockCount[Part Name],$A36,T_StockCount[WeekIndex],84)&gt;0,0,IF(('T_TTAFStock'!CG40&lt;&gt;""),'T_TTAFStock'!CG40,CF36+'Grid_Incoming'!CG36-'Grid_TTAFOutgoing'!CG36))</f>
        <v/>
      </c>
      <c r="CH36">
        <f>IF(COUNTIFS(T_StockCount[Part Name],$A36,T_StockCount[WeekIndex],85)&gt;0,0,IF(('T_TTAFStock'!CH40&lt;&gt;""),'T_TTAFStock'!CH40,CG36+'Grid_Incoming'!CH36-'Grid_TTAFOutgoing'!CH36))</f>
        <v/>
      </c>
      <c r="CI36">
        <f>IF(COUNTIFS(T_StockCount[Part Name],$A36,T_StockCount[WeekIndex],86)&gt;0,0,IF(('T_TTAFStock'!CI40&lt;&gt;""),'T_TTAFStock'!CI40,CH36+'Grid_Incoming'!CI36-'Grid_TTAFOutgoing'!CI36))</f>
        <v/>
      </c>
      <c r="CJ36">
        <f>IF(COUNTIFS(T_StockCount[Part Name],$A36,T_StockCount[WeekIndex],87)&gt;0,0,IF(('T_TTAFStock'!CJ40&lt;&gt;""),'T_TTAFStock'!CJ40,CI36+'Grid_Incoming'!CJ36-'Grid_TTAFOutgoing'!CJ36))</f>
        <v/>
      </c>
      <c r="CK36">
        <f>IF(COUNTIFS(T_StockCount[Part Name],$A36,T_StockCount[WeekIndex],88)&gt;0,0,IF(('T_TTAFStock'!CK40&lt;&gt;""),'T_TTAFStock'!CK40,CJ36+'Grid_Incoming'!CK36-'Grid_TTAFOutgoing'!CK36))</f>
        <v/>
      </c>
      <c r="CL36">
        <f>IF(COUNTIFS(T_StockCount[Part Name],$A36,T_StockCount[WeekIndex],89)&gt;0,0,IF(('T_TTAFStock'!CL40&lt;&gt;""),'T_TTAFStock'!CL40,CK36+'Grid_Incoming'!CL36-'Grid_TTAFOutgoing'!CL36))</f>
        <v/>
      </c>
      <c r="CM36">
        <f>IF(COUNTIFS(T_StockCount[Part Name],$A36,T_StockCount[WeekIndex],90)&gt;0,0,IF(('T_TTAFStock'!CM40&lt;&gt;""),'T_TTAFStock'!CM40,CL36+'Grid_Incoming'!CM36-'Grid_TTAFOutgoing'!CM36))</f>
        <v/>
      </c>
      <c r="CN36">
        <f>IF(COUNTIFS(T_StockCount[Part Name],$A36,T_StockCount[WeekIndex],91)&gt;0,0,IF(('T_TTAFStock'!CN40&lt;&gt;""),'T_TTAFStock'!CN40,CM36+'Grid_Incoming'!CN36-'Grid_TTAFOutgoing'!CN36))</f>
        <v/>
      </c>
      <c r="CO36">
        <f>IF(COUNTIFS(T_StockCount[Part Name],$A36,T_StockCount[WeekIndex],92)&gt;0,0,IF(('T_TTAFStock'!CO40&lt;&gt;""),'T_TTAFStock'!CO40,CN36+'Grid_Incoming'!CO36-'Grid_TTAFOutgoing'!CO36))</f>
        <v/>
      </c>
      <c r="CP36">
        <f>IF(COUNTIFS(T_StockCount[Part Name],$A36,T_StockCount[WeekIndex],93)&gt;0,0,IF(('T_TTAFStock'!CP40&lt;&gt;""),'T_TTAFStock'!CP40,CO36+'Grid_Incoming'!CP36-'Grid_TTAFOutgoing'!CP36))</f>
        <v/>
      </c>
      <c r="CQ36">
        <f>IF(COUNTIFS(T_StockCount[Part Name],$A36,T_StockCount[WeekIndex],94)&gt;0,0,IF(('T_TTAFStock'!CQ40&lt;&gt;""),'T_TTAFStock'!CQ40,CP36+'Grid_Incoming'!CQ36-'Grid_TTAFOutgoing'!CQ36))</f>
        <v/>
      </c>
      <c r="CR36">
        <f>IF(COUNTIFS(T_StockCount[Part Name],$A36,T_StockCount[WeekIndex],95)&gt;0,0,IF(('T_TTAFStock'!CR40&lt;&gt;""),'T_TTAFStock'!CR40,CQ36+'Grid_Incoming'!CR36-'Grid_TTAFOutgoing'!CR36))</f>
        <v/>
      </c>
      <c r="CS36">
        <f>IF(COUNTIFS(T_StockCount[Part Name],$A36,T_StockCount[WeekIndex],96)&gt;0,0,IF(('T_TTAFStock'!CS40&lt;&gt;""),'T_TTAFStock'!CS40,CR36+'Grid_Incoming'!CS36-'Grid_TTAFOutgoing'!CS36))</f>
        <v/>
      </c>
      <c r="CT36">
        <f>IF(COUNTIFS(T_StockCount[Part Name],$A36,T_StockCount[WeekIndex],97)&gt;0,0,IF(('T_TTAFStock'!CT40&lt;&gt;""),'T_TTAFStock'!CT40,CS36+'Grid_Incoming'!CT36-'Grid_TTAFOutgoing'!CT36))</f>
        <v/>
      </c>
      <c r="CU36">
        <f>IF(COUNTIFS(T_StockCount[Part Name],$A36,T_StockCount[WeekIndex],98)&gt;0,0,IF(('T_TTAFStock'!CU40&lt;&gt;""),'T_TTAFStock'!CU40,CT36+'Grid_Incoming'!CU36-'Grid_TTAFOutgoing'!CU36))</f>
        <v/>
      </c>
      <c r="CV36">
        <f>IF(COUNTIFS(T_StockCount[Part Name],$A36,T_StockCount[WeekIndex],99)&gt;0,0,IF(('T_TTAFStock'!CV40&lt;&gt;""),'T_TTAFStock'!CV40,CU36+'Grid_Incoming'!CV36-'Grid_TTAFOutgoing'!CV36))</f>
        <v/>
      </c>
      <c r="CW36">
        <f>IF(COUNTIFS(T_StockCount[Part Name],$A36,T_StockCount[WeekIndex],100)&gt;0,0,IF(('T_TTAFStock'!CW40&lt;&gt;""),'T_TTAFStock'!CW40,CV36+'Grid_Incoming'!CW36-'Grid_TTAFOutgoing'!CW36))</f>
        <v/>
      </c>
      <c r="CX36">
        <f>IF(COUNTIFS(T_StockCount[Part Name],$A36,T_StockCount[WeekIndex],101)&gt;0,0,IF(('T_TTAFStock'!CX40&lt;&gt;""),'T_TTAFStock'!CX40,CW36+'Grid_Incoming'!CX36-'Grid_TTAFOutgoing'!CX36))</f>
        <v/>
      </c>
      <c r="CY36">
        <f>IF(COUNTIFS(T_StockCount[Part Name],$A36,T_StockCount[WeekIndex],102)&gt;0,0,IF(('T_TTAFStock'!CY40&lt;&gt;""),'T_TTAFStock'!CY40,CX36+'Grid_Incoming'!CY36-'Grid_TTAFOutgoing'!CY36))</f>
        <v/>
      </c>
      <c r="CZ36">
        <f>IF(COUNTIFS(T_StockCount[Part Name],$A36,T_StockCount[WeekIndex],103)&gt;0,0,IF(('T_TTAFStock'!CZ40&lt;&gt;""),'T_TTAFStock'!CZ40,CY36+'Grid_Incoming'!CZ36-'Grid_TTAFOutgoing'!CZ36))</f>
        <v/>
      </c>
      <c r="DA36">
        <f>IF(COUNTIFS(T_StockCount[Part Name],$A36,T_StockCount[WeekIndex],104)&gt;0,0,IF(('T_TTAFStock'!DA40&lt;&gt;""),'T_TTAFStock'!DA40,CZ36+'Grid_Incoming'!DA36-'Grid_TTAFOutgoing'!DA36))</f>
        <v/>
      </c>
    </row>
    <row r="37">
      <c r="A37" t="inlineStr">
        <is>
          <t>CHEM-1020</t>
        </is>
      </c>
      <c r="B37">
        <f>IF(COUNTIFS(T_StockCount[Part Name],$A37,T_StockCount[WeekIndex],1)&gt;0,0,IF(('T_TTAFStock'!B41&lt;&gt;""),'T_TTAFStock'!B41,0+'Grid_Incoming'!B37-'Grid_TTAFOutgoing'!B37))</f>
        <v/>
      </c>
      <c r="C37">
        <f>IF(COUNTIFS(T_StockCount[Part Name],$A37,T_StockCount[WeekIndex],2)&gt;0,0,IF(('T_TTAFStock'!C41&lt;&gt;""),'T_TTAFStock'!C41,B37+'Grid_Incoming'!C37-'Grid_TTAFOutgoing'!C37))</f>
        <v/>
      </c>
      <c r="D37">
        <f>IF(COUNTIFS(T_StockCount[Part Name],$A37,T_StockCount[WeekIndex],3)&gt;0,0,IF(('T_TTAFStock'!D41&lt;&gt;""),'T_TTAFStock'!D41,C37+'Grid_Incoming'!D37-'Grid_TTAFOutgoing'!D37))</f>
        <v/>
      </c>
      <c r="E37">
        <f>IF(COUNTIFS(T_StockCount[Part Name],$A37,T_StockCount[WeekIndex],4)&gt;0,0,IF(('T_TTAFStock'!E41&lt;&gt;""),'T_TTAFStock'!E41,D37+'Grid_Incoming'!E37-'Grid_TTAFOutgoing'!E37))</f>
        <v/>
      </c>
      <c r="F37">
        <f>IF(COUNTIFS(T_StockCount[Part Name],$A37,T_StockCount[WeekIndex],5)&gt;0,0,IF(('T_TTAFStock'!F41&lt;&gt;""),'T_TTAFStock'!F41,E37+'Grid_Incoming'!F37-'Grid_TTAFOutgoing'!F37))</f>
        <v/>
      </c>
      <c r="G37">
        <f>IF(COUNTIFS(T_StockCount[Part Name],$A37,T_StockCount[WeekIndex],6)&gt;0,0,IF(('T_TTAFStock'!G41&lt;&gt;""),'T_TTAFStock'!G41,F37+'Grid_Incoming'!G37-'Grid_TTAFOutgoing'!G37))</f>
        <v/>
      </c>
      <c r="H37">
        <f>IF(COUNTIFS(T_StockCount[Part Name],$A37,T_StockCount[WeekIndex],7)&gt;0,0,IF(('T_TTAFStock'!H41&lt;&gt;""),'T_TTAFStock'!H41,G37+'Grid_Incoming'!H37-'Grid_TTAFOutgoing'!H37))</f>
        <v/>
      </c>
      <c r="I37">
        <f>IF(COUNTIFS(T_StockCount[Part Name],$A37,T_StockCount[WeekIndex],8)&gt;0,0,IF(('T_TTAFStock'!I41&lt;&gt;""),'T_TTAFStock'!I41,H37+'Grid_Incoming'!I37-'Grid_TTAFOutgoing'!I37))</f>
        <v/>
      </c>
      <c r="J37">
        <f>IF(COUNTIFS(T_StockCount[Part Name],$A37,T_StockCount[WeekIndex],9)&gt;0,0,IF(('T_TTAFStock'!J41&lt;&gt;""),'T_TTAFStock'!J41,I37+'Grid_Incoming'!J37-'Grid_TTAFOutgoing'!J37))</f>
        <v/>
      </c>
      <c r="K37">
        <f>IF(COUNTIFS(T_StockCount[Part Name],$A37,T_StockCount[WeekIndex],10)&gt;0,0,IF(('T_TTAFStock'!K41&lt;&gt;""),'T_TTAFStock'!K41,J37+'Grid_Incoming'!K37-'Grid_TTAFOutgoing'!K37))</f>
        <v/>
      </c>
      <c r="L37">
        <f>IF(COUNTIFS(T_StockCount[Part Name],$A37,T_StockCount[WeekIndex],11)&gt;0,0,IF(('T_TTAFStock'!L41&lt;&gt;""),'T_TTAFStock'!L41,K37+'Grid_Incoming'!L37-'Grid_TTAFOutgoing'!L37))</f>
        <v/>
      </c>
      <c r="M37">
        <f>IF(COUNTIFS(T_StockCount[Part Name],$A37,T_StockCount[WeekIndex],12)&gt;0,0,IF(('T_TTAFStock'!M41&lt;&gt;""),'T_TTAFStock'!M41,L37+'Grid_Incoming'!M37-'Grid_TTAFOutgoing'!M37))</f>
        <v/>
      </c>
      <c r="N37">
        <f>IF(COUNTIFS(T_StockCount[Part Name],$A37,T_StockCount[WeekIndex],13)&gt;0,0,IF(('T_TTAFStock'!N41&lt;&gt;""),'T_TTAFStock'!N41,M37+'Grid_Incoming'!N37-'Grid_TTAFOutgoing'!N37))</f>
        <v/>
      </c>
      <c r="O37">
        <f>IF(COUNTIFS(T_StockCount[Part Name],$A37,T_StockCount[WeekIndex],14)&gt;0,0,IF(('T_TTAFStock'!O41&lt;&gt;""),'T_TTAFStock'!O41,N37+'Grid_Incoming'!O37-'Grid_TTAFOutgoing'!O37))</f>
        <v/>
      </c>
      <c r="P37">
        <f>IF(COUNTIFS(T_StockCount[Part Name],$A37,T_StockCount[WeekIndex],15)&gt;0,0,IF(('T_TTAFStock'!P41&lt;&gt;""),'T_TTAFStock'!P41,O37+'Grid_Incoming'!P37-'Grid_TTAFOutgoing'!P37))</f>
        <v/>
      </c>
      <c r="Q37">
        <f>IF(COUNTIFS(T_StockCount[Part Name],$A37,T_StockCount[WeekIndex],16)&gt;0,0,IF(('T_TTAFStock'!Q41&lt;&gt;""),'T_TTAFStock'!Q41,P37+'Grid_Incoming'!Q37-'Grid_TTAFOutgoing'!Q37))</f>
        <v/>
      </c>
      <c r="R37">
        <f>IF(COUNTIFS(T_StockCount[Part Name],$A37,T_StockCount[WeekIndex],17)&gt;0,0,IF(('T_TTAFStock'!R41&lt;&gt;""),'T_TTAFStock'!R41,Q37+'Grid_Incoming'!R37-'Grid_TTAFOutgoing'!R37))</f>
        <v/>
      </c>
      <c r="S37">
        <f>IF(COUNTIFS(T_StockCount[Part Name],$A37,T_StockCount[WeekIndex],18)&gt;0,0,IF(('T_TTAFStock'!S41&lt;&gt;""),'T_TTAFStock'!S41,R37+'Grid_Incoming'!S37-'Grid_TTAFOutgoing'!S37))</f>
        <v/>
      </c>
      <c r="T37">
        <f>IF(COUNTIFS(T_StockCount[Part Name],$A37,T_StockCount[WeekIndex],19)&gt;0,0,IF(('T_TTAFStock'!T41&lt;&gt;""),'T_TTAFStock'!T41,S37+'Grid_Incoming'!T37-'Grid_TTAFOutgoing'!T37))</f>
        <v/>
      </c>
      <c r="U37">
        <f>IF(COUNTIFS(T_StockCount[Part Name],$A37,T_StockCount[WeekIndex],20)&gt;0,0,IF(('T_TTAFStock'!U41&lt;&gt;""),'T_TTAFStock'!U41,T37+'Grid_Incoming'!U37-'Grid_TTAFOutgoing'!U37))</f>
        <v/>
      </c>
      <c r="V37">
        <f>IF(COUNTIFS(T_StockCount[Part Name],$A37,T_StockCount[WeekIndex],21)&gt;0,0,IF(('T_TTAFStock'!V41&lt;&gt;""),'T_TTAFStock'!V41,U37+'Grid_Incoming'!V37-'Grid_TTAFOutgoing'!V37))</f>
        <v/>
      </c>
      <c r="W37">
        <f>IF(COUNTIFS(T_StockCount[Part Name],$A37,T_StockCount[WeekIndex],22)&gt;0,0,IF(('T_TTAFStock'!W41&lt;&gt;""),'T_TTAFStock'!W41,V37+'Grid_Incoming'!W37-'Grid_TTAFOutgoing'!W37))</f>
        <v/>
      </c>
      <c r="X37">
        <f>IF(COUNTIFS(T_StockCount[Part Name],$A37,T_StockCount[WeekIndex],23)&gt;0,0,IF(('T_TTAFStock'!X41&lt;&gt;""),'T_TTAFStock'!X41,W37+'Grid_Incoming'!X37-'Grid_TTAFOutgoing'!X37))</f>
        <v/>
      </c>
      <c r="Y37">
        <f>IF(COUNTIFS(T_StockCount[Part Name],$A37,T_StockCount[WeekIndex],24)&gt;0,0,IF(('T_TTAFStock'!Y41&lt;&gt;""),'T_TTAFStock'!Y41,X37+'Grid_Incoming'!Y37-'Grid_TTAFOutgoing'!Y37))</f>
        <v/>
      </c>
      <c r="Z37">
        <f>IF(COUNTIFS(T_StockCount[Part Name],$A37,T_StockCount[WeekIndex],25)&gt;0,0,IF(('T_TTAFStock'!Z41&lt;&gt;""),'T_TTAFStock'!Z41,Y37+'Grid_Incoming'!Z37-'Grid_TTAFOutgoing'!Z37))</f>
        <v/>
      </c>
      <c r="AA37">
        <f>IF(COUNTIFS(T_StockCount[Part Name],$A37,T_StockCount[WeekIndex],26)&gt;0,0,IF(('T_TTAFStock'!AA41&lt;&gt;""),'T_TTAFStock'!AA41,Z37+'Grid_Incoming'!AA37-'Grid_TTAFOutgoing'!AA37))</f>
        <v/>
      </c>
      <c r="AB37">
        <f>IF(COUNTIFS(T_StockCount[Part Name],$A37,T_StockCount[WeekIndex],27)&gt;0,0,IF(('T_TTAFStock'!AB41&lt;&gt;""),'T_TTAFStock'!AB41,AA37+'Grid_Incoming'!AB37-'Grid_TTAFOutgoing'!AB37))</f>
        <v/>
      </c>
      <c r="AC37">
        <f>IF(COUNTIFS(T_StockCount[Part Name],$A37,T_StockCount[WeekIndex],28)&gt;0,0,IF(('T_TTAFStock'!AC41&lt;&gt;""),'T_TTAFStock'!AC41,AB37+'Grid_Incoming'!AC37-'Grid_TTAFOutgoing'!AC37))</f>
        <v/>
      </c>
      <c r="AD37">
        <f>IF(COUNTIFS(T_StockCount[Part Name],$A37,T_StockCount[WeekIndex],29)&gt;0,0,IF(('T_TTAFStock'!AD41&lt;&gt;""),'T_TTAFStock'!AD41,AC37+'Grid_Incoming'!AD37-'Grid_TTAFOutgoing'!AD37))</f>
        <v/>
      </c>
      <c r="AE37">
        <f>IF(COUNTIFS(T_StockCount[Part Name],$A37,T_StockCount[WeekIndex],30)&gt;0,0,IF(('T_TTAFStock'!AE41&lt;&gt;""),'T_TTAFStock'!AE41,AD37+'Grid_Incoming'!AE37-'Grid_TTAFOutgoing'!AE37))</f>
        <v/>
      </c>
      <c r="AF37">
        <f>IF(COUNTIFS(T_StockCount[Part Name],$A37,T_StockCount[WeekIndex],31)&gt;0,0,IF(('T_TTAFStock'!AF41&lt;&gt;""),'T_TTAFStock'!AF41,AE37+'Grid_Incoming'!AF37-'Grid_TTAFOutgoing'!AF37))</f>
        <v/>
      </c>
      <c r="AG37">
        <f>IF(COUNTIFS(T_StockCount[Part Name],$A37,T_StockCount[WeekIndex],32)&gt;0,0,IF(('T_TTAFStock'!AG41&lt;&gt;""),'T_TTAFStock'!AG41,AF37+'Grid_Incoming'!AG37-'Grid_TTAFOutgoing'!AG37))</f>
        <v/>
      </c>
      <c r="AH37">
        <f>IF(COUNTIFS(T_StockCount[Part Name],$A37,T_StockCount[WeekIndex],33)&gt;0,0,IF(('T_TTAFStock'!AH41&lt;&gt;""),'T_TTAFStock'!AH41,AG37+'Grid_Incoming'!AH37-'Grid_TTAFOutgoing'!AH37))</f>
        <v/>
      </c>
      <c r="AI37">
        <f>IF(COUNTIFS(T_StockCount[Part Name],$A37,T_StockCount[WeekIndex],34)&gt;0,0,IF(('T_TTAFStock'!AI41&lt;&gt;""),'T_TTAFStock'!AI41,AH37+'Grid_Incoming'!AI37-'Grid_TTAFOutgoing'!AI37))</f>
        <v/>
      </c>
      <c r="AJ37">
        <f>IF(COUNTIFS(T_StockCount[Part Name],$A37,T_StockCount[WeekIndex],35)&gt;0,0,IF(('T_TTAFStock'!AJ41&lt;&gt;""),'T_TTAFStock'!AJ41,AI37+'Grid_Incoming'!AJ37-'Grid_TTAFOutgoing'!AJ37))</f>
        <v/>
      </c>
      <c r="AK37">
        <f>IF(COUNTIFS(T_StockCount[Part Name],$A37,T_StockCount[WeekIndex],36)&gt;0,0,IF(('T_TTAFStock'!AK41&lt;&gt;""),'T_TTAFStock'!AK41,AJ37+'Grid_Incoming'!AK37-'Grid_TTAFOutgoing'!AK37))</f>
        <v/>
      </c>
      <c r="AL37">
        <f>IF(COUNTIFS(T_StockCount[Part Name],$A37,T_StockCount[WeekIndex],37)&gt;0,0,IF(('T_TTAFStock'!AL41&lt;&gt;""),'T_TTAFStock'!AL41,AK37+'Grid_Incoming'!AL37-'Grid_TTAFOutgoing'!AL37))</f>
        <v/>
      </c>
      <c r="AM37">
        <f>IF(COUNTIFS(T_StockCount[Part Name],$A37,T_StockCount[WeekIndex],38)&gt;0,0,IF(('T_TTAFStock'!AM41&lt;&gt;""),'T_TTAFStock'!AM41,AL37+'Grid_Incoming'!AM37-'Grid_TTAFOutgoing'!AM37))</f>
        <v/>
      </c>
      <c r="AN37">
        <f>IF(COUNTIFS(T_StockCount[Part Name],$A37,T_StockCount[WeekIndex],39)&gt;0,0,IF(('T_TTAFStock'!AN41&lt;&gt;""),'T_TTAFStock'!AN41,AM37+'Grid_Incoming'!AN37-'Grid_TTAFOutgoing'!AN37))</f>
        <v/>
      </c>
      <c r="AO37">
        <f>IF(COUNTIFS(T_StockCount[Part Name],$A37,T_StockCount[WeekIndex],40)&gt;0,0,IF(('T_TTAFStock'!AO41&lt;&gt;""),'T_TTAFStock'!AO41,AN37+'Grid_Incoming'!AO37-'Grid_TTAFOutgoing'!AO37))</f>
        <v/>
      </c>
      <c r="AP37">
        <f>IF(COUNTIFS(T_StockCount[Part Name],$A37,T_StockCount[WeekIndex],41)&gt;0,0,IF(('T_TTAFStock'!AP41&lt;&gt;""),'T_TTAFStock'!AP41,AO37+'Grid_Incoming'!AP37-'Grid_TTAFOutgoing'!AP37))</f>
        <v/>
      </c>
      <c r="AQ37">
        <f>IF(COUNTIFS(T_StockCount[Part Name],$A37,T_StockCount[WeekIndex],42)&gt;0,0,IF(('T_TTAFStock'!AQ41&lt;&gt;""),'T_TTAFStock'!AQ41,AP37+'Grid_Incoming'!AQ37-'Grid_TTAFOutgoing'!AQ37))</f>
        <v/>
      </c>
      <c r="AR37">
        <f>IF(COUNTIFS(T_StockCount[Part Name],$A37,T_StockCount[WeekIndex],43)&gt;0,0,IF(('T_TTAFStock'!AR41&lt;&gt;""),'T_TTAFStock'!AR41,AQ37+'Grid_Incoming'!AR37-'Grid_TTAFOutgoing'!AR37))</f>
        <v/>
      </c>
      <c r="AS37">
        <f>IF(COUNTIFS(T_StockCount[Part Name],$A37,T_StockCount[WeekIndex],44)&gt;0,0,IF(('T_TTAFStock'!AS41&lt;&gt;""),'T_TTAFStock'!AS41,AR37+'Grid_Incoming'!AS37-'Grid_TTAFOutgoing'!AS37))</f>
        <v/>
      </c>
      <c r="AT37">
        <f>IF(COUNTIFS(T_StockCount[Part Name],$A37,T_StockCount[WeekIndex],45)&gt;0,0,IF(('T_TTAFStock'!AT41&lt;&gt;""),'T_TTAFStock'!AT41,AS37+'Grid_Incoming'!AT37-'Grid_TTAFOutgoing'!AT37))</f>
        <v/>
      </c>
      <c r="AU37">
        <f>IF(COUNTIFS(T_StockCount[Part Name],$A37,T_StockCount[WeekIndex],46)&gt;0,0,IF(('T_TTAFStock'!AU41&lt;&gt;""),'T_TTAFStock'!AU41,AT37+'Grid_Incoming'!AU37-'Grid_TTAFOutgoing'!AU37))</f>
        <v/>
      </c>
      <c r="AV37">
        <f>IF(COUNTIFS(T_StockCount[Part Name],$A37,T_StockCount[WeekIndex],47)&gt;0,0,IF(('T_TTAFStock'!AV41&lt;&gt;""),'T_TTAFStock'!AV41,AU37+'Grid_Incoming'!AV37-'Grid_TTAFOutgoing'!AV37))</f>
        <v/>
      </c>
      <c r="AW37">
        <f>IF(COUNTIFS(T_StockCount[Part Name],$A37,T_StockCount[WeekIndex],48)&gt;0,0,IF(('T_TTAFStock'!AW41&lt;&gt;""),'T_TTAFStock'!AW41,AV37+'Grid_Incoming'!AW37-'Grid_TTAFOutgoing'!AW37))</f>
        <v/>
      </c>
      <c r="AX37">
        <f>IF(COUNTIFS(T_StockCount[Part Name],$A37,T_StockCount[WeekIndex],49)&gt;0,0,IF(('T_TTAFStock'!AX41&lt;&gt;""),'T_TTAFStock'!AX41,AW37+'Grid_Incoming'!AX37-'Grid_TTAFOutgoing'!AX37))</f>
        <v/>
      </c>
      <c r="AY37">
        <f>IF(COUNTIFS(T_StockCount[Part Name],$A37,T_StockCount[WeekIndex],50)&gt;0,0,IF(('T_TTAFStock'!AY41&lt;&gt;""),'T_TTAFStock'!AY41,AX37+'Grid_Incoming'!AY37-'Grid_TTAFOutgoing'!AY37))</f>
        <v/>
      </c>
      <c r="AZ37">
        <f>IF(COUNTIFS(T_StockCount[Part Name],$A37,T_StockCount[WeekIndex],51)&gt;0,0,IF(('T_TTAFStock'!AZ41&lt;&gt;""),'T_TTAFStock'!AZ41,AY37+'Grid_Incoming'!AZ37-'Grid_TTAFOutgoing'!AZ37))</f>
        <v/>
      </c>
      <c r="BA37">
        <f>IF(COUNTIFS(T_StockCount[Part Name],$A37,T_StockCount[WeekIndex],52)&gt;0,0,IF(('T_TTAFStock'!BA41&lt;&gt;""),'T_TTAFStock'!BA41,AZ37+'Grid_Incoming'!BA37-'Grid_TTAFOutgoing'!BA37))</f>
        <v/>
      </c>
      <c r="BB37">
        <f>IF(COUNTIFS(T_StockCount[Part Name],$A37,T_StockCount[WeekIndex],53)&gt;0,0,IF(('T_TTAFStock'!BB41&lt;&gt;""),'T_TTAFStock'!BB41,BA37+'Grid_Incoming'!BB37-'Grid_TTAFOutgoing'!BB37))</f>
        <v/>
      </c>
      <c r="BC37">
        <f>IF(COUNTIFS(T_StockCount[Part Name],$A37,T_StockCount[WeekIndex],54)&gt;0,0,IF(('T_TTAFStock'!BC41&lt;&gt;""),'T_TTAFStock'!BC41,BB37+'Grid_Incoming'!BC37-'Grid_TTAFOutgoing'!BC37))</f>
        <v/>
      </c>
      <c r="BD37">
        <f>IF(COUNTIFS(T_StockCount[Part Name],$A37,T_StockCount[WeekIndex],55)&gt;0,0,IF(('T_TTAFStock'!BD41&lt;&gt;""),'T_TTAFStock'!BD41,BC37+'Grid_Incoming'!BD37-'Grid_TTAFOutgoing'!BD37))</f>
        <v/>
      </c>
      <c r="BE37">
        <f>IF(COUNTIFS(T_StockCount[Part Name],$A37,T_StockCount[WeekIndex],56)&gt;0,0,IF(('T_TTAFStock'!BE41&lt;&gt;""),'T_TTAFStock'!BE41,BD37+'Grid_Incoming'!BE37-'Grid_TTAFOutgoing'!BE37))</f>
        <v/>
      </c>
      <c r="BF37">
        <f>IF(COUNTIFS(T_StockCount[Part Name],$A37,T_StockCount[WeekIndex],57)&gt;0,0,IF(('T_TTAFStock'!BF41&lt;&gt;""),'T_TTAFStock'!BF41,BE37+'Grid_Incoming'!BF37-'Grid_TTAFOutgoing'!BF37))</f>
        <v/>
      </c>
      <c r="BG37">
        <f>IF(COUNTIFS(T_StockCount[Part Name],$A37,T_StockCount[WeekIndex],58)&gt;0,0,IF(('T_TTAFStock'!BG41&lt;&gt;""),'T_TTAFStock'!BG41,BF37+'Grid_Incoming'!BG37-'Grid_TTAFOutgoing'!BG37))</f>
        <v/>
      </c>
      <c r="BH37">
        <f>IF(COUNTIFS(T_StockCount[Part Name],$A37,T_StockCount[WeekIndex],59)&gt;0,0,IF(('T_TTAFStock'!BH41&lt;&gt;""),'T_TTAFStock'!BH41,BG37+'Grid_Incoming'!BH37-'Grid_TTAFOutgoing'!BH37))</f>
        <v/>
      </c>
      <c r="BI37">
        <f>IF(COUNTIFS(T_StockCount[Part Name],$A37,T_StockCount[WeekIndex],60)&gt;0,0,IF(('T_TTAFStock'!BI41&lt;&gt;""),'T_TTAFStock'!BI41,BH37+'Grid_Incoming'!BI37-'Grid_TTAFOutgoing'!BI37))</f>
        <v/>
      </c>
      <c r="BJ37">
        <f>IF(COUNTIFS(T_StockCount[Part Name],$A37,T_StockCount[WeekIndex],61)&gt;0,0,IF(('T_TTAFStock'!BJ41&lt;&gt;""),'T_TTAFStock'!BJ41,BI37+'Grid_Incoming'!BJ37-'Grid_TTAFOutgoing'!BJ37))</f>
        <v/>
      </c>
      <c r="BK37">
        <f>IF(COUNTIFS(T_StockCount[Part Name],$A37,T_StockCount[WeekIndex],62)&gt;0,0,IF(('T_TTAFStock'!BK41&lt;&gt;""),'T_TTAFStock'!BK41,BJ37+'Grid_Incoming'!BK37-'Grid_TTAFOutgoing'!BK37))</f>
        <v/>
      </c>
      <c r="BL37">
        <f>IF(COUNTIFS(T_StockCount[Part Name],$A37,T_StockCount[WeekIndex],63)&gt;0,0,IF(('T_TTAFStock'!BL41&lt;&gt;""),'T_TTAFStock'!BL41,BK37+'Grid_Incoming'!BL37-'Grid_TTAFOutgoing'!BL37))</f>
        <v/>
      </c>
      <c r="BM37">
        <f>IF(COUNTIFS(T_StockCount[Part Name],$A37,T_StockCount[WeekIndex],64)&gt;0,0,IF(('T_TTAFStock'!BM41&lt;&gt;""),'T_TTAFStock'!BM41,BL37+'Grid_Incoming'!BM37-'Grid_TTAFOutgoing'!BM37))</f>
        <v/>
      </c>
      <c r="BN37">
        <f>IF(COUNTIFS(T_StockCount[Part Name],$A37,T_StockCount[WeekIndex],65)&gt;0,0,IF(('T_TTAFStock'!BN41&lt;&gt;""),'T_TTAFStock'!BN41,BM37+'Grid_Incoming'!BN37-'Grid_TTAFOutgoing'!BN37))</f>
        <v/>
      </c>
      <c r="BO37">
        <f>IF(COUNTIFS(T_StockCount[Part Name],$A37,T_StockCount[WeekIndex],66)&gt;0,0,IF(('T_TTAFStock'!BO41&lt;&gt;""),'T_TTAFStock'!BO41,BN37+'Grid_Incoming'!BO37-'Grid_TTAFOutgoing'!BO37))</f>
        <v/>
      </c>
      <c r="BP37">
        <f>IF(COUNTIFS(T_StockCount[Part Name],$A37,T_StockCount[WeekIndex],67)&gt;0,0,IF(('T_TTAFStock'!BP41&lt;&gt;""),'T_TTAFStock'!BP41,BO37+'Grid_Incoming'!BP37-'Grid_TTAFOutgoing'!BP37))</f>
        <v/>
      </c>
      <c r="BQ37">
        <f>IF(COUNTIFS(T_StockCount[Part Name],$A37,T_StockCount[WeekIndex],68)&gt;0,0,IF(('T_TTAFStock'!BQ41&lt;&gt;""),'T_TTAFStock'!BQ41,BP37+'Grid_Incoming'!BQ37-'Grid_TTAFOutgoing'!BQ37))</f>
        <v/>
      </c>
      <c r="BR37">
        <f>IF(COUNTIFS(T_StockCount[Part Name],$A37,T_StockCount[WeekIndex],69)&gt;0,0,IF(('T_TTAFStock'!BR41&lt;&gt;""),'T_TTAFStock'!BR41,BQ37+'Grid_Incoming'!BR37-'Grid_TTAFOutgoing'!BR37))</f>
        <v/>
      </c>
      <c r="BS37">
        <f>IF(COUNTIFS(T_StockCount[Part Name],$A37,T_StockCount[WeekIndex],70)&gt;0,0,IF(('T_TTAFStock'!BS41&lt;&gt;""),'T_TTAFStock'!BS41,BR37+'Grid_Incoming'!BS37-'Grid_TTAFOutgoing'!BS37))</f>
        <v/>
      </c>
      <c r="BT37">
        <f>IF(COUNTIFS(T_StockCount[Part Name],$A37,T_StockCount[WeekIndex],71)&gt;0,0,IF(('T_TTAFStock'!BT41&lt;&gt;""),'T_TTAFStock'!BT41,BS37+'Grid_Incoming'!BT37-'Grid_TTAFOutgoing'!BT37))</f>
        <v/>
      </c>
      <c r="BU37">
        <f>IF(COUNTIFS(T_StockCount[Part Name],$A37,T_StockCount[WeekIndex],72)&gt;0,0,IF(('T_TTAFStock'!BU41&lt;&gt;""),'T_TTAFStock'!BU41,BT37+'Grid_Incoming'!BU37-'Grid_TTAFOutgoing'!BU37))</f>
        <v/>
      </c>
      <c r="BV37">
        <f>IF(COUNTIFS(T_StockCount[Part Name],$A37,T_StockCount[WeekIndex],73)&gt;0,0,IF(('T_TTAFStock'!BV41&lt;&gt;""),'T_TTAFStock'!BV41,BU37+'Grid_Incoming'!BV37-'Grid_TTAFOutgoing'!BV37))</f>
        <v/>
      </c>
      <c r="BW37">
        <f>IF(COUNTIFS(T_StockCount[Part Name],$A37,T_StockCount[WeekIndex],74)&gt;0,0,IF(('T_TTAFStock'!BW41&lt;&gt;""),'T_TTAFStock'!BW41,BV37+'Grid_Incoming'!BW37-'Grid_TTAFOutgoing'!BW37))</f>
        <v/>
      </c>
      <c r="BX37">
        <f>IF(COUNTIFS(T_StockCount[Part Name],$A37,T_StockCount[WeekIndex],75)&gt;0,0,IF(('T_TTAFStock'!BX41&lt;&gt;""),'T_TTAFStock'!BX41,BW37+'Grid_Incoming'!BX37-'Grid_TTAFOutgoing'!BX37))</f>
        <v/>
      </c>
      <c r="BY37">
        <f>IF(COUNTIFS(T_StockCount[Part Name],$A37,T_StockCount[WeekIndex],76)&gt;0,0,IF(('T_TTAFStock'!BY41&lt;&gt;""),'T_TTAFStock'!BY41,BX37+'Grid_Incoming'!BY37-'Grid_TTAFOutgoing'!BY37))</f>
        <v/>
      </c>
      <c r="BZ37">
        <f>IF(COUNTIFS(T_StockCount[Part Name],$A37,T_StockCount[WeekIndex],77)&gt;0,0,IF(('T_TTAFStock'!BZ41&lt;&gt;""),'T_TTAFStock'!BZ41,BY37+'Grid_Incoming'!BZ37-'Grid_TTAFOutgoing'!BZ37))</f>
        <v/>
      </c>
      <c r="CA37">
        <f>IF(COUNTIFS(T_StockCount[Part Name],$A37,T_StockCount[WeekIndex],78)&gt;0,0,IF(('T_TTAFStock'!CA41&lt;&gt;""),'T_TTAFStock'!CA41,BZ37+'Grid_Incoming'!CA37-'Grid_TTAFOutgoing'!CA37))</f>
        <v/>
      </c>
      <c r="CB37">
        <f>IF(COUNTIFS(T_StockCount[Part Name],$A37,T_StockCount[WeekIndex],79)&gt;0,0,IF(('T_TTAFStock'!CB41&lt;&gt;""),'T_TTAFStock'!CB41,CA37+'Grid_Incoming'!CB37-'Grid_TTAFOutgoing'!CB37))</f>
        <v/>
      </c>
      <c r="CC37">
        <f>IF(COUNTIFS(T_StockCount[Part Name],$A37,T_StockCount[WeekIndex],80)&gt;0,0,IF(('T_TTAFStock'!CC41&lt;&gt;""),'T_TTAFStock'!CC41,CB37+'Grid_Incoming'!CC37-'Grid_TTAFOutgoing'!CC37))</f>
        <v/>
      </c>
      <c r="CD37">
        <f>IF(COUNTIFS(T_StockCount[Part Name],$A37,T_StockCount[WeekIndex],81)&gt;0,0,IF(('T_TTAFStock'!CD41&lt;&gt;""),'T_TTAFStock'!CD41,CC37+'Grid_Incoming'!CD37-'Grid_TTAFOutgoing'!CD37))</f>
        <v/>
      </c>
      <c r="CE37">
        <f>IF(COUNTIFS(T_StockCount[Part Name],$A37,T_StockCount[WeekIndex],82)&gt;0,0,IF(('T_TTAFStock'!CE41&lt;&gt;""),'T_TTAFStock'!CE41,CD37+'Grid_Incoming'!CE37-'Grid_TTAFOutgoing'!CE37))</f>
        <v/>
      </c>
      <c r="CF37">
        <f>IF(COUNTIFS(T_StockCount[Part Name],$A37,T_StockCount[WeekIndex],83)&gt;0,0,IF(('T_TTAFStock'!CF41&lt;&gt;""),'T_TTAFStock'!CF41,CE37+'Grid_Incoming'!CF37-'Grid_TTAFOutgoing'!CF37))</f>
        <v/>
      </c>
      <c r="CG37">
        <f>IF(COUNTIFS(T_StockCount[Part Name],$A37,T_StockCount[WeekIndex],84)&gt;0,0,IF(('T_TTAFStock'!CG41&lt;&gt;""),'T_TTAFStock'!CG41,CF37+'Grid_Incoming'!CG37-'Grid_TTAFOutgoing'!CG37))</f>
        <v/>
      </c>
      <c r="CH37">
        <f>IF(COUNTIFS(T_StockCount[Part Name],$A37,T_StockCount[WeekIndex],85)&gt;0,0,IF(('T_TTAFStock'!CH41&lt;&gt;""),'T_TTAFStock'!CH41,CG37+'Grid_Incoming'!CH37-'Grid_TTAFOutgoing'!CH37))</f>
        <v/>
      </c>
      <c r="CI37">
        <f>IF(COUNTIFS(T_StockCount[Part Name],$A37,T_StockCount[WeekIndex],86)&gt;0,0,IF(('T_TTAFStock'!CI41&lt;&gt;""),'T_TTAFStock'!CI41,CH37+'Grid_Incoming'!CI37-'Grid_TTAFOutgoing'!CI37))</f>
        <v/>
      </c>
      <c r="CJ37">
        <f>IF(COUNTIFS(T_StockCount[Part Name],$A37,T_StockCount[WeekIndex],87)&gt;0,0,IF(('T_TTAFStock'!CJ41&lt;&gt;""),'T_TTAFStock'!CJ41,CI37+'Grid_Incoming'!CJ37-'Grid_TTAFOutgoing'!CJ37))</f>
        <v/>
      </c>
      <c r="CK37">
        <f>IF(COUNTIFS(T_StockCount[Part Name],$A37,T_StockCount[WeekIndex],88)&gt;0,0,IF(('T_TTAFStock'!CK41&lt;&gt;""),'T_TTAFStock'!CK41,CJ37+'Grid_Incoming'!CK37-'Grid_TTAFOutgoing'!CK37))</f>
        <v/>
      </c>
      <c r="CL37">
        <f>IF(COUNTIFS(T_StockCount[Part Name],$A37,T_StockCount[WeekIndex],89)&gt;0,0,IF(('T_TTAFStock'!CL41&lt;&gt;""),'T_TTAFStock'!CL41,CK37+'Grid_Incoming'!CL37-'Grid_TTAFOutgoing'!CL37))</f>
        <v/>
      </c>
      <c r="CM37">
        <f>IF(COUNTIFS(T_StockCount[Part Name],$A37,T_StockCount[WeekIndex],90)&gt;0,0,IF(('T_TTAFStock'!CM41&lt;&gt;""),'T_TTAFStock'!CM41,CL37+'Grid_Incoming'!CM37-'Grid_TTAFOutgoing'!CM37))</f>
        <v/>
      </c>
      <c r="CN37">
        <f>IF(COUNTIFS(T_StockCount[Part Name],$A37,T_StockCount[WeekIndex],91)&gt;0,0,IF(('T_TTAFStock'!CN41&lt;&gt;""),'T_TTAFStock'!CN41,CM37+'Grid_Incoming'!CN37-'Grid_TTAFOutgoing'!CN37))</f>
        <v/>
      </c>
      <c r="CO37">
        <f>IF(COUNTIFS(T_StockCount[Part Name],$A37,T_StockCount[WeekIndex],92)&gt;0,0,IF(('T_TTAFStock'!CO41&lt;&gt;""),'T_TTAFStock'!CO41,CN37+'Grid_Incoming'!CO37-'Grid_TTAFOutgoing'!CO37))</f>
        <v/>
      </c>
      <c r="CP37">
        <f>IF(COUNTIFS(T_StockCount[Part Name],$A37,T_StockCount[WeekIndex],93)&gt;0,0,IF(('T_TTAFStock'!CP41&lt;&gt;""),'T_TTAFStock'!CP41,CO37+'Grid_Incoming'!CP37-'Grid_TTAFOutgoing'!CP37))</f>
        <v/>
      </c>
      <c r="CQ37">
        <f>IF(COUNTIFS(T_StockCount[Part Name],$A37,T_StockCount[WeekIndex],94)&gt;0,0,IF(('T_TTAFStock'!CQ41&lt;&gt;""),'T_TTAFStock'!CQ41,CP37+'Grid_Incoming'!CQ37-'Grid_TTAFOutgoing'!CQ37))</f>
        <v/>
      </c>
      <c r="CR37">
        <f>IF(COUNTIFS(T_StockCount[Part Name],$A37,T_StockCount[WeekIndex],95)&gt;0,0,IF(('T_TTAFStock'!CR41&lt;&gt;""),'T_TTAFStock'!CR41,CQ37+'Grid_Incoming'!CR37-'Grid_TTAFOutgoing'!CR37))</f>
        <v/>
      </c>
      <c r="CS37">
        <f>IF(COUNTIFS(T_StockCount[Part Name],$A37,T_StockCount[WeekIndex],96)&gt;0,0,IF(('T_TTAFStock'!CS41&lt;&gt;""),'T_TTAFStock'!CS41,CR37+'Grid_Incoming'!CS37-'Grid_TTAFOutgoing'!CS37))</f>
        <v/>
      </c>
      <c r="CT37">
        <f>IF(COUNTIFS(T_StockCount[Part Name],$A37,T_StockCount[WeekIndex],97)&gt;0,0,IF(('T_TTAFStock'!CT41&lt;&gt;""),'T_TTAFStock'!CT41,CS37+'Grid_Incoming'!CT37-'Grid_TTAFOutgoing'!CT37))</f>
        <v/>
      </c>
      <c r="CU37">
        <f>IF(COUNTIFS(T_StockCount[Part Name],$A37,T_StockCount[WeekIndex],98)&gt;0,0,IF(('T_TTAFStock'!CU41&lt;&gt;""),'T_TTAFStock'!CU41,CT37+'Grid_Incoming'!CU37-'Grid_TTAFOutgoing'!CU37))</f>
        <v/>
      </c>
      <c r="CV37">
        <f>IF(COUNTIFS(T_StockCount[Part Name],$A37,T_StockCount[WeekIndex],99)&gt;0,0,IF(('T_TTAFStock'!CV41&lt;&gt;""),'T_TTAFStock'!CV41,CU37+'Grid_Incoming'!CV37-'Grid_TTAFOutgoing'!CV37))</f>
        <v/>
      </c>
      <c r="CW37">
        <f>IF(COUNTIFS(T_StockCount[Part Name],$A37,T_StockCount[WeekIndex],100)&gt;0,0,IF(('T_TTAFStock'!CW41&lt;&gt;""),'T_TTAFStock'!CW41,CV37+'Grid_Incoming'!CW37-'Grid_TTAFOutgoing'!CW37))</f>
        <v/>
      </c>
      <c r="CX37">
        <f>IF(COUNTIFS(T_StockCount[Part Name],$A37,T_StockCount[WeekIndex],101)&gt;0,0,IF(('T_TTAFStock'!CX41&lt;&gt;""),'T_TTAFStock'!CX41,CW37+'Grid_Incoming'!CX37-'Grid_TTAFOutgoing'!CX37))</f>
        <v/>
      </c>
      <c r="CY37">
        <f>IF(COUNTIFS(T_StockCount[Part Name],$A37,T_StockCount[WeekIndex],102)&gt;0,0,IF(('T_TTAFStock'!CY41&lt;&gt;""),'T_TTAFStock'!CY41,CX37+'Grid_Incoming'!CY37-'Grid_TTAFOutgoing'!CY37))</f>
        <v/>
      </c>
      <c r="CZ37">
        <f>IF(COUNTIFS(T_StockCount[Part Name],$A37,T_StockCount[WeekIndex],103)&gt;0,0,IF(('T_TTAFStock'!CZ41&lt;&gt;""),'T_TTAFStock'!CZ41,CY37+'Grid_Incoming'!CZ37-'Grid_TTAFOutgoing'!CZ37))</f>
        <v/>
      </c>
      <c r="DA37">
        <f>IF(COUNTIFS(T_StockCount[Part Name],$A37,T_StockCount[WeekIndex],104)&gt;0,0,IF(('T_TTAFStock'!DA41&lt;&gt;""),'T_TTAFStock'!DA41,CZ37+'Grid_Incoming'!DA37-'Grid_TTAFOutgoing'!DA37))</f>
        <v/>
      </c>
    </row>
    <row r="38">
      <c r="A38" t="inlineStr">
        <is>
          <t>Ester Film</t>
        </is>
      </c>
      <c r="B38">
        <f>IF(COUNTIFS(T_StockCount[Part Name],$A38,T_StockCount[WeekIndex],1)&gt;0,0,IF(('T_TTAFStock'!B42&lt;&gt;""),'T_TTAFStock'!B42,0+'Grid_Incoming'!B38-'Grid_TTAFOutgoing'!B38))</f>
        <v/>
      </c>
      <c r="C38">
        <f>IF(COUNTIFS(T_StockCount[Part Name],$A38,T_StockCount[WeekIndex],2)&gt;0,0,IF(('T_TTAFStock'!C42&lt;&gt;""),'T_TTAFStock'!C42,B38+'Grid_Incoming'!C38-'Grid_TTAFOutgoing'!C38))</f>
        <v/>
      </c>
      <c r="D38">
        <f>IF(COUNTIFS(T_StockCount[Part Name],$A38,T_StockCount[WeekIndex],3)&gt;0,0,IF(('T_TTAFStock'!D42&lt;&gt;""),'T_TTAFStock'!D42,C38+'Grid_Incoming'!D38-'Grid_TTAFOutgoing'!D38))</f>
        <v/>
      </c>
      <c r="E38">
        <f>IF(COUNTIFS(T_StockCount[Part Name],$A38,T_StockCount[WeekIndex],4)&gt;0,0,IF(('T_TTAFStock'!E42&lt;&gt;""),'T_TTAFStock'!E42,D38+'Grid_Incoming'!E38-'Grid_TTAFOutgoing'!E38))</f>
        <v/>
      </c>
      <c r="F38">
        <f>IF(COUNTIFS(T_StockCount[Part Name],$A38,T_StockCount[WeekIndex],5)&gt;0,0,IF(('T_TTAFStock'!F42&lt;&gt;""),'T_TTAFStock'!F42,E38+'Grid_Incoming'!F38-'Grid_TTAFOutgoing'!F38))</f>
        <v/>
      </c>
      <c r="G38">
        <f>IF(COUNTIFS(T_StockCount[Part Name],$A38,T_StockCount[WeekIndex],6)&gt;0,0,IF(('T_TTAFStock'!G42&lt;&gt;""),'T_TTAFStock'!G42,F38+'Grid_Incoming'!G38-'Grid_TTAFOutgoing'!G38))</f>
        <v/>
      </c>
      <c r="H38">
        <f>IF(COUNTIFS(T_StockCount[Part Name],$A38,T_StockCount[WeekIndex],7)&gt;0,0,IF(('T_TTAFStock'!H42&lt;&gt;""),'T_TTAFStock'!H42,G38+'Grid_Incoming'!H38-'Grid_TTAFOutgoing'!H38))</f>
        <v/>
      </c>
      <c r="I38">
        <f>IF(COUNTIFS(T_StockCount[Part Name],$A38,T_StockCount[WeekIndex],8)&gt;0,0,IF(('T_TTAFStock'!I42&lt;&gt;""),'T_TTAFStock'!I42,H38+'Grid_Incoming'!I38-'Grid_TTAFOutgoing'!I38))</f>
        <v/>
      </c>
      <c r="J38">
        <f>IF(COUNTIFS(T_StockCount[Part Name],$A38,T_StockCount[WeekIndex],9)&gt;0,0,IF(('T_TTAFStock'!J42&lt;&gt;""),'T_TTAFStock'!J42,I38+'Grid_Incoming'!J38-'Grid_TTAFOutgoing'!J38))</f>
        <v/>
      </c>
      <c r="K38">
        <f>IF(COUNTIFS(T_StockCount[Part Name],$A38,T_StockCount[WeekIndex],10)&gt;0,0,IF(('T_TTAFStock'!K42&lt;&gt;""),'T_TTAFStock'!K42,J38+'Grid_Incoming'!K38-'Grid_TTAFOutgoing'!K38))</f>
        <v/>
      </c>
      <c r="L38">
        <f>IF(COUNTIFS(T_StockCount[Part Name],$A38,T_StockCount[WeekIndex],11)&gt;0,0,IF(('T_TTAFStock'!L42&lt;&gt;""),'T_TTAFStock'!L42,K38+'Grid_Incoming'!L38-'Grid_TTAFOutgoing'!L38))</f>
        <v/>
      </c>
      <c r="M38">
        <f>IF(COUNTIFS(T_StockCount[Part Name],$A38,T_StockCount[WeekIndex],12)&gt;0,0,IF(('T_TTAFStock'!M42&lt;&gt;""),'T_TTAFStock'!M42,L38+'Grid_Incoming'!M38-'Grid_TTAFOutgoing'!M38))</f>
        <v/>
      </c>
      <c r="N38">
        <f>IF(COUNTIFS(T_StockCount[Part Name],$A38,T_StockCount[WeekIndex],13)&gt;0,0,IF(('T_TTAFStock'!N42&lt;&gt;""),'T_TTAFStock'!N42,M38+'Grid_Incoming'!N38-'Grid_TTAFOutgoing'!N38))</f>
        <v/>
      </c>
      <c r="O38">
        <f>IF(COUNTIFS(T_StockCount[Part Name],$A38,T_StockCount[WeekIndex],14)&gt;0,0,IF(('T_TTAFStock'!O42&lt;&gt;""),'T_TTAFStock'!O42,N38+'Grid_Incoming'!O38-'Grid_TTAFOutgoing'!O38))</f>
        <v/>
      </c>
      <c r="P38">
        <f>IF(COUNTIFS(T_StockCount[Part Name],$A38,T_StockCount[WeekIndex],15)&gt;0,0,IF(('T_TTAFStock'!P42&lt;&gt;""),'T_TTAFStock'!P42,O38+'Grid_Incoming'!P38-'Grid_TTAFOutgoing'!P38))</f>
        <v/>
      </c>
      <c r="Q38">
        <f>IF(COUNTIFS(T_StockCount[Part Name],$A38,T_StockCount[WeekIndex],16)&gt;0,0,IF(('T_TTAFStock'!Q42&lt;&gt;""),'T_TTAFStock'!Q42,P38+'Grid_Incoming'!Q38-'Grid_TTAFOutgoing'!Q38))</f>
        <v/>
      </c>
      <c r="R38">
        <f>IF(COUNTIFS(T_StockCount[Part Name],$A38,T_StockCount[WeekIndex],17)&gt;0,0,IF(('T_TTAFStock'!R42&lt;&gt;""),'T_TTAFStock'!R42,Q38+'Grid_Incoming'!R38-'Grid_TTAFOutgoing'!R38))</f>
        <v/>
      </c>
      <c r="S38">
        <f>IF(COUNTIFS(T_StockCount[Part Name],$A38,T_StockCount[WeekIndex],18)&gt;0,0,IF(('T_TTAFStock'!S42&lt;&gt;""),'T_TTAFStock'!S42,R38+'Grid_Incoming'!S38-'Grid_TTAFOutgoing'!S38))</f>
        <v/>
      </c>
      <c r="T38">
        <f>IF(COUNTIFS(T_StockCount[Part Name],$A38,T_StockCount[WeekIndex],19)&gt;0,0,IF(('T_TTAFStock'!T42&lt;&gt;""),'T_TTAFStock'!T42,S38+'Grid_Incoming'!T38-'Grid_TTAFOutgoing'!T38))</f>
        <v/>
      </c>
      <c r="U38">
        <f>IF(COUNTIFS(T_StockCount[Part Name],$A38,T_StockCount[WeekIndex],20)&gt;0,0,IF(('T_TTAFStock'!U42&lt;&gt;""),'T_TTAFStock'!U42,T38+'Grid_Incoming'!U38-'Grid_TTAFOutgoing'!U38))</f>
        <v/>
      </c>
      <c r="V38">
        <f>IF(COUNTIFS(T_StockCount[Part Name],$A38,T_StockCount[WeekIndex],21)&gt;0,0,IF(('T_TTAFStock'!V42&lt;&gt;""),'T_TTAFStock'!V42,U38+'Grid_Incoming'!V38-'Grid_TTAFOutgoing'!V38))</f>
        <v/>
      </c>
      <c r="W38">
        <f>IF(COUNTIFS(T_StockCount[Part Name],$A38,T_StockCount[WeekIndex],22)&gt;0,0,IF(('T_TTAFStock'!W42&lt;&gt;""),'T_TTAFStock'!W42,V38+'Grid_Incoming'!W38-'Grid_TTAFOutgoing'!W38))</f>
        <v/>
      </c>
      <c r="X38">
        <f>IF(COUNTIFS(T_StockCount[Part Name],$A38,T_StockCount[WeekIndex],23)&gt;0,0,IF(('T_TTAFStock'!X42&lt;&gt;""),'T_TTAFStock'!X42,W38+'Grid_Incoming'!X38-'Grid_TTAFOutgoing'!X38))</f>
        <v/>
      </c>
      <c r="Y38">
        <f>IF(COUNTIFS(T_StockCount[Part Name],$A38,T_StockCount[WeekIndex],24)&gt;0,0,IF(('T_TTAFStock'!Y42&lt;&gt;""),'T_TTAFStock'!Y42,X38+'Grid_Incoming'!Y38-'Grid_TTAFOutgoing'!Y38))</f>
        <v/>
      </c>
      <c r="Z38">
        <f>IF(COUNTIFS(T_StockCount[Part Name],$A38,T_StockCount[WeekIndex],25)&gt;0,0,IF(('T_TTAFStock'!Z42&lt;&gt;""),'T_TTAFStock'!Z42,Y38+'Grid_Incoming'!Z38-'Grid_TTAFOutgoing'!Z38))</f>
        <v/>
      </c>
      <c r="AA38">
        <f>IF(COUNTIFS(T_StockCount[Part Name],$A38,T_StockCount[WeekIndex],26)&gt;0,0,IF(('T_TTAFStock'!AA42&lt;&gt;""),'T_TTAFStock'!AA42,Z38+'Grid_Incoming'!AA38-'Grid_TTAFOutgoing'!AA38))</f>
        <v/>
      </c>
      <c r="AB38">
        <f>IF(COUNTIFS(T_StockCount[Part Name],$A38,T_StockCount[WeekIndex],27)&gt;0,0,IF(('T_TTAFStock'!AB42&lt;&gt;""),'T_TTAFStock'!AB42,AA38+'Grid_Incoming'!AB38-'Grid_TTAFOutgoing'!AB38))</f>
        <v/>
      </c>
      <c r="AC38">
        <f>IF(COUNTIFS(T_StockCount[Part Name],$A38,T_StockCount[WeekIndex],28)&gt;0,0,IF(('T_TTAFStock'!AC42&lt;&gt;""),'T_TTAFStock'!AC42,AB38+'Grid_Incoming'!AC38-'Grid_TTAFOutgoing'!AC38))</f>
        <v/>
      </c>
      <c r="AD38">
        <f>IF(COUNTIFS(T_StockCount[Part Name],$A38,T_StockCount[WeekIndex],29)&gt;0,0,IF(('T_TTAFStock'!AD42&lt;&gt;""),'T_TTAFStock'!AD42,AC38+'Grid_Incoming'!AD38-'Grid_TTAFOutgoing'!AD38))</f>
        <v/>
      </c>
      <c r="AE38">
        <f>IF(COUNTIFS(T_StockCount[Part Name],$A38,T_StockCount[WeekIndex],30)&gt;0,0,IF(('T_TTAFStock'!AE42&lt;&gt;""),'T_TTAFStock'!AE42,AD38+'Grid_Incoming'!AE38-'Grid_TTAFOutgoing'!AE38))</f>
        <v/>
      </c>
      <c r="AF38">
        <f>IF(COUNTIFS(T_StockCount[Part Name],$A38,T_StockCount[WeekIndex],31)&gt;0,0,IF(('T_TTAFStock'!AF42&lt;&gt;""),'T_TTAFStock'!AF42,AE38+'Grid_Incoming'!AF38-'Grid_TTAFOutgoing'!AF38))</f>
        <v/>
      </c>
      <c r="AG38">
        <f>IF(COUNTIFS(T_StockCount[Part Name],$A38,T_StockCount[WeekIndex],32)&gt;0,0,IF(('T_TTAFStock'!AG42&lt;&gt;""),'T_TTAFStock'!AG42,AF38+'Grid_Incoming'!AG38-'Grid_TTAFOutgoing'!AG38))</f>
        <v/>
      </c>
      <c r="AH38">
        <f>IF(COUNTIFS(T_StockCount[Part Name],$A38,T_StockCount[WeekIndex],33)&gt;0,0,IF(('T_TTAFStock'!AH42&lt;&gt;""),'T_TTAFStock'!AH42,AG38+'Grid_Incoming'!AH38-'Grid_TTAFOutgoing'!AH38))</f>
        <v/>
      </c>
      <c r="AI38">
        <f>IF(COUNTIFS(T_StockCount[Part Name],$A38,T_StockCount[WeekIndex],34)&gt;0,0,IF(('T_TTAFStock'!AI42&lt;&gt;""),'T_TTAFStock'!AI42,AH38+'Grid_Incoming'!AI38-'Grid_TTAFOutgoing'!AI38))</f>
        <v/>
      </c>
      <c r="AJ38">
        <f>IF(COUNTIFS(T_StockCount[Part Name],$A38,T_StockCount[WeekIndex],35)&gt;0,0,IF(('T_TTAFStock'!AJ42&lt;&gt;""),'T_TTAFStock'!AJ42,AI38+'Grid_Incoming'!AJ38-'Grid_TTAFOutgoing'!AJ38))</f>
        <v/>
      </c>
      <c r="AK38">
        <f>IF(COUNTIFS(T_StockCount[Part Name],$A38,T_StockCount[WeekIndex],36)&gt;0,0,IF(('T_TTAFStock'!AK42&lt;&gt;""),'T_TTAFStock'!AK42,AJ38+'Grid_Incoming'!AK38-'Grid_TTAFOutgoing'!AK38))</f>
        <v/>
      </c>
      <c r="AL38">
        <f>IF(COUNTIFS(T_StockCount[Part Name],$A38,T_StockCount[WeekIndex],37)&gt;0,0,IF(('T_TTAFStock'!AL42&lt;&gt;""),'T_TTAFStock'!AL42,AK38+'Grid_Incoming'!AL38-'Grid_TTAFOutgoing'!AL38))</f>
        <v/>
      </c>
      <c r="AM38">
        <f>IF(COUNTIFS(T_StockCount[Part Name],$A38,T_StockCount[WeekIndex],38)&gt;0,0,IF(('T_TTAFStock'!AM42&lt;&gt;""),'T_TTAFStock'!AM42,AL38+'Grid_Incoming'!AM38-'Grid_TTAFOutgoing'!AM38))</f>
        <v/>
      </c>
      <c r="AN38">
        <f>IF(COUNTIFS(T_StockCount[Part Name],$A38,T_StockCount[WeekIndex],39)&gt;0,0,IF(('T_TTAFStock'!AN42&lt;&gt;""),'T_TTAFStock'!AN42,AM38+'Grid_Incoming'!AN38-'Grid_TTAFOutgoing'!AN38))</f>
        <v/>
      </c>
      <c r="AO38">
        <f>IF(COUNTIFS(T_StockCount[Part Name],$A38,T_StockCount[WeekIndex],40)&gt;0,0,IF(('T_TTAFStock'!AO42&lt;&gt;""),'T_TTAFStock'!AO42,AN38+'Grid_Incoming'!AO38-'Grid_TTAFOutgoing'!AO38))</f>
        <v/>
      </c>
      <c r="AP38">
        <f>IF(COUNTIFS(T_StockCount[Part Name],$A38,T_StockCount[WeekIndex],41)&gt;0,0,IF(('T_TTAFStock'!AP42&lt;&gt;""),'T_TTAFStock'!AP42,AO38+'Grid_Incoming'!AP38-'Grid_TTAFOutgoing'!AP38))</f>
        <v/>
      </c>
      <c r="AQ38">
        <f>IF(COUNTIFS(T_StockCount[Part Name],$A38,T_StockCount[WeekIndex],42)&gt;0,0,IF(('T_TTAFStock'!AQ42&lt;&gt;""),'T_TTAFStock'!AQ42,AP38+'Grid_Incoming'!AQ38-'Grid_TTAFOutgoing'!AQ38))</f>
        <v/>
      </c>
      <c r="AR38">
        <f>IF(COUNTIFS(T_StockCount[Part Name],$A38,T_StockCount[WeekIndex],43)&gt;0,0,IF(('T_TTAFStock'!AR42&lt;&gt;""),'T_TTAFStock'!AR42,AQ38+'Grid_Incoming'!AR38-'Grid_TTAFOutgoing'!AR38))</f>
        <v/>
      </c>
      <c r="AS38">
        <f>IF(COUNTIFS(T_StockCount[Part Name],$A38,T_StockCount[WeekIndex],44)&gt;0,0,IF(('T_TTAFStock'!AS42&lt;&gt;""),'T_TTAFStock'!AS42,AR38+'Grid_Incoming'!AS38-'Grid_TTAFOutgoing'!AS38))</f>
        <v/>
      </c>
      <c r="AT38">
        <f>IF(COUNTIFS(T_StockCount[Part Name],$A38,T_StockCount[WeekIndex],45)&gt;0,0,IF(('T_TTAFStock'!AT42&lt;&gt;""),'T_TTAFStock'!AT42,AS38+'Grid_Incoming'!AT38-'Grid_TTAFOutgoing'!AT38))</f>
        <v/>
      </c>
      <c r="AU38">
        <f>IF(COUNTIFS(T_StockCount[Part Name],$A38,T_StockCount[WeekIndex],46)&gt;0,0,IF(('T_TTAFStock'!AU42&lt;&gt;""),'T_TTAFStock'!AU42,AT38+'Grid_Incoming'!AU38-'Grid_TTAFOutgoing'!AU38))</f>
        <v/>
      </c>
      <c r="AV38">
        <f>IF(COUNTIFS(T_StockCount[Part Name],$A38,T_StockCount[WeekIndex],47)&gt;0,0,IF(('T_TTAFStock'!AV42&lt;&gt;""),'T_TTAFStock'!AV42,AU38+'Grid_Incoming'!AV38-'Grid_TTAFOutgoing'!AV38))</f>
        <v/>
      </c>
      <c r="AW38">
        <f>IF(COUNTIFS(T_StockCount[Part Name],$A38,T_StockCount[WeekIndex],48)&gt;0,0,IF(('T_TTAFStock'!AW42&lt;&gt;""),'T_TTAFStock'!AW42,AV38+'Grid_Incoming'!AW38-'Grid_TTAFOutgoing'!AW38))</f>
        <v/>
      </c>
      <c r="AX38">
        <f>IF(COUNTIFS(T_StockCount[Part Name],$A38,T_StockCount[WeekIndex],49)&gt;0,0,IF(('T_TTAFStock'!AX42&lt;&gt;""),'T_TTAFStock'!AX42,AW38+'Grid_Incoming'!AX38-'Grid_TTAFOutgoing'!AX38))</f>
        <v/>
      </c>
      <c r="AY38">
        <f>IF(COUNTIFS(T_StockCount[Part Name],$A38,T_StockCount[WeekIndex],50)&gt;0,0,IF(('T_TTAFStock'!AY42&lt;&gt;""),'T_TTAFStock'!AY42,AX38+'Grid_Incoming'!AY38-'Grid_TTAFOutgoing'!AY38))</f>
        <v/>
      </c>
      <c r="AZ38">
        <f>IF(COUNTIFS(T_StockCount[Part Name],$A38,T_StockCount[WeekIndex],51)&gt;0,0,IF(('T_TTAFStock'!AZ42&lt;&gt;""),'T_TTAFStock'!AZ42,AY38+'Grid_Incoming'!AZ38-'Grid_TTAFOutgoing'!AZ38))</f>
        <v/>
      </c>
      <c r="BA38">
        <f>IF(COUNTIFS(T_StockCount[Part Name],$A38,T_StockCount[WeekIndex],52)&gt;0,0,IF(('T_TTAFStock'!BA42&lt;&gt;""),'T_TTAFStock'!BA42,AZ38+'Grid_Incoming'!BA38-'Grid_TTAFOutgoing'!BA38))</f>
        <v/>
      </c>
      <c r="BB38">
        <f>IF(COUNTIFS(T_StockCount[Part Name],$A38,T_StockCount[WeekIndex],53)&gt;0,0,IF(('T_TTAFStock'!BB42&lt;&gt;""),'T_TTAFStock'!BB42,BA38+'Grid_Incoming'!BB38-'Grid_TTAFOutgoing'!BB38))</f>
        <v/>
      </c>
      <c r="BC38">
        <f>IF(COUNTIFS(T_StockCount[Part Name],$A38,T_StockCount[WeekIndex],54)&gt;0,0,IF(('T_TTAFStock'!BC42&lt;&gt;""),'T_TTAFStock'!BC42,BB38+'Grid_Incoming'!BC38-'Grid_TTAFOutgoing'!BC38))</f>
        <v/>
      </c>
      <c r="BD38">
        <f>IF(COUNTIFS(T_StockCount[Part Name],$A38,T_StockCount[WeekIndex],55)&gt;0,0,IF(('T_TTAFStock'!BD42&lt;&gt;""),'T_TTAFStock'!BD42,BC38+'Grid_Incoming'!BD38-'Grid_TTAFOutgoing'!BD38))</f>
        <v/>
      </c>
      <c r="BE38">
        <f>IF(COUNTIFS(T_StockCount[Part Name],$A38,T_StockCount[WeekIndex],56)&gt;0,0,IF(('T_TTAFStock'!BE42&lt;&gt;""),'T_TTAFStock'!BE42,BD38+'Grid_Incoming'!BE38-'Grid_TTAFOutgoing'!BE38))</f>
        <v/>
      </c>
      <c r="BF38">
        <f>IF(COUNTIFS(T_StockCount[Part Name],$A38,T_StockCount[WeekIndex],57)&gt;0,0,IF(('T_TTAFStock'!BF42&lt;&gt;""),'T_TTAFStock'!BF42,BE38+'Grid_Incoming'!BF38-'Grid_TTAFOutgoing'!BF38))</f>
        <v/>
      </c>
      <c r="BG38">
        <f>IF(COUNTIFS(T_StockCount[Part Name],$A38,T_StockCount[WeekIndex],58)&gt;0,0,IF(('T_TTAFStock'!BG42&lt;&gt;""),'T_TTAFStock'!BG42,BF38+'Grid_Incoming'!BG38-'Grid_TTAFOutgoing'!BG38))</f>
        <v/>
      </c>
      <c r="BH38">
        <f>IF(COUNTIFS(T_StockCount[Part Name],$A38,T_StockCount[WeekIndex],59)&gt;0,0,IF(('T_TTAFStock'!BH42&lt;&gt;""),'T_TTAFStock'!BH42,BG38+'Grid_Incoming'!BH38-'Grid_TTAFOutgoing'!BH38))</f>
        <v/>
      </c>
      <c r="BI38">
        <f>IF(COUNTIFS(T_StockCount[Part Name],$A38,T_StockCount[WeekIndex],60)&gt;0,0,IF(('T_TTAFStock'!BI42&lt;&gt;""),'T_TTAFStock'!BI42,BH38+'Grid_Incoming'!BI38-'Grid_TTAFOutgoing'!BI38))</f>
        <v/>
      </c>
      <c r="BJ38">
        <f>IF(COUNTIFS(T_StockCount[Part Name],$A38,T_StockCount[WeekIndex],61)&gt;0,0,IF(('T_TTAFStock'!BJ42&lt;&gt;""),'T_TTAFStock'!BJ42,BI38+'Grid_Incoming'!BJ38-'Grid_TTAFOutgoing'!BJ38))</f>
        <v/>
      </c>
      <c r="BK38">
        <f>IF(COUNTIFS(T_StockCount[Part Name],$A38,T_StockCount[WeekIndex],62)&gt;0,0,IF(('T_TTAFStock'!BK42&lt;&gt;""),'T_TTAFStock'!BK42,BJ38+'Grid_Incoming'!BK38-'Grid_TTAFOutgoing'!BK38))</f>
        <v/>
      </c>
      <c r="BL38">
        <f>IF(COUNTIFS(T_StockCount[Part Name],$A38,T_StockCount[WeekIndex],63)&gt;0,0,IF(('T_TTAFStock'!BL42&lt;&gt;""),'T_TTAFStock'!BL42,BK38+'Grid_Incoming'!BL38-'Grid_TTAFOutgoing'!BL38))</f>
        <v/>
      </c>
      <c r="BM38">
        <f>IF(COUNTIFS(T_StockCount[Part Name],$A38,T_StockCount[WeekIndex],64)&gt;0,0,IF(('T_TTAFStock'!BM42&lt;&gt;""),'T_TTAFStock'!BM42,BL38+'Grid_Incoming'!BM38-'Grid_TTAFOutgoing'!BM38))</f>
        <v/>
      </c>
      <c r="BN38">
        <f>IF(COUNTIFS(T_StockCount[Part Name],$A38,T_StockCount[WeekIndex],65)&gt;0,0,IF(('T_TTAFStock'!BN42&lt;&gt;""),'T_TTAFStock'!BN42,BM38+'Grid_Incoming'!BN38-'Grid_TTAFOutgoing'!BN38))</f>
        <v/>
      </c>
      <c r="BO38">
        <f>IF(COUNTIFS(T_StockCount[Part Name],$A38,T_StockCount[WeekIndex],66)&gt;0,0,IF(('T_TTAFStock'!BO42&lt;&gt;""),'T_TTAFStock'!BO42,BN38+'Grid_Incoming'!BO38-'Grid_TTAFOutgoing'!BO38))</f>
        <v/>
      </c>
      <c r="BP38">
        <f>IF(COUNTIFS(T_StockCount[Part Name],$A38,T_StockCount[WeekIndex],67)&gt;0,0,IF(('T_TTAFStock'!BP42&lt;&gt;""),'T_TTAFStock'!BP42,BO38+'Grid_Incoming'!BP38-'Grid_TTAFOutgoing'!BP38))</f>
        <v/>
      </c>
      <c r="BQ38">
        <f>IF(COUNTIFS(T_StockCount[Part Name],$A38,T_StockCount[WeekIndex],68)&gt;0,0,IF(('T_TTAFStock'!BQ42&lt;&gt;""),'T_TTAFStock'!BQ42,BP38+'Grid_Incoming'!BQ38-'Grid_TTAFOutgoing'!BQ38))</f>
        <v/>
      </c>
      <c r="BR38">
        <f>IF(COUNTIFS(T_StockCount[Part Name],$A38,T_StockCount[WeekIndex],69)&gt;0,0,IF(('T_TTAFStock'!BR42&lt;&gt;""),'T_TTAFStock'!BR42,BQ38+'Grid_Incoming'!BR38-'Grid_TTAFOutgoing'!BR38))</f>
        <v/>
      </c>
      <c r="BS38">
        <f>IF(COUNTIFS(T_StockCount[Part Name],$A38,T_StockCount[WeekIndex],70)&gt;0,0,IF(('T_TTAFStock'!BS42&lt;&gt;""),'T_TTAFStock'!BS42,BR38+'Grid_Incoming'!BS38-'Grid_TTAFOutgoing'!BS38))</f>
        <v/>
      </c>
      <c r="BT38">
        <f>IF(COUNTIFS(T_StockCount[Part Name],$A38,T_StockCount[WeekIndex],71)&gt;0,0,IF(('T_TTAFStock'!BT42&lt;&gt;""),'T_TTAFStock'!BT42,BS38+'Grid_Incoming'!BT38-'Grid_TTAFOutgoing'!BT38))</f>
        <v/>
      </c>
      <c r="BU38">
        <f>IF(COUNTIFS(T_StockCount[Part Name],$A38,T_StockCount[WeekIndex],72)&gt;0,0,IF(('T_TTAFStock'!BU42&lt;&gt;""),'T_TTAFStock'!BU42,BT38+'Grid_Incoming'!BU38-'Grid_TTAFOutgoing'!BU38))</f>
        <v/>
      </c>
      <c r="BV38">
        <f>IF(COUNTIFS(T_StockCount[Part Name],$A38,T_StockCount[WeekIndex],73)&gt;0,0,IF(('T_TTAFStock'!BV42&lt;&gt;""),'T_TTAFStock'!BV42,BU38+'Grid_Incoming'!BV38-'Grid_TTAFOutgoing'!BV38))</f>
        <v/>
      </c>
      <c r="BW38">
        <f>IF(COUNTIFS(T_StockCount[Part Name],$A38,T_StockCount[WeekIndex],74)&gt;0,0,IF(('T_TTAFStock'!BW42&lt;&gt;""),'T_TTAFStock'!BW42,BV38+'Grid_Incoming'!BW38-'Grid_TTAFOutgoing'!BW38))</f>
        <v/>
      </c>
      <c r="BX38">
        <f>IF(COUNTIFS(T_StockCount[Part Name],$A38,T_StockCount[WeekIndex],75)&gt;0,0,IF(('T_TTAFStock'!BX42&lt;&gt;""),'T_TTAFStock'!BX42,BW38+'Grid_Incoming'!BX38-'Grid_TTAFOutgoing'!BX38))</f>
        <v/>
      </c>
      <c r="BY38">
        <f>IF(COUNTIFS(T_StockCount[Part Name],$A38,T_StockCount[WeekIndex],76)&gt;0,0,IF(('T_TTAFStock'!BY42&lt;&gt;""),'T_TTAFStock'!BY42,BX38+'Grid_Incoming'!BY38-'Grid_TTAFOutgoing'!BY38))</f>
        <v/>
      </c>
      <c r="BZ38">
        <f>IF(COUNTIFS(T_StockCount[Part Name],$A38,T_StockCount[WeekIndex],77)&gt;0,0,IF(('T_TTAFStock'!BZ42&lt;&gt;""),'T_TTAFStock'!BZ42,BY38+'Grid_Incoming'!BZ38-'Grid_TTAFOutgoing'!BZ38))</f>
        <v/>
      </c>
      <c r="CA38">
        <f>IF(COUNTIFS(T_StockCount[Part Name],$A38,T_StockCount[WeekIndex],78)&gt;0,0,IF(('T_TTAFStock'!CA42&lt;&gt;""),'T_TTAFStock'!CA42,BZ38+'Grid_Incoming'!CA38-'Grid_TTAFOutgoing'!CA38))</f>
        <v/>
      </c>
      <c r="CB38">
        <f>IF(COUNTIFS(T_StockCount[Part Name],$A38,T_StockCount[WeekIndex],79)&gt;0,0,IF(('T_TTAFStock'!CB42&lt;&gt;""),'T_TTAFStock'!CB42,CA38+'Grid_Incoming'!CB38-'Grid_TTAFOutgoing'!CB38))</f>
        <v/>
      </c>
      <c r="CC38">
        <f>IF(COUNTIFS(T_StockCount[Part Name],$A38,T_StockCount[WeekIndex],80)&gt;0,0,IF(('T_TTAFStock'!CC42&lt;&gt;""),'T_TTAFStock'!CC42,CB38+'Grid_Incoming'!CC38-'Grid_TTAFOutgoing'!CC38))</f>
        <v/>
      </c>
      <c r="CD38">
        <f>IF(COUNTIFS(T_StockCount[Part Name],$A38,T_StockCount[WeekIndex],81)&gt;0,0,IF(('T_TTAFStock'!CD42&lt;&gt;""),'T_TTAFStock'!CD42,CC38+'Grid_Incoming'!CD38-'Grid_TTAFOutgoing'!CD38))</f>
        <v/>
      </c>
      <c r="CE38">
        <f>IF(COUNTIFS(T_StockCount[Part Name],$A38,T_StockCount[WeekIndex],82)&gt;0,0,IF(('T_TTAFStock'!CE42&lt;&gt;""),'T_TTAFStock'!CE42,CD38+'Grid_Incoming'!CE38-'Grid_TTAFOutgoing'!CE38))</f>
        <v/>
      </c>
      <c r="CF38">
        <f>IF(COUNTIFS(T_StockCount[Part Name],$A38,T_StockCount[WeekIndex],83)&gt;0,0,IF(('T_TTAFStock'!CF42&lt;&gt;""),'T_TTAFStock'!CF42,CE38+'Grid_Incoming'!CF38-'Grid_TTAFOutgoing'!CF38))</f>
        <v/>
      </c>
      <c r="CG38">
        <f>IF(COUNTIFS(T_StockCount[Part Name],$A38,T_StockCount[WeekIndex],84)&gt;0,0,IF(('T_TTAFStock'!CG42&lt;&gt;""),'T_TTAFStock'!CG42,CF38+'Grid_Incoming'!CG38-'Grid_TTAFOutgoing'!CG38))</f>
        <v/>
      </c>
      <c r="CH38">
        <f>IF(COUNTIFS(T_StockCount[Part Name],$A38,T_StockCount[WeekIndex],85)&gt;0,0,IF(('T_TTAFStock'!CH42&lt;&gt;""),'T_TTAFStock'!CH42,CG38+'Grid_Incoming'!CH38-'Grid_TTAFOutgoing'!CH38))</f>
        <v/>
      </c>
      <c r="CI38">
        <f>IF(COUNTIFS(T_StockCount[Part Name],$A38,T_StockCount[WeekIndex],86)&gt;0,0,IF(('T_TTAFStock'!CI42&lt;&gt;""),'T_TTAFStock'!CI42,CH38+'Grid_Incoming'!CI38-'Grid_TTAFOutgoing'!CI38))</f>
        <v/>
      </c>
      <c r="CJ38">
        <f>IF(COUNTIFS(T_StockCount[Part Name],$A38,T_StockCount[WeekIndex],87)&gt;0,0,IF(('T_TTAFStock'!CJ42&lt;&gt;""),'T_TTAFStock'!CJ42,CI38+'Grid_Incoming'!CJ38-'Grid_TTAFOutgoing'!CJ38))</f>
        <v/>
      </c>
      <c r="CK38">
        <f>IF(COUNTIFS(T_StockCount[Part Name],$A38,T_StockCount[WeekIndex],88)&gt;0,0,IF(('T_TTAFStock'!CK42&lt;&gt;""),'T_TTAFStock'!CK42,CJ38+'Grid_Incoming'!CK38-'Grid_TTAFOutgoing'!CK38))</f>
        <v/>
      </c>
      <c r="CL38">
        <f>IF(COUNTIFS(T_StockCount[Part Name],$A38,T_StockCount[WeekIndex],89)&gt;0,0,IF(('T_TTAFStock'!CL42&lt;&gt;""),'T_TTAFStock'!CL42,CK38+'Grid_Incoming'!CL38-'Grid_TTAFOutgoing'!CL38))</f>
        <v/>
      </c>
      <c r="CM38">
        <f>IF(COUNTIFS(T_StockCount[Part Name],$A38,T_StockCount[WeekIndex],90)&gt;0,0,IF(('T_TTAFStock'!CM42&lt;&gt;""),'T_TTAFStock'!CM42,CL38+'Grid_Incoming'!CM38-'Grid_TTAFOutgoing'!CM38))</f>
        <v/>
      </c>
      <c r="CN38">
        <f>IF(COUNTIFS(T_StockCount[Part Name],$A38,T_StockCount[WeekIndex],91)&gt;0,0,IF(('T_TTAFStock'!CN42&lt;&gt;""),'T_TTAFStock'!CN42,CM38+'Grid_Incoming'!CN38-'Grid_TTAFOutgoing'!CN38))</f>
        <v/>
      </c>
      <c r="CO38">
        <f>IF(COUNTIFS(T_StockCount[Part Name],$A38,T_StockCount[WeekIndex],92)&gt;0,0,IF(('T_TTAFStock'!CO42&lt;&gt;""),'T_TTAFStock'!CO42,CN38+'Grid_Incoming'!CO38-'Grid_TTAFOutgoing'!CO38))</f>
        <v/>
      </c>
      <c r="CP38">
        <f>IF(COUNTIFS(T_StockCount[Part Name],$A38,T_StockCount[WeekIndex],93)&gt;0,0,IF(('T_TTAFStock'!CP42&lt;&gt;""),'T_TTAFStock'!CP42,CO38+'Grid_Incoming'!CP38-'Grid_TTAFOutgoing'!CP38))</f>
        <v/>
      </c>
      <c r="CQ38">
        <f>IF(COUNTIFS(T_StockCount[Part Name],$A38,T_StockCount[WeekIndex],94)&gt;0,0,IF(('T_TTAFStock'!CQ42&lt;&gt;""),'T_TTAFStock'!CQ42,CP38+'Grid_Incoming'!CQ38-'Grid_TTAFOutgoing'!CQ38))</f>
        <v/>
      </c>
      <c r="CR38">
        <f>IF(COUNTIFS(T_StockCount[Part Name],$A38,T_StockCount[WeekIndex],95)&gt;0,0,IF(('T_TTAFStock'!CR42&lt;&gt;""),'T_TTAFStock'!CR42,CQ38+'Grid_Incoming'!CR38-'Grid_TTAFOutgoing'!CR38))</f>
        <v/>
      </c>
      <c r="CS38">
        <f>IF(COUNTIFS(T_StockCount[Part Name],$A38,T_StockCount[WeekIndex],96)&gt;0,0,IF(('T_TTAFStock'!CS42&lt;&gt;""),'T_TTAFStock'!CS42,CR38+'Grid_Incoming'!CS38-'Grid_TTAFOutgoing'!CS38))</f>
        <v/>
      </c>
      <c r="CT38">
        <f>IF(COUNTIFS(T_StockCount[Part Name],$A38,T_StockCount[WeekIndex],97)&gt;0,0,IF(('T_TTAFStock'!CT42&lt;&gt;""),'T_TTAFStock'!CT42,CS38+'Grid_Incoming'!CT38-'Grid_TTAFOutgoing'!CT38))</f>
        <v/>
      </c>
      <c r="CU38">
        <f>IF(COUNTIFS(T_StockCount[Part Name],$A38,T_StockCount[WeekIndex],98)&gt;0,0,IF(('T_TTAFStock'!CU42&lt;&gt;""),'T_TTAFStock'!CU42,CT38+'Grid_Incoming'!CU38-'Grid_TTAFOutgoing'!CU38))</f>
        <v/>
      </c>
      <c r="CV38">
        <f>IF(COUNTIFS(T_StockCount[Part Name],$A38,T_StockCount[WeekIndex],99)&gt;0,0,IF(('T_TTAFStock'!CV42&lt;&gt;""),'T_TTAFStock'!CV42,CU38+'Grid_Incoming'!CV38-'Grid_TTAFOutgoing'!CV38))</f>
        <v/>
      </c>
      <c r="CW38">
        <f>IF(COUNTIFS(T_StockCount[Part Name],$A38,T_StockCount[WeekIndex],100)&gt;0,0,IF(('T_TTAFStock'!CW42&lt;&gt;""),'T_TTAFStock'!CW42,CV38+'Grid_Incoming'!CW38-'Grid_TTAFOutgoing'!CW38))</f>
        <v/>
      </c>
      <c r="CX38">
        <f>IF(COUNTIFS(T_StockCount[Part Name],$A38,T_StockCount[WeekIndex],101)&gt;0,0,IF(('T_TTAFStock'!CX42&lt;&gt;""),'T_TTAFStock'!CX42,CW38+'Grid_Incoming'!CX38-'Grid_TTAFOutgoing'!CX38))</f>
        <v/>
      </c>
      <c r="CY38">
        <f>IF(COUNTIFS(T_StockCount[Part Name],$A38,T_StockCount[WeekIndex],102)&gt;0,0,IF(('T_TTAFStock'!CY42&lt;&gt;""),'T_TTAFStock'!CY42,CX38+'Grid_Incoming'!CY38-'Grid_TTAFOutgoing'!CY38))</f>
        <v/>
      </c>
      <c r="CZ38">
        <f>IF(COUNTIFS(T_StockCount[Part Name],$A38,T_StockCount[WeekIndex],103)&gt;0,0,IF(('T_TTAFStock'!CZ42&lt;&gt;""),'T_TTAFStock'!CZ42,CY38+'Grid_Incoming'!CZ38-'Grid_TTAFOutgoing'!CZ38))</f>
        <v/>
      </c>
      <c r="DA38">
        <f>IF(COUNTIFS(T_StockCount[Part Name],$A38,T_StockCount[WeekIndex],104)&gt;0,0,IF(('T_TTAFStock'!DA42&lt;&gt;""),'T_TTAFStock'!DA42,CZ38+'Grid_Incoming'!DA38-'Grid_TTAFOutgoing'!DA38))</f>
        <v/>
      </c>
    </row>
    <row r="39">
      <c r="A39" t="inlineStr">
        <is>
          <t>PP Film</t>
        </is>
      </c>
      <c r="B39">
        <f>IF(COUNTIFS(T_StockCount[Part Name],$A39,T_StockCount[WeekIndex],1)&gt;0,0,IF(('T_TTAFStock'!B43&lt;&gt;""),'T_TTAFStock'!B43,0+'Grid_Incoming'!B39-'Grid_TTAFOutgoing'!B39))</f>
        <v/>
      </c>
      <c r="C39">
        <f>IF(COUNTIFS(T_StockCount[Part Name],$A39,T_StockCount[WeekIndex],2)&gt;0,0,IF(('T_TTAFStock'!C43&lt;&gt;""),'T_TTAFStock'!C43,B39+'Grid_Incoming'!C39-'Grid_TTAFOutgoing'!C39))</f>
        <v/>
      </c>
      <c r="D39">
        <f>IF(COUNTIFS(T_StockCount[Part Name],$A39,T_StockCount[WeekIndex],3)&gt;0,0,IF(('T_TTAFStock'!D43&lt;&gt;""),'T_TTAFStock'!D43,C39+'Grid_Incoming'!D39-'Grid_TTAFOutgoing'!D39))</f>
        <v/>
      </c>
      <c r="E39">
        <f>IF(COUNTIFS(T_StockCount[Part Name],$A39,T_StockCount[WeekIndex],4)&gt;0,0,IF(('T_TTAFStock'!E43&lt;&gt;""),'T_TTAFStock'!E43,D39+'Grid_Incoming'!E39-'Grid_TTAFOutgoing'!E39))</f>
        <v/>
      </c>
      <c r="F39">
        <f>IF(COUNTIFS(T_StockCount[Part Name],$A39,T_StockCount[WeekIndex],5)&gt;0,0,IF(('T_TTAFStock'!F43&lt;&gt;""),'T_TTAFStock'!F43,E39+'Grid_Incoming'!F39-'Grid_TTAFOutgoing'!F39))</f>
        <v/>
      </c>
      <c r="G39">
        <f>IF(COUNTIFS(T_StockCount[Part Name],$A39,T_StockCount[WeekIndex],6)&gt;0,0,IF(('T_TTAFStock'!G43&lt;&gt;""),'T_TTAFStock'!G43,F39+'Grid_Incoming'!G39-'Grid_TTAFOutgoing'!G39))</f>
        <v/>
      </c>
      <c r="H39">
        <f>IF(COUNTIFS(T_StockCount[Part Name],$A39,T_StockCount[WeekIndex],7)&gt;0,0,IF(('T_TTAFStock'!H43&lt;&gt;""),'T_TTAFStock'!H43,G39+'Grid_Incoming'!H39-'Grid_TTAFOutgoing'!H39))</f>
        <v/>
      </c>
      <c r="I39">
        <f>IF(COUNTIFS(T_StockCount[Part Name],$A39,T_StockCount[WeekIndex],8)&gt;0,0,IF(('T_TTAFStock'!I43&lt;&gt;""),'T_TTAFStock'!I43,H39+'Grid_Incoming'!I39-'Grid_TTAFOutgoing'!I39))</f>
        <v/>
      </c>
      <c r="J39">
        <f>IF(COUNTIFS(T_StockCount[Part Name],$A39,T_StockCount[WeekIndex],9)&gt;0,0,IF(('T_TTAFStock'!J43&lt;&gt;""),'T_TTAFStock'!J43,I39+'Grid_Incoming'!J39-'Grid_TTAFOutgoing'!J39))</f>
        <v/>
      </c>
      <c r="K39">
        <f>IF(COUNTIFS(T_StockCount[Part Name],$A39,T_StockCount[WeekIndex],10)&gt;0,0,IF(('T_TTAFStock'!K43&lt;&gt;""),'T_TTAFStock'!K43,J39+'Grid_Incoming'!K39-'Grid_TTAFOutgoing'!K39))</f>
        <v/>
      </c>
      <c r="L39">
        <f>IF(COUNTIFS(T_StockCount[Part Name],$A39,T_StockCount[WeekIndex],11)&gt;0,0,IF(('T_TTAFStock'!L43&lt;&gt;""),'T_TTAFStock'!L43,K39+'Grid_Incoming'!L39-'Grid_TTAFOutgoing'!L39))</f>
        <v/>
      </c>
      <c r="M39">
        <f>IF(COUNTIFS(T_StockCount[Part Name],$A39,T_StockCount[WeekIndex],12)&gt;0,0,IF(('T_TTAFStock'!M43&lt;&gt;""),'T_TTAFStock'!M43,L39+'Grid_Incoming'!M39-'Grid_TTAFOutgoing'!M39))</f>
        <v/>
      </c>
      <c r="N39">
        <f>IF(COUNTIFS(T_StockCount[Part Name],$A39,T_StockCount[WeekIndex],13)&gt;0,0,IF(('T_TTAFStock'!N43&lt;&gt;""),'T_TTAFStock'!N43,M39+'Grid_Incoming'!N39-'Grid_TTAFOutgoing'!N39))</f>
        <v/>
      </c>
      <c r="O39">
        <f>IF(COUNTIFS(T_StockCount[Part Name],$A39,T_StockCount[WeekIndex],14)&gt;0,0,IF(('T_TTAFStock'!O43&lt;&gt;""),'T_TTAFStock'!O43,N39+'Grid_Incoming'!O39-'Grid_TTAFOutgoing'!O39))</f>
        <v/>
      </c>
      <c r="P39">
        <f>IF(COUNTIFS(T_StockCount[Part Name],$A39,T_StockCount[WeekIndex],15)&gt;0,0,IF(('T_TTAFStock'!P43&lt;&gt;""),'T_TTAFStock'!P43,O39+'Grid_Incoming'!P39-'Grid_TTAFOutgoing'!P39))</f>
        <v/>
      </c>
      <c r="Q39">
        <f>IF(COUNTIFS(T_StockCount[Part Name],$A39,T_StockCount[WeekIndex],16)&gt;0,0,IF(('T_TTAFStock'!Q43&lt;&gt;""),'T_TTAFStock'!Q43,P39+'Grid_Incoming'!Q39-'Grid_TTAFOutgoing'!Q39))</f>
        <v/>
      </c>
      <c r="R39">
        <f>IF(COUNTIFS(T_StockCount[Part Name],$A39,T_StockCount[WeekIndex],17)&gt;0,0,IF(('T_TTAFStock'!R43&lt;&gt;""),'T_TTAFStock'!R43,Q39+'Grid_Incoming'!R39-'Grid_TTAFOutgoing'!R39))</f>
        <v/>
      </c>
      <c r="S39">
        <f>IF(COUNTIFS(T_StockCount[Part Name],$A39,T_StockCount[WeekIndex],18)&gt;0,0,IF(('T_TTAFStock'!S43&lt;&gt;""),'T_TTAFStock'!S43,R39+'Grid_Incoming'!S39-'Grid_TTAFOutgoing'!S39))</f>
        <v/>
      </c>
      <c r="T39">
        <f>IF(COUNTIFS(T_StockCount[Part Name],$A39,T_StockCount[WeekIndex],19)&gt;0,0,IF(('T_TTAFStock'!T43&lt;&gt;""),'T_TTAFStock'!T43,S39+'Grid_Incoming'!T39-'Grid_TTAFOutgoing'!T39))</f>
        <v/>
      </c>
      <c r="U39">
        <f>IF(COUNTIFS(T_StockCount[Part Name],$A39,T_StockCount[WeekIndex],20)&gt;0,0,IF(('T_TTAFStock'!U43&lt;&gt;""),'T_TTAFStock'!U43,T39+'Grid_Incoming'!U39-'Grid_TTAFOutgoing'!U39))</f>
        <v/>
      </c>
      <c r="V39">
        <f>IF(COUNTIFS(T_StockCount[Part Name],$A39,T_StockCount[WeekIndex],21)&gt;0,0,IF(('T_TTAFStock'!V43&lt;&gt;""),'T_TTAFStock'!V43,U39+'Grid_Incoming'!V39-'Grid_TTAFOutgoing'!V39))</f>
        <v/>
      </c>
      <c r="W39">
        <f>IF(COUNTIFS(T_StockCount[Part Name],$A39,T_StockCount[WeekIndex],22)&gt;0,0,IF(('T_TTAFStock'!W43&lt;&gt;""),'T_TTAFStock'!W43,V39+'Grid_Incoming'!W39-'Grid_TTAFOutgoing'!W39))</f>
        <v/>
      </c>
      <c r="X39">
        <f>IF(COUNTIFS(T_StockCount[Part Name],$A39,T_StockCount[WeekIndex],23)&gt;0,0,IF(('T_TTAFStock'!X43&lt;&gt;""),'T_TTAFStock'!X43,W39+'Grid_Incoming'!X39-'Grid_TTAFOutgoing'!X39))</f>
        <v/>
      </c>
      <c r="Y39">
        <f>IF(COUNTIFS(T_StockCount[Part Name],$A39,T_StockCount[WeekIndex],24)&gt;0,0,IF(('T_TTAFStock'!Y43&lt;&gt;""),'T_TTAFStock'!Y43,X39+'Grid_Incoming'!Y39-'Grid_TTAFOutgoing'!Y39))</f>
        <v/>
      </c>
      <c r="Z39">
        <f>IF(COUNTIFS(T_StockCount[Part Name],$A39,T_StockCount[WeekIndex],25)&gt;0,0,IF(('T_TTAFStock'!Z43&lt;&gt;""),'T_TTAFStock'!Z43,Y39+'Grid_Incoming'!Z39-'Grid_TTAFOutgoing'!Z39))</f>
        <v/>
      </c>
      <c r="AA39">
        <f>IF(COUNTIFS(T_StockCount[Part Name],$A39,T_StockCount[WeekIndex],26)&gt;0,0,IF(('T_TTAFStock'!AA43&lt;&gt;""),'T_TTAFStock'!AA43,Z39+'Grid_Incoming'!AA39-'Grid_TTAFOutgoing'!AA39))</f>
        <v/>
      </c>
      <c r="AB39">
        <f>IF(COUNTIFS(T_StockCount[Part Name],$A39,T_StockCount[WeekIndex],27)&gt;0,0,IF(('T_TTAFStock'!AB43&lt;&gt;""),'T_TTAFStock'!AB43,AA39+'Grid_Incoming'!AB39-'Grid_TTAFOutgoing'!AB39))</f>
        <v/>
      </c>
      <c r="AC39">
        <f>IF(COUNTIFS(T_StockCount[Part Name],$A39,T_StockCount[WeekIndex],28)&gt;0,0,IF(('T_TTAFStock'!AC43&lt;&gt;""),'T_TTAFStock'!AC43,AB39+'Grid_Incoming'!AC39-'Grid_TTAFOutgoing'!AC39))</f>
        <v/>
      </c>
      <c r="AD39">
        <f>IF(COUNTIFS(T_StockCount[Part Name],$A39,T_StockCount[WeekIndex],29)&gt;0,0,IF(('T_TTAFStock'!AD43&lt;&gt;""),'T_TTAFStock'!AD43,AC39+'Grid_Incoming'!AD39-'Grid_TTAFOutgoing'!AD39))</f>
        <v/>
      </c>
      <c r="AE39">
        <f>IF(COUNTIFS(T_StockCount[Part Name],$A39,T_StockCount[WeekIndex],30)&gt;0,0,IF(('T_TTAFStock'!AE43&lt;&gt;""),'T_TTAFStock'!AE43,AD39+'Grid_Incoming'!AE39-'Grid_TTAFOutgoing'!AE39))</f>
        <v/>
      </c>
      <c r="AF39">
        <f>IF(COUNTIFS(T_StockCount[Part Name],$A39,T_StockCount[WeekIndex],31)&gt;0,0,IF(('T_TTAFStock'!AF43&lt;&gt;""),'T_TTAFStock'!AF43,AE39+'Grid_Incoming'!AF39-'Grid_TTAFOutgoing'!AF39))</f>
        <v/>
      </c>
      <c r="AG39">
        <f>IF(COUNTIFS(T_StockCount[Part Name],$A39,T_StockCount[WeekIndex],32)&gt;0,0,IF(('T_TTAFStock'!AG43&lt;&gt;""),'T_TTAFStock'!AG43,AF39+'Grid_Incoming'!AG39-'Grid_TTAFOutgoing'!AG39))</f>
        <v/>
      </c>
      <c r="AH39">
        <f>IF(COUNTIFS(T_StockCount[Part Name],$A39,T_StockCount[WeekIndex],33)&gt;0,0,IF(('T_TTAFStock'!AH43&lt;&gt;""),'T_TTAFStock'!AH43,AG39+'Grid_Incoming'!AH39-'Grid_TTAFOutgoing'!AH39))</f>
        <v/>
      </c>
      <c r="AI39">
        <f>IF(COUNTIFS(T_StockCount[Part Name],$A39,T_StockCount[WeekIndex],34)&gt;0,0,IF(('T_TTAFStock'!AI43&lt;&gt;""),'T_TTAFStock'!AI43,AH39+'Grid_Incoming'!AI39-'Grid_TTAFOutgoing'!AI39))</f>
        <v/>
      </c>
      <c r="AJ39">
        <f>IF(COUNTIFS(T_StockCount[Part Name],$A39,T_StockCount[WeekIndex],35)&gt;0,0,IF(('T_TTAFStock'!AJ43&lt;&gt;""),'T_TTAFStock'!AJ43,AI39+'Grid_Incoming'!AJ39-'Grid_TTAFOutgoing'!AJ39))</f>
        <v/>
      </c>
      <c r="AK39">
        <f>IF(COUNTIFS(T_StockCount[Part Name],$A39,T_StockCount[WeekIndex],36)&gt;0,0,IF(('T_TTAFStock'!AK43&lt;&gt;""),'T_TTAFStock'!AK43,AJ39+'Grid_Incoming'!AK39-'Grid_TTAFOutgoing'!AK39))</f>
        <v/>
      </c>
      <c r="AL39">
        <f>IF(COUNTIFS(T_StockCount[Part Name],$A39,T_StockCount[WeekIndex],37)&gt;0,0,IF(('T_TTAFStock'!AL43&lt;&gt;""),'T_TTAFStock'!AL43,AK39+'Grid_Incoming'!AL39-'Grid_TTAFOutgoing'!AL39))</f>
        <v/>
      </c>
      <c r="AM39">
        <f>IF(COUNTIFS(T_StockCount[Part Name],$A39,T_StockCount[WeekIndex],38)&gt;0,0,IF(('T_TTAFStock'!AM43&lt;&gt;""),'T_TTAFStock'!AM43,AL39+'Grid_Incoming'!AM39-'Grid_TTAFOutgoing'!AM39))</f>
        <v/>
      </c>
      <c r="AN39">
        <f>IF(COUNTIFS(T_StockCount[Part Name],$A39,T_StockCount[WeekIndex],39)&gt;0,0,IF(('T_TTAFStock'!AN43&lt;&gt;""),'T_TTAFStock'!AN43,AM39+'Grid_Incoming'!AN39-'Grid_TTAFOutgoing'!AN39))</f>
        <v/>
      </c>
      <c r="AO39">
        <f>IF(COUNTIFS(T_StockCount[Part Name],$A39,T_StockCount[WeekIndex],40)&gt;0,0,IF(('T_TTAFStock'!AO43&lt;&gt;""),'T_TTAFStock'!AO43,AN39+'Grid_Incoming'!AO39-'Grid_TTAFOutgoing'!AO39))</f>
        <v/>
      </c>
      <c r="AP39">
        <f>IF(COUNTIFS(T_StockCount[Part Name],$A39,T_StockCount[WeekIndex],41)&gt;0,0,IF(('T_TTAFStock'!AP43&lt;&gt;""),'T_TTAFStock'!AP43,AO39+'Grid_Incoming'!AP39-'Grid_TTAFOutgoing'!AP39))</f>
        <v/>
      </c>
      <c r="AQ39">
        <f>IF(COUNTIFS(T_StockCount[Part Name],$A39,T_StockCount[WeekIndex],42)&gt;0,0,IF(('T_TTAFStock'!AQ43&lt;&gt;""),'T_TTAFStock'!AQ43,AP39+'Grid_Incoming'!AQ39-'Grid_TTAFOutgoing'!AQ39))</f>
        <v/>
      </c>
      <c r="AR39">
        <f>IF(COUNTIFS(T_StockCount[Part Name],$A39,T_StockCount[WeekIndex],43)&gt;0,0,IF(('T_TTAFStock'!AR43&lt;&gt;""),'T_TTAFStock'!AR43,AQ39+'Grid_Incoming'!AR39-'Grid_TTAFOutgoing'!AR39))</f>
        <v/>
      </c>
      <c r="AS39">
        <f>IF(COUNTIFS(T_StockCount[Part Name],$A39,T_StockCount[WeekIndex],44)&gt;0,0,IF(('T_TTAFStock'!AS43&lt;&gt;""),'T_TTAFStock'!AS43,AR39+'Grid_Incoming'!AS39-'Grid_TTAFOutgoing'!AS39))</f>
        <v/>
      </c>
      <c r="AT39">
        <f>IF(COUNTIFS(T_StockCount[Part Name],$A39,T_StockCount[WeekIndex],45)&gt;0,0,IF(('T_TTAFStock'!AT43&lt;&gt;""),'T_TTAFStock'!AT43,AS39+'Grid_Incoming'!AT39-'Grid_TTAFOutgoing'!AT39))</f>
        <v/>
      </c>
      <c r="AU39">
        <f>IF(COUNTIFS(T_StockCount[Part Name],$A39,T_StockCount[WeekIndex],46)&gt;0,0,IF(('T_TTAFStock'!AU43&lt;&gt;""),'T_TTAFStock'!AU43,AT39+'Grid_Incoming'!AU39-'Grid_TTAFOutgoing'!AU39))</f>
        <v/>
      </c>
      <c r="AV39">
        <f>IF(COUNTIFS(T_StockCount[Part Name],$A39,T_StockCount[WeekIndex],47)&gt;0,0,IF(('T_TTAFStock'!AV43&lt;&gt;""),'T_TTAFStock'!AV43,AU39+'Grid_Incoming'!AV39-'Grid_TTAFOutgoing'!AV39))</f>
        <v/>
      </c>
      <c r="AW39">
        <f>IF(COUNTIFS(T_StockCount[Part Name],$A39,T_StockCount[WeekIndex],48)&gt;0,0,IF(('T_TTAFStock'!AW43&lt;&gt;""),'T_TTAFStock'!AW43,AV39+'Grid_Incoming'!AW39-'Grid_TTAFOutgoing'!AW39))</f>
        <v/>
      </c>
      <c r="AX39">
        <f>IF(COUNTIFS(T_StockCount[Part Name],$A39,T_StockCount[WeekIndex],49)&gt;0,0,IF(('T_TTAFStock'!AX43&lt;&gt;""),'T_TTAFStock'!AX43,AW39+'Grid_Incoming'!AX39-'Grid_TTAFOutgoing'!AX39))</f>
        <v/>
      </c>
      <c r="AY39">
        <f>IF(COUNTIFS(T_StockCount[Part Name],$A39,T_StockCount[WeekIndex],50)&gt;0,0,IF(('T_TTAFStock'!AY43&lt;&gt;""),'T_TTAFStock'!AY43,AX39+'Grid_Incoming'!AY39-'Grid_TTAFOutgoing'!AY39))</f>
        <v/>
      </c>
      <c r="AZ39">
        <f>IF(COUNTIFS(T_StockCount[Part Name],$A39,T_StockCount[WeekIndex],51)&gt;0,0,IF(('T_TTAFStock'!AZ43&lt;&gt;""),'T_TTAFStock'!AZ43,AY39+'Grid_Incoming'!AZ39-'Grid_TTAFOutgoing'!AZ39))</f>
        <v/>
      </c>
      <c r="BA39">
        <f>IF(COUNTIFS(T_StockCount[Part Name],$A39,T_StockCount[WeekIndex],52)&gt;0,0,IF(('T_TTAFStock'!BA43&lt;&gt;""),'T_TTAFStock'!BA43,AZ39+'Grid_Incoming'!BA39-'Grid_TTAFOutgoing'!BA39))</f>
        <v/>
      </c>
      <c r="BB39">
        <f>IF(COUNTIFS(T_StockCount[Part Name],$A39,T_StockCount[WeekIndex],53)&gt;0,0,IF(('T_TTAFStock'!BB43&lt;&gt;""),'T_TTAFStock'!BB43,BA39+'Grid_Incoming'!BB39-'Grid_TTAFOutgoing'!BB39))</f>
        <v/>
      </c>
      <c r="BC39">
        <f>IF(COUNTIFS(T_StockCount[Part Name],$A39,T_StockCount[WeekIndex],54)&gt;0,0,IF(('T_TTAFStock'!BC43&lt;&gt;""),'T_TTAFStock'!BC43,BB39+'Grid_Incoming'!BC39-'Grid_TTAFOutgoing'!BC39))</f>
        <v/>
      </c>
      <c r="BD39">
        <f>IF(COUNTIFS(T_StockCount[Part Name],$A39,T_StockCount[WeekIndex],55)&gt;0,0,IF(('T_TTAFStock'!BD43&lt;&gt;""),'T_TTAFStock'!BD43,BC39+'Grid_Incoming'!BD39-'Grid_TTAFOutgoing'!BD39))</f>
        <v/>
      </c>
      <c r="BE39">
        <f>IF(COUNTIFS(T_StockCount[Part Name],$A39,T_StockCount[WeekIndex],56)&gt;0,0,IF(('T_TTAFStock'!BE43&lt;&gt;""),'T_TTAFStock'!BE43,BD39+'Grid_Incoming'!BE39-'Grid_TTAFOutgoing'!BE39))</f>
        <v/>
      </c>
      <c r="BF39">
        <f>IF(COUNTIFS(T_StockCount[Part Name],$A39,T_StockCount[WeekIndex],57)&gt;0,0,IF(('T_TTAFStock'!BF43&lt;&gt;""),'T_TTAFStock'!BF43,BE39+'Grid_Incoming'!BF39-'Grid_TTAFOutgoing'!BF39))</f>
        <v/>
      </c>
      <c r="BG39">
        <f>IF(COUNTIFS(T_StockCount[Part Name],$A39,T_StockCount[WeekIndex],58)&gt;0,0,IF(('T_TTAFStock'!BG43&lt;&gt;""),'T_TTAFStock'!BG43,BF39+'Grid_Incoming'!BG39-'Grid_TTAFOutgoing'!BG39))</f>
        <v/>
      </c>
      <c r="BH39">
        <f>IF(COUNTIFS(T_StockCount[Part Name],$A39,T_StockCount[WeekIndex],59)&gt;0,0,IF(('T_TTAFStock'!BH43&lt;&gt;""),'T_TTAFStock'!BH43,BG39+'Grid_Incoming'!BH39-'Grid_TTAFOutgoing'!BH39))</f>
        <v/>
      </c>
      <c r="BI39">
        <f>IF(COUNTIFS(T_StockCount[Part Name],$A39,T_StockCount[WeekIndex],60)&gt;0,0,IF(('T_TTAFStock'!BI43&lt;&gt;""),'T_TTAFStock'!BI43,BH39+'Grid_Incoming'!BI39-'Grid_TTAFOutgoing'!BI39))</f>
        <v/>
      </c>
      <c r="BJ39">
        <f>IF(COUNTIFS(T_StockCount[Part Name],$A39,T_StockCount[WeekIndex],61)&gt;0,0,IF(('T_TTAFStock'!BJ43&lt;&gt;""),'T_TTAFStock'!BJ43,BI39+'Grid_Incoming'!BJ39-'Grid_TTAFOutgoing'!BJ39))</f>
        <v/>
      </c>
      <c r="BK39">
        <f>IF(COUNTIFS(T_StockCount[Part Name],$A39,T_StockCount[WeekIndex],62)&gt;0,0,IF(('T_TTAFStock'!BK43&lt;&gt;""),'T_TTAFStock'!BK43,BJ39+'Grid_Incoming'!BK39-'Grid_TTAFOutgoing'!BK39))</f>
        <v/>
      </c>
      <c r="BL39">
        <f>IF(COUNTIFS(T_StockCount[Part Name],$A39,T_StockCount[WeekIndex],63)&gt;0,0,IF(('T_TTAFStock'!BL43&lt;&gt;""),'T_TTAFStock'!BL43,BK39+'Grid_Incoming'!BL39-'Grid_TTAFOutgoing'!BL39))</f>
        <v/>
      </c>
      <c r="BM39">
        <f>IF(COUNTIFS(T_StockCount[Part Name],$A39,T_StockCount[WeekIndex],64)&gt;0,0,IF(('T_TTAFStock'!BM43&lt;&gt;""),'T_TTAFStock'!BM43,BL39+'Grid_Incoming'!BM39-'Grid_TTAFOutgoing'!BM39))</f>
        <v/>
      </c>
      <c r="BN39">
        <f>IF(COUNTIFS(T_StockCount[Part Name],$A39,T_StockCount[WeekIndex],65)&gt;0,0,IF(('T_TTAFStock'!BN43&lt;&gt;""),'T_TTAFStock'!BN43,BM39+'Grid_Incoming'!BN39-'Grid_TTAFOutgoing'!BN39))</f>
        <v/>
      </c>
      <c r="BO39">
        <f>IF(COUNTIFS(T_StockCount[Part Name],$A39,T_StockCount[WeekIndex],66)&gt;0,0,IF(('T_TTAFStock'!BO43&lt;&gt;""),'T_TTAFStock'!BO43,BN39+'Grid_Incoming'!BO39-'Grid_TTAFOutgoing'!BO39))</f>
        <v/>
      </c>
      <c r="BP39">
        <f>IF(COUNTIFS(T_StockCount[Part Name],$A39,T_StockCount[WeekIndex],67)&gt;0,0,IF(('T_TTAFStock'!BP43&lt;&gt;""),'T_TTAFStock'!BP43,BO39+'Grid_Incoming'!BP39-'Grid_TTAFOutgoing'!BP39))</f>
        <v/>
      </c>
      <c r="BQ39">
        <f>IF(COUNTIFS(T_StockCount[Part Name],$A39,T_StockCount[WeekIndex],68)&gt;0,0,IF(('T_TTAFStock'!BQ43&lt;&gt;""),'T_TTAFStock'!BQ43,BP39+'Grid_Incoming'!BQ39-'Grid_TTAFOutgoing'!BQ39))</f>
        <v/>
      </c>
      <c r="BR39">
        <f>IF(COUNTIFS(T_StockCount[Part Name],$A39,T_StockCount[WeekIndex],69)&gt;0,0,IF(('T_TTAFStock'!BR43&lt;&gt;""),'T_TTAFStock'!BR43,BQ39+'Grid_Incoming'!BR39-'Grid_TTAFOutgoing'!BR39))</f>
        <v/>
      </c>
      <c r="BS39">
        <f>IF(COUNTIFS(T_StockCount[Part Name],$A39,T_StockCount[WeekIndex],70)&gt;0,0,IF(('T_TTAFStock'!BS43&lt;&gt;""),'T_TTAFStock'!BS43,BR39+'Grid_Incoming'!BS39-'Grid_TTAFOutgoing'!BS39))</f>
        <v/>
      </c>
      <c r="BT39">
        <f>IF(COUNTIFS(T_StockCount[Part Name],$A39,T_StockCount[WeekIndex],71)&gt;0,0,IF(('T_TTAFStock'!BT43&lt;&gt;""),'T_TTAFStock'!BT43,BS39+'Grid_Incoming'!BT39-'Grid_TTAFOutgoing'!BT39))</f>
        <v/>
      </c>
      <c r="BU39">
        <f>IF(COUNTIFS(T_StockCount[Part Name],$A39,T_StockCount[WeekIndex],72)&gt;0,0,IF(('T_TTAFStock'!BU43&lt;&gt;""),'T_TTAFStock'!BU43,BT39+'Grid_Incoming'!BU39-'Grid_TTAFOutgoing'!BU39))</f>
        <v/>
      </c>
      <c r="BV39">
        <f>IF(COUNTIFS(T_StockCount[Part Name],$A39,T_StockCount[WeekIndex],73)&gt;0,0,IF(('T_TTAFStock'!BV43&lt;&gt;""),'T_TTAFStock'!BV43,BU39+'Grid_Incoming'!BV39-'Grid_TTAFOutgoing'!BV39))</f>
        <v/>
      </c>
      <c r="BW39">
        <f>IF(COUNTIFS(T_StockCount[Part Name],$A39,T_StockCount[WeekIndex],74)&gt;0,0,IF(('T_TTAFStock'!BW43&lt;&gt;""),'T_TTAFStock'!BW43,BV39+'Grid_Incoming'!BW39-'Grid_TTAFOutgoing'!BW39))</f>
        <v/>
      </c>
      <c r="BX39">
        <f>IF(COUNTIFS(T_StockCount[Part Name],$A39,T_StockCount[WeekIndex],75)&gt;0,0,IF(('T_TTAFStock'!BX43&lt;&gt;""),'T_TTAFStock'!BX43,BW39+'Grid_Incoming'!BX39-'Grid_TTAFOutgoing'!BX39))</f>
        <v/>
      </c>
      <c r="BY39">
        <f>IF(COUNTIFS(T_StockCount[Part Name],$A39,T_StockCount[WeekIndex],76)&gt;0,0,IF(('T_TTAFStock'!BY43&lt;&gt;""),'T_TTAFStock'!BY43,BX39+'Grid_Incoming'!BY39-'Grid_TTAFOutgoing'!BY39))</f>
        <v/>
      </c>
      <c r="BZ39">
        <f>IF(COUNTIFS(T_StockCount[Part Name],$A39,T_StockCount[WeekIndex],77)&gt;0,0,IF(('T_TTAFStock'!BZ43&lt;&gt;""),'T_TTAFStock'!BZ43,BY39+'Grid_Incoming'!BZ39-'Grid_TTAFOutgoing'!BZ39))</f>
        <v/>
      </c>
      <c r="CA39">
        <f>IF(COUNTIFS(T_StockCount[Part Name],$A39,T_StockCount[WeekIndex],78)&gt;0,0,IF(('T_TTAFStock'!CA43&lt;&gt;""),'T_TTAFStock'!CA43,BZ39+'Grid_Incoming'!CA39-'Grid_TTAFOutgoing'!CA39))</f>
        <v/>
      </c>
      <c r="CB39">
        <f>IF(COUNTIFS(T_StockCount[Part Name],$A39,T_StockCount[WeekIndex],79)&gt;0,0,IF(('T_TTAFStock'!CB43&lt;&gt;""),'T_TTAFStock'!CB43,CA39+'Grid_Incoming'!CB39-'Grid_TTAFOutgoing'!CB39))</f>
        <v/>
      </c>
      <c r="CC39">
        <f>IF(COUNTIFS(T_StockCount[Part Name],$A39,T_StockCount[WeekIndex],80)&gt;0,0,IF(('T_TTAFStock'!CC43&lt;&gt;""),'T_TTAFStock'!CC43,CB39+'Grid_Incoming'!CC39-'Grid_TTAFOutgoing'!CC39))</f>
        <v/>
      </c>
      <c r="CD39">
        <f>IF(COUNTIFS(T_StockCount[Part Name],$A39,T_StockCount[WeekIndex],81)&gt;0,0,IF(('T_TTAFStock'!CD43&lt;&gt;""),'T_TTAFStock'!CD43,CC39+'Grid_Incoming'!CD39-'Grid_TTAFOutgoing'!CD39))</f>
        <v/>
      </c>
      <c r="CE39">
        <f>IF(COUNTIFS(T_StockCount[Part Name],$A39,T_StockCount[WeekIndex],82)&gt;0,0,IF(('T_TTAFStock'!CE43&lt;&gt;""),'T_TTAFStock'!CE43,CD39+'Grid_Incoming'!CE39-'Grid_TTAFOutgoing'!CE39))</f>
        <v/>
      </c>
      <c r="CF39">
        <f>IF(COUNTIFS(T_StockCount[Part Name],$A39,T_StockCount[WeekIndex],83)&gt;0,0,IF(('T_TTAFStock'!CF43&lt;&gt;""),'T_TTAFStock'!CF43,CE39+'Grid_Incoming'!CF39-'Grid_TTAFOutgoing'!CF39))</f>
        <v/>
      </c>
      <c r="CG39">
        <f>IF(COUNTIFS(T_StockCount[Part Name],$A39,T_StockCount[WeekIndex],84)&gt;0,0,IF(('T_TTAFStock'!CG43&lt;&gt;""),'T_TTAFStock'!CG43,CF39+'Grid_Incoming'!CG39-'Grid_TTAFOutgoing'!CG39))</f>
        <v/>
      </c>
      <c r="CH39">
        <f>IF(COUNTIFS(T_StockCount[Part Name],$A39,T_StockCount[WeekIndex],85)&gt;0,0,IF(('T_TTAFStock'!CH43&lt;&gt;""),'T_TTAFStock'!CH43,CG39+'Grid_Incoming'!CH39-'Grid_TTAFOutgoing'!CH39))</f>
        <v/>
      </c>
      <c r="CI39">
        <f>IF(COUNTIFS(T_StockCount[Part Name],$A39,T_StockCount[WeekIndex],86)&gt;0,0,IF(('T_TTAFStock'!CI43&lt;&gt;""),'T_TTAFStock'!CI43,CH39+'Grid_Incoming'!CI39-'Grid_TTAFOutgoing'!CI39))</f>
        <v/>
      </c>
      <c r="CJ39">
        <f>IF(COUNTIFS(T_StockCount[Part Name],$A39,T_StockCount[WeekIndex],87)&gt;0,0,IF(('T_TTAFStock'!CJ43&lt;&gt;""),'T_TTAFStock'!CJ43,CI39+'Grid_Incoming'!CJ39-'Grid_TTAFOutgoing'!CJ39))</f>
        <v/>
      </c>
      <c r="CK39">
        <f>IF(COUNTIFS(T_StockCount[Part Name],$A39,T_StockCount[WeekIndex],88)&gt;0,0,IF(('T_TTAFStock'!CK43&lt;&gt;""),'T_TTAFStock'!CK43,CJ39+'Grid_Incoming'!CK39-'Grid_TTAFOutgoing'!CK39))</f>
        <v/>
      </c>
      <c r="CL39">
        <f>IF(COUNTIFS(T_StockCount[Part Name],$A39,T_StockCount[WeekIndex],89)&gt;0,0,IF(('T_TTAFStock'!CL43&lt;&gt;""),'T_TTAFStock'!CL43,CK39+'Grid_Incoming'!CL39-'Grid_TTAFOutgoing'!CL39))</f>
        <v/>
      </c>
      <c r="CM39">
        <f>IF(COUNTIFS(T_StockCount[Part Name],$A39,T_StockCount[WeekIndex],90)&gt;0,0,IF(('T_TTAFStock'!CM43&lt;&gt;""),'T_TTAFStock'!CM43,CL39+'Grid_Incoming'!CM39-'Grid_TTAFOutgoing'!CM39))</f>
        <v/>
      </c>
      <c r="CN39">
        <f>IF(COUNTIFS(T_StockCount[Part Name],$A39,T_StockCount[WeekIndex],91)&gt;0,0,IF(('T_TTAFStock'!CN43&lt;&gt;""),'T_TTAFStock'!CN43,CM39+'Grid_Incoming'!CN39-'Grid_TTAFOutgoing'!CN39))</f>
        <v/>
      </c>
      <c r="CO39">
        <f>IF(COUNTIFS(T_StockCount[Part Name],$A39,T_StockCount[WeekIndex],92)&gt;0,0,IF(('T_TTAFStock'!CO43&lt;&gt;""),'T_TTAFStock'!CO43,CN39+'Grid_Incoming'!CO39-'Grid_TTAFOutgoing'!CO39))</f>
        <v/>
      </c>
      <c r="CP39">
        <f>IF(COUNTIFS(T_StockCount[Part Name],$A39,T_StockCount[WeekIndex],93)&gt;0,0,IF(('T_TTAFStock'!CP43&lt;&gt;""),'T_TTAFStock'!CP43,CO39+'Grid_Incoming'!CP39-'Grid_TTAFOutgoing'!CP39))</f>
        <v/>
      </c>
      <c r="CQ39">
        <f>IF(COUNTIFS(T_StockCount[Part Name],$A39,T_StockCount[WeekIndex],94)&gt;0,0,IF(('T_TTAFStock'!CQ43&lt;&gt;""),'T_TTAFStock'!CQ43,CP39+'Grid_Incoming'!CQ39-'Grid_TTAFOutgoing'!CQ39))</f>
        <v/>
      </c>
      <c r="CR39">
        <f>IF(COUNTIFS(T_StockCount[Part Name],$A39,T_StockCount[WeekIndex],95)&gt;0,0,IF(('T_TTAFStock'!CR43&lt;&gt;""),'T_TTAFStock'!CR43,CQ39+'Grid_Incoming'!CR39-'Grid_TTAFOutgoing'!CR39))</f>
        <v/>
      </c>
      <c r="CS39">
        <f>IF(COUNTIFS(T_StockCount[Part Name],$A39,T_StockCount[WeekIndex],96)&gt;0,0,IF(('T_TTAFStock'!CS43&lt;&gt;""),'T_TTAFStock'!CS43,CR39+'Grid_Incoming'!CS39-'Grid_TTAFOutgoing'!CS39))</f>
        <v/>
      </c>
      <c r="CT39">
        <f>IF(COUNTIFS(T_StockCount[Part Name],$A39,T_StockCount[WeekIndex],97)&gt;0,0,IF(('T_TTAFStock'!CT43&lt;&gt;""),'T_TTAFStock'!CT43,CS39+'Grid_Incoming'!CT39-'Grid_TTAFOutgoing'!CT39))</f>
        <v/>
      </c>
      <c r="CU39">
        <f>IF(COUNTIFS(T_StockCount[Part Name],$A39,T_StockCount[WeekIndex],98)&gt;0,0,IF(('T_TTAFStock'!CU43&lt;&gt;""),'T_TTAFStock'!CU43,CT39+'Grid_Incoming'!CU39-'Grid_TTAFOutgoing'!CU39))</f>
        <v/>
      </c>
      <c r="CV39">
        <f>IF(COUNTIFS(T_StockCount[Part Name],$A39,T_StockCount[WeekIndex],99)&gt;0,0,IF(('T_TTAFStock'!CV43&lt;&gt;""),'T_TTAFStock'!CV43,CU39+'Grid_Incoming'!CV39-'Grid_TTAFOutgoing'!CV39))</f>
        <v/>
      </c>
      <c r="CW39">
        <f>IF(COUNTIFS(T_StockCount[Part Name],$A39,T_StockCount[WeekIndex],100)&gt;0,0,IF(('T_TTAFStock'!CW43&lt;&gt;""),'T_TTAFStock'!CW43,CV39+'Grid_Incoming'!CW39-'Grid_TTAFOutgoing'!CW39))</f>
        <v/>
      </c>
      <c r="CX39">
        <f>IF(COUNTIFS(T_StockCount[Part Name],$A39,T_StockCount[WeekIndex],101)&gt;0,0,IF(('T_TTAFStock'!CX43&lt;&gt;""),'T_TTAFStock'!CX43,CW39+'Grid_Incoming'!CX39-'Grid_TTAFOutgoing'!CX39))</f>
        <v/>
      </c>
      <c r="CY39">
        <f>IF(COUNTIFS(T_StockCount[Part Name],$A39,T_StockCount[WeekIndex],102)&gt;0,0,IF(('T_TTAFStock'!CY43&lt;&gt;""),'T_TTAFStock'!CY43,CX39+'Grid_Incoming'!CY39-'Grid_TTAFOutgoing'!CY39))</f>
        <v/>
      </c>
      <c r="CZ39">
        <f>IF(COUNTIFS(T_StockCount[Part Name],$A39,T_StockCount[WeekIndex],103)&gt;0,0,IF(('T_TTAFStock'!CZ43&lt;&gt;""),'T_TTAFStock'!CZ43,CY39+'Grid_Incoming'!CZ39-'Grid_TTAFOutgoing'!CZ39))</f>
        <v/>
      </c>
      <c r="DA39">
        <f>IF(COUNTIFS(T_StockCount[Part Name],$A39,T_StockCount[WeekIndex],104)&gt;0,0,IF(('T_TTAFStock'!DA43&lt;&gt;""),'T_TTAFStock'!DA43,CZ39+'Grid_Incoming'!DA39-'Grid_TTAFOutgoing'!DA39))</f>
        <v/>
      </c>
    </row>
    <row r="40">
      <c r="A40" t="inlineStr">
        <is>
          <t>5SN</t>
        </is>
      </c>
      <c r="B40">
        <f>IF(COUNTIFS(T_StockCount[Part Name],$A40,T_StockCount[WeekIndex],1)&gt;0,0,IF(('T_TTAFStock'!B44&lt;&gt;""),'T_TTAFStock'!B44,0+'Grid_Incoming'!B40-'Grid_TTAFOutgoing'!B40))</f>
        <v/>
      </c>
      <c r="C40">
        <f>IF(COUNTIFS(T_StockCount[Part Name],$A40,T_StockCount[WeekIndex],2)&gt;0,0,IF(('T_TTAFStock'!C44&lt;&gt;""),'T_TTAFStock'!C44,B40+'Grid_Incoming'!C40-'Grid_TTAFOutgoing'!C40))</f>
        <v/>
      </c>
      <c r="D40">
        <f>IF(COUNTIFS(T_StockCount[Part Name],$A40,T_StockCount[WeekIndex],3)&gt;0,0,IF(('T_TTAFStock'!D44&lt;&gt;""),'T_TTAFStock'!D44,C40+'Grid_Incoming'!D40-'Grid_TTAFOutgoing'!D40))</f>
        <v/>
      </c>
      <c r="E40">
        <f>IF(COUNTIFS(T_StockCount[Part Name],$A40,T_StockCount[WeekIndex],4)&gt;0,0,IF(('T_TTAFStock'!E44&lt;&gt;""),'T_TTAFStock'!E44,D40+'Grid_Incoming'!E40-'Grid_TTAFOutgoing'!E40))</f>
        <v/>
      </c>
      <c r="F40">
        <f>IF(COUNTIFS(T_StockCount[Part Name],$A40,T_StockCount[WeekIndex],5)&gt;0,0,IF(('T_TTAFStock'!F44&lt;&gt;""),'T_TTAFStock'!F44,E40+'Grid_Incoming'!F40-'Grid_TTAFOutgoing'!F40))</f>
        <v/>
      </c>
      <c r="G40">
        <f>IF(COUNTIFS(T_StockCount[Part Name],$A40,T_StockCount[WeekIndex],6)&gt;0,0,IF(('T_TTAFStock'!G44&lt;&gt;""),'T_TTAFStock'!G44,F40+'Grid_Incoming'!G40-'Grid_TTAFOutgoing'!G40))</f>
        <v/>
      </c>
      <c r="H40">
        <f>IF(COUNTIFS(T_StockCount[Part Name],$A40,T_StockCount[WeekIndex],7)&gt;0,0,IF(('T_TTAFStock'!H44&lt;&gt;""),'T_TTAFStock'!H44,G40+'Grid_Incoming'!H40-'Grid_TTAFOutgoing'!H40))</f>
        <v/>
      </c>
      <c r="I40">
        <f>IF(COUNTIFS(T_StockCount[Part Name],$A40,T_StockCount[WeekIndex],8)&gt;0,0,IF(('T_TTAFStock'!I44&lt;&gt;""),'T_TTAFStock'!I44,H40+'Grid_Incoming'!I40-'Grid_TTAFOutgoing'!I40))</f>
        <v/>
      </c>
      <c r="J40">
        <f>IF(COUNTIFS(T_StockCount[Part Name],$A40,T_StockCount[WeekIndex],9)&gt;0,0,IF(('T_TTAFStock'!J44&lt;&gt;""),'T_TTAFStock'!J44,I40+'Grid_Incoming'!J40-'Grid_TTAFOutgoing'!J40))</f>
        <v/>
      </c>
      <c r="K40">
        <f>IF(COUNTIFS(T_StockCount[Part Name],$A40,T_StockCount[WeekIndex],10)&gt;0,0,IF(('T_TTAFStock'!K44&lt;&gt;""),'T_TTAFStock'!K44,J40+'Grid_Incoming'!K40-'Grid_TTAFOutgoing'!K40))</f>
        <v/>
      </c>
      <c r="L40">
        <f>IF(COUNTIFS(T_StockCount[Part Name],$A40,T_StockCount[WeekIndex],11)&gt;0,0,IF(('T_TTAFStock'!L44&lt;&gt;""),'T_TTAFStock'!L44,K40+'Grid_Incoming'!L40-'Grid_TTAFOutgoing'!L40))</f>
        <v/>
      </c>
      <c r="M40">
        <f>IF(COUNTIFS(T_StockCount[Part Name],$A40,T_StockCount[WeekIndex],12)&gt;0,0,IF(('T_TTAFStock'!M44&lt;&gt;""),'T_TTAFStock'!M44,L40+'Grid_Incoming'!M40-'Grid_TTAFOutgoing'!M40))</f>
        <v/>
      </c>
      <c r="N40">
        <f>IF(COUNTIFS(T_StockCount[Part Name],$A40,T_StockCount[WeekIndex],13)&gt;0,0,IF(('T_TTAFStock'!N44&lt;&gt;""),'T_TTAFStock'!N44,M40+'Grid_Incoming'!N40-'Grid_TTAFOutgoing'!N40))</f>
        <v/>
      </c>
      <c r="O40">
        <f>IF(COUNTIFS(T_StockCount[Part Name],$A40,T_StockCount[WeekIndex],14)&gt;0,0,IF(('T_TTAFStock'!O44&lt;&gt;""),'T_TTAFStock'!O44,N40+'Grid_Incoming'!O40-'Grid_TTAFOutgoing'!O40))</f>
        <v/>
      </c>
      <c r="P40">
        <f>IF(COUNTIFS(T_StockCount[Part Name],$A40,T_StockCount[WeekIndex],15)&gt;0,0,IF(('T_TTAFStock'!P44&lt;&gt;""),'T_TTAFStock'!P44,O40+'Grid_Incoming'!P40-'Grid_TTAFOutgoing'!P40))</f>
        <v/>
      </c>
      <c r="Q40">
        <f>IF(COUNTIFS(T_StockCount[Part Name],$A40,T_StockCount[WeekIndex],16)&gt;0,0,IF(('T_TTAFStock'!Q44&lt;&gt;""),'T_TTAFStock'!Q44,P40+'Grid_Incoming'!Q40-'Grid_TTAFOutgoing'!Q40))</f>
        <v/>
      </c>
      <c r="R40">
        <f>IF(COUNTIFS(T_StockCount[Part Name],$A40,T_StockCount[WeekIndex],17)&gt;0,0,IF(('T_TTAFStock'!R44&lt;&gt;""),'T_TTAFStock'!R44,Q40+'Grid_Incoming'!R40-'Grid_TTAFOutgoing'!R40))</f>
        <v/>
      </c>
      <c r="S40">
        <f>IF(COUNTIFS(T_StockCount[Part Name],$A40,T_StockCount[WeekIndex],18)&gt;0,0,IF(('T_TTAFStock'!S44&lt;&gt;""),'T_TTAFStock'!S44,R40+'Grid_Incoming'!S40-'Grid_TTAFOutgoing'!S40))</f>
        <v/>
      </c>
      <c r="T40">
        <f>IF(COUNTIFS(T_StockCount[Part Name],$A40,T_StockCount[WeekIndex],19)&gt;0,0,IF(('T_TTAFStock'!T44&lt;&gt;""),'T_TTAFStock'!T44,S40+'Grid_Incoming'!T40-'Grid_TTAFOutgoing'!T40))</f>
        <v/>
      </c>
      <c r="U40">
        <f>IF(COUNTIFS(T_StockCount[Part Name],$A40,T_StockCount[WeekIndex],20)&gt;0,0,IF(('T_TTAFStock'!U44&lt;&gt;""),'T_TTAFStock'!U44,T40+'Grid_Incoming'!U40-'Grid_TTAFOutgoing'!U40))</f>
        <v/>
      </c>
      <c r="V40">
        <f>IF(COUNTIFS(T_StockCount[Part Name],$A40,T_StockCount[WeekIndex],21)&gt;0,0,IF(('T_TTAFStock'!V44&lt;&gt;""),'T_TTAFStock'!V44,U40+'Grid_Incoming'!V40-'Grid_TTAFOutgoing'!V40))</f>
        <v/>
      </c>
      <c r="W40">
        <f>IF(COUNTIFS(T_StockCount[Part Name],$A40,T_StockCount[WeekIndex],22)&gt;0,0,IF(('T_TTAFStock'!W44&lt;&gt;""),'T_TTAFStock'!W44,V40+'Grid_Incoming'!W40-'Grid_TTAFOutgoing'!W40))</f>
        <v/>
      </c>
      <c r="X40">
        <f>IF(COUNTIFS(T_StockCount[Part Name],$A40,T_StockCount[WeekIndex],23)&gt;0,0,IF(('T_TTAFStock'!X44&lt;&gt;""),'T_TTAFStock'!X44,W40+'Grid_Incoming'!X40-'Grid_TTAFOutgoing'!X40))</f>
        <v/>
      </c>
      <c r="Y40">
        <f>IF(COUNTIFS(T_StockCount[Part Name],$A40,T_StockCount[WeekIndex],24)&gt;0,0,IF(('T_TTAFStock'!Y44&lt;&gt;""),'T_TTAFStock'!Y44,X40+'Grid_Incoming'!Y40-'Grid_TTAFOutgoing'!Y40))</f>
        <v/>
      </c>
      <c r="Z40">
        <f>IF(COUNTIFS(T_StockCount[Part Name],$A40,T_StockCount[WeekIndex],25)&gt;0,0,IF(('T_TTAFStock'!Z44&lt;&gt;""),'T_TTAFStock'!Z44,Y40+'Grid_Incoming'!Z40-'Grid_TTAFOutgoing'!Z40))</f>
        <v/>
      </c>
      <c r="AA40">
        <f>IF(COUNTIFS(T_StockCount[Part Name],$A40,T_StockCount[WeekIndex],26)&gt;0,0,IF(('T_TTAFStock'!AA44&lt;&gt;""),'T_TTAFStock'!AA44,Z40+'Grid_Incoming'!AA40-'Grid_TTAFOutgoing'!AA40))</f>
        <v/>
      </c>
      <c r="AB40">
        <f>IF(COUNTIFS(T_StockCount[Part Name],$A40,T_StockCount[WeekIndex],27)&gt;0,0,IF(('T_TTAFStock'!AB44&lt;&gt;""),'T_TTAFStock'!AB44,AA40+'Grid_Incoming'!AB40-'Grid_TTAFOutgoing'!AB40))</f>
        <v/>
      </c>
      <c r="AC40">
        <f>IF(COUNTIFS(T_StockCount[Part Name],$A40,T_StockCount[WeekIndex],28)&gt;0,0,IF(('T_TTAFStock'!AC44&lt;&gt;""),'T_TTAFStock'!AC44,AB40+'Grid_Incoming'!AC40-'Grid_TTAFOutgoing'!AC40))</f>
        <v/>
      </c>
      <c r="AD40">
        <f>IF(COUNTIFS(T_StockCount[Part Name],$A40,T_StockCount[WeekIndex],29)&gt;0,0,IF(('T_TTAFStock'!AD44&lt;&gt;""),'T_TTAFStock'!AD44,AC40+'Grid_Incoming'!AD40-'Grid_TTAFOutgoing'!AD40))</f>
        <v/>
      </c>
      <c r="AE40">
        <f>IF(COUNTIFS(T_StockCount[Part Name],$A40,T_StockCount[WeekIndex],30)&gt;0,0,IF(('T_TTAFStock'!AE44&lt;&gt;""),'T_TTAFStock'!AE44,AD40+'Grid_Incoming'!AE40-'Grid_TTAFOutgoing'!AE40))</f>
        <v/>
      </c>
      <c r="AF40">
        <f>IF(COUNTIFS(T_StockCount[Part Name],$A40,T_StockCount[WeekIndex],31)&gt;0,0,IF(('T_TTAFStock'!AF44&lt;&gt;""),'T_TTAFStock'!AF44,AE40+'Grid_Incoming'!AF40-'Grid_TTAFOutgoing'!AF40))</f>
        <v/>
      </c>
      <c r="AG40">
        <f>IF(COUNTIFS(T_StockCount[Part Name],$A40,T_StockCount[WeekIndex],32)&gt;0,0,IF(('T_TTAFStock'!AG44&lt;&gt;""),'T_TTAFStock'!AG44,AF40+'Grid_Incoming'!AG40-'Grid_TTAFOutgoing'!AG40))</f>
        <v/>
      </c>
      <c r="AH40">
        <f>IF(COUNTIFS(T_StockCount[Part Name],$A40,T_StockCount[WeekIndex],33)&gt;0,0,IF(('T_TTAFStock'!AH44&lt;&gt;""),'T_TTAFStock'!AH44,AG40+'Grid_Incoming'!AH40-'Grid_TTAFOutgoing'!AH40))</f>
        <v/>
      </c>
      <c r="AI40">
        <f>IF(COUNTIFS(T_StockCount[Part Name],$A40,T_StockCount[WeekIndex],34)&gt;0,0,IF(('T_TTAFStock'!AI44&lt;&gt;""),'T_TTAFStock'!AI44,AH40+'Grid_Incoming'!AI40-'Grid_TTAFOutgoing'!AI40))</f>
        <v/>
      </c>
      <c r="AJ40">
        <f>IF(COUNTIFS(T_StockCount[Part Name],$A40,T_StockCount[WeekIndex],35)&gt;0,0,IF(('T_TTAFStock'!AJ44&lt;&gt;""),'T_TTAFStock'!AJ44,AI40+'Grid_Incoming'!AJ40-'Grid_TTAFOutgoing'!AJ40))</f>
        <v/>
      </c>
      <c r="AK40">
        <f>IF(COUNTIFS(T_StockCount[Part Name],$A40,T_StockCount[WeekIndex],36)&gt;0,0,IF(('T_TTAFStock'!AK44&lt;&gt;""),'T_TTAFStock'!AK44,AJ40+'Grid_Incoming'!AK40-'Grid_TTAFOutgoing'!AK40))</f>
        <v/>
      </c>
      <c r="AL40">
        <f>IF(COUNTIFS(T_StockCount[Part Name],$A40,T_StockCount[WeekIndex],37)&gt;0,0,IF(('T_TTAFStock'!AL44&lt;&gt;""),'T_TTAFStock'!AL44,AK40+'Grid_Incoming'!AL40-'Grid_TTAFOutgoing'!AL40))</f>
        <v/>
      </c>
      <c r="AM40">
        <f>IF(COUNTIFS(T_StockCount[Part Name],$A40,T_StockCount[WeekIndex],38)&gt;0,0,IF(('T_TTAFStock'!AM44&lt;&gt;""),'T_TTAFStock'!AM44,AL40+'Grid_Incoming'!AM40-'Grid_TTAFOutgoing'!AM40))</f>
        <v/>
      </c>
      <c r="AN40">
        <f>IF(COUNTIFS(T_StockCount[Part Name],$A40,T_StockCount[WeekIndex],39)&gt;0,0,IF(('T_TTAFStock'!AN44&lt;&gt;""),'T_TTAFStock'!AN44,AM40+'Grid_Incoming'!AN40-'Grid_TTAFOutgoing'!AN40))</f>
        <v/>
      </c>
      <c r="AO40">
        <f>IF(COUNTIFS(T_StockCount[Part Name],$A40,T_StockCount[WeekIndex],40)&gt;0,0,IF(('T_TTAFStock'!AO44&lt;&gt;""),'T_TTAFStock'!AO44,AN40+'Grid_Incoming'!AO40-'Grid_TTAFOutgoing'!AO40))</f>
        <v/>
      </c>
      <c r="AP40">
        <f>IF(COUNTIFS(T_StockCount[Part Name],$A40,T_StockCount[WeekIndex],41)&gt;0,0,IF(('T_TTAFStock'!AP44&lt;&gt;""),'T_TTAFStock'!AP44,AO40+'Grid_Incoming'!AP40-'Grid_TTAFOutgoing'!AP40))</f>
        <v/>
      </c>
      <c r="AQ40">
        <f>IF(COUNTIFS(T_StockCount[Part Name],$A40,T_StockCount[WeekIndex],42)&gt;0,0,IF(('T_TTAFStock'!AQ44&lt;&gt;""),'T_TTAFStock'!AQ44,AP40+'Grid_Incoming'!AQ40-'Grid_TTAFOutgoing'!AQ40))</f>
        <v/>
      </c>
      <c r="AR40">
        <f>IF(COUNTIFS(T_StockCount[Part Name],$A40,T_StockCount[WeekIndex],43)&gt;0,0,IF(('T_TTAFStock'!AR44&lt;&gt;""),'T_TTAFStock'!AR44,AQ40+'Grid_Incoming'!AR40-'Grid_TTAFOutgoing'!AR40))</f>
        <v/>
      </c>
      <c r="AS40">
        <f>IF(COUNTIFS(T_StockCount[Part Name],$A40,T_StockCount[WeekIndex],44)&gt;0,0,IF(('T_TTAFStock'!AS44&lt;&gt;""),'T_TTAFStock'!AS44,AR40+'Grid_Incoming'!AS40-'Grid_TTAFOutgoing'!AS40))</f>
        <v/>
      </c>
      <c r="AT40">
        <f>IF(COUNTIFS(T_StockCount[Part Name],$A40,T_StockCount[WeekIndex],45)&gt;0,0,IF(('T_TTAFStock'!AT44&lt;&gt;""),'T_TTAFStock'!AT44,AS40+'Grid_Incoming'!AT40-'Grid_TTAFOutgoing'!AT40))</f>
        <v/>
      </c>
      <c r="AU40">
        <f>IF(COUNTIFS(T_StockCount[Part Name],$A40,T_StockCount[WeekIndex],46)&gt;0,0,IF(('T_TTAFStock'!AU44&lt;&gt;""),'T_TTAFStock'!AU44,AT40+'Grid_Incoming'!AU40-'Grid_TTAFOutgoing'!AU40))</f>
        <v/>
      </c>
      <c r="AV40">
        <f>IF(COUNTIFS(T_StockCount[Part Name],$A40,T_StockCount[WeekIndex],47)&gt;0,0,IF(('T_TTAFStock'!AV44&lt;&gt;""),'T_TTAFStock'!AV44,AU40+'Grid_Incoming'!AV40-'Grid_TTAFOutgoing'!AV40))</f>
        <v/>
      </c>
      <c r="AW40">
        <f>IF(COUNTIFS(T_StockCount[Part Name],$A40,T_StockCount[WeekIndex],48)&gt;0,0,IF(('T_TTAFStock'!AW44&lt;&gt;""),'T_TTAFStock'!AW44,AV40+'Grid_Incoming'!AW40-'Grid_TTAFOutgoing'!AW40))</f>
        <v/>
      </c>
      <c r="AX40">
        <f>IF(COUNTIFS(T_StockCount[Part Name],$A40,T_StockCount[WeekIndex],49)&gt;0,0,IF(('T_TTAFStock'!AX44&lt;&gt;""),'T_TTAFStock'!AX44,AW40+'Grid_Incoming'!AX40-'Grid_TTAFOutgoing'!AX40))</f>
        <v/>
      </c>
      <c r="AY40">
        <f>IF(COUNTIFS(T_StockCount[Part Name],$A40,T_StockCount[WeekIndex],50)&gt;0,0,IF(('T_TTAFStock'!AY44&lt;&gt;""),'T_TTAFStock'!AY44,AX40+'Grid_Incoming'!AY40-'Grid_TTAFOutgoing'!AY40))</f>
        <v/>
      </c>
      <c r="AZ40">
        <f>IF(COUNTIFS(T_StockCount[Part Name],$A40,T_StockCount[WeekIndex],51)&gt;0,0,IF(('T_TTAFStock'!AZ44&lt;&gt;""),'T_TTAFStock'!AZ44,AY40+'Grid_Incoming'!AZ40-'Grid_TTAFOutgoing'!AZ40))</f>
        <v/>
      </c>
      <c r="BA40">
        <f>IF(COUNTIFS(T_StockCount[Part Name],$A40,T_StockCount[WeekIndex],52)&gt;0,0,IF(('T_TTAFStock'!BA44&lt;&gt;""),'T_TTAFStock'!BA44,AZ40+'Grid_Incoming'!BA40-'Grid_TTAFOutgoing'!BA40))</f>
        <v/>
      </c>
      <c r="BB40">
        <f>IF(COUNTIFS(T_StockCount[Part Name],$A40,T_StockCount[WeekIndex],53)&gt;0,0,IF(('T_TTAFStock'!BB44&lt;&gt;""),'T_TTAFStock'!BB44,BA40+'Grid_Incoming'!BB40-'Grid_TTAFOutgoing'!BB40))</f>
        <v/>
      </c>
      <c r="BC40">
        <f>IF(COUNTIFS(T_StockCount[Part Name],$A40,T_StockCount[WeekIndex],54)&gt;0,0,IF(('T_TTAFStock'!BC44&lt;&gt;""),'T_TTAFStock'!BC44,BB40+'Grid_Incoming'!BC40-'Grid_TTAFOutgoing'!BC40))</f>
        <v/>
      </c>
      <c r="BD40">
        <f>IF(COUNTIFS(T_StockCount[Part Name],$A40,T_StockCount[WeekIndex],55)&gt;0,0,IF(('T_TTAFStock'!BD44&lt;&gt;""),'T_TTAFStock'!BD44,BC40+'Grid_Incoming'!BD40-'Grid_TTAFOutgoing'!BD40))</f>
        <v/>
      </c>
      <c r="BE40">
        <f>IF(COUNTIFS(T_StockCount[Part Name],$A40,T_StockCount[WeekIndex],56)&gt;0,0,IF(('T_TTAFStock'!BE44&lt;&gt;""),'T_TTAFStock'!BE44,BD40+'Grid_Incoming'!BE40-'Grid_TTAFOutgoing'!BE40))</f>
        <v/>
      </c>
      <c r="BF40">
        <f>IF(COUNTIFS(T_StockCount[Part Name],$A40,T_StockCount[WeekIndex],57)&gt;0,0,IF(('T_TTAFStock'!BF44&lt;&gt;""),'T_TTAFStock'!BF44,BE40+'Grid_Incoming'!BF40-'Grid_TTAFOutgoing'!BF40))</f>
        <v/>
      </c>
      <c r="BG40">
        <f>IF(COUNTIFS(T_StockCount[Part Name],$A40,T_StockCount[WeekIndex],58)&gt;0,0,IF(('T_TTAFStock'!BG44&lt;&gt;""),'T_TTAFStock'!BG44,BF40+'Grid_Incoming'!BG40-'Grid_TTAFOutgoing'!BG40))</f>
        <v/>
      </c>
      <c r="BH40">
        <f>IF(COUNTIFS(T_StockCount[Part Name],$A40,T_StockCount[WeekIndex],59)&gt;0,0,IF(('T_TTAFStock'!BH44&lt;&gt;""),'T_TTAFStock'!BH44,BG40+'Grid_Incoming'!BH40-'Grid_TTAFOutgoing'!BH40))</f>
        <v/>
      </c>
      <c r="BI40">
        <f>IF(COUNTIFS(T_StockCount[Part Name],$A40,T_StockCount[WeekIndex],60)&gt;0,0,IF(('T_TTAFStock'!BI44&lt;&gt;""),'T_TTAFStock'!BI44,BH40+'Grid_Incoming'!BI40-'Grid_TTAFOutgoing'!BI40))</f>
        <v/>
      </c>
      <c r="BJ40">
        <f>IF(COUNTIFS(T_StockCount[Part Name],$A40,T_StockCount[WeekIndex],61)&gt;0,0,IF(('T_TTAFStock'!BJ44&lt;&gt;""),'T_TTAFStock'!BJ44,BI40+'Grid_Incoming'!BJ40-'Grid_TTAFOutgoing'!BJ40))</f>
        <v/>
      </c>
      <c r="BK40">
        <f>IF(COUNTIFS(T_StockCount[Part Name],$A40,T_StockCount[WeekIndex],62)&gt;0,0,IF(('T_TTAFStock'!BK44&lt;&gt;""),'T_TTAFStock'!BK44,BJ40+'Grid_Incoming'!BK40-'Grid_TTAFOutgoing'!BK40))</f>
        <v/>
      </c>
      <c r="BL40">
        <f>IF(COUNTIFS(T_StockCount[Part Name],$A40,T_StockCount[WeekIndex],63)&gt;0,0,IF(('T_TTAFStock'!BL44&lt;&gt;""),'T_TTAFStock'!BL44,BK40+'Grid_Incoming'!BL40-'Grid_TTAFOutgoing'!BL40))</f>
        <v/>
      </c>
      <c r="BM40">
        <f>IF(COUNTIFS(T_StockCount[Part Name],$A40,T_StockCount[WeekIndex],64)&gt;0,0,IF(('T_TTAFStock'!BM44&lt;&gt;""),'T_TTAFStock'!BM44,BL40+'Grid_Incoming'!BM40-'Grid_TTAFOutgoing'!BM40))</f>
        <v/>
      </c>
      <c r="BN40">
        <f>IF(COUNTIFS(T_StockCount[Part Name],$A40,T_StockCount[WeekIndex],65)&gt;0,0,IF(('T_TTAFStock'!BN44&lt;&gt;""),'T_TTAFStock'!BN44,BM40+'Grid_Incoming'!BN40-'Grid_TTAFOutgoing'!BN40))</f>
        <v/>
      </c>
      <c r="BO40">
        <f>IF(COUNTIFS(T_StockCount[Part Name],$A40,T_StockCount[WeekIndex],66)&gt;0,0,IF(('T_TTAFStock'!BO44&lt;&gt;""),'T_TTAFStock'!BO44,BN40+'Grid_Incoming'!BO40-'Grid_TTAFOutgoing'!BO40))</f>
        <v/>
      </c>
      <c r="BP40">
        <f>IF(COUNTIFS(T_StockCount[Part Name],$A40,T_StockCount[WeekIndex],67)&gt;0,0,IF(('T_TTAFStock'!BP44&lt;&gt;""),'T_TTAFStock'!BP44,BO40+'Grid_Incoming'!BP40-'Grid_TTAFOutgoing'!BP40))</f>
        <v/>
      </c>
      <c r="BQ40">
        <f>IF(COUNTIFS(T_StockCount[Part Name],$A40,T_StockCount[WeekIndex],68)&gt;0,0,IF(('T_TTAFStock'!BQ44&lt;&gt;""),'T_TTAFStock'!BQ44,BP40+'Grid_Incoming'!BQ40-'Grid_TTAFOutgoing'!BQ40))</f>
        <v/>
      </c>
      <c r="BR40">
        <f>IF(COUNTIFS(T_StockCount[Part Name],$A40,T_StockCount[WeekIndex],69)&gt;0,0,IF(('T_TTAFStock'!BR44&lt;&gt;""),'T_TTAFStock'!BR44,BQ40+'Grid_Incoming'!BR40-'Grid_TTAFOutgoing'!BR40))</f>
        <v/>
      </c>
      <c r="BS40">
        <f>IF(COUNTIFS(T_StockCount[Part Name],$A40,T_StockCount[WeekIndex],70)&gt;0,0,IF(('T_TTAFStock'!BS44&lt;&gt;""),'T_TTAFStock'!BS44,BR40+'Grid_Incoming'!BS40-'Grid_TTAFOutgoing'!BS40))</f>
        <v/>
      </c>
      <c r="BT40">
        <f>IF(COUNTIFS(T_StockCount[Part Name],$A40,T_StockCount[WeekIndex],71)&gt;0,0,IF(('T_TTAFStock'!BT44&lt;&gt;""),'T_TTAFStock'!BT44,BS40+'Grid_Incoming'!BT40-'Grid_TTAFOutgoing'!BT40))</f>
        <v/>
      </c>
      <c r="BU40">
        <f>IF(COUNTIFS(T_StockCount[Part Name],$A40,T_StockCount[WeekIndex],72)&gt;0,0,IF(('T_TTAFStock'!BU44&lt;&gt;""),'T_TTAFStock'!BU44,BT40+'Grid_Incoming'!BU40-'Grid_TTAFOutgoing'!BU40))</f>
        <v/>
      </c>
      <c r="BV40">
        <f>IF(COUNTIFS(T_StockCount[Part Name],$A40,T_StockCount[WeekIndex],73)&gt;0,0,IF(('T_TTAFStock'!BV44&lt;&gt;""),'T_TTAFStock'!BV44,BU40+'Grid_Incoming'!BV40-'Grid_TTAFOutgoing'!BV40))</f>
        <v/>
      </c>
      <c r="BW40">
        <f>IF(COUNTIFS(T_StockCount[Part Name],$A40,T_StockCount[WeekIndex],74)&gt;0,0,IF(('T_TTAFStock'!BW44&lt;&gt;""),'T_TTAFStock'!BW44,BV40+'Grid_Incoming'!BW40-'Grid_TTAFOutgoing'!BW40))</f>
        <v/>
      </c>
      <c r="BX40">
        <f>IF(COUNTIFS(T_StockCount[Part Name],$A40,T_StockCount[WeekIndex],75)&gt;0,0,IF(('T_TTAFStock'!BX44&lt;&gt;""),'T_TTAFStock'!BX44,BW40+'Grid_Incoming'!BX40-'Grid_TTAFOutgoing'!BX40))</f>
        <v/>
      </c>
      <c r="BY40">
        <f>IF(COUNTIFS(T_StockCount[Part Name],$A40,T_StockCount[WeekIndex],76)&gt;0,0,IF(('T_TTAFStock'!BY44&lt;&gt;""),'T_TTAFStock'!BY44,BX40+'Grid_Incoming'!BY40-'Grid_TTAFOutgoing'!BY40))</f>
        <v/>
      </c>
      <c r="BZ40">
        <f>IF(COUNTIFS(T_StockCount[Part Name],$A40,T_StockCount[WeekIndex],77)&gt;0,0,IF(('T_TTAFStock'!BZ44&lt;&gt;""),'T_TTAFStock'!BZ44,BY40+'Grid_Incoming'!BZ40-'Grid_TTAFOutgoing'!BZ40))</f>
        <v/>
      </c>
      <c r="CA40">
        <f>IF(COUNTIFS(T_StockCount[Part Name],$A40,T_StockCount[WeekIndex],78)&gt;0,0,IF(('T_TTAFStock'!CA44&lt;&gt;""),'T_TTAFStock'!CA44,BZ40+'Grid_Incoming'!CA40-'Grid_TTAFOutgoing'!CA40))</f>
        <v/>
      </c>
      <c r="CB40">
        <f>IF(COUNTIFS(T_StockCount[Part Name],$A40,T_StockCount[WeekIndex],79)&gt;0,0,IF(('T_TTAFStock'!CB44&lt;&gt;""),'T_TTAFStock'!CB44,CA40+'Grid_Incoming'!CB40-'Grid_TTAFOutgoing'!CB40))</f>
        <v/>
      </c>
      <c r="CC40">
        <f>IF(COUNTIFS(T_StockCount[Part Name],$A40,T_StockCount[WeekIndex],80)&gt;0,0,IF(('T_TTAFStock'!CC44&lt;&gt;""),'T_TTAFStock'!CC44,CB40+'Grid_Incoming'!CC40-'Grid_TTAFOutgoing'!CC40))</f>
        <v/>
      </c>
      <c r="CD40">
        <f>IF(COUNTIFS(T_StockCount[Part Name],$A40,T_StockCount[WeekIndex],81)&gt;0,0,IF(('T_TTAFStock'!CD44&lt;&gt;""),'T_TTAFStock'!CD44,CC40+'Grid_Incoming'!CD40-'Grid_TTAFOutgoing'!CD40))</f>
        <v/>
      </c>
      <c r="CE40">
        <f>IF(COUNTIFS(T_StockCount[Part Name],$A40,T_StockCount[WeekIndex],82)&gt;0,0,IF(('T_TTAFStock'!CE44&lt;&gt;""),'T_TTAFStock'!CE44,CD40+'Grid_Incoming'!CE40-'Grid_TTAFOutgoing'!CE40))</f>
        <v/>
      </c>
      <c r="CF40">
        <f>IF(COUNTIFS(T_StockCount[Part Name],$A40,T_StockCount[WeekIndex],83)&gt;0,0,IF(('T_TTAFStock'!CF44&lt;&gt;""),'T_TTAFStock'!CF44,CE40+'Grid_Incoming'!CF40-'Grid_TTAFOutgoing'!CF40))</f>
        <v/>
      </c>
      <c r="CG40">
        <f>IF(COUNTIFS(T_StockCount[Part Name],$A40,T_StockCount[WeekIndex],84)&gt;0,0,IF(('T_TTAFStock'!CG44&lt;&gt;""),'T_TTAFStock'!CG44,CF40+'Grid_Incoming'!CG40-'Grid_TTAFOutgoing'!CG40))</f>
        <v/>
      </c>
      <c r="CH40">
        <f>IF(COUNTIFS(T_StockCount[Part Name],$A40,T_StockCount[WeekIndex],85)&gt;0,0,IF(('T_TTAFStock'!CH44&lt;&gt;""),'T_TTAFStock'!CH44,CG40+'Grid_Incoming'!CH40-'Grid_TTAFOutgoing'!CH40))</f>
        <v/>
      </c>
      <c r="CI40">
        <f>IF(COUNTIFS(T_StockCount[Part Name],$A40,T_StockCount[WeekIndex],86)&gt;0,0,IF(('T_TTAFStock'!CI44&lt;&gt;""),'T_TTAFStock'!CI44,CH40+'Grid_Incoming'!CI40-'Grid_TTAFOutgoing'!CI40))</f>
        <v/>
      </c>
      <c r="CJ40">
        <f>IF(COUNTIFS(T_StockCount[Part Name],$A40,T_StockCount[WeekIndex],87)&gt;0,0,IF(('T_TTAFStock'!CJ44&lt;&gt;""),'T_TTAFStock'!CJ44,CI40+'Grid_Incoming'!CJ40-'Grid_TTAFOutgoing'!CJ40))</f>
        <v/>
      </c>
      <c r="CK40">
        <f>IF(COUNTIFS(T_StockCount[Part Name],$A40,T_StockCount[WeekIndex],88)&gt;0,0,IF(('T_TTAFStock'!CK44&lt;&gt;""),'T_TTAFStock'!CK44,CJ40+'Grid_Incoming'!CK40-'Grid_TTAFOutgoing'!CK40))</f>
        <v/>
      </c>
      <c r="CL40">
        <f>IF(COUNTIFS(T_StockCount[Part Name],$A40,T_StockCount[WeekIndex],89)&gt;0,0,IF(('T_TTAFStock'!CL44&lt;&gt;""),'T_TTAFStock'!CL44,CK40+'Grid_Incoming'!CL40-'Grid_TTAFOutgoing'!CL40))</f>
        <v/>
      </c>
      <c r="CM40">
        <f>IF(COUNTIFS(T_StockCount[Part Name],$A40,T_StockCount[WeekIndex],90)&gt;0,0,IF(('T_TTAFStock'!CM44&lt;&gt;""),'T_TTAFStock'!CM44,CL40+'Grid_Incoming'!CM40-'Grid_TTAFOutgoing'!CM40))</f>
        <v/>
      </c>
      <c r="CN40">
        <f>IF(COUNTIFS(T_StockCount[Part Name],$A40,T_StockCount[WeekIndex],91)&gt;0,0,IF(('T_TTAFStock'!CN44&lt;&gt;""),'T_TTAFStock'!CN44,CM40+'Grid_Incoming'!CN40-'Grid_TTAFOutgoing'!CN40))</f>
        <v/>
      </c>
      <c r="CO40">
        <f>IF(COUNTIFS(T_StockCount[Part Name],$A40,T_StockCount[WeekIndex],92)&gt;0,0,IF(('T_TTAFStock'!CO44&lt;&gt;""),'T_TTAFStock'!CO44,CN40+'Grid_Incoming'!CO40-'Grid_TTAFOutgoing'!CO40))</f>
        <v/>
      </c>
      <c r="CP40">
        <f>IF(COUNTIFS(T_StockCount[Part Name],$A40,T_StockCount[WeekIndex],93)&gt;0,0,IF(('T_TTAFStock'!CP44&lt;&gt;""),'T_TTAFStock'!CP44,CO40+'Grid_Incoming'!CP40-'Grid_TTAFOutgoing'!CP40))</f>
        <v/>
      </c>
      <c r="CQ40">
        <f>IF(COUNTIFS(T_StockCount[Part Name],$A40,T_StockCount[WeekIndex],94)&gt;0,0,IF(('T_TTAFStock'!CQ44&lt;&gt;""),'T_TTAFStock'!CQ44,CP40+'Grid_Incoming'!CQ40-'Grid_TTAFOutgoing'!CQ40))</f>
        <v/>
      </c>
      <c r="CR40">
        <f>IF(COUNTIFS(T_StockCount[Part Name],$A40,T_StockCount[WeekIndex],95)&gt;0,0,IF(('T_TTAFStock'!CR44&lt;&gt;""),'T_TTAFStock'!CR44,CQ40+'Grid_Incoming'!CR40-'Grid_TTAFOutgoing'!CR40))</f>
        <v/>
      </c>
      <c r="CS40">
        <f>IF(COUNTIFS(T_StockCount[Part Name],$A40,T_StockCount[WeekIndex],96)&gt;0,0,IF(('T_TTAFStock'!CS44&lt;&gt;""),'T_TTAFStock'!CS44,CR40+'Grid_Incoming'!CS40-'Grid_TTAFOutgoing'!CS40))</f>
        <v/>
      </c>
      <c r="CT40">
        <f>IF(COUNTIFS(T_StockCount[Part Name],$A40,T_StockCount[WeekIndex],97)&gt;0,0,IF(('T_TTAFStock'!CT44&lt;&gt;""),'T_TTAFStock'!CT44,CS40+'Grid_Incoming'!CT40-'Grid_TTAFOutgoing'!CT40))</f>
        <v/>
      </c>
      <c r="CU40">
        <f>IF(COUNTIFS(T_StockCount[Part Name],$A40,T_StockCount[WeekIndex],98)&gt;0,0,IF(('T_TTAFStock'!CU44&lt;&gt;""),'T_TTAFStock'!CU44,CT40+'Grid_Incoming'!CU40-'Grid_TTAFOutgoing'!CU40))</f>
        <v/>
      </c>
      <c r="CV40">
        <f>IF(COUNTIFS(T_StockCount[Part Name],$A40,T_StockCount[WeekIndex],99)&gt;0,0,IF(('T_TTAFStock'!CV44&lt;&gt;""),'T_TTAFStock'!CV44,CU40+'Grid_Incoming'!CV40-'Grid_TTAFOutgoing'!CV40))</f>
        <v/>
      </c>
      <c r="CW40">
        <f>IF(COUNTIFS(T_StockCount[Part Name],$A40,T_StockCount[WeekIndex],100)&gt;0,0,IF(('T_TTAFStock'!CW44&lt;&gt;""),'T_TTAFStock'!CW44,CV40+'Grid_Incoming'!CW40-'Grid_TTAFOutgoing'!CW40))</f>
        <v/>
      </c>
      <c r="CX40">
        <f>IF(COUNTIFS(T_StockCount[Part Name],$A40,T_StockCount[WeekIndex],101)&gt;0,0,IF(('T_TTAFStock'!CX44&lt;&gt;""),'T_TTAFStock'!CX44,CW40+'Grid_Incoming'!CX40-'Grid_TTAFOutgoing'!CX40))</f>
        <v/>
      </c>
      <c r="CY40">
        <f>IF(COUNTIFS(T_StockCount[Part Name],$A40,T_StockCount[WeekIndex],102)&gt;0,0,IF(('T_TTAFStock'!CY44&lt;&gt;""),'T_TTAFStock'!CY44,CX40+'Grid_Incoming'!CY40-'Grid_TTAFOutgoing'!CY40))</f>
        <v/>
      </c>
      <c r="CZ40">
        <f>IF(COUNTIFS(T_StockCount[Part Name],$A40,T_StockCount[WeekIndex],103)&gt;0,0,IF(('T_TTAFStock'!CZ44&lt;&gt;""),'T_TTAFStock'!CZ44,CY40+'Grid_Incoming'!CZ40-'Grid_TTAFOutgoing'!CZ40))</f>
        <v/>
      </c>
      <c r="DA40">
        <f>IF(COUNTIFS(T_StockCount[Part Name],$A40,T_StockCount[WeekIndex],104)&gt;0,0,IF(('T_TTAFStock'!DA44&lt;&gt;""),'T_TTAFStock'!DA44,CZ40+'Grid_Incoming'!DA40-'Grid_TTAFOutgoing'!DA40))</f>
        <v/>
      </c>
    </row>
    <row r="41">
      <c r="A41" t="inlineStr">
        <is>
          <t>1JN</t>
        </is>
      </c>
      <c r="B41">
        <f>IF(COUNTIFS(T_StockCount[Part Name],$A41,T_StockCount[WeekIndex],1)&gt;0,0,IF(('T_TTAFStock'!B45&lt;&gt;""),'T_TTAFStock'!B45,0+'Grid_Incoming'!B41-'Grid_TTAFOutgoing'!B41))</f>
        <v/>
      </c>
      <c r="C41">
        <f>IF(COUNTIFS(T_StockCount[Part Name],$A41,T_StockCount[WeekIndex],2)&gt;0,0,IF(('T_TTAFStock'!C45&lt;&gt;""),'T_TTAFStock'!C45,B41+'Grid_Incoming'!C41-'Grid_TTAFOutgoing'!C41))</f>
        <v/>
      </c>
      <c r="D41">
        <f>IF(COUNTIFS(T_StockCount[Part Name],$A41,T_StockCount[WeekIndex],3)&gt;0,0,IF(('T_TTAFStock'!D45&lt;&gt;""),'T_TTAFStock'!D45,C41+'Grid_Incoming'!D41-'Grid_TTAFOutgoing'!D41))</f>
        <v/>
      </c>
      <c r="E41">
        <f>IF(COUNTIFS(T_StockCount[Part Name],$A41,T_StockCount[WeekIndex],4)&gt;0,0,IF(('T_TTAFStock'!E45&lt;&gt;""),'T_TTAFStock'!E45,D41+'Grid_Incoming'!E41-'Grid_TTAFOutgoing'!E41))</f>
        <v/>
      </c>
      <c r="F41">
        <f>IF(COUNTIFS(T_StockCount[Part Name],$A41,T_StockCount[WeekIndex],5)&gt;0,0,IF(('T_TTAFStock'!F45&lt;&gt;""),'T_TTAFStock'!F45,E41+'Grid_Incoming'!F41-'Grid_TTAFOutgoing'!F41))</f>
        <v/>
      </c>
      <c r="G41">
        <f>IF(COUNTIFS(T_StockCount[Part Name],$A41,T_StockCount[WeekIndex],6)&gt;0,0,IF(('T_TTAFStock'!G45&lt;&gt;""),'T_TTAFStock'!G45,F41+'Grid_Incoming'!G41-'Grid_TTAFOutgoing'!G41))</f>
        <v/>
      </c>
      <c r="H41">
        <f>IF(COUNTIFS(T_StockCount[Part Name],$A41,T_StockCount[WeekIndex],7)&gt;0,0,IF(('T_TTAFStock'!H45&lt;&gt;""),'T_TTAFStock'!H45,G41+'Grid_Incoming'!H41-'Grid_TTAFOutgoing'!H41))</f>
        <v/>
      </c>
      <c r="I41">
        <f>IF(COUNTIFS(T_StockCount[Part Name],$A41,T_StockCount[WeekIndex],8)&gt;0,0,IF(('T_TTAFStock'!I45&lt;&gt;""),'T_TTAFStock'!I45,H41+'Grid_Incoming'!I41-'Grid_TTAFOutgoing'!I41))</f>
        <v/>
      </c>
      <c r="J41">
        <f>IF(COUNTIFS(T_StockCount[Part Name],$A41,T_StockCount[WeekIndex],9)&gt;0,0,IF(('T_TTAFStock'!J45&lt;&gt;""),'T_TTAFStock'!J45,I41+'Grid_Incoming'!J41-'Grid_TTAFOutgoing'!J41))</f>
        <v/>
      </c>
      <c r="K41">
        <f>IF(COUNTIFS(T_StockCount[Part Name],$A41,T_StockCount[WeekIndex],10)&gt;0,0,IF(('T_TTAFStock'!K45&lt;&gt;""),'T_TTAFStock'!K45,J41+'Grid_Incoming'!K41-'Grid_TTAFOutgoing'!K41))</f>
        <v/>
      </c>
      <c r="L41">
        <f>IF(COUNTIFS(T_StockCount[Part Name],$A41,T_StockCount[WeekIndex],11)&gt;0,0,IF(('T_TTAFStock'!L45&lt;&gt;""),'T_TTAFStock'!L45,K41+'Grid_Incoming'!L41-'Grid_TTAFOutgoing'!L41))</f>
        <v/>
      </c>
      <c r="M41">
        <f>IF(COUNTIFS(T_StockCount[Part Name],$A41,T_StockCount[WeekIndex],12)&gt;0,0,IF(('T_TTAFStock'!M45&lt;&gt;""),'T_TTAFStock'!M45,L41+'Grid_Incoming'!M41-'Grid_TTAFOutgoing'!M41))</f>
        <v/>
      </c>
      <c r="N41">
        <f>IF(COUNTIFS(T_StockCount[Part Name],$A41,T_StockCount[WeekIndex],13)&gt;0,0,IF(('T_TTAFStock'!N45&lt;&gt;""),'T_TTAFStock'!N45,M41+'Grid_Incoming'!N41-'Grid_TTAFOutgoing'!N41))</f>
        <v/>
      </c>
      <c r="O41">
        <f>IF(COUNTIFS(T_StockCount[Part Name],$A41,T_StockCount[WeekIndex],14)&gt;0,0,IF(('T_TTAFStock'!O45&lt;&gt;""),'T_TTAFStock'!O45,N41+'Grid_Incoming'!O41-'Grid_TTAFOutgoing'!O41))</f>
        <v/>
      </c>
      <c r="P41">
        <f>IF(COUNTIFS(T_StockCount[Part Name],$A41,T_StockCount[WeekIndex],15)&gt;0,0,IF(('T_TTAFStock'!P45&lt;&gt;""),'T_TTAFStock'!P45,O41+'Grid_Incoming'!P41-'Grid_TTAFOutgoing'!P41))</f>
        <v/>
      </c>
      <c r="Q41">
        <f>IF(COUNTIFS(T_StockCount[Part Name],$A41,T_StockCount[WeekIndex],16)&gt;0,0,IF(('T_TTAFStock'!Q45&lt;&gt;""),'T_TTAFStock'!Q45,P41+'Grid_Incoming'!Q41-'Grid_TTAFOutgoing'!Q41))</f>
        <v/>
      </c>
      <c r="R41">
        <f>IF(COUNTIFS(T_StockCount[Part Name],$A41,T_StockCount[WeekIndex],17)&gt;0,0,IF(('T_TTAFStock'!R45&lt;&gt;""),'T_TTAFStock'!R45,Q41+'Grid_Incoming'!R41-'Grid_TTAFOutgoing'!R41))</f>
        <v/>
      </c>
      <c r="S41">
        <f>IF(COUNTIFS(T_StockCount[Part Name],$A41,T_StockCount[WeekIndex],18)&gt;0,0,IF(('T_TTAFStock'!S45&lt;&gt;""),'T_TTAFStock'!S45,R41+'Grid_Incoming'!S41-'Grid_TTAFOutgoing'!S41))</f>
        <v/>
      </c>
      <c r="T41">
        <f>IF(COUNTIFS(T_StockCount[Part Name],$A41,T_StockCount[WeekIndex],19)&gt;0,0,IF(('T_TTAFStock'!T45&lt;&gt;""),'T_TTAFStock'!T45,S41+'Grid_Incoming'!T41-'Grid_TTAFOutgoing'!T41))</f>
        <v/>
      </c>
      <c r="U41">
        <f>IF(COUNTIFS(T_StockCount[Part Name],$A41,T_StockCount[WeekIndex],20)&gt;0,0,IF(('T_TTAFStock'!U45&lt;&gt;""),'T_TTAFStock'!U45,T41+'Grid_Incoming'!U41-'Grid_TTAFOutgoing'!U41))</f>
        <v/>
      </c>
      <c r="V41">
        <f>IF(COUNTIFS(T_StockCount[Part Name],$A41,T_StockCount[WeekIndex],21)&gt;0,0,IF(('T_TTAFStock'!V45&lt;&gt;""),'T_TTAFStock'!V45,U41+'Grid_Incoming'!V41-'Grid_TTAFOutgoing'!V41))</f>
        <v/>
      </c>
      <c r="W41">
        <f>IF(COUNTIFS(T_StockCount[Part Name],$A41,T_StockCount[WeekIndex],22)&gt;0,0,IF(('T_TTAFStock'!W45&lt;&gt;""),'T_TTAFStock'!W45,V41+'Grid_Incoming'!W41-'Grid_TTAFOutgoing'!W41))</f>
        <v/>
      </c>
      <c r="X41">
        <f>IF(COUNTIFS(T_StockCount[Part Name],$A41,T_StockCount[WeekIndex],23)&gt;0,0,IF(('T_TTAFStock'!X45&lt;&gt;""),'T_TTAFStock'!X45,W41+'Grid_Incoming'!X41-'Grid_TTAFOutgoing'!X41))</f>
        <v/>
      </c>
      <c r="Y41">
        <f>IF(COUNTIFS(T_StockCount[Part Name],$A41,T_StockCount[WeekIndex],24)&gt;0,0,IF(('T_TTAFStock'!Y45&lt;&gt;""),'T_TTAFStock'!Y45,X41+'Grid_Incoming'!Y41-'Grid_TTAFOutgoing'!Y41))</f>
        <v/>
      </c>
      <c r="Z41">
        <f>IF(COUNTIFS(T_StockCount[Part Name],$A41,T_StockCount[WeekIndex],25)&gt;0,0,IF(('T_TTAFStock'!Z45&lt;&gt;""),'T_TTAFStock'!Z45,Y41+'Grid_Incoming'!Z41-'Grid_TTAFOutgoing'!Z41))</f>
        <v/>
      </c>
      <c r="AA41">
        <f>IF(COUNTIFS(T_StockCount[Part Name],$A41,T_StockCount[WeekIndex],26)&gt;0,0,IF(('T_TTAFStock'!AA45&lt;&gt;""),'T_TTAFStock'!AA45,Z41+'Grid_Incoming'!AA41-'Grid_TTAFOutgoing'!AA41))</f>
        <v/>
      </c>
      <c r="AB41">
        <f>IF(COUNTIFS(T_StockCount[Part Name],$A41,T_StockCount[WeekIndex],27)&gt;0,0,IF(('T_TTAFStock'!AB45&lt;&gt;""),'T_TTAFStock'!AB45,AA41+'Grid_Incoming'!AB41-'Grid_TTAFOutgoing'!AB41))</f>
        <v/>
      </c>
      <c r="AC41">
        <f>IF(COUNTIFS(T_StockCount[Part Name],$A41,T_StockCount[WeekIndex],28)&gt;0,0,IF(('T_TTAFStock'!AC45&lt;&gt;""),'T_TTAFStock'!AC45,AB41+'Grid_Incoming'!AC41-'Grid_TTAFOutgoing'!AC41))</f>
        <v/>
      </c>
      <c r="AD41">
        <f>IF(COUNTIFS(T_StockCount[Part Name],$A41,T_StockCount[WeekIndex],29)&gt;0,0,IF(('T_TTAFStock'!AD45&lt;&gt;""),'T_TTAFStock'!AD45,AC41+'Grid_Incoming'!AD41-'Grid_TTAFOutgoing'!AD41))</f>
        <v/>
      </c>
      <c r="AE41">
        <f>IF(COUNTIFS(T_StockCount[Part Name],$A41,T_StockCount[WeekIndex],30)&gt;0,0,IF(('T_TTAFStock'!AE45&lt;&gt;""),'T_TTAFStock'!AE45,AD41+'Grid_Incoming'!AE41-'Grid_TTAFOutgoing'!AE41))</f>
        <v/>
      </c>
      <c r="AF41">
        <f>IF(COUNTIFS(T_StockCount[Part Name],$A41,T_StockCount[WeekIndex],31)&gt;0,0,IF(('T_TTAFStock'!AF45&lt;&gt;""),'T_TTAFStock'!AF45,AE41+'Grid_Incoming'!AF41-'Grid_TTAFOutgoing'!AF41))</f>
        <v/>
      </c>
      <c r="AG41">
        <f>IF(COUNTIFS(T_StockCount[Part Name],$A41,T_StockCount[WeekIndex],32)&gt;0,0,IF(('T_TTAFStock'!AG45&lt;&gt;""),'T_TTAFStock'!AG45,AF41+'Grid_Incoming'!AG41-'Grid_TTAFOutgoing'!AG41))</f>
        <v/>
      </c>
      <c r="AH41">
        <f>IF(COUNTIFS(T_StockCount[Part Name],$A41,T_StockCount[WeekIndex],33)&gt;0,0,IF(('T_TTAFStock'!AH45&lt;&gt;""),'T_TTAFStock'!AH45,AG41+'Grid_Incoming'!AH41-'Grid_TTAFOutgoing'!AH41))</f>
        <v/>
      </c>
      <c r="AI41">
        <f>IF(COUNTIFS(T_StockCount[Part Name],$A41,T_StockCount[WeekIndex],34)&gt;0,0,IF(('T_TTAFStock'!AI45&lt;&gt;""),'T_TTAFStock'!AI45,AH41+'Grid_Incoming'!AI41-'Grid_TTAFOutgoing'!AI41))</f>
        <v/>
      </c>
      <c r="AJ41">
        <f>IF(COUNTIFS(T_StockCount[Part Name],$A41,T_StockCount[WeekIndex],35)&gt;0,0,IF(('T_TTAFStock'!AJ45&lt;&gt;""),'T_TTAFStock'!AJ45,AI41+'Grid_Incoming'!AJ41-'Grid_TTAFOutgoing'!AJ41))</f>
        <v/>
      </c>
      <c r="AK41">
        <f>IF(COUNTIFS(T_StockCount[Part Name],$A41,T_StockCount[WeekIndex],36)&gt;0,0,IF(('T_TTAFStock'!AK45&lt;&gt;""),'T_TTAFStock'!AK45,AJ41+'Grid_Incoming'!AK41-'Grid_TTAFOutgoing'!AK41))</f>
        <v/>
      </c>
      <c r="AL41">
        <f>IF(COUNTIFS(T_StockCount[Part Name],$A41,T_StockCount[WeekIndex],37)&gt;0,0,IF(('T_TTAFStock'!AL45&lt;&gt;""),'T_TTAFStock'!AL45,AK41+'Grid_Incoming'!AL41-'Grid_TTAFOutgoing'!AL41))</f>
        <v/>
      </c>
      <c r="AM41">
        <f>IF(COUNTIFS(T_StockCount[Part Name],$A41,T_StockCount[WeekIndex],38)&gt;0,0,IF(('T_TTAFStock'!AM45&lt;&gt;""),'T_TTAFStock'!AM45,AL41+'Grid_Incoming'!AM41-'Grid_TTAFOutgoing'!AM41))</f>
        <v/>
      </c>
      <c r="AN41">
        <f>IF(COUNTIFS(T_StockCount[Part Name],$A41,T_StockCount[WeekIndex],39)&gt;0,0,IF(('T_TTAFStock'!AN45&lt;&gt;""),'T_TTAFStock'!AN45,AM41+'Grid_Incoming'!AN41-'Grid_TTAFOutgoing'!AN41))</f>
        <v/>
      </c>
      <c r="AO41">
        <f>IF(COUNTIFS(T_StockCount[Part Name],$A41,T_StockCount[WeekIndex],40)&gt;0,0,IF(('T_TTAFStock'!AO45&lt;&gt;""),'T_TTAFStock'!AO45,AN41+'Grid_Incoming'!AO41-'Grid_TTAFOutgoing'!AO41))</f>
        <v/>
      </c>
      <c r="AP41">
        <f>IF(COUNTIFS(T_StockCount[Part Name],$A41,T_StockCount[WeekIndex],41)&gt;0,0,IF(('T_TTAFStock'!AP45&lt;&gt;""),'T_TTAFStock'!AP45,AO41+'Grid_Incoming'!AP41-'Grid_TTAFOutgoing'!AP41))</f>
        <v/>
      </c>
      <c r="AQ41">
        <f>IF(COUNTIFS(T_StockCount[Part Name],$A41,T_StockCount[WeekIndex],42)&gt;0,0,IF(('T_TTAFStock'!AQ45&lt;&gt;""),'T_TTAFStock'!AQ45,AP41+'Grid_Incoming'!AQ41-'Grid_TTAFOutgoing'!AQ41))</f>
        <v/>
      </c>
      <c r="AR41">
        <f>IF(COUNTIFS(T_StockCount[Part Name],$A41,T_StockCount[WeekIndex],43)&gt;0,0,IF(('T_TTAFStock'!AR45&lt;&gt;""),'T_TTAFStock'!AR45,AQ41+'Grid_Incoming'!AR41-'Grid_TTAFOutgoing'!AR41))</f>
        <v/>
      </c>
      <c r="AS41">
        <f>IF(COUNTIFS(T_StockCount[Part Name],$A41,T_StockCount[WeekIndex],44)&gt;0,0,IF(('T_TTAFStock'!AS45&lt;&gt;""),'T_TTAFStock'!AS45,AR41+'Grid_Incoming'!AS41-'Grid_TTAFOutgoing'!AS41))</f>
        <v/>
      </c>
      <c r="AT41">
        <f>IF(COUNTIFS(T_StockCount[Part Name],$A41,T_StockCount[WeekIndex],45)&gt;0,0,IF(('T_TTAFStock'!AT45&lt;&gt;""),'T_TTAFStock'!AT45,AS41+'Grid_Incoming'!AT41-'Grid_TTAFOutgoing'!AT41))</f>
        <v/>
      </c>
      <c r="AU41">
        <f>IF(COUNTIFS(T_StockCount[Part Name],$A41,T_StockCount[WeekIndex],46)&gt;0,0,IF(('T_TTAFStock'!AU45&lt;&gt;""),'T_TTAFStock'!AU45,AT41+'Grid_Incoming'!AU41-'Grid_TTAFOutgoing'!AU41))</f>
        <v/>
      </c>
      <c r="AV41">
        <f>IF(COUNTIFS(T_StockCount[Part Name],$A41,T_StockCount[WeekIndex],47)&gt;0,0,IF(('T_TTAFStock'!AV45&lt;&gt;""),'T_TTAFStock'!AV45,AU41+'Grid_Incoming'!AV41-'Grid_TTAFOutgoing'!AV41))</f>
        <v/>
      </c>
      <c r="AW41">
        <f>IF(COUNTIFS(T_StockCount[Part Name],$A41,T_StockCount[WeekIndex],48)&gt;0,0,IF(('T_TTAFStock'!AW45&lt;&gt;""),'T_TTAFStock'!AW45,AV41+'Grid_Incoming'!AW41-'Grid_TTAFOutgoing'!AW41))</f>
        <v/>
      </c>
      <c r="AX41">
        <f>IF(COUNTIFS(T_StockCount[Part Name],$A41,T_StockCount[WeekIndex],49)&gt;0,0,IF(('T_TTAFStock'!AX45&lt;&gt;""),'T_TTAFStock'!AX45,AW41+'Grid_Incoming'!AX41-'Grid_TTAFOutgoing'!AX41))</f>
        <v/>
      </c>
      <c r="AY41">
        <f>IF(COUNTIFS(T_StockCount[Part Name],$A41,T_StockCount[WeekIndex],50)&gt;0,0,IF(('T_TTAFStock'!AY45&lt;&gt;""),'T_TTAFStock'!AY45,AX41+'Grid_Incoming'!AY41-'Grid_TTAFOutgoing'!AY41))</f>
        <v/>
      </c>
      <c r="AZ41">
        <f>IF(COUNTIFS(T_StockCount[Part Name],$A41,T_StockCount[WeekIndex],51)&gt;0,0,IF(('T_TTAFStock'!AZ45&lt;&gt;""),'T_TTAFStock'!AZ45,AY41+'Grid_Incoming'!AZ41-'Grid_TTAFOutgoing'!AZ41))</f>
        <v/>
      </c>
      <c r="BA41">
        <f>IF(COUNTIFS(T_StockCount[Part Name],$A41,T_StockCount[WeekIndex],52)&gt;0,0,IF(('T_TTAFStock'!BA45&lt;&gt;""),'T_TTAFStock'!BA45,AZ41+'Grid_Incoming'!BA41-'Grid_TTAFOutgoing'!BA41))</f>
        <v/>
      </c>
      <c r="BB41">
        <f>IF(COUNTIFS(T_StockCount[Part Name],$A41,T_StockCount[WeekIndex],53)&gt;0,0,IF(('T_TTAFStock'!BB45&lt;&gt;""),'T_TTAFStock'!BB45,BA41+'Grid_Incoming'!BB41-'Grid_TTAFOutgoing'!BB41))</f>
        <v/>
      </c>
      <c r="BC41">
        <f>IF(COUNTIFS(T_StockCount[Part Name],$A41,T_StockCount[WeekIndex],54)&gt;0,0,IF(('T_TTAFStock'!BC45&lt;&gt;""),'T_TTAFStock'!BC45,BB41+'Grid_Incoming'!BC41-'Grid_TTAFOutgoing'!BC41))</f>
        <v/>
      </c>
      <c r="BD41">
        <f>IF(COUNTIFS(T_StockCount[Part Name],$A41,T_StockCount[WeekIndex],55)&gt;0,0,IF(('T_TTAFStock'!BD45&lt;&gt;""),'T_TTAFStock'!BD45,BC41+'Grid_Incoming'!BD41-'Grid_TTAFOutgoing'!BD41))</f>
        <v/>
      </c>
      <c r="BE41">
        <f>IF(COUNTIFS(T_StockCount[Part Name],$A41,T_StockCount[WeekIndex],56)&gt;0,0,IF(('T_TTAFStock'!BE45&lt;&gt;""),'T_TTAFStock'!BE45,BD41+'Grid_Incoming'!BE41-'Grid_TTAFOutgoing'!BE41))</f>
        <v/>
      </c>
      <c r="BF41">
        <f>IF(COUNTIFS(T_StockCount[Part Name],$A41,T_StockCount[WeekIndex],57)&gt;0,0,IF(('T_TTAFStock'!BF45&lt;&gt;""),'T_TTAFStock'!BF45,BE41+'Grid_Incoming'!BF41-'Grid_TTAFOutgoing'!BF41))</f>
        <v/>
      </c>
      <c r="BG41">
        <f>IF(COUNTIFS(T_StockCount[Part Name],$A41,T_StockCount[WeekIndex],58)&gt;0,0,IF(('T_TTAFStock'!BG45&lt;&gt;""),'T_TTAFStock'!BG45,BF41+'Grid_Incoming'!BG41-'Grid_TTAFOutgoing'!BG41))</f>
        <v/>
      </c>
      <c r="BH41">
        <f>IF(COUNTIFS(T_StockCount[Part Name],$A41,T_StockCount[WeekIndex],59)&gt;0,0,IF(('T_TTAFStock'!BH45&lt;&gt;""),'T_TTAFStock'!BH45,BG41+'Grid_Incoming'!BH41-'Grid_TTAFOutgoing'!BH41))</f>
        <v/>
      </c>
      <c r="BI41">
        <f>IF(COUNTIFS(T_StockCount[Part Name],$A41,T_StockCount[WeekIndex],60)&gt;0,0,IF(('T_TTAFStock'!BI45&lt;&gt;""),'T_TTAFStock'!BI45,BH41+'Grid_Incoming'!BI41-'Grid_TTAFOutgoing'!BI41))</f>
        <v/>
      </c>
      <c r="BJ41">
        <f>IF(COUNTIFS(T_StockCount[Part Name],$A41,T_StockCount[WeekIndex],61)&gt;0,0,IF(('T_TTAFStock'!BJ45&lt;&gt;""),'T_TTAFStock'!BJ45,BI41+'Grid_Incoming'!BJ41-'Grid_TTAFOutgoing'!BJ41))</f>
        <v/>
      </c>
      <c r="BK41">
        <f>IF(COUNTIFS(T_StockCount[Part Name],$A41,T_StockCount[WeekIndex],62)&gt;0,0,IF(('T_TTAFStock'!BK45&lt;&gt;""),'T_TTAFStock'!BK45,BJ41+'Grid_Incoming'!BK41-'Grid_TTAFOutgoing'!BK41))</f>
        <v/>
      </c>
      <c r="BL41">
        <f>IF(COUNTIFS(T_StockCount[Part Name],$A41,T_StockCount[WeekIndex],63)&gt;0,0,IF(('T_TTAFStock'!BL45&lt;&gt;""),'T_TTAFStock'!BL45,BK41+'Grid_Incoming'!BL41-'Grid_TTAFOutgoing'!BL41))</f>
        <v/>
      </c>
      <c r="BM41">
        <f>IF(COUNTIFS(T_StockCount[Part Name],$A41,T_StockCount[WeekIndex],64)&gt;0,0,IF(('T_TTAFStock'!BM45&lt;&gt;""),'T_TTAFStock'!BM45,BL41+'Grid_Incoming'!BM41-'Grid_TTAFOutgoing'!BM41))</f>
        <v/>
      </c>
      <c r="BN41">
        <f>IF(COUNTIFS(T_StockCount[Part Name],$A41,T_StockCount[WeekIndex],65)&gt;0,0,IF(('T_TTAFStock'!BN45&lt;&gt;""),'T_TTAFStock'!BN45,BM41+'Grid_Incoming'!BN41-'Grid_TTAFOutgoing'!BN41))</f>
        <v/>
      </c>
      <c r="BO41">
        <f>IF(COUNTIFS(T_StockCount[Part Name],$A41,T_StockCount[WeekIndex],66)&gt;0,0,IF(('T_TTAFStock'!BO45&lt;&gt;""),'T_TTAFStock'!BO45,BN41+'Grid_Incoming'!BO41-'Grid_TTAFOutgoing'!BO41))</f>
        <v/>
      </c>
      <c r="BP41">
        <f>IF(COUNTIFS(T_StockCount[Part Name],$A41,T_StockCount[WeekIndex],67)&gt;0,0,IF(('T_TTAFStock'!BP45&lt;&gt;""),'T_TTAFStock'!BP45,BO41+'Grid_Incoming'!BP41-'Grid_TTAFOutgoing'!BP41))</f>
        <v/>
      </c>
      <c r="BQ41">
        <f>IF(COUNTIFS(T_StockCount[Part Name],$A41,T_StockCount[WeekIndex],68)&gt;0,0,IF(('T_TTAFStock'!BQ45&lt;&gt;""),'T_TTAFStock'!BQ45,BP41+'Grid_Incoming'!BQ41-'Grid_TTAFOutgoing'!BQ41))</f>
        <v/>
      </c>
      <c r="BR41">
        <f>IF(COUNTIFS(T_StockCount[Part Name],$A41,T_StockCount[WeekIndex],69)&gt;0,0,IF(('T_TTAFStock'!BR45&lt;&gt;""),'T_TTAFStock'!BR45,BQ41+'Grid_Incoming'!BR41-'Grid_TTAFOutgoing'!BR41))</f>
        <v/>
      </c>
      <c r="BS41">
        <f>IF(COUNTIFS(T_StockCount[Part Name],$A41,T_StockCount[WeekIndex],70)&gt;0,0,IF(('T_TTAFStock'!BS45&lt;&gt;""),'T_TTAFStock'!BS45,BR41+'Grid_Incoming'!BS41-'Grid_TTAFOutgoing'!BS41))</f>
        <v/>
      </c>
      <c r="BT41">
        <f>IF(COUNTIFS(T_StockCount[Part Name],$A41,T_StockCount[WeekIndex],71)&gt;0,0,IF(('T_TTAFStock'!BT45&lt;&gt;""),'T_TTAFStock'!BT45,BS41+'Grid_Incoming'!BT41-'Grid_TTAFOutgoing'!BT41))</f>
        <v/>
      </c>
      <c r="BU41">
        <f>IF(COUNTIFS(T_StockCount[Part Name],$A41,T_StockCount[WeekIndex],72)&gt;0,0,IF(('T_TTAFStock'!BU45&lt;&gt;""),'T_TTAFStock'!BU45,BT41+'Grid_Incoming'!BU41-'Grid_TTAFOutgoing'!BU41))</f>
        <v/>
      </c>
      <c r="BV41">
        <f>IF(COUNTIFS(T_StockCount[Part Name],$A41,T_StockCount[WeekIndex],73)&gt;0,0,IF(('T_TTAFStock'!BV45&lt;&gt;""),'T_TTAFStock'!BV45,BU41+'Grid_Incoming'!BV41-'Grid_TTAFOutgoing'!BV41))</f>
        <v/>
      </c>
      <c r="BW41">
        <f>IF(COUNTIFS(T_StockCount[Part Name],$A41,T_StockCount[WeekIndex],74)&gt;0,0,IF(('T_TTAFStock'!BW45&lt;&gt;""),'T_TTAFStock'!BW45,BV41+'Grid_Incoming'!BW41-'Grid_TTAFOutgoing'!BW41))</f>
        <v/>
      </c>
      <c r="BX41">
        <f>IF(COUNTIFS(T_StockCount[Part Name],$A41,T_StockCount[WeekIndex],75)&gt;0,0,IF(('T_TTAFStock'!BX45&lt;&gt;""),'T_TTAFStock'!BX45,BW41+'Grid_Incoming'!BX41-'Grid_TTAFOutgoing'!BX41))</f>
        <v/>
      </c>
      <c r="BY41">
        <f>IF(COUNTIFS(T_StockCount[Part Name],$A41,T_StockCount[WeekIndex],76)&gt;0,0,IF(('T_TTAFStock'!BY45&lt;&gt;""),'T_TTAFStock'!BY45,BX41+'Grid_Incoming'!BY41-'Grid_TTAFOutgoing'!BY41))</f>
        <v/>
      </c>
      <c r="BZ41">
        <f>IF(COUNTIFS(T_StockCount[Part Name],$A41,T_StockCount[WeekIndex],77)&gt;0,0,IF(('T_TTAFStock'!BZ45&lt;&gt;""),'T_TTAFStock'!BZ45,BY41+'Grid_Incoming'!BZ41-'Grid_TTAFOutgoing'!BZ41))</f>
        <v/>
      </c>
      <c r="CA41">
        <f>IF(COUNTIFS(T_StockCount[Part Name],$A41,T_StockCount[WeekIndex],78)&gt;0,0,IF(('T_TTAFStock'!CA45&lt;&gt;""),'T_TTAFStock'!CA45,BZ41+'Grid_Incoming'!CA41-'Grid_TTAFOutgoing'!CA41))</f>
        <v/>
      </c>
      <c r="CB41">
        <f>IF(COUNTIFS(T_StockCount[Part Name],$A41,T_StockCount[WeekIndex],79)&gt;0,0,IF(('T_TTAFStock'!CB45&lt;&gt;""),'T_TTAFStock'!CB45,CA41+'Grid_Incoming'!CB41-'Grid_TTAFOutgoing'!CB41))</f>
        <v/>
      </c>
      <c r="CC41">
        <f>IF(COUNTIFS(T_StockCount[Part Name],$A41,T_StockCount[WeekIndex],80)&gt;0,0,IF(('T_TTAFStock'!CC45&lt;&gt;""),'T_TTAFStock'!CC45,CB41+'Grid_Incoming'!CC41-'Grid_TTAFOutgoing'!CC41))</f>
        <v/>
      </c>
      <c r="CD41">
        <f>IF(COUNTIFS(T_StockCount[Part Name],$A41,T_StockCount[WeekIndex],81)&gt;0,0,IF(('T_TTAFStock'!CD45&lt;&gt;""),'T_TTAFStock'!CD45,CC41+'Grid_Incoming'!CD41-'Grid_TTAFOutgoing'!CD41))</f>
        <v/>
      </c>
      <c r="CE41">
        <f>IF(COUNTIFS(T_StockCount[Part Name],$A41,T_StockCount[WeekIndex],82)&gt;0,0,IF(('T_TTAFStock'!CE45&lt;&gt;""),'T_TTAFStock'!CE45,CD41+'Grid_Incoming'!CE41-'Grid_TTAFOutgoing'!CE41))</f>
        <v/>
      </c>
      <c r="CF41">
        <f>IF(COUNTIFS(T_StockCount[Part Name],$A41,T_StockCount[WeekIndex],83)&gt;0,0,IF(('T_TTAFStock'!CF45&lt;&gt;""),'T_TTAFStock'!CF45,CE41+'Grid_Incoming'!CF41-'Grid_TTAFOutgoing'!CF41))</f>
        <v/>
      </c>
      <c r="CG41">
        <f>IF(COUNTIFS(T_StockCount[Part Name],$A41,T_StockCount[WeekIndex],84)&gt;0,0,IF(('T_TTAFStock'!CG45&lt;&gt;""),'T_TTAFStock'!CG45,CF41+'Grid_Incoming'!CG41-'Grid_TTAFOutgoing'!CG41))</f>
        <v/>
      </c>
      <c r="CH41">
        <f>IF(COUNTIFS(T_StockCount[Part Name],$A41,T_StockCount[WeekIndex],85)&gt;0,0,IF(('T_TTAFStock'!CH45&lt;&gt;""),'T_TTAFStock'!CH45,CG41+'Grid_Incoming'!CH41-'Grid_TTAFOutgoing'!CH41))</f>
        <v/>
      </c>
      <c r="CI41">
        <f>IF(COUNTIFS(T_StockCount[Part Name],$A41,T_StockCount[WeekIndex],86)&gt;0,0,IF(('T_TTAFStock'!CI45&lt;&gt;""),'T_TTAFStock'!CI45,CH41+'Grid_Incoming'!CI41-'Grid_TTAFOutgoing'!CI41))</f>
        <v/>
      </c>
      <c r="CJ41">
        <f>IF(COUNTIFS(T_StockCount[Part Name],$A41,T_StockCount[WeekIndex],87)&gt;0,0,IF(('T_TTAFStock'!CJ45&lt;&gt;""),'T_TTAFStock'!CJ45,CI41+'Grid_Incoming'!CJ41-'Grid_TTAFOutgoing'!CJ41))</f>
        <v/>
      </c>
      <c r="CK41">
        <f>IF(COUNTIFS(T_StockCount[Part Name],$A41,T_StockCount[WeekIndex],88)&gt;0,0,IF(('T_TTAFStock'!CK45&lt;&gt;""),'T_TTAFStock'!CK45,CJ41+'Grid_Incoming'!CK41-'Grid_TTAFOutgoing'!CK41))</f>
        <v/>
      </c>
      <c r="CL41">
        <f>IF(COUNTIFS(T_StockCount[Part Name],$A41,T_StockCount[WeekIndex],89)&gt;0,0,IF(('T_TTAFStock'!CL45&lt;&gt;""),'T_TTAFStock'!CL45,CK41+'Grid_Incoming'!CL41-'Grid_TTAFOutgoing'!CL41))</f>
        <v/>
      </c>
      <c r="CM41">
        <f>IF(COUNTIFS(T_StockCount[Part Name],$A41,T_StockCount[WeekIndex],90)&gt;0,0,IF(('T_TTAFStock'!CM45&lt;&gt;""),'T_TTAFStock'!CM45,CL41+'Grid_Incoming'!CM41-'Grid_TTAFOutgoing'!CM41))</f>
        <v/>
      </c>
      <c r="CN41">
        <f>IF(COUNTIFS(T_StockCount[Part Name],$A41,T_StockCount[WeekIndex],91)&gt;0,0,IF(('T_TTAFStock'!CN45&lt;&gt;""),'T_TTAFStock'!CN45,CM41+'Grid_Incoming'!CN41-'Grid_TTAFOutgoing'!CN41))</f>
        <v/>
      </c>
      <c r="CO41">
        <f>IF(COUNTIFS(T_StockCount[Part Name],$A41,T_StockCount[WeekIndex],92)&gt;0,0,IF(('T_TTAFStock'!CO45&lt;&gt;""),'T_TTAFStock'!CO45,CN41+'Grid_Incoming'!CO41-'Grid_TTAFOutgoing'!CO41))</f>
        <v/>
      </c>
      <c r="CP41">
        <f>IF(COUNTIFS(T_StockCount[Part Name],$A41,T_StockCount[WeekIndex],93)&gt;0,0,IF(('T_TTAFStock'!CP45&lt;&gt;""),'T_TTAFStock'!CP45,CO41+'Grid_Incoming'!CP41-'Grid_TTAFOutgoing'!CP41))</f>
        <v/>
      </c>
      <c r="CQ41">
        <f>IF(COUNTIFS(T_StockCount[Part Name],$A41,T_StockCount[WeekIndex],94)&gt;0,0,IF(('T_TTAFStock'!CQ45&lt;&gt;""),'T_TTAFStock'!CQ45,CP41+'Grid_Incoming'!CQ41-'Grid_TTAFOutgoing'!CQ41))</f>
        <v/>
      </c>
      <c r="CR41">
        <f>IF(COUNTIFS(T_StockCount[Part Name],$A41,T_StockCount[WeekIndex],95)&gt;0,0,IF(('T_TTAFStock'!CR45&lt;&gt;""),'T_TTAFStock'!CR45,CQ41+'Grid_Incoming'!CR41-'Grid_TTAFOutgoing'!CR41))</f>
        <v/>
      </c>
      <c r="CS41">
        <f>IF(COUNTIFS(T_StockCount[Part Name],$A41,T_StockCount[WeekIndex],96)&gt;0,0,IF(('T_TTAFStock'!CS45&lt;&gt;""),'T_TTAFStock'!CS45,CR41+'Grid_Incoming'!CS41-'Grid_TTAFOutgoing'!CS41))</f>
        <v/>
      </c>
      <c r="CT41">
        <f>IF(COUNTIFS(T_StockCount[Part Name],$A41,T_StockCount[WeekIndex],97)&gt;0,0,IF(('T_TTAFStock'!CT45&lt;&gt;""),'T_TTAFStock'!CT45,CS41+'Grid_Incoming'!CT41-'Grid_TTAFOutgoing'!CT41))</f>
        <v/>
      </c>
      <c r="CU41">
        <f>IF(COUNTIFS(T_StockCount[Part Name],$A41,T_StockCount[WeekIndex],98)&gt;0,0,IF(('T_TTAFStock'!CU45&lt;&gt;""),'T_TTAFStock'!CU45,CT41+'Grid_Incoming'!CU41-'Grid_TTAFOutgoing'!CU41))</f>
        <v/>
      </c>
      <c r="CV41">
        <f>IF(COUNTIFS(T_StockCount[Part Name],$A41,T_StockCount[WeekIndex],99)&gt;0,0,IF(('T_TTAFStock'!CV45&lt;&gt;""),'T_TTAFStock'!CV45,CU41+'Grid_Incoming'!CV41-'Grid_TTAFOutgoing'!CV41))</f>
        <v/>
      </c>
      <c r="CW41">
        <f>IF(COUNTIFS(T_StockCount[Part Name],$A41,T_StockCount[WeekIndex],100)&gt;0,0,IF(('T_TTAFStock'!CW45&lt;&gt;""),'T_TTAFStock'!CW45,CV41+'Grid_Incoming'!CW41-'Grid_TTAFOutgoing'!CW41))</f>
        <v/>
      </c>
      <c r="CX41">
        <f>IF(COUNTIFS(T_StockCount[Part Name],$A41,T_StockCount[WeekIndex],101)&gt;0,0,IF(('T_TTAFStock'!CX45&lt;&gt;""),'T_TTAFStock'!CX45,CW41+'Grid_Incoming'!CX41-'Grid_TTAFOutgoing'!CX41))</f>
        <v/>
      </c>
      <c r="CY41">
        <f>IF(COUNTIFS(T_StockCount[Part Name],$A41,T_StockCount[WeekIndex],102)&gt;0,0,IF(('T_TTAFStock'!CY45&lt;&gt;""),'T_TTAFStock'!CY45,CX41+'Grid_Incoming'!CY41-'Grid_TTAFOutgoing'!CY41))</f>
        <v/>
      </c>
      <c r="CZ41">
        <f>IF(COUNTIFS(T_StockCount[Part Name],$A41,T_StockCount[WeekIndex],103)&gt;0,0,IF(('T_TTAFStock'!CZ45&lt;&gt;""),'T_TTAFStock'!CZ45,CY41+'Grid_Incoming'!CZ41-'Grid_TTAFOutgoing'!CZ41))</f>
        <v/>
      </c>
      <c r="DA41">
        <f>IF(COUNTIFS(T_StockCount[Part Name],$A41,T_StockCount[WeekIndex],104)&gt;0,0,IF(('T_TTAFStock'!DA45&lt;&gt;""),'T_TTAFStock'!DA45,CZ41+'Grid_Incoming'!DA41-'Grid_TTAFOutgoing'!DA41))</f>
        <v/>
      </c>
    </row>
    <row r="42">
      <c r="A42" t="inlineStr">
        <is>
          <t>V03</t>
        </is>
      </c>
      <c r="B42">
        <f>IF(COUNTIFS(T_StockCount[Part Name],$A42,T_StockCount[WeekIndex],1)&gt;0,0,IF(('T_TTAFStock'!B46&lt;&gt;""),'T_TTAFStock'!B46,0+'Grid_Incoming'!B42-'Grid_TTAFOutgoing'!B42))</f>
        <v/>
      </c>
      <c r="C42">
        <f>IF(COUNTIFS(T_StockCount[Part Name],$A42,T_StockCount[WeekIndex],2)&gt;0,0,IF(('T_TTAFStock'!C46&lt;&gt;""),'T_TTAFStock'!C46,B42+'Grid_Incoming'!C42-'Grid_TTAFOutgoing'!C42))</f>
        <v/>
      </c>
      <c r="D42">
        <f>IF(COUNTIFS(T_StockCount[Part Name],$A42,T_StockCount[WeekIndex],3)&gt;0,0,IF(('T_TTAFStock'!D46&lt;&gt;""),'T_TTAFStock'!D46,C42+'Grid_Incoming'!D42-'Grid_TTAFOutgoing'!D42))</f>
        <v/>
      </c>
      <c r="E42">
        <f>IF(COUNTIFS(T_StockCount[Part Name],$A42,T_StockCount[WeekIndex],4)&gt;0,0,IF(('T_TTAFStock'!E46&lt;&gt;""),'T_TTAFStock'!E46,D42+'Grid_Incoming'!E42-'Grid_TTAFOutgoing'!E42))</f>
        <v/>
      </c>
      <c r="F42">
        <f>IF(COUNTIFS(T_StockCount[Part Name],$A42,T_StockCount[WeekIndex],5)&gt;0,0,IF(('T_TTAFStock'!F46&lt;&gt;""),'T_TTAFStock'!F46,E42+'Grid_Incoming'!F42-'Grid_TTAFOutgoing'!F42))</f>
        <v/>
      </c>
      <c r="G42">
        <f>IF(COUNTIFS(T_StockCount[Part Name],$A42,T_StockCount[WeekIndex],6)&gt;0,0,IF(('T_TTAFStock'!G46&lt;&gt;""),'T_TTAFStock'!G46,F42+'Grid_Incoming'!G42-'Grid_TTAFOutgoing'!G42))</f>
        <v/>
      </c>
      <c r="H42">
        <f>IF(COUNTIFS(T_StockCount[Part Name],$A42,T_StockCount[WeekIndex],7)&gt;0,0,IF(('T_TTAFStock'!H46&lt;&gt;""),'T_TTAFStock'!H46,G42+'Grid_Incoming'!H42-'Grid_TTAFOutgoing'!H42))</f>
        <v/>
      </c>
      <c r="I42">
        <f>IF(COUNTIFS(T_StockCount[Part Name],$A42,T_StockCount[WeekIndex],8)&gt;0,0,IF(('T_TTAFStock'!I46&lt;&gt;""),'T_TTAFStock'!I46,H42+'Grid_Incoming'!I42-'Grid_TTAFOutgoing'!I42))</f>
        <v/>
      </c>
      <c r="J42">
        <f>IF(COUNTIFS(T_StockCount[Part Name],$A42,T_StockCount[WeekIndex],9)&gt;0,0,IF(('T_TTAFStock'!J46&lt;&gt;""),'T_TTAFStock'!J46,I42+'Grid_Incoming'!J42-'Grid_TTAFOutgoing'!J42))</f>
        <v/>
      </c>
      <c r="K42">
        <f>IF(COUNTIFS(T_StockCount[Part Name],$A42,T_StockCount[WeekIndex],10)&gt;0,0,IF(('T_TTAFStock'!K46&lt;&gt;""),'T_TTAFStock'!K46,J42+'Grid_Incoming'!K42-'Grid_TTAFOutgoing'!K42))</f>
        <v/>
      </c>
      <c r="L42">
        <f>IF(COUNTIFS(T_StockCount[Part Name],$A42,T_StockCount[WeekIndex],11)&gt;0,0,IF(('T_TTAFStock'!L46&lt;&gt;""),'T_TTAFStock'!L46,K42+'Grid_Incoming'!L42-'Grid_TTAFOutgoing'!L42))</f>
        <v/>
      </c>
      <c r="M42">
        <f>IF(COUNTIFS(T_StockCount[Part Name],$A42,T_StockCount[WeekIndex],12)&gt;0,0,IF(('T_TTAFStock'!M46&lt;&gt;""),'T_TTAFStock'!M46,L42+'Grid_Incoming'!M42-'Grid_TTAFOutgoing'!M42))</f>
        <v/>
      </c>
      <c r="N42">
        <f>IF(COUNTIFS(T_StockCount[Part Name],$A42,T_StockCount[WeekIndex],13)&gt;0,0,IF(('T_TTAFStock'!N46&lt;&gt;""),'T_TTAFStock'!N46,M42+'Grid_Incoming'!N42-'Grid_TTAFOutgoing'!N42))</f>
        <v/>
      </c>
      <c r="O42">
        <f>IF(COUNTIFS(T_StockCount[Part Name],$A42,T_StockCount[WeekIndex],14)&gt;0,0,IF(('T_TTAFStock'!O46&lt;&gt;""),'T_TTAFStock'!O46,N42+'Grid_Incoming'!O42-'Grid_TTAFOutgoing'!O42))</f>
        <v/>
      </c>
      <c r="P42">
        <f>IF(COUNTIFS(T_StockCount[Part Name],$A42,T_StockCount[WeekIndex],15)&gt;0,0,IF(('T_TTAFStock'!P46&lt;&gt;""),'T_TTAFStock'!P46,O42+'Grid_Incoming'!P42-'Grid_TTAFOutgoing'!P42))</f>
        <v/>
      </c>
      <c r="Q42">
        <f>IF(COUNTIFS(T_StockCount[Part Name],$A42,T_StockCount[WeekIndex],16)&gt;0,0,IF(('T_TTAFStock'!Q46&lt;&gt;""),'T_TTAFStock'!Q46,P42+'Grid_Incoming'!Q42-'Grid_TTAFOutgoing'!Q42))</f>
        <v/>
      </c>
      <c r="R42">
        <f>IF(COUNTIFS(T_StockCount[Part Name],$A42,T_StockCount[WeekIndex],17)&gt;0,0,IF(('T_TTAFStock'!R46&lt;&gt;""),'T_TTAFStock'!R46,Q42+'Grid_Incoming'!R42-'Grid_TTAFOutgoing'!R42))</f>
        <v/>
      </c>
      <c r="S42">
        <f>IF(COUNTIFS(T_StockCount[Part Name],$A42,T_StockCount[WeekIndex],18)&gt;0,0,IF(('T_TTAFStock'!S46&lt;&gt;""),'T_TTAFStock'!S46,R42+'Grid_Incoming'!S42-'Grid_TTAFOutgoing'!S42))</f>
        <v/>
      </c>
      <c r="T42">
        <f>IF(COUNTIFS(T_StockCount[Part Name],$A42,T_StockCount[WeekIndex],19)&gt;0,0,IF(('T_TTAFStock'!T46&lt;&gt;""),'T_TTAFStock'!T46,S42+'Grid_Incoming'!T42-'Grid_TTAFOutgoing'!T42))</f>
        <v/>
      </c>
      <c r="U42">
        <f>IF(COUNTIFS(T_StockCount[Part Name],$A42,T_StockCount[WeekIndex],20)&gt;0,0,IF(('T_TTAFStock'!U46&lt;&gt;""),'T_TTAFStock'!U46,T42+'Grid_Incoming'!U42-'Grid_TTAFOutgoing'!U42))</f>
        <v/>
      </c>
      <c r="V42">
        <f>IF(COUNTIFS(T_StockCount[Part Name],$A42,T_StockCount[WeekIndex],21)&gt;0,0,IF(('T_TTAFStock'!V46&lt;&gt;""),'T_TTAFStock'!V46,U42+'Grid_Incoming'!V42-'Grid_TTAFOutgoing'!V42))</f>
        <v/>
      </c>
      <c r="W42">
        <f>IF(COUNTIFS(T_StockCount[Part Name],$A42,T_StockCount[WeekIndex],22)&gt;0,0,IF(('T_TTAFStock'!W46&lt;&gt;""),'T_TTAFStock'!W46,V42+'Grid_Incoming'!W42-'Grid_TTAFOutgoing'!W42))</f>
        <v/>
      </c>
      <c r="X42">
        <f>IF(COUNTIFS(T_StockCount[Part Name],$A42,T_StockCount[WeekIndex],23)&gt;0,0,IF(('T_TTAFStock'!X46&lt;&gt;""),'T_TTAFStock'!X46,W42+'Grid_Incoming'!X42-'Grid_TTAFOutgoing'!X42))</f>
        <v/>
      </c>
      <c r="Y42">
        <f>IF(COUNTIFS(T_StockCount[Part Name],$A42,T_StockCount[WeekIndex],24)&gt;0,0,IF(('T_TTAFStock'!Y46&lt;&gt;""),'T_TTAFStock'!Y46,X42+'Grid_Incoming'!Y42-'Grid_TTAFOutgoing'!Y42))</f>
        <v/>
      </c>
      <c r="Z42">
        <f>IF(COUNTIFS(T_StockCount[Part Name],$A42,T_StockCount[WeekIndex],25)&gt;0,0,IF(('T_TTAFStock'!Z46&lt;&gt;""),'T_TTAFStock'!Z46,Y42+'Grid_Incoming'!Z42-'Grid_TTAFOutgoing'!Z42))</f>
        <v/>
      </c>
      <c r="AA42">
        <f>IF(COUNTIFS(T_StockCount[Part Name],$A42,T_StockCount[WeekIndex],26)&gt;0,0,IF(('T_TTAFStock'!AA46&lt;&gt;""),'T_TTAFStock'!AA46,Z42+'Grid_Incoming'!AA42-'Grid_TTAFOutgoing'!AA42))</f>
        <v/>
      </c>
      <c r="AB42">
        <f>IF(COUNTIFS(T_StockCount[Part Name],$A42,T_StockCount[WeekIndex],27)&gt;0,0,IF(('T_TTAFStock'!AB46&lt;&gt;""),'T_TTAFStock'!AB46,AA42+'Grid_Incoming'!AB42-'Grid_TTAFOutgoing'!AB42))</f>
        <v/>
      </c>
      <c r="AC42">
        <f>IF(COUNTIFS(T_StockCount[Part Name],$A42,T_StockCount[WeekIndex],28)&gt;0,0,IF(('T_TTAFStock'!AC46&lt;&gt;""),'T_TTAFStock'!AC46,AB42+'Grid_Incoming'!AC42-'Grid_TTAFOutgoing'!AC42))</f>
        <v/>
      </c>
      <c r="AD42">
        <f>IF(COUNTIFS(T_StockCount[Part Name],$A42,T_StockCount[WeekIndex],29)&gt;0,0,IF(('T_TTAFStock'!AD46&lt;&gt;""),'T_TTAFStock'!AD46,AC42+'Grid_Incoming'!AD42-'Grid_TTAFOutgoing'!AD42))</f>
        <v/>
      </c>
      <c r="AE42">
        <f>IF(COUNTIFS(T_StockCount[Part Name],$A42,T_StockCount[WeekIndex],30)&gt;0,0,IF(('T_TTAFStock'!AE46&lt;&gt;""),'T_TTAFStock'!AE46,AD42+'Grid_Incoming'!AE42-'Grid_TTAFOutgoing'!AE42))</f>
        <v/>
      </c>
      <c r="AF42">
        <f>IF(COUNTIFS(T_StockCount[Part Name],$A42,T_StockCount[WeekIndex],31)&gt;0,0,IF(('T_TTAFStock'!AF46&lt;&gt;""),'T_TTAFStock'!AF46,AE42+'Grid_Incoming'!AF42-'Grid_TTAFOutgoing'!AF42))</f>
        <v/>
      </c>
      <c r="AG42">
        <f>IF(COUNTIFS(T_StockCount[Part Name],$A42,T_StockCount[WeekIndex],32)&gt;0,0,IF(('T_TTAFStock'!AG46&lt;&gt;""),'T_TTAFStock'!AG46,AF42+'Grid_Incoming'!AG42-'Grid_TTAFOutgoing'!AG42))</f>
        <v/>
      </c>
      <c r="AH42">
        <f>IF(COUNTIFS(T_StockCount[Part Name],$A42,T_StockCount[WeekIndex],33)&gt;0,0,IF(('T_TTAFStock'!AH46&lt;&gt;""),'T_TTAFStock'!AH46,AG42+'Grid_Incoming'!AH42-'Grid_TTAFOutgoing'!AH42))</f>
        <v/>
      </c>
      <c r="AI42">
        <f>IF(COUNTIFS(T_StockCount[Part Name],$A42,T_StockCount[WeekIndex],34)&gt;0,0,IF(('T_TTAFStock'!AI46&lt;&gt;""),'T_TTAFStock'!AI46,AH42+'Grid_Incoming'!AI42-'Grid_TTAFOutgoing'!AI42))</f>
        <v/>
      </c>
      <c r="AJ42">
        <f>IF(COUNTIFS(T_StockCount[Part Name],$A42,T_StockCount[WeekIndex],35)&gt;0,0,IF(('T_TTAFStock'!AJ46&lt;&gt;""),'T_TTAFStock'!AJ46,AI42+'Grid_Incoming'!AJ42-'Grid_TTAFOutgoing'!AJ42))</f>
        <v/>
      </c>
      <c r="AK42">
        <f>IF(COUNTIFS(T_StockCount[Part Name],$A42,T_StockCount[WeekIndex],36)&gt;0,0,IF(('T_TTAFStock'!AK46&lt;&gt;""),'T_TTAFStock'!AK46,AJ42+'Grid_Incoming'!AK42-'Grid_TTAFOutgoing'!AK42))</f>
        <v/>
      </c>
      <c r="AL42">
        <f>IF(COUNTIFS(T_StockCount[Part Name],$A42,T_StockCount[WeekIndex],37)&gt;0,0,IF(('T_TTAFStock'!AL46&lt;&gt;""),'T_TTAFStock'!AL46,AK42+'Grid_Incoming'!AL42-'Grid_TTAFOutgoing'!AL42))</f>
        <v/>
      </c>
      <c r="AM42">
        <f>IF(COUNTIFS(T_StockCount[Part Name],$A42,T_StockCount[WeekIndex],38)&gt;0,0,IF(('T_TTAFStock'!AM46&lt;&gt;""),'T_TTAFStock'!AM46,AL42+'Grid_Incoming'!AM42-'Grid_TTAFOutgoing'!AM42))</f>
        <v/>
      </c>
      <c r="AN42">
        <f>IF(COUNTIFS(T_StockCount[Part Name],$A42,T_StockCount[WeekIndex],39)&gt;0,0,IF(('T_TTAFStock'!AN46&lt;&gt;""),'T_TTAFStock'!AN46,AM42+'Grid_Incoming'!AN42-'Grid_TTAFOutgoing'!AN42))</f>
        <v/>
      </c>
      <c r="AO42">
        <f>IF(COUNTIFS(T_StockCount[Part Name],$A42,T_StockCount[WeekIndex],40)&gt;0,0,IF(('T_TTAFStock'!AO46&lt;&gt;""),'T_TTAFStock'!AO46,AN42+'Grid_Incoming'!AO42-'Grid_TTAFOutgoing'!AO42))</f>
        <v/>
      </c>
      <c r="AP42">
        <f>IF(COUNTIFS(T_StockCount[Part Name],$A42,T_StockCount[WeekIndex],41)&gt;0,0,IF(('T_TTAFStock'!AP46&lt;&gt;""),'T_TTAFStock'!AP46,AO42+'Grid_Incoming'!AP42-'Grid_TTAFOutgoing'!AP42))</f>
        <v/>
      </c>
      <c r="AQ42">
        <f>IF(COUNTIFS(T_StockCount[Part Name],$A42,T_StockCount[WeekIndex],42)&gt;0,0,IF(('T_TTAFStock'!AQ46&lt;&gt;""),'T_TTAFStock'!AQ46,AP42+'Grid_Incoming'!AQ42-'Grid_TTAFOutgoing'!AQ42))</f>
        <v/>
      </c>
      <c r="AR42">
        <f>IF(COUNTIFS(T_StockCount[Part Name],$A42,T_StockCount[WeekIndex],43)&gt;0,0,IF(('T_TTAFStock'!AR46&lt;&gt;""),'T_TTAFStock'!AR46,AQ42+'Grid_Incoming'!AR42-'Grid_TTAFOutgoing'!AR42))</f>
        <v/>
      </c>
      <c r="AS42">
        <f>IF(COUNTIFS(T_StockCount[Part Name],$A42,T_StockCount[WeekIndex],44)&gt;0,0,IF(('T_TTAFStock'!AS46&lt;&gt;""),'T_TTAFStock'!AS46,AR42+'Grid_Incoming'!AS42-'Grid_TTAFOutgoing'!AS42))</f>
        <v/>
      </c>
      <c r="AT42">
        <f>IF(COUNTIFS(T_StockCount[Part Name],$A42,T_StockCount[WeekIndex],45)&gt;0,0,IF(('T_TTAFStock'!AT46&lt;&gt;""),'T_TTAFStock'!AT46,AS42+'Grid_Incoming'!AT42-'Grid_TTAFOutgoing'!AT42))</f>
        <v/>
      </c>
      <c r="AU42">
        <f>IF(COUNTIFS(T_StockCount[Part Name],$A42,T_StockCount[WeekIndex],46)&gt;0,0,IF(('T_TTAFStock'!AU46&lt;&gt;""),'T_TTAFStock'!AU46,AT42+'Grid_Incoming'!AU42-'Grid_TTAFOutgoing'!AU42))</f>
        <v/>
      </c>
      <c r="AV42">
        <f>IF(COUNTIFS(T_StockCount[Part Name],$A42,T_StockCount[WeekIndex],47)&gt;0,0,IF(('T_TTAFStock'!AV46&lt;&gt;""),'T_TTAFStock'!AV46,AU42+'Grid_Incoming'!AV42-'Grid_TTAFOutgoing'!AV42))</f>
        <v/>
      </c>
      <c r="AW42">
        <f>IF(COUNTIFS(T_StockCount[Part Name],$A42,T_StockCount[WeekIndex],48)&gt;0,0,IF(('T_TTAFStock'!AW46&lt;&gt;""),'T_TTAFStock'!AW46,AV42+'Grid_Incoming'!AW42-'Grid_TTAFOutgoing'!AW42))</f>
        <v/>
      </c>
      <c r="AX42">
        <f>IF(COUNTIFS(T_StockCount[Part Name],$A42,T_StockCount[WeekIndex],49)&gt;0,0,IF(('T_TTAFStock'!AX46&lt;&gt;""),'T_TTAFStock'!AX46,AW42+'Grid_Incoming'!AX42-'Grid_TTAFOutgoing'!AX42))</f>
        <v/>
      </c>
      <c r="AY42">
        <f>IF(COUNTIFS(T_StockCount[Part Name],$A42,T_StockCount[WeekIndex],50)&gt;0,0,IF(('T_TTAFStock'!AY46&lt;&gt;""),'T_TTAFStock'!AY46,AX42+'Grid_Incoming'!AY42-'Grid_TTAFOutgoing'!AY42))</f>
        <v/>
      </c>
      <c r="AZ42">
        <f>IF(COUNTIFS(T_StockCount[Part Name],$A42,T_StockCount[WeekIndex],51)&gt;0,0,IF(('T_TTAFStock'!AZ46&lt;&gt;""),'T_TTAFStock'!AZ46,AY42+'Grid_Incoming'!AZ42-'Grid_TTAFOutgoing'!AZ42))</f>
        <v/>
      </c>
      <c r="BA42">
        <f>IF(COUNTIFS(T_StockCount[Part Name],$A42,T_StockCount[WeekIndex],52)&gt;0,0,IF(('T_TTAFStock'!BA46&lt;&gt;""),'T_TTAFStock'!BA46,AZ42+'Grid_Incoming'!BA42-'Grid_TTAFOutgoing'!BA42))</f>
        <v/>
      </c>
      <c r="BB42">
        <f>IF(COUNTIFS(T_StockCount[Part Name],$A42,T_StockCount[WeekIndex],53)&gt;0,0,IF(('T_TTAFStock'!BB46&lt;&gt;""),'T_TTAFStock'!BB46,BA42+'Grid_Incoming'!BB42-'Grid_TTAFOutgoing'!BB42))</f>
        <v/>
      </c>
      <c r="BC42">
        <f>IF(COUNTIFS(T_StockCount[Part Name],$A42,T_StockCount[WeekIndex],54)&gt;0,0,IF(('T_TTAFStock'!BC46&lt;&gt;""),'T_TTAFStock'!BC46,BB42+'Grid_Incoming'!BC42-'Grid_TTAFOutgoing'!BC42))</f>
        <v/>
      </c>
      <c r="BD42">
        <f>IF(COUNTIFS(T_StockCount[Part Name],$A42,T_StockCount[WeekIndex],55)&gt;0,0,IF(('T_TTAFStock'!BD46&lt;&gt;""),'T_TTAFStock'!BD46,BC42+'Grid_Incoming'!BD42-'Grid_TTAFOutgoing'!BD42))</f>
        <v/>
      </c>
      <c r="BE42">
        <f>IF(COUNTIFS(T_StockCount[Part Name],$A42,T_StockCount[WeekIndex],56)&gt;0,0,IF(('T_TTAFStock'!BE46&lt;&gt;""),'T_TTAFStock'!BE46,BD42+'Grid_Incoming'!BE42-'Grid_TTAFOutgoing'!BE42))</f>
        <v/>
      </c>
      <c r="BF42">
        <f>IF(COUNTIFS(T_StockCount[Part Name],$A42,T_StockCount[WeekIndex],57)&gt;0,0,IF(('T_TTAFStock'!BF46&lt;&gt;""),'T_TTAFStock'!BF46,BE42+'Grid_Incoming'!BF42-'Grid_TTAFOutgoing'!BF42))</f>
        <v/>
      </c>
      <c r="BG42">
        <f>IF(COUNTIFS(T_StockCount[Part Name],$A42,T_StockCount[WeekIndex],58)&gt;0,0,IF(('T_TTAFStock'!BG46&lt;&gt;""),'T_TTAFStock'!BG46,BF42+'Grid_Incoming'!BG42-'Grid_TTAFOutgoing'!BG42))</f>
        <v/>
      </c>
      <c r="BH42">
        <f>IF(COUNTIFS(T_StockCount[Part Name],$A42,T_StockCount[WeekIndex],59)&gt;0,0,IF(('T_TTAFStock'!BH46&lt;&gt;""),'T_TTAFStock'!BH46,BG42+'Grid_Incoming'!BH42-'Grid_TTAFOutgoing'!BH42))</f>
        <v/>
      </c>
      <c r="BI42">
        <f>IF(COUNTIFS(T_StockCount[Part Name],$A42,T_StockCount[WeekIndex],60)&gt;0,0,IF(('T_TTAFStock'!BI46&lt;&gt;""),'T_TTAFStock'!BI46,BH42+'Grid_Incoming'!BI42-'Grid_TTAFOutgoing'!BI42))</f>
        <v/>
      </c>
      <c r="BJ42">
        <f>IF(COUNTIFS(T_StockCount[Part Name],$A42,T_StockCount[WeekIndex],61)&gt;0,0,IF(('T_TTAFStock'!BJ46&lt;&gt;""),'T_TTAFStock'!BJ46,BI42+'Grid_Incoming'!BJ42-'Grid_TTAFOutgoing'!BJ42))</f>
        <v/>
      </c>
      <c r="BK42">
        <f>IF(COUNTIFS(T_StockCount[Part Name],$A42,T_StockCount[WeekIndex],62)&gt;0,0,IF(('T_TTAFStock'!BK46&lt;&gt;""),'T_TTAFStock'!BK46,BJ42+'Grid_Incoming'!BK42-'Grid_TTAFOutgoing'!BK42))</f>
        <v/>
      </c>
      <c r="BL42">
        <f>IF(COUNTIFS(T_StockCount[Part Name],$A42,T_StockCount[WeekIndex],63)&gt;0,0,IF(('T_TTAFStock'!BL46&lt;&gt;""),'T_TTAFStock'!BL46,BK42+'Grid_Incoming'!BL42-'Grid_TTAFOutgoing'!BL42))</f>
        <v/>
      </c>
      <c r="BM42">
        <f>IF(COUNTIFS(T_StockCount[Part Name],$A42,T_StockCount[WeekIndex],64)&gt;0,0,IF(('T_TTAFStock'!BM46&lt;&gt;""),'T_TTAFStock'!BM46,BL42+'Grid_Incoming'!BM42-'Grid_TTAFOutgoing'!BM42))</f>
        <v/>
      </c>
      <c r="BN42">
        <f>IF(COUNTIFS(T_StockCount[Part Name],$A42,T_StockCount[WeekIndex],65)&gt;0,0,IF(('T_TTAFStock'!BN46&lt;&gt;""),'T_TTAFStock'!BN46,BM42+'Grid_Incoming'!BN42-'Grid_TTAFOutgoing'!BN42))</f>
        <v/>
      </c>
      <c r="BO42">
        <f>IF(COUNTIFS(T_StockCount[Part Name],$A42,T_StockCount[WeekIndex],66)&gt;0,0,IF(('T_TTAFStock'!BO46&lt;&gt;""),'T_TTAFStock'!BO46,BN42+'Grid_Incoming'!BO42-'Grid_TTAFOutgoing'!BO42))</f>
        <v/>
      </c>
      <c r="BP42">
        <f>IF(COUNTIFS(T_StockCount[Part Name],$A42,T_StockCount[WeekIndex],67)&gt;0,0,IF(('T_TTAFStock'!BP46&lt;&gt;""),'T_TTAFStock'!BP46,BO42+'Grid_Incoming'!BP42-'Grid_TTAFOutgoing'!BP42))</f>
        <v/>
      </c>
      <c r="BQ42">
        <f>IF(COUNTIFS(T_StockCount[Part Name],$A42,T_StockCount[WeekIndex],68)&gt;0,0,IF(('T_TTAFStock'!BQ46&lt;&gt;""),'T_TTAFStock'!BQ46,BP42+'Grid_Incoming'!BQ42-'Grid_TTAFOutgoing'!BQ42))</f>
        <v/>
      </c>
      <c r="BR42">
        <f>IF(COUNTIFS(T_StockCount[Part Name],$A42,T_StockCount[WeekIndex],69)&gt;0,0,IF(('T_TTAFStock'!BR46&lt;&gt;""),'T_TTAFStock'!BR46,BQ42+'Grid_Incoming'!BR42-'Grid_TTAFOutgoing'!BR42))</f>
        <v/>
      </c>
      <c r="BS42">
        <f>IF(COUNTIFS(T_StockCount[Part Name],$A42,T_StockCount[WeekIndex],70)&gt;0,0,IF(('T_TTAFStock'!BS46&lt;&gt;""),'T_TTAFStock'!BS46,BR42+'Grid_Incoming'!BS42-'Grid_TTAFOutgoing'!BS42))</f>
        <v/>
      </c>
      <c r="BT42">
        <f>IF(COUNTIFS(T_StockCount[Part Name],$A42,T_StockCount[WeekIndex],71)&gt;0,0,IF(('T_TTAFStock'!BT46&lt;&gt;""),'T_TTAFStock'!BT46,BS42+'Grid_Incoming'!BT42-'Grid_TTAFOutgoing'!BT42))</f>
        <v/>
      </c>
      <c r="BU42">
        <f>IF(COUNTIFS(T_StockCount[Part Name],$A42,T_StockCount[WeekIndex],72)&gt;0,0,IF(('T_TTAFStock'!BU46&lt;&gt;""),'T_TTAFStock'!BU46,BT42+'Grid_Incoming'!BU42-'Grid_TTAFOutgoing'!BU42))</f>
        <v/>
      </c>
      <c r="BV42">
        <f>IF(COUNTIFS(T_StockCount[Part Name],$A42,T_StockCount[WeekIndex],73)&gt;0,0,IF(('T_TTAFStock'!BV46&lt;&gt;""),'T_TTAFStock'!BV46,BU42+'Grid_Incoming'!BV42-'Grid_TTAFOutgoing'!BV42))</f>
        <v/>
      </c>
      <c r="BW42">
        <f>IF(COUNTIFS(T_StockCount[Part Name],$A42,T_StockCount[WeekIndex],74)&gt;0,0,IF(('T_TTAFStock'!BW46&lt;&gt;""),'T_TTAFStock'!BW46,BV42+'Grid_Incoming'!BW42-'Grid_TTAFOutgoing'!BW42))</f>
        <v/>
      </c>
      <c r="BX42">
        <f>IF(COUNTIFS(T_StockCount[Part Name],$A42,T_StockCount[WeekIndex],75)&gt;0,0,IF(('T_TTAFStock'!BX46&lt;&gt;""),'T_TTAFStock'!BX46,BW42+'Grid_Incoming'!BX42-'Grid_TTAFOutgoing'!BX42))</f>
        <v/>
      </c>
      <c r="BY42">
        <f>IF(COUNTIFS(T_StockCount[Part Name],$A42,T_StockCount[WeekIndex],76)&gt;0,0,IF(('T_TTAFStock'!BY46&lt;&gt;""),'T_TTAFStock'!BY46,BX42+'Grid_Incoming'!BY42-'Grid_TTAFOutgoing'!BY42))</f>
        <v/>
      </c>
      <c r="BZ42">
        <f>IF(COUNTIFS(T_StockCount[Part Name],$A42,T_StockCount[WeekIndex],77)&gt;0,0,IF(('T_TTAFStock'!BZ46&lt;&gt;""),'T_TTAFStock'!BZ46,BY42+'Grid_Incoming'!BZ42-'Grid_TTAFOutgoing'!BZ42))</f>
        <v/>
      </c>
      <c r="CA42">
        <f>IF(COUNTIFS(T_StockCount[Part Name],$A42,T_StockCount[WeekIndex],78)&gt;0,0,IF(('T_TTAFStock'!CA46&lt;&gt;""),'T_TTAFStock'!CA46,BZ42+'Grid_Incoming'!CA42-'Grid_TTAFOutgoing'!CA42))</f>
        <v/>
      </c>
      <c r="CB42">
        <f>IF(COUNTIFS(T_StockCount[Part Name],$A42,T_StockCount[WeekIndex],79)&gt;0,0,IF(('T_TTAFStock'!CB46&lt;&gt;""),'T_TTAFStock'!CB46,CA42+'Grid_Incoming'!CB42-'Grid_TTAFOutgoing'!CB42))</f>
        <v/>
      </c>
      <c r="CC42">
        <f>IF(COUNTIFS(T_StockCount[Part Name],$A42,T_StockCount[WeekIndex],80)&gt;0,0,IF(('T_TTAFStock'!CC46&lt;&gt;""),'T_TTAFStock'!CC46,CB42+'Grid_Incoming'!CC42-'Grid_TTAFOutgoing'!CC42))</f>
        <v/>
      </c>
      <c r="CD42">
        <f>IF(COUNTIFS(T_StockCount[Part Name],$A42,T_StockCount[WeekIndex],81)&gt;0,0,IF(('T_TTAFStock'!CD46&lt;&gt;""),'T_TTAFStock'!CD46,CC42+'Grid_Incoming'!CD42-'Grid_TTAFOutgoing'!CD42))</f>
        <v/>
      </c>
      <c r="CE42">
        <f>IF(COUNTIFS(T_StockCount[Part Name],$A42,T_StockCount[WeekIndex],82)&gt;0,0,IF(('T_TTAFStock'!CE46&lt;&gt;""),'T_TTAFStock'!CE46,CD42+'Grid_Incoming'!CE42-'Grid_TTAFOutgoing'!CE42))</f>
        <v/>
      </c>
      <c r="CF42">
        <f>IF(COUNTIFS(T_StockCount[Part Name],$A42,T_StockCount[WeekIndex],83)&gt;0,0,IF(('T_TTAFStock'!CF46&lt;&gt;""),'T_TTAFStock'!CF46,CE42+'Grid_Incoming'!CF42-'Grid_TTAFOutgoing'!CF42))</f>
        <v/>
      </c>
      <c r="CG42">
        <f>IF(COUNTIFS(T_StockCount[Part Name],$A42,T_StockCount[WeekIndex],84)&gt;0,0,IF(('T_TTAFStock'!CG46&lt;&gt;""),'T_TTAFStock'!CG46,CF42+'Grid_Incoming'!CG42-'Grid_TTAFOutgoing'!CG42))</f>
        <v/>
      </c>
      <c r="CH42">
        <f>IF(COUNTIFS(T_StockCount[Part Name],$A42,T_StockCount[WeekIndex],85)&gt;0,0,IF(('T_TTAFStock'!CH46&lt;&gt;""),'T_TTAFStock'!CH46,CG42+'Grid_Incoming'!CH42-'Grid_TTAFOutgoing'!CH42))</f>
        <v/>
      </c>
      <c r="CI42">
        <f>IF(COUNTIFS(T_StockCount[Part Name],$A42,T_StockCount[WeekIndex],86)&gt;0,0,IF(('T_TTAFStock'!CI46&lt;&gt;""),'T_TTAFStock'!CI46,CH42+'Grid_Incoming'!CI42-'Grid_TTAFOutgoing'!CI42))</f>
        <v/>
      </c>
      <c r="CJ42">
        <f>IF(COUNTIFS(T_StockCount[Part Name],$A42,T_StockCount[WeekIndex],87)&gt;0,0,IF(('T_TTAFStock'!CJ46&lt;&gt;""),'T_TTAFStock'!CJ46,CI42+'Grid_Incoming'!CJ42-'Grid_TTAFOutgoing'!CJ42))</f>
        <v/>
      </c>
      <c r="CK42">
        <f>IF(COUNTIFS(T_StockCount[Part Name],$A42,T_StockCount[WeekIndex],88)&gt;0,0,IF(('T_TTAFStock'!CK46&lt;&gt;""),'T_TTAFStock'!CK46,CJ42+'Grid_Incoming'!CK42-'Grid_TTAFOutgoing'!CK42))</f>
        <v/>
      </c>
      <c r="CL42">
        <f>IF(COUNTIFS(T_StockCount[Part Name],$A42,T_StockCount[WeekIndex],89)&gt;0,0,IF(('T_TTAFStock'!CL46&lt;&gt;""),'T_TTAFStock'!CL46,CK42+'Grid_Incoming'!CL42-'Grid_TTAFOutgoing'!CL42))</f>
        <v/>
      </c>
      <c r="CM42">
        <f>IF(COUNTIFS(T_StockCount[Part Name],$A42,T_StockCount[WeekIndex],90)&gt;0,0,IF(('T_TTAFStock'!CM46&lt;&gt;""),'T_TTAFStock'!CM46,CL42+'Grid_Incoming'!CM42-'Grid_TTAFOutgoing'!CM42))</f>
        <v/>
      </c>
      <c r="CN42">
        <f>IF(COUNTIFS(T_StockCount[Part Name],$A42,T_StockCount[WeekIndex],91)&gt;0,0,IF(('T_TTAFStock'!CN46&lt;&gt;""),'T_TTAFStock'!CN46,CM42+'Grid_Incoming'!CN42-'Grid_TTAFOutgoing'!CN42))</f>
        <v/>
      </c>
      <c r="CO42">
        <f>IF(COUNTIFS(T_StockCount[Part Name],$A42,T_StockCount[WeekIndex],92)&gt;0,0,IF(('T_TTAFStock'!CO46&lt;&gt;""),'T_TTAFStock'!CO46,CN42+'Grid_Incoming'!CO42-'Grid_TTAFOutgoing'!CO42))</f>
        <v/>
      </c>
      <c r="CP42">
        <f>IF(COUNTIFS(T_StockCount[Part Name],$A42,T_StockCount[WeekIndex],93)&gt;0,0,IF(('T_TTAFStock'!CP46&lt;&gt;""),'T_TTAFStock'!CP46,CO42+'Grid_Incoming'!CP42-'Grid_TTAFOutgoing'!CP42))</f>
        <v/>
      </c>
      <c r="CQ42">
        <f>IF(COUNTIFS(T_StockCount[Part Name],$A42,T_StockCount[WeekIndex],94)&gt;0,0,IF(('T_TTAFStock'!CQ46&lt;&gt;""),'T_TTAFStock'!CQ46,CP42+'Grid_Incoming'!CQ42-'Grid_TTAFOutgoing'!CQ42))</f>
        <v/>
      </c>
      <c r="CR42">
        <f>IF(COUNTIFS(T_StockCount[Part Name],$A42,T_StockCount[WeekIndex],95)&gt;0,0,IF(('T_TTAFStock'!CR46&lt;&gt;""),'T_TTAFStock'!CR46,CQ42+'Grid_Incoming'!CR42-'Grid_TTAFOutgoing'!CR42))</f>
        <v/>
      </c>
      <c r="CS42">
        <f>IF(COUNTIFS(T_StockCount[Part Name],$A42,T_StockCount[WeekIndex],96)&gt;0,0,IF(('T_TTAFStock'!CS46&lt;&gt;""),'T_TTAFStock'!CS46,CR42+'Grid_Incoming'!CS42-'Grid_TTAFOutgoing'!CS42))</f>
        <v/>
      </c>
      <c r="CT42">
        <f>IF(COUNTIFS(T_StockCount[Part Name],$A42,T_StockCount[WeekIndex],97)&gt;0,0,IF(('T_TTAFStock'!CT46&lt;&gt;""),'T_TTAFStock'!CT46,CS42+'Grid_Incoming'!CT42-'Grid_TTAFOutgoing'!CT42))</f>
        <v/>
      </c>
      <c r="CU42">
        <f>IF(COUNTIFS(T_StockCount[Part Name],$A42,T_StockCount[WeekIndex],98)&gt;0,0,IF(('T_TTAFStock'!CU46&lt;&gt;""),'T_TTAFStock'!CU46,CT42+'Grid_Incoming'!CU42-'Grid_TTAFOutgoing'!CU42))</f>
        <v/>
      </c>
      <c r="CV42">
        <f>IF(COUNTIFS(T_StockCount[Part Name],$A42,T_StockCount[WeekIndex],99)&gt;0,0,IF(('T_TTAFStock'!CV46&lt;&gt;""),'T_TTAFStock'!CV46,CU42+'Grid_Incoming'!CV42-'Grid_TTAFOutgoing'!CV42))</f>
        <v/>
      </c>
      <c r="CW42">
        <f>IF(COUNTIFS(T_StockCount[Part Name],$A42,T_StockCount[WeekIndex],100)&gt;0,0,IF(('T_TTAFStock'!CW46&lt;&gt;""),'T_TTAFStock'!CW46,CV42+'Grid_Incoming'!CW42-'Grid_TTAFOutgoing'!CW42))</f>
        <v/>
      </c>
      <c r="CX42">
        <f>IF(COUNTIFS(T_StockCount[Part Name],$A42,T_StockCount[WeekIndex],101)&gt;0,0,IF(('T_TTAFStock'!CX46&lt;&gt;""),'T_TTAFStock'!CX46,CW42+'Grid_Incoming'!CX42-'Grid_TTAFOutgoing'!CX42))</f>
        <v/>
      </c>
      <c r="CY42">
        <f>IF(COUNTIFS(T_StockCount[Part Name],$A42,T_StockCount[WeekIndex],102)&gt;0,0,IF(('T_TTAFStock'!CY46&lt;&gt;""),'T_TTAFStock'!CY46,CX42+'Grid_Incoming'!CY42-'Grid_TTAFOutgoing'!CY42))</f>
        <v/>
      </c>
      <c r="CZ42">
        <f>IF(COUNTIFS(T_StockCount[Part Name],$A42,T_StockCount[WeekIndex],103)&gt;0,0,IF(('T_TTAFStock'!CZ46&lt;&gt;""),'T_TTAFStock'!CZ46,CY42+'Grid_Incoming'!CZ42-'Grid_TTAFOutgoing'!CZ42))</f>
        <v/>
      </c>
      <c r="DA42">
        <f>IF(COUNTIFS(T_StockCount[Part Name],$A42,T_StockCount[WeekIndex],104)&gt;0,0,IF(('T_TTAFStock'!DA46&lt;&gt;""),'T_TTAFStock'!DA46,CZ42+'Grid_Incoming'!DA42-'Grid_TTAFOutgoing'!DA42))</f>
        <v/>
      </c>
    </row>
    <row r="43">
      <c r="A43" t="inlineStr">
        <is>
          <t>V19</t>
        </is>
      </c>
      <c r="B43">
        <f>IF(COUNTIFS(T_StockCount[Part Name],$A43,T_StockCount[WeekIndex],1)&gt;0,0,IF(('T_TTAFStock'!B47&lt;&gt;""),'T_TTAFStock'!B47,0+'Grid_Incoming'!B43-'Grid_TTAFOutgoing'!B43))</f>
        <v/>
      </c>
      <c r="C43">
        <f>IF(COUNTIFS(T_StockCount[Part Name],$A43,T_StockCount[WeekIndex],2)&gt;0,0,IF(('T_TTAFStock'!C47&lt;&gt;""),'T_TTAFStock'!C47,B43+'Grid_Incoming'!C43-'Grid_TTAFOutgoing'!C43))</f>
        <v/>
      </c>
      <c r="D43">
        <f>IF(COUNTIFS(T_StockCount[Part Name],$A43,T_StockCount[WeekIndex],3)&gt;0,0,IF(('T_TTAFStock'!D47&lt;&gt;""),'T_TTAFStock'!D47,C43+'Grid_Incoming'!D43-'Grid_TTAFOutgoing'!D43))</f>
        <v/>
      </c>
      <c r="E43">
        <f>IF(COUNTIFS(T_StockCount[Part Name],$A43,T_StockCount[WeekIndex],4)&gt;0,0,IF(('T_TTAFStock'!E47&lt;&gt;""),'T_TTAFStock'!E47,D43+'Grid_Incoming'!E43-'Grid_TTAFOutgoing'!E43))</f>
        <v/>
      </c>
      <c r="F43">
        <f>IF(COUNTIFS(T_StockCount[Part Name],$A43,T_StockCount[WeekIndex],5)&gt;0,0,IF(('T_TTAFStock'!F47&lt;&gt;""),'T_TTAFStock'!F47,E43+'Grid_Incoming'!F43-'Grid_TTAFOutgoing'!F43))</f>
        <v/>
      </c>
      <c r="G43">
        <f>IF(COUNTIFS(T_StockCount[Part Name],$A43,T_StockCount[WeekIndex],6)&gt;0,0,IF(('T_TTAFStock'!G47&lt;&gt;""),'T_TTAFStock'!G47,F43+'Grid_Incoming'!G43-'Grid_TTAFOutgoing'!G43))</f>
        <v/>
      </c>
      <c r="H43">
        <f>IF(COUNTIFS(T_StockCount[Part Name],$A43,T_StockCount[WeekIndex],7)&gt;0,0,IF(('T_TTAFStock'!H47&lt;&gt;""),'T_TTAFStock'!H47,G43+'Grid_Incoming'!H43-'Grid_TTAFOutgoing'!H43))</f>
        <v/>
      </c>
      <c r="I43">
        <f>IF(COUNTIFS(T_StockCount[Part Name],$A43,T_StockCount[WeekIndex],8)&gt;0,0,IF(('T_TTAFStock'!I47&lt;&gt;""),'T_TTAFStock'!I47,H43+'Grid_Incoming'!I43-'Grid_TTAFOutgoing'!I43))</f>
        <v/>
      </c>
      <c r="J43">
        <f>IF(COUNTIFS(T_StockCount[Part Name],$A43,T_StockCount[WeekIndex],9)&gt;0,0,IF(('T_TTAFStock'!J47&lt;&gt;""),'T_TTAFStock'!J47,I43+'Grid_Incoming'!J43-'Grid_TTAFOutgoing'!J43))</f>
        <v/>
      </c>
      <c r="K43">
        <f>IF(COUNTIFS(T_StockCount[Part Name],$A43,T_StockCount[WeekIndex],10)&gt;0,0,IF(('T_TTAFStock'!K47&lt;&gt;""),'T_TTAFStock'!K47,J43+'Grid_Incoming'!K43-'Grid_TTAFOutgoing'!K43))</f>
        <v/>
      </c>
      <c r="L43">
        <f>IF(COUNTIFS(T_StockCount[Part Name],$A43,T_StockCount[WeekIndex],11)&gt;0,0,IF(('T_TTAFStock'!L47&lt;&gt;""),'T_TTAFStock'!L47,K43+'Grid_Incoming'!L43-'Grid_TTAFOutgoing'!L43))</f>
        <v/>
      </c>
      <c r="M43">
        <f>IF(COUNTIFS(T_StockCount[Part Name],$A43,T_StockCount[WeekIndex],12)&gt;0,0,IF(('T_TTAFStock'!M47&lt;&gt;""),'T_TTAFStock'!M47,L43+'Grid_Incoming'!M43-'Grid_TTAFOutgoing'!M43))</f>
        <v/>
      </c>
      <c r="N43">
        <f>IF(COUNTIFS(T_StockCount[Part Name],$A43,T_StockCount[WeekIndex],13)&gt;0,0,IF(('T_TTAFStock'!N47&lt;&gt;""),'T_TTAFStock'!N47,M43+'Grid_Incoming'!N43-'Grid_TTAFOutgoing'!N43))</f>
        <v/>
      </c>
      <c r="O43">
        <f>IF(COUNTIFS(T_StockCount[Part Name],$A43,T_StockCount[WeekIndex],14)&gt;0,0,IF(('T_TTAFStock'!O47&lt;&gt;""),'T_TTAFStock'!O47,N43+'Grid_Incoming'!O43-'Grid_TTAFOutgoing'!O43))</f>
        <v/>
      </c>
      <c r="P43">
        <f>IF(COUNTIFS(T_StockCount[Part Name],$A43,T_StockCount[WeekIndex],15)&gt;0,0,IF(('T_TTAFStock'!P47&lt;&gt;""),'T_TTAFStock'!P47,O43+'Grid_Incoming'!P43-'Grid_TTAFOutgoing'!P43))</f>
        <v/>
      </c>
      <c r="Q43">
        <f>IF(COUNTIFS(T_StockCount[Part Name],$A43,T_StockCount[WeekIndex],16)&gt;0,0,IF(('T_TTAFStock'!Q47&lt;&gt;""),'T_TTAFStock'!Q47,P43+'Grid_Incoming'!Q43-'Grid_TTAFOutgoing'!Q43))</f>
        <v/>
      </c>
      <c r="R43">
        <f>IF(COUNTIFS(T_StockCount[Part Name],$A43,T_StockCount[WeekIndex],17)&gt;0,0,IF(('T_TTAFStock'!R47&lt;&gt;""),'T_TTAFStock'!R47,Q43+'Grid_Incoming'!R43-'Grid_TTAFOutgoing'!R43))</f>
        <v/>
      </c>
      <c r="S43">
        <f>IF(COUNTIFS(T_StockCount[Part Name],$A43,T_StockCount[WeekIndex],18)&gt;0,0,IF(('T_TTAFStock'!S47&lt;&gt;""),'T_TTAFStock'!S47,R43+'Grid_Incoming'!S43-'Grid_TTAFOutgoing'!S43))</f>
        <v/>
      </c>
      <c r="T43">
        <f>IF(COUNTIFS(T_StockCount[Part Name],$A43,T_StockCount[WeekIndex],19)&gt;0,0,IF(('T_TTAFStock'!T47&lt;&gt;""),'T_TTAFStock'!T47,S43+'Grid_Incoming'!T43-'Grid_TTAFOutgoing'!T43))</f>
        <v/>
      </c>
      <c r="U43">
        <f>IF(COUNTIFS(T_StockCount[Part Name],$A43,T_StockCount[WeekIndex],20)&gt;0,0,IF(('T_TTAFStock'!U47&lt;&gt;""),'T_TTAFStock'!U47,T43+'Grid_Incoming'!U43-'Grid_TTAFOutgoing'!U43))</f>
        <v/>
      </c>
      <c r="V43">
        <f>IF(COUNTIFS(T_StockCount[Part Name],$A43,T_StockCount[WeekIndex],21)&gt;0,0,IF(('T_TTAFStock'!V47&lt;&gt;""),'T_TTAFStock'!V47,U43+'Grid_Incoming'!V43-'Grid_TTAFOutgoing'!V43))</f>
        <v/>
      </c>
      <c r="W43">
        <f>IF(COUNTIFS(T_StockCount[Part Name],$A43,T_StockCount[WeekIndex],22)&gt;0,0,IF(('T_TTAFStock'!W47&lt;&gt;""),'T_TTAFStock'!W47,V43+'Grid_Incoming'!W43-'Grid_TTAFOutgoing'!W43))</f>
        <v/>
      </c>
      <c r="X43">
        <f>IF(COUNTIFS(T_StockCount[Part Name],$A43,T_StockCount[WeekIndex],23)&gt;0,0,IF(('T_TTAFStock'!X47&lt;&gt;""),'T_TTAFStock'!X47,W43+'Grid_Incoming'!X43-'Grid_TTAFOutgoing'!X43))</f>
        <v/>
      </c>
      <c r="Y43">
        <f>IF(COUNTIFS(T_StockCount[Part Name],$A43,T_StockCount[WeekIndex],24)&gt;0,0,IF(('T_TTAFStock'!Y47&lt;&gt;""),'T_TTAFStock'!Y47,X43+'Grid_Incoming'!Y43-'Grid_TTAFOutgoing'!Y43))</f>
        <v/>
      </c>
      <c r="Z43">
        <f>IF(COUNTIFS(T_StockCount[Part Name],$A43,T_StockCount[WeekIndex],25)&gt;0,0,IF(('T_TTAFStock'!Z47&lt;&gt;""),'T_TTAFStock'!Z47,Y43+'Grid_Incoming'!Z43-'Grid_TTAFOutgoing'!Z43))</f>
        <v/>
      </c>
      <c r="AA43">
        <f>IF(COUNTIFS(T_StockCount[Part Name],$A43,T_StockCount[WeekIndex],26)&gt;0,0,IF(('T_TTAFStock'!AA47&lt;&gt;""),'T_TTAFStock'!AA47,Z43+'Grid_Incoming'!AA43-'Grid_TTAFOutgoing'!AA43))</f>
        <v/>
      </c>
      <c r="AB43">
        <f>IF(COUNTIFS(T_StockCount[Part Name],$A43,T_StockCount[WeekIndex],27)&gt;0,0,IF(('T_TTAFStock'!AB47&lt;&gt;""),'T_TTAFStock'!AB47,AA43+'Grid_Incoming'!AB43-'Grid_TTAFOutgoing'!AB43))</f>
        <v/>
      </c>
      <c r="AC43">
        <f>IF(COUNTIFS(T_StockCount[Part Name],$A43,T_StockCount[WeekIndex],28)&gt;0,0,IF(('T_TTAFStock'!AC47&lt;&gt;""),'T_TTAFStock'!AC47,AB43+'Grid_Incoming'!AC43-'Grid_TTAFOutgoing'!AC43))</f>
        <v/>
      </c>
      <c r="AD43">
        <f>IF(COUNTIFS(T_StockCount[Part Name],$A43,T_StockCount[WeekIndex],29)&gt;0,0,IF(('T_TTAFStock'!AD47&lt;&gt;""),'T_TTAFStock'!AD47,AC43+'Grid_Incoming'!AD43-'Grid_TTAFOutgoing'!AD43))</f>
        <v/>
      </c>
      <c r="AE43">
        <f>IF(COUNTIFS(T_StockCount[Part Name],$A43,T_StockCount[WeekIndex],30)&gt;0,0,IF(('T_TTAFStock'!AE47&lt;&gt;""),'T_TTAFStock'!AE47,AD43+'Grid_Incoming'!AE43-'Grid_TTAFOutgoing'!AE43))</f>
        <v/>
      </c>
      <c r="AF43">
        <f>IF(COUNTIFS(T_StockCount[Part Name],$A43,T_StockCount[WeekIndex],31)&gt;0,0,IF(('T_TTAFStock'!AF47&lt;&gt;""),'T_TTAFStock'!AF47,AE43+'Grid_Incoming'!AF43-'Grid_TTAFOutgoing'!AF43))</f>
        <v/>
      </c>
      <c r="AG43">
        <f>IF(COUNTIFS(T_StockCount[Part Name],$A43,T_StockCount[WeekIndex],32)&gt;0,0,IF(('T_TTAFStock'!AG47&lt;&gt;""),'T_TTAFStock'!AG47,AF43+'Grid_Incoming'!AG43-'Grid_TTAFOutgoing'!AG43))</f>
        <v/>
      </c>
      <c r="AH43">
        <f>IF(COUNTIFS(T_StockCount[Part Name],$A43,T_StockCount[WeekIndex],33)&gt;0,0,IF(('T_TTAFStock'!AH47&lt;&gt;""),'T_TTAFStock'!AH47,AG43+'Grid_Incoming'!AH43-'Grid_TTAFOutgoing'!AH43))</f>
        <v/>
      </c>
      <c r="AI43">
        <f>IF(COUNTIFS(T_StockCount[Part Name],$A43,T_StockCount[WeekIndex],34)&gt;0,0,IF(('T_TTAFStock'!AI47&lt;&gt;""),'T_TTAFStock'!AI47,AH43+'Grid_Incoming'!AI43-'Grid_TTAFOutgoing'!AI43))</f>
        <v/>
      </c>
      <c r="AJ43">
        <f>IF(COUNTIFS(T_StockCount[Part Name],$A43,T_StockCount[WeekIndex],35)&gt;0,0,IF(('T_TTAFStock'!AJ47&lt;&gt;""),'T_TTAFStock'!AJ47,AI43+'Grid_Incoming'!AJ43-'Grid_TTAFOutgoing'!AJ43))</f>
        <v/>
      </c>
      <c r="AK43">
        <f>IF(COUNTIFS(T_StockCount[Part Name],$A43,T_StockCount[WeekIndex],36)&gt;0,0,IF(('T_TTAFStock'!AK47&lt;&gt;""),'T_TTAFStock'!AK47,AJ43+'Grid_Incoming'!AK43-'Grid_TTAFOutgoing'!AK43))</f>
        <v/>
      </c>
      <c r="AL43">
        <f>IF(COUNTIFS(T_StockCount[Part Name],$A43,T_StockCount[WeekIndex],37)&gt;0,0,IF(('T_TTAFStock'!AL47&lt;&gt;""),'T_TTAFStock'!AL47,AK43+'Grid_Incoming'!AL43-'Grid_TTAFOutgoing'!AL43))</f>
        <v/>
      </c>
      <c r="AM43">
        <f>IF(COUNTIFS(T_StockCount[Part Name],$A43,T_StockCount[WeekIndex],38)&gt;0,0,IF(('T_TTAFStock'!AM47&lt;&gt;""),'T_TTAFStock'!AM47,AL43+'Grid_Incoming'!AM43-'Grid_TTAFOutgoing'!AM43))</f>
        <v/>
      </c>
      <c r="AN43">
        <f>IF(COUNTIFS(T_StockCount[Part Name],$A43,T_StockCount[WeekIndex],39)&gt;0,0,IF(('T_TTAFStock'!AN47&lt;&gt;""),'T_TTAFStock'!AN47,AM43+'Grid_Incoming'!AN43-'Grid_TTAFOutgoing'!AN43))</f>
        <v/>
      </c>
      <c r="AO43">
        <f>IF(COUNTIFS(T_StockCount[Part Name],$A43,T_StockCount[WeekIndex],40)&gt;0,0,IF(('T_TTAFStock'!AO47&lt;&gt;""),'T_TTAFStock'!AO47,AN43+'Grid_Incoming'!AO43-'Grid_TTAFOutgoing'!AO43))</f>
        <v/>
      </c>
      <c r="AP43">
        <f>IF(COUNTIFS(T_StockCount[Part Name],$A43,T_StockCount[WeekIndex],41)&gt;0,0,IF(('T_TTAFStock'!AP47&lt;&gt;""),'T_TTAFStock'!AP47,AO43+'Grid_Incoming'!AP43-'Grid_TTAFOutgoing'!AP43))</f>
        <v/>
      </c>
      <c r="AQ43">
        <f>IF(COUNTIFS(T_StockCount[Part Name],$A43,T_StockCount[WeekIndex],42)&gt;0,0,IF(('T_TTAFStock'!AQ47&lt;&gt;""),'T_TTAFStock'!AQ47,AP43+'Grid_Incoming'!AQ43-'Grid_TTAFOutgoing'!AQ43))</f>
        <v/>
      </c>
      <c r="AR43">
        <f>IF(COUNTIFS(T_StockCount[Part Name],$A43,T_StockCount[WeekIndex],43)&gt;0,0,IF(('T_TTAFStock'!AR47&lt;&gt;""),'T_TTAFStock'!AR47,AQ43+'Grid_Incoming'!AR43-'Grid_TTAFOutgoing'!AR43))</f>
        <v/>
      </c>
      <c r="AS43">
        <f>IF(COUNTIFS(T_StockCount[Part Name],$A43,T_StockCount[WeekIndex],44)&gt;0,0,IF(('T_TTAFStock'!AS47&lt;&gt;""),'T_TTAFStock'!AS47,AR43+'Grid_Incoming'!AS43-'Grid_TTAFOutgoing'!AS43))</f>
        <v/>
      </c>
      <c r="AT43">
        <f>IF(COUNTIFS(T_StockCount[Part Name],$A43,T_StockCount[WeekIndex],45)&gt;0,0,IF(('T_TTAFStock'!AT47&lt;&gt;""),'T_TTAFStock'!AT47,AS43+'Grid_Incoming'!AT43-'Grid_TTAFOutgoing'!AT43))</f>
        <v/>
      </c>
      <c r="AU43">
        <f>IF(COUNTIFS(T_StockCount[Part Name],$A43,T_StockCount[WeekIndex],46)&gt;0,0,IF(('T_TTAFStock'!AU47&lt;&gt;""),'T_TTAFStock'!AU47,AT43+'Grid_Incoming'!AU43-'Grid_TTAFOutgoing'!AU43))</f>
        <v/>
      </c>
      <c r="AV43">
        <f>IF(COUNTIFS(T_StockCount[Part Name],$A43,T_StockCount[WeekIndex],47)&gt;0,0,IF(('T_TTAFStock'!AV47&lt;&gt;""),'T_TTAFStock'!AV47,AU43+'Grid_Incoming'!AV43-'Grid_TTAFOutgoing'!AV43))</f>
        <v/>
      </c>
      <c r="AW43">
        <f>IF(COUNTIFS(T_StockCount[Part Name],$A43,T_StockCount[WeekIndex],48)&gt;0,0,IF(('T_TTAFStock'!AW47&lt;&gt;""),'T_TTAFStock'!AW47,AV43+'Grid_Incoming'!AW43-'Grid_TTAFOutgoing'!AW43))</f>
        <v/>
      </c>
      <c r="AX43">
        <f>IF(COUNTIFS(T_StockCount[Part Name],$A43,T_StockCount[WeekIndex],49)&gt;0,0,IF(('T_TTAFStock'!AX47&lt;&gt;""),'T_TTAFStock'!AX47,AW43+'Grid_Incoming'!AX43-'Grid_TTAFOutgoing'!AX43))</f>
        <v/>
      </c>
      <c r="AY43">
        <f>IF(COUNTIFS(T_StockCount[Part Name],$A43,T_StockCount[WeekIndex],50)&gt;0,0,IF(('T_TTAFStock'!AY47&lt;&gt;""),'T_TTAFStock'!AY47,AX43+'Grid_Incoming'!AY43-'Grid_TTAFOutgoing'!AY43))</f>
        <v/>
      </c>
      <c r="AZ43">
        <f>IF(COUNTIFS(T_StockCount[Part Name],$A43,T_StockCount[WeekIndex],51)&gt;0,0,IF(('T_TTAFStock'!AZ47&lt;&gt;""),'T_TTAFStock'!AZ47,AY43+'Grid_Incoming'!AZ43-'Grid_TTAFOutgoing'!AZ43))</f>
        <v/>
      </c>
      <c r="BA43">
        <f>IF(COUNTIFS(T_StockCount[Part Name],$A43,T_StockCount[WeekIndex],52)&gt;0,0,IF(('T_TTAFStock'!BA47&lt;&gt;""),'T_TTAFStock'!BA47,AZ43+'Grid_Incoming'!BA43-'Grid_TTAFOutgoing'!BA43))</f>
        <v/>
      </c>
      <c r="BB43">
        <f>IF(COUNTIFS(T_StockCount[Part Name],$A43,T_StockCount[WeekIndex],53)&gt;0,0,IF(('T_TTAFStock'!BB47&lt;&gt;""),'T_TTAFStock'!BB47,BA43+'Grid_Incoming'!BB43-'Grid_TTAFOutgoing'!BB43))</f>
        <v/>
      </c>
      <c r="BC43">
        <f>IF(COUNTIFS(T_StockCount[Part Name],$A43,T_StockCount[WeekIndex],54)&gt;0,0,IF(('T_TTAFStock'!BC47&lt;&gt;""),'T_TTAFStock'!BC47,BB43+'Grid_Incoming'!BC43-'Grid_TTAFOutgoing'!BC43))</f>
        <v/>
      </c>
      <c r="BD43">
        <f>IF(COUNTIFS(T_StockCount[Part Name],$A43,T_StockCount[WeekIndex],55)&gt;0,0,IF(('T_TTAFStock'!BD47&lt;&gt;""),'T_TTAFStock'!BD47,BC43+'Grid_Incoming'!BD43-'Grid_TTAFOutgoing'!BD43))</f>
        <v/>
      </c>
      <c r="BE43">
        <f>IF(COUNTIFS(T_StockCount[Part Name],$A43,T_StockCount[WeekIndex],56)&gt;0,0,IF(('T_TTAFStock'!BE47&lt;&gt;""),'T_TTAFStock'!BE47,BD43+'Grid_Incoming'!BE43-'Grid_TTAFOutgoing'!BE43))</f>
        <v/>
      </c>
      <c r="BF43">
        <f>IF(COUNTIFS(T_StockCount[Part Name],$A43,T_StockCount[WeekIndex],57)&gt;0,0,IF(('T_TTAFStock'!BF47&lt;&gt;""),'T_TTAFStock'!BF47,BE43+'Grid_Incoming'!BF43-'Grid_TTAFOutgoing'!BF43))</f>
        <v/>
      </c>
      <c r="BG43">
        <f>IF(COUNTIFS(T_StockCount[Part Name],$A43,T_StockCount[WeekIndex],58)&gt;0,0,IF(('T_TTAFStock'!BG47&lt;&gt;""),'T_TTAFStock'!BG47,BF43+'Grid_Incoming'!BG43-'Grid_TTAFOutgoing'!BG43))</f>
        <v/>
      </c>
      <c r="BH43">
        <f>IF(COUNTIFS(T_StockCount[Part Name],$A43,T_StockCount[WeekIndex],59)&gt;0,0,IF(('T_TTAFStock'!BH47&lt;&gt;""),'T_TTAFStock'!BH47,BG43+'Grid_Incoming'!BH43-'Grid_TTAFOutgoing'!BH43))</f>
        <v/>
      </c>
      <c r="BI43">
        <f>IF(COUNTIFS(T_StockCount[Part Name],$A43,T_StockCount[WeekIndex],60)&gt;0,0,IF(('T_TTAFStock'!BI47&lt;&gt;""),'T_TTAFStock'!BI47,BH43+'Grid_Incoming'!BI43-'Grid_TTAFOutgoing'!BI43))</f>
        <v/>
      </c>
      <c r="BJ43">
        <f>IF(COUNTIFS(T_StockCount[Part Name],$A43,T_StockCount[WeekIndex],61)&gt;0,0,IF(('T_TTAFStock'!BJ47&lt;&gt;""),'T_TTAFStock'!BJ47,BI43+'Grid_Incoming'!BJ43-'Grid_TTAFOutgoing'!BJ43))</f>
        <v/>
      </c>
      <c r="BK43">
        <f>IF(COUNTIFS(T_StockCount[Part Name],$A43,T_StockCount[WeekIndex],62)&gt;0,0,IF(('T_TTAFStock'!BK47&lt;&gt;""),'T_TTAFStock'!BK47,BJ43+'Grid_Incoming'!BK43-'Grid_TTAFOutgoing'!BK43))</f>
        <v/>
      </c>
      <c r="BL43">
        <f>IF(COUNTIFS(T_StockCount[Part Name],$A43,T_StockCount[WeekIndex],63)&gt;0,0,IF(('T_TTAFStock'!BL47&lt;&gt;""),'T_TTAFStock'!BL47,BK43+'Grid_Incoming'!BL43-'Grid_TTAFOutgoing'!BL43))</f>
        <v/>
      </c>
      <c r="BM43">
        <f>IF(COUNTIFS(T_StockCount[Part Name],$A43,T_StockCount[WeekIndex],64)&gt;0,0,IF(('T_TTAFStock'!BM47&lt;&gt;""),'T_TTAFStock'!BM47,BL43+'Grid_Incoming'!BM43-'Grid_TTAFOutgoing'!BM43))</f>
        <v/>
      </c>
      <c r="BN43">
        <f>IF(COUNTIFS(T_StockCount[Part Name],$A43,T_StockCount[WeekIndex],65)&gt;0,0,IF(('T_TTAFStock'!BN47&lt;&gt;""),'T_TTAFStock'!BN47,BM43+'Grid_Incoming'!BN43-'Grid_TTAFOutgoing'!BN43))</f>
        <v/>
      </c>
      <c r="BO43">
        <f>IF(COUNTIFS(T_StockCount[Part Name],$A43,T_StockCount[WeekIndex],66)&gt;0,0,IF(('T_TTAFStock'!BO47&lt;&gt;""),'T_TTAFStock'!BO47,BN43+'Grid_Incoming'!BO43-'Grid_TTAFOutgoing'!BO43))</f>
        <v/>
      </c>
      <c r="BP43">
        <f>IF(COUNTIFS(T_StockCount[Part Name],$A43,T_StockCount[WeekIndex],67)&gt;0,0,IF(('T_TTAFStock'!BP47&lt;&gt;""),'T_TTAFStock'!BP47,BO43+'Grid_Incoming'!BP43-'Grid_TTAFOutgoing'!BP43))</f>
        <v/>
      </c>
      <c r="BQ43">
        <f>IF(COUNTIFS(T_StockCount[Part Name],$A43,T_StockCount[WeekIndex],68)&gt;0,0,IF(('T_TTAFStock'!BQ47&lt;&gt;""),'T_TTAFStock'!BQ47,BP43+'Grid_Incoming'!BQ43-'Grid_TTAFOutgoing'!BQ43))</f>
        <v/>
      </c>
      <c r="BR43">
        <f>IF(COUNTIFS(T_StockCount[Part Name],$A43,T_StockCount[WeekIndex],69)&gt;0,0,IF(('T_TTAFStock'!BR47&lt;&gt;""),'T_TTAFStock'!BR47,BQ43+'Grid_Incoming'!BR43-'Grid_TTAFOutgoing'!BR43))</f>
        <v/>
      </c>
      <c r="BS43">
        <f>IF(COUNTIFS(T_StockCount[Part Name],$A43,T_StockCount[WeekIndex],70)&gt;0,0,IF(('T_TTAFStock'!BS47&lt;&gt;""),'T_TTAFStock'!BS47,BR43+'Grid_Incoming'!BS43-'Grid_TTAFOutgoing'!BS43))</f>
        <v/>
      </c>
      <c r="BT43">
        <f>IF(COUNTIFS(T_StockCount[Part Name],$A43,T_StockCount[WeekIndex],71)&gt;0,0,IF(('T_TTAFStock'!BT47&lt;&gt;""),'T_TTAFStock'!BT47,BS43+'Grid_Incoming'!BT43-'Grid_TTAFOutgoing'!BT43))</f>
        <v/>
      </c>
      <c r="BU43">
        <f>IF(COUNTIFS(T_StockCount[Part Name],$A43,T_StockCount[WeekIndex],72)&gt;0,0,IF(('T_TTAFStock'!BU47&lt;&gt;""),'T_TTAFStock'!BU47,BT43+'Grid_Incoming'!BU43-'Grid_TTAFOutgoing'!BU43))</f>
        <v/>
      </c>
      <c r="BV43">
        <f>IF(COUNTIFS(T_StockCount[Part Name],$A43,T_StockCount[WeekIndex],73)&gt;0,0,IF(('T_TTAFStock'!BV47&lt;&gt;""),'T_TTAFStock'!BV47,BU43+'Grid_Incoming'!BV43-'Grid_TTAFOutgoing'!BV43))</f>
        <v/>
      </c>
      <c r="BW43">
        <f>IF(COUNTIFS(T_StockCount[Part Name],$A43,T_StockCount[WeekIndex],74)&gt;0,0,IF(('T_TTAFStock'!BW47&lt;&gt;""),'T_TTAFStock'!BW47,BV43+'Grid_Incoming'!BW43-'Grid_TTAFOutgoing'!BW43))</f>
        <v/>
      </c>
      <c r="BX43">
        <f>IF(COUNTIFS(T_StockCount[Part Name],$A43,T_StockCount[WeekIndex],75)&gt;0,0,IF(('T_TTAFStock'!BX47&lt;&gt;""),'T_TTAFStock'!BX47,BW43+'Grid_Incoming'!BX43-'Grid_TTAFOutgoing'!BX43))</f>
        <v/>
      </c>
      <c r="BY43">
        <f>IF(COUNTIFS(T_StockCount[Part Name],$A43,T_StockCount[WeekIndex],76)&gt;0,0,IF(('T_TTAFStock'!BY47&lt;&gt;""),'T_TTAFStock'!BY47,BX43+'Grid_Incoming'!BY43-'Grid_TTAFOutgoing'!BY43))</f>
        <v/>
      </c>
      <c r="BZ43">
        <f>IF(COUNTIFS(T_StockCount[Part Name],$A43,T_StockCount[WeekIndex],77)&gt;0,0,IF(('T_TTAFStock'!BZ47&lt;&gt;""),'T_TTAFStock'!BZ47,BY43+'Grid_Incoming'!BZ43-'Grid_TTAFOutgoing'!BZ43))</f>
        <v/>
      </c>
      <c r="CA43">
        <f>IF(COUNTIFS(T_StockCount[Part Name],$A43,T_StockCount[WeekIndex],78)&gt;0,0,IF(('T_TTAFStock'!CA47&lt;&gt;""),'T_TTAFStock'!CA47,BZ43+'Grid_Incoming'!CA43-'Grid_TTAFOutgoing'!CA43))</f>
        <v/>
      </c>
      <c r="CB43">
        <f>IF(COUNTIFS(T_StockCount[Part Name],$A43,T_StockCount[WeekIndex],79)&gt;0,0,IF(('T_TTAFStock'!CB47&lt;&gt;""),'T_TTAFStock'!CB47,CA43+'Grid_Incoming'!CB43-'Grid_TTAFOutgoing'!CB43))</f>
        <v/>
      </c>
      <c r="CC43">
        <f>IF(COUNTIFS(T_StockCount[Part Name],$A43,T_StockCount[WeekIndex],80)&gt;0,0,IF(('T_TTAFStock'!CC47&lt;&gt;""),'T_TTAFStock'!CC47,CB43+'Grid_Incoming'!CC43-'Grid_TTAFOutgoing'!CC43))</f>
        <v/>
      </c>
      <c r="CD43">
        <f>IF(COUNTIFS(T_StockCount[Part Name],$A43,T_StockCount[WeekIndex],81)&gt;0,0,IF(('T_TTAFStock'!CD47&lt;&gt;""),'T_TTAFStock'!CD47,CC43+'Grid_Incoming'!CD43-'Grid_TTAFOutgoing'!CD43))</f>
        <v/>
      </c>
      <c r="CE43">
        <f>IF(COUNTIFS(T_StockCount[Part Name],$A43,T_StockCount[WeekIndex],82)&gt;0,0,IF(('T_TTAFStock'!CE47&lt;&gt;""),'T_TTAFStock'!CE47,CD43+'Grid_Incoming'!CE43-'Grid_TTAFOutgoing'!CE43))</f>
        <v/>
      </c>
      <c r="CF43">
        <f>IF(COUNTIFS(T_StockCount[Part Name],$A43,T_StockCount[WeekIndex],83)&gt;0,0,IF(('T_TTAFStock'!CF47&lt;&gt;""),'T_TTAFStock'!CF47,CE43+'Grid_Incoming'!CF43-'Grid_TTAFOutgoing'!CF43))</f>
        <v/>
      </c>
      <c r="CG43">
        <f>IF(COUNTIFS(T_StockCount[Part Name],$A43,T_StockCount[WeekIndex],84)&gt;0,0,IF(('T_TTAFStock'!CG47&lt;&gt;""),'T_TTAFStock'!CG47,CF43+'Grid_Incoming'!CG43-'Grid_TTAFOutgoing'!CG43))</f>
        <v/>
      </c>
      <c r="CH43">
        <f>IF(COUNTIFS(T_StockCount[Part Name],$A43,T_StockCount[WeekIndex],85)&gt;0,0,IF(('T_TTAFStock'!CH47&lt;&gt;""),'T_TTAFStock'!CH47,CG43+'Grid_Incoming'!CH43-'Grid_TTAFOutgoing'!CH43))</f>
        <v/>
      </c>
      <c r="CI43">
        <f>IF(COUNTIFS(T_StockCount[Part Name],$A43,T_StockCount[WeekIndex],86)&gt;0,0,IF(('T_TTAFStock'!CI47&lt;&gt;""),'T_TTAFStock'!CI47,CH43+'Grid_Incoming'!CI43-'Grid_TTAFOutgoing'!CI43))</f>
        <v/>
      </c>
      <c r="CJ43">
        <f>IF(COUNTIFS(T_StockCount[Part Name],$A43,T_StockCount[WeekIndex],87)&gt;0,0,IF(('T_TTAFStock'!CJ47&lt;&gt;""),'T_TTAFStock'!CJ47,CI43+'Grid_Incoming'!CJ43-'Grid_TTAFOutgoing'!CJ43))</f>
        <v/>
      </c>
      <c r="CK43">
        <f>IF(COUNTIFS(T_StockCount[Part Name],$A43,T_StockCount[WeekIndex],88)&gt;0,0,IF(('T_TTAFStock'!CK47&lt;&gt;""),'T_TTAFStock'!CK47,CJ43+'Grid_Incoming'!CK43-'Grid_TTAFOutgoing'!CK43))</f>
        <v/>
      </c>
      <c r="CL43">
        <f>IF(COUNTIFS(T_StockCount[Part Name],$A43,T_StockCount[WeekIndex],89)&gt;0,0,IF(('T_TTAFStock'!CL47&lt;&gt;""),'T_TTAFStock'!CL47,CK43+'Grid_Incoming'!CL43-'Grid_TTAFOutgoing'!CL43))</f>
        <v/>
      </c>
      <c r="CM43">
        <f>IF(COUNTIFS(T_StockCount[Part Name],$A43,T_StockCount[WeekIndex],90)&gt;0,0,IF(('T_TTAFStock'!CM47&lt;&gt;""),'T_TTAFStock'!CM47,CL43+'Grid_Incoming'!CM43-'Grid_TTAFOutgoing'!CM43))</f>
        <v/>
      </c>
      <c r="CN43">
        <f>IF(COUNTIFS(T_StockCount[Part Name],$A43,T_StockCount[WeekIndex],91)&gt;0,0,IF(('T_TTAFStock'!CN47&lt;&gt;""),'T_TTAFStock'!CN47,CM43+'Grid_Incoming'!CN43-'Grid_TTAFOutgoing'!CN43))</f>
        <v/>
      </c>
      <c r="CO43">
        <f>IF(COUNTIFS(T_StockCount[Part Name],$A43,T_StockCount[WeekIndex],92)&gt;0,0,IF(('T_TTAFStock'!CO47&lt;&gt;""),'T_TTAFStock'!CO47,CN43+'Grid_Incoming'!CO43-'Grid_TTAFOutgoing'!CO43))</f>
        <v/>
      </c>
      <c r="CP43">
        <f>IF(COUNTIFS(T_StockCount[Part Name],$A43,T_StockCount[WeekIndex],93)&gt;0,0,IF(('T_TTAFStock'!CP47&lt;&gt;""),'T_TTAFStock'!CP47,CO43+'Grid_Incoming'!CP43-'Grid_TTAFOutgoing'!CP43))</f>
        <v/>
      </c>
      <c r="CQ43">
        <f>IF(COUNTIFS(T_StockCount[Part Name],$A43,T_StockCount[WeekIndex],94)&gt;0,0,IF(('T_TTAFStock'!CQ47&lt;&gt;""),'T_TTAFStock'!CQ47,CP43+'Grid_Incoming'!CQ43-'Grid_TTAFOutgoing'!CQ43))</f>
        <v/>
      </c>
      <c r="CR43">
        <f>IF(COUNTIFS(T_StockCount[Part Name],$A43,T_StockCount[WeekIndex],95)&gt;0,0,IF(('T_TTAFStock'!CR47&lt;&gt;""),'T_TTAFStock'!CR47,CQ43+'Grid_Incoming'!CR43-'Grid_TTAFOutgoing'!CR43))</f>
        <v/>
      </c>
      <c r="CS43">
        <f>IF(COUNTIFS(T_StockCount[Part Name],$A43,T_StockCount[WeekIndex],96)&gt;0,0,IF(('T_TTAFStock'!CS47&lt;&gt;""),'T_TTAFStock'!CS47,CR43+'Grid_Incoming'!CS43-'Grid_TTAFOutgoing'!CS43))</f>
        <v/>
      </c>
      <c r="CT43">
        <f>IF(COUNTIFS(T_StockCount[Part Name],$A43,T_StockCount[WeekIndex],97)&gt;0,0,IF(('T_TTAFStock'!CT47&lt;&gt;""),'T_TTAFStock'!CT47,CS43+'Grid_Incoming'!CT43-'Grid_TTAFOutgoing'!CT43))</f>
        <v/>
      </c>
      <c r="CU43">
        <f>IF(COUNTIFS(T_StockCount[Part Name],$A43,T_StockCount[WeekIndex],98)&gt;0,0,IF(('T_TTAFStock'!CU47&lt;&gt;""),'T_TTAFStock'!CU47,CT43+'Grid_Incoming'!CU43-'Grid_TTAFOutgoing'!CU43))</f>
        <v/>
      </c>
      <c r="CV43">
        <f>IF(COUNTIFS(T_StockCount[Part Name],$A43,T_StockCount[WeekIndex],99)&gt;0,0,IF(('T_TTAFStock'!CV47&lt;&gt;""),'T_TTAFStock'!CV47,CU43+'Grid_Incoming'!CV43-'Grid_TTAFOutgoing'!CV43))</f>
        <v/>
      </c>
      <c r="CW43">
        <f>IF(COUNTIFS(T_StockCount[Part Name],$A43,T_StockCount[WeekIndex],100)&gt;0,0,IF(('T_TTAFStock'!CW47&lt;&gt;""),'T_TTAFStock'!CW47,CV43+'Grid_Incoming'!CW43-'Grid_TTAFOutgoing'!CW43))</f>
        <v/>
      </c>
      <c r="CX43">
        <f>IF(COUNTIFS(T_StockCount[Part Name],$A43,T_StockCount[WeekIndex],101)&gt;0,0,IF(('T_TTAFStock'!CX47&lt;&gt;""),'T_TTAFStock'!CX47,CW43+'Grid_Incoming'!CX43-'Grid_TTAFOutgoing'!CX43))</f>
        <v/>
      </c>
      <c r="CY43">
        <f>IF(COUNTIFS(T_StockCount[Part Name],$A43,T_StockCount[WeekIndex],102)&gt;0,0,IF(('T_TTAFStock'!CY47&lt;&gt;""),'T_TTAFStock'!CY47,CX43+'Grid_Incoming'!CY43-'Grid_TTAFOutgoing'!CY43))</f>
        <v/>
      </c>
      <c r="CZ43">
        <f>IF(COUNTIFS(T_StockCount[Part Name],$A43,T_StockCount[WeekIndex],103)&gt;0,0,IF(('T_TTAFStock'!CZ47&lt;&gt;""),'T_TTAFStock'!CZ47,CY43+'Grid_Incoming'!CZ43-'Grid_TTAFOutgoing'!CZ43))</f>
        <v/>
      </c>
      <c r="DA43">
        <f>IF(COUNTIFS(T_StockCount[Part Name],$A43,T_StockCount[WeekIndex],104)&gt;0,0,IF(('T_TTAFStock'!DA47&lt;&gt;""),'T_TTAFStock'!DA47,CZ43+'Grid_Incoming'!DA43-'Grid_TTAFOutgoing'!DA43))</f>
        <v/>
      </c>
    </row>
    <row r="44">
      <c r="A44" t="inlineStr">
        <is>
          <t>3TP</t>
        </is>
      </c>
      <c r="B44">
        <f>IF(COUNTIFS(T_StockCount[Part Name],$A44,T_StockCount[WeekIndex],1)&gt;0,0,IF(('T_TTAFStock'!B48&lt;&gt;""),'T_TTAFStock'!B48,0+'Grid_Incoming'!B44-'Grid_TTAFOutgoing'!B44))</f>
        <v/>
      </c>
      <c r="C44">
        <f>IF(COUNTIFS(T_StockCount[Part Name],$A44,T_StockCount[WeekIndex],2)&gt;0,0,IF(('T_TTAFStock'!C48&lt;&gt;""),'T_TTAFStock'!C48,B44+'Grid_Incoming'!C44-'Grid_TTAFOutgoing'!C44))</f>
        <v/>
      </c>
      <c r="D44">
        <f>IF(COUNTIFS(T_StockCount[Part Name],$A44,T_StockCount[WeekIndex],3)&gt;0,0,IF(('T_TTAFStock'!D48&lt;&gt;""),'T_TTAFStock'!D48,C44+'Grid_Incoming'!D44-'Grid_TTAFOutgoing'!D44))</f>
        <v/>
      </c>
      <c r="E44">
        <f>IF(COUNTIFS(T_StockCount[Part Name],$A44,T_StockCount[WeekIndex],4)&gt;0,0,IF(('T_TTAFStock'!E48&lt;&gt;""),'T_TTAFStock'!E48,D44+'Grid_Incoming'!E44-'Grid_TTAFOutgoing'!E44))</f>
        <v/>
      </c>
      <c r="F44">
        <f>IF(COUNTIFS(T_StockCount[Part Name],$A44,T_StockCount[WeekIndex],5)&gt;0,0,IF(('T_TTAFStock'!F48&lt;&gt;""),'T_TTAFStock'!F48,E44+'Grid_Incoming'!F44-'Grid_TTAFOutgoing'!F44))</f>
        <v/>
      </c>
      <c r="G44">
        <f>IF(COUNTIFS(T_StockCount[Part Name],$A44,T_StockCount[WeekIndex],6)&gt;0,0,IF(('T_TTAFStock'!G48&lt;&gt;""),'T_TTAFStock'!G48,F44+'Grid_Incoming'!G44-'Grid_TTAFOutgoing'!G44))</f>
        <v/>
      </c>
      <c r="H44">
        <f>IF(COUNTIFS(T_StockCount[Part Name],$A44,T_StockCount[WeekIndex],7)&gt;0,0,IF(('T_TTAFStock'!H48&lt;&gt;""),'T_TTAFStock'!H48,G44+'Grid_Incoming'!H44-'Grid_TTAFOutgoing'!H44))</f>
        <v/>
      </c>
      <c r="I44">
        <f>IF(COUNTIFS(T_StockCount[Part Name],$A44,T_StockCount[WeekIndex],8)&gt;0,0,IF(('T_TTAFStock'!I48&lt;&gt;""),'T_TTAFStock'!I48,H44+'Grid_Incoming'!I44-'Grid_TTAFOutgoing'!I44))</f>
        <v/>
      </c>
      <c r="J44">
        <f>IF(COUNTIFS(T_StockCount[Part Name],$A44,T_StockCount[WeekIndex],9)&gt;0,0,IF(('T_TTAFStock'!J48&lt;&gt;""),'T_TTAFStock'!J48,I44+'Grid_Incoming'!J44-'Grid_TTAFOutgoing'!J44))</f>
        <v/>
      </c>
      <c r="K44">
        <f>IF(COUNTIFS(T_StockCount[Part Name],$A44,T_StockCount[WeekIndex],10)&gt;0,0,IF(('T_TTAFStock'!K48&lt;&gt;""),'T_TTAFStock'!K48,J44+'Grid_Incoming'!K44-'Grid_TTAFOutgoing'!K44))</f>
        <v/>
      </c>
      <c r="L44">
        <f>IF(COUNTIFS(T_StockCount[Part Name],$A44,T_StockCount[WeekIndex],11)&gt;0,0,IF(('T_TTAFStock'!L48&lt;&gt;""),'T_TTAFStock'!L48,K44+'Grid_Incoming'!L44-'Grid_TTAFOutgoing'!L44))</f>
        <v/>
      </c>
      <c r="M44">
        <f>IF(COUNTIFS(T_StockCount[Part Name],$A44,T_StockCount[WeekIndex],12)&gt;0,0,IF(('T_TTAFStock'!M48&lt;&gt;""),'T_TTAFStock'!M48,L44+'Grid_Incoming'!M44-'Grid_TTAFOutgoing'!M44))</f>
        <v/>
      </c>
      <c r="N44">
        <f>IF(COUNTIFS(T_StockCount[Part Name],$A44,T_StockCount[WeekIndex],13)&gt;0,0,IF(('T_TTAFStock'!N48&lt;&gt;""),'T_TTAFStock'!N48,M44+'Grid_Incoming'!N44-'Grid_TTAFOutgoing'!N44))</f>
        <v/>
      </c>
      <c r="O44">
        <f>IF(COUNTIFS(T_StockCount[Part Name],$A44,T_StockCount[WeekIndex],14)&gt;0,0,IF(('T_TTAFStock'!O48&lt;&gt;""),'T_TTAFStock'!O48,N44+'Grid_Incoming'!O44-'Grid_TTAFOutgoing'!O44))</f>
        <v/>
      </c>
      <c r="P44">
        <f>IF(COUNTIFS(T_StockCount[Part Name],$A44,T_StockCount[WeekIndex],15)&gt;0,0,IF(('T_TTAFStock'!P48&lt;&gt;""),'T_TTAFStock'!P48,O44+'Grid_Incoming'!P44-'Grid_TTAFOutgoing'!P44))</f>
        <v/>
      </c>
      <c r="Q44">
        <f>IF(COUNTIFS(T_StockCount[Part Name],$A44,T_StockCount[WeekIndex],16)&gt;0,0,IF(('T_TTAFStock'!Q48&lt;&gt;""),'T_TTAFStock'!Q48,P44+'Grid_Incoming'!Q44-'Grid_TTAFOutgoing'!Q44))</f>
        <v/>
      </c>
      <c r="R44">
        <f>IF(COUNTIFS(T_StockCount[Part Name],$A44,T_StockCount[WeekIndex],17)&gt;0,0,IF(('T_TTAFStock'!R48&lt;&gt;""),'T_TTAFStock'!R48,Q44+'Grid_Incoming'!R44-'Grid_TTAFOutgoing'!R44))</f>
        <v/>
      </c>
      <c r="S44">
        <f>IF(COUNTIFS(T_StockCount[Part Name],$A44,T_StockCount[WeekIndex],18)&gt;0,0,IF(('T_TTAFStock'!S48&lt;&gt;""),'T_TTAFStock'!S48,R44+'Grid_Incoming'!S44-'Grid_TTAFOutgoing'!S44))</f>
        <v/>
      </c>
      <c r="T44">
        <f>IF(COUNTIFS(T_StockCount[Part Name],$A44,T_StockCount[WeekIndex],19)&gt;0,0,IF(('T_TTAFStock'!T48&lt;&gt;""),'T_TTAFStock'!T48,S44+'Grid_Incoming'!T44-'Grid_TTAFOutgoing'!T44))</f>
        <v/>
      </c>
      <c r="U44">
        <f>IF(COUNTIFS(T_StockCount[Part Name],$A44,T_StockCount[WeekIndex],20)&gt;0,0,IF(('T_TTAFStock'!U48&lt;&gt;""),'T_TTAFStock'!U48,T44+'Grid_Incoming'!U44-'Grid_TTAFOutgoing'!U44))</f>
        <v/>
      </c>
      <c r="V44">
        <f>IF(COUNTIFS(T_StockCount[Part Name],$A44,T_StockCount[WeekIndex],21)&gt;0,0,IF(('T_TTAFStock'!V48&lt;&gt;""),'T_TTAFStock'!V48,U44+'Grid_Incoming'!V44-'Grid_TTAFOutgoing'!V44))</f>
        <v/>
      </c>
      <c r="W44">
        <f>IF(COUNTIFS(T_StockCount[Part Name],$A44,T_StockCount[WeekIndex],22)&gt;0,0,IF(('T_TTAFStock'!W48&lt;&gt;""),'T_TTAFStock'!W48,V44+'Grid_Incoming'!W44-'Grid_TTAFOutgoing'!W44))</f>
        <v/>
      </c>
      <c r="X44">
        <f>IF(COUNTIFS(T_StockCount[Part Name],$A44,T_StockCount[WeekIndex],23)&gt;0,0,IF(('T_TTAFStock'!X48&lt;&gt;""),'T_TTAFStock'!X48,W44+'Grid_Incoming'!X44-'Grid_TTAFOutgoing'!X44))</f>
        <v/>
      </c>
      <c r="Y44">
        <f>IF(COUNTIFS(T_StockCount[Part Name],$A44,T_StockCount[WeekIndex],24)&gt;0,0,IF(('T_TTAFStock'!Y48&lt;&gt;""),'T_TTAFStock'!Y48,X44+'Grid_Incoming'!Y44-'Grid_TTAFOutgoing'!Y44))</f>
        <v/>
      </c>
      <c r="Z44">
        <f>IF(COUNTIFS(T_StockCount[Part Name],$A44,T_StockCount[WeekIndex],25)&gt;0,0,IF(('T_TTAFStock'!Z48&lt;&gt;""),'T_TTAFStock'!Z48,Y44+'Grid_Incoming'!Z44-'Grid_TTAFOutgoing'!Z44))</f>
        <v/>
      </c>
      <c r="AA44">
        <f>IF(COUNTIFS(T_StockCount[Part Name],$A44,T_StockCount[WeekIndex],26)&gt;0,0,IF(('T_TTAFStock'!AA48&lt;&gt;""),'T_TTAFStock'!AA48,Z44+'Grid_Incoming'!AA44-'Grid_TTAFOutgoing'!AA44))</f>
        <v/>
      </c>
      <c r="AB44">
        <f>IF(COUNTIFS(T_StockCount[Part Name],$A44,T_StockCount[WeekIndex],27)&gt;0,0,IF(('T_TTAFStock'!AB48&lt;&gt;""),'T_TTAFStock'!AB48,AA44+'Grid_Incoming'!AB44-'Grid_TTAFOutgoing'!AB44))</f>
        <v/>
      </c>
      <c r="AC44">
        <f>IF(COUNTIFS(T_StockCount[Part Name],$A44,T_StockCount[WeekIndex],28)&gt;0,0,IF(('T_TTAFStock'!AC48&lt;&gt;""),'T_TTAFStock'!AC48,AB44+'Grid_Incoming'!AC44-'Grid_TTAFOutgoing'!AC44))</f>
        <v/>
      </c>
      <c r="AD44">
        <f>IF(COUNTIFS(T_StockCount[Part Name],$A44,T_StockCount[WeekIndex],29)&gt;0,0,IF(('T_TTAFStock'!AD48&lt;&gt;""),'T_TTAFStock'!AD48,AC44+'Grid_Incoming'!AD44-'Grid_TTAFOutgoing'!AD44))</f>
        <v/>
      </c>
      <c r="AE44">
        <f>IF(COUNTIFS(T_StockCount[Part Name],$A44,T_StockCount[WeekIndex],30)&gt;0,0,IF(('T_TTAFStock'!AE48&lt;&gt;""),'T_TTAFStock'!AE48,AD44+'Grid_Incoming'!AE44-'Grid_TTAFOutgoing'!AE44))</f>
        <v/>
      </c>
      <c r="AF44">
        <f>IF(COUNTIFS(T_StockCount[Part Name],$A44,T_StockCount[WeekIndex],31)&gt;0,0,IF(('T_TTAFStock'!AF48&lt;&gt;""),'T_TTAFStock'!AF48,AE44+'Grid_Incoming'!AF44-'Grid_TTAFOutgoing'!AF44))</f>
        <v/>
      </c>
      <c r="AG44">
        <f>IF(COUNTIFS(T_StockCount[Part Name],$A44,T_StockCount[WeekIndex],32)&gt;0,0,IF(('T_TTAFStock'!AG48&lt;&gt;""),'T_TTAFStock'!AG48,AF44+'Grid_Incoming'!AG44-'Grid_TTAFOutgoing'!AG44))</f>
        <v/>
      </c>
      <c r="AH44">
        <f>IF(COUNTIFS(T_StockCount[Part Name],$A44,T_StockCount[WeekIndex],33)&gt;0,0,IF(('T_TTAFStock'!AH48&lt;&gt;""),'T_TTAFStock'!AH48,AG44+'Grid_Incoming'!AH44-'Grid_TTAFOutgoing'!AH44))</f>
        <v/>
      </c>
      <c r="AI44">
        <f>IF(COUNTIFS(T_StockCount[Part Name],$A44,T_StockCount[WeekIndex],34)&gt;0,0,IF(('T_TTAFStock'!AI48&lt;&gt;""),'T_TTAFStock'!AI48,AH44+'Grid_Incoming'!AI44-'Grid_TTAFOutgoing'!AI44))</f>
        <v/>
      </c>
      <c r="AJ44">
        <f>IF(COUNTIFS(T_StockCount[Part Name],$A44,T_StockCount[WeekIndex],35)&gt;0,0,IF(('T_TTAFStock'!AJ48&lt;&gt;""),'T_TTAFStock'!AJ48,AI44+'Grid_Incoming'!AJ44-'Grid_TTAFOutgoing'!AJ44))</f>
        <v/>
      </c>
      <c r="AK44">
        <f>IF(COUNTIFS(T_StockCount[Part Name],$A44,T_StockCount[WeekIndex],36)&gt;0,0,IF(('T_TTAFStock'!AK48&lt;&gt;""),'T_TTAFStock'!AK48,AJ44+'Grid_Incoming'!AK44-'Grid_TTAFOutgoing'!AK44))</f>
        <v/>
      </c>
      <c r="AL44">
        <f>IF(COUNTIFS(T_StockCount[Part Name],$A44,T_StockCount[WeekIndex],37)&gt;0,0,IF(('T_TTAFStock'!AL48&lt;&gt;""),'T_TTAFStock'!AL48,AK44+'Grid_Incoming'!AL44-'Grid_TTAFOutgoing'!AL44))</f>
        <v/>
      </c>
      <c r="AM44">
        <f>IF(COUNTIFS(T_StockCount[Part Name],$A44,T_StockCount[WeekIndex],38)&gt;0,0,IF(('T_TTAFStock'!AM48&lt;&gt;""),'T_TTAFStock'!AM48,AL44+'Grid_Incoming'!AM44-'Grid_TTAFOutgoing'!AM44))</f>
        <v/>
      </c>
      <c r="AN44">
        <f>IF(COUNTIFS(T_StockCount[Part Name],$A44,T_StockCount[WeekIndex],39)&gt;0,0,IF(('T_TTAFStock'!AN48&lt;&gt;""),'T_TTAFStock'!AN48,AM44+'Grid_Incoming'!AN44-'Grid_TTAFOutgoing'!AN44))</f>
        <v/>
      </c>
      <c r="AO44">
        <f>IF(COUNTIFS(T_StockCount[Part Name],$A44,T_StockCount[WeekIndex],40)&gt;0,0,IF(('T_TTAFStock'!AO48&lt;&gt;""),'T_TTAFStock'!AO48,AN44+'Grid_Incoming'!AO44-'Grid_TTAFOutgoing'!AO44))</f>
        <v/>
      </c>
      <c r="AP44">
        <f>IF(COUNTIFS(T_StockCount[Part Name],$A44,T_StockCount[WeekIndex],41)&gt;0,0,IF(('T_TTAFStock'!AP48&lt;&gt;""),'T_TTAFStock'!AP48,AO44+'Grid_Incoming'!AP44-'Grid_TTAFOutgoing'!AP44))</f>
        <v/>
      </c>
      <c r="AQ44">
        <f>IF(COUNTIFS(T_StockCount[Part Name],$A44,T_StockCount[WeekIndex],42)&gt;0,0,IF(('T_TTAFStock'!AQ48&lt;&gt;""),'T_TTAFStock'!AQ48,AP44+'Grid_Incoming'!AQ44-'Grid_TTAFOutgoing'!AQ44))</f>
        <v/>
      </c>
      <c r="AR44">
        <f>IF(COUNTIFS(T_StockCount[Part Name],$A44,T_StockCount[WeekIndex],43)&gt;0,0,IF(('T_TTAFStock'!AR48&lt;&gt;""),'T_TTAFStock'!AR48,AQ44+'Grid_Incoming'!AR44-'Grid_TTAFOutgoing'!AR44))</f>
        <v/>
      </c>
      <c r="AS44">
        <f>IF(COUNTIFS(T_StockCount[Part Name],$A44,T_StockCount[WeekIndex],44)&gt;0,0,IF(('T_TTAFStock'!AS48&lt;&gt;""),'T_TTAFStock'!AS48,AR44+'Grid_Incoming'!AS44-'Grid_TTAFOutgoing'!AS44))</f>
        <v/>
      </c>
      <c r="AT44">
        <f>IF(COUNTIFS(T_StockCount[Part Name],$A44,T_StockCount[WeekIndex],45)&gt;0,0,IF(('T_TTAFStock'!AT48&lt;&gt;""),'T_TTAFStock'!AT48,AS44+'Grid_Incoming'!AT44-'Grid_TTAFOutgoing'!AT44))</f>
        <v/>
      </c>
      <c r="AU44">
        <f>IF(COUNTIFS(T_StockCount[Part Name],$A44,T_StockCount[WeekIndex],46)&gt;0,0,IF(('T_TTAFStock'!AU48&lt;&gt;""),'T_TTAFStock'!AU48,AT44+'Grid_Incoming'!AU44-'Grid_TTAFOutgoing'!AU44))</f>
        <v/>
      </c>
      <c r="AV44">
        <f>IF(COUNTIFS(T_StockCount[Part Name],$A44,T_StockCount[WeekIndex],47)&gt;0,0,IF(('T_TTAFStock'!AV48&lt;&gt;""),'T_TTAFStock'!AV48,AU44+'Grid_Incoming'!AV44-'Grid_TTAFOutgoing'!AV44))</f>
        <v/>
      </c>
      <c r="AW44">
        <f>IF(COUNTIFS(T_StockCount[Part Name],$A44,T_StockCount[WeekIndex],48)&gt;0,0,IF(('T_TTAFStock'!AW48&lt;&gt;""),'T_TTAFStock'!AW48,AV44+'Grid_Incoming'!AW44-'Grid_TTAFOutgoing'!AW44))</f>
        <v/>
      </c>
      <c r="AX44">
        <f>IF(COUNTIFS(T_StockCount[Part Name],$A44,T_StockCount[WeekIndex],49)&gt;0,0,IF(('T_TTAFStock'!AX48&lt;&gt;""),'T_TTAFStock'!AX48,AW44+'Grid_Incoming'!AX44-'Grid_TTAFOutgoing'!AX44))</f>
        <v/>
      </c>
      <c r="AY44">
        <f>IF(COUNTIFS(T_StockCount[Part Name],$A44,T_StockCount[WeekIndex],50)&gt;0,0,IF(('T_TTAFStock'!AY48&lt;&gt;""),'T_TTAFStock'!AY48,AX44+'Grid_Incoming'!AY44-'Grid_TTAFOutgoing'!AY44))</f>
        <v/>
      </c>
      <c r="AZ44">
        <f>IF(COUNTIFS(T_StockCount[Part Name],$A44,T_StockCount[WeekIndex],51)&gt;0,0,IF(('T_TTAFStock'!AZ48&lt;&gt;""),'T_TTAFStock'!AZ48,AY44+'Grid_Incoming'!AZ44-'Grid_TTAFOutgoing'!AZ44))</f>
        <v/>
      </c>
      <c r="BA44">
        <f>IF(COUNTIFS(T_StockCount[Part Name],$A44,T_StockCount[WeekIndex],52)&gt;0,0,IF(('T_TTAFStock'!BA48&lt;&gt;""),'T_TTAFStock'!BA48,AZ44+'Grid_Incoming'!BA44-'Grid_TTAFOutgoing'!BA44))</f>
        <v/>
      </c>
      <c r="BB44">
        <f>IF(COUNTIFS(T_StockCount[Part Name],$A44,T_StockCount[WeekIndex],53)&gt;0,0,IF(('T_TTAFStock'!BB48&lt;&gt;""),'T_TTAFStock'!BB48,BA44+'Grid_Incoming'!BB44-'Grid_TTAFOutgoing'!BB44))</f>
        <v/>
      </c>
      <c r="BC44">
        <f>IF(COUNTIFS(T_StockCount[Part Name],$A44,T_StockCount[WeekIndex],54)&gt;0,0,IF(('T_TTAFStock'!BC48&lt;&gt;""),'T_TTAFStock'!BC48,BB44+'Grid_Incoming'!BC44-'Grid_TTAFOutgoing'!BC44))</f>
        <v/>
      </c>
      <c r="BD44">
        <f>IF(COUNTIFS(T_StockCount[Part Name],$A44,T_StockCount[WeekIndex],55)&gt;0,0,IF(('T_TTAFStock'!BD48&lt;&gt;""),'T_TTAFStock'!BD48,BC44+'Grid_Incoming'!BD44-'Grid_TTAFOutgoing'!BD44))</f>
        <v/>
      </c>
      <c r="BE44">
        <f>IF(COUNTIFS(T_StockCount[Part Name],$A44,T_StockCount[WeekIndex],56)&gt;0,0,IF(('T_TTAFStock'!BE48&lt;&gt;""),'T_TTAFStock'!BE48,BD44+'Grid_Incoming'!BE44-'Grid_TTAFOutgoing'!BE44))</f>
        <v/>
      </c>
      <c r="BF44">
        <f>IF(COUNTIFS(T_StockCount[Part Name],$A44,T_StockCount[WeekIndex],57)&gt;0,0,IF(('T_TTAFStock'!BF48&lt;&gt;""),'T_TTAFStock'!BF48,BE44+'Grid_Incoming'!BF44-'Grid_TTAFOutgoing'!BF44))</f>
        <v/>
      </c>
      <c r="BG44">
        <f>IF(COUNTIFS(T_StockCount[Part Name],$A44,T_StockCount[WeekIndex],58)&gt;0,0,IF(('T_TTAFStock'!BG48&lt;&gt;""),'T_TTAFStock'!BG48,BF44+'Grid_Incoming'!BG44-'Grid_TTAFOutgoing'!BG44))</f>
        <v/>
      </c>
      <c r="BH44">
        <f>IF(COUNTIFS(T_StockCount[Part Name],$A44,T_StockCount[WeekIndex],59)&gt;0,0,IF(('T_TTAFStock'!BH48&lt;&gt;""),'T_TTAFStock'!BH48,BG44+'Grid_Incoming'!BH44-'Grid_TTAFOutgoing'!BH44))</f>
        <v/>
      </c>
      <c r="BI44">
        <f>IF(COUNTIFS(T_StockCount[Part Name],$A44,T_StockCount[WeekIndex],60)&gt;0,0,IF(('T_TTAFStock'!BI48&lt;&gt;""),'T_TTAFStock'!BI48,BH44+'Grid_Incoming'!BI44-'Grid_TTAFOutgoing'!BI44))</f>
        <v/>
      </c>
      <c r="BJ44">
        <f>IF(COUNTIFS(T_StockCount[Part Name],$A44,T_StockCount[WeekIndex],61)&gt;0,0,IF(('T_TTAFStock'!BJ48&lt;&gt;""),'T_TTAFStock'!BJ48,BI44+'Grid_Incoming'!BJ44-'Grid_TTAFOutgoing'!BJ44))</f>
        <v/>
      </c>
      <c r="BK44">
        <f>IF(COUNTIFS(T_StockCount[Part Name],$A44,T_StockCount[WeekIndex],62)&gt;0,0,IF(('T_TTAFStock'!BK48&lt;&gt;""),'T_TTAFStock'!BK48,BJ44+'Grid_Incoming'!BK44-'Grid_TTAFOutgoing'!BK44))</f>
        <v/>
      </c>
      <c r="BL44">
        <f>IF(COUNTIFS(T_StockCount[Part Name],$A44,T_StockCount[WeekIndex],63)&gt;0,0,IF(('T_TTAFStock'!BL48&lt;&gt;""),'T_TTAFStock'!BL48,BK44+'Grid_Incoming'!BL44-'Grid_TTAFOutgoing'!BL44))</f>
        <v/>
      </c>
      <c r="BM44">
        <f>IF(COUNTIFS(T_StockCount[Part Name],$A44,T_StockCount[WeekIndex],64)&gt;0,0,IF(('T_TTAFStock'!BM48&lt;&gt;""),'T_TTAFStock'!BM48,BL44+'Grid_Incoming'!BM44-'Grid_TTAFOutgoing'!BM44))</f>
        <v/>
      </c>
      <c r="BN44">
        <f>IF(COUNTIFS(T_StockCount[Part Name],$A44,T_StockCount[WeekIndex],65)&gt;0,0,IF(('T_TTAFStock'!BN48&lt;&gt;""),'T_TTAFStock'!BN48,BM44+'Grid_Incoming'!BN44-'Grid_TTAFOutgoing'!BN44))</f>
        <v/>
      </c>
      <c r="BO44">
        <f>IF(COUNTIFS(T_StockCount[Part Name],$A44,T_StockCount[WeekIndex],66)&gt;0,0,IF(('T_TTAFStock'!BO48&lt;&gt;""),'T_TTAFStock'!BO48,BN44+'Grid_Incoming'!BO44-'Grid_TTAFOutgoing'!BO44))</f>
        <v/>
      </c>
      <c r="BP44">
        <f>IF(COUNTIFS(T_StockCount[Part Name],$A44,T_StockCount[WeekIndex],67)&gt;0,0,IF(('T_TTAFStock'!BP48&lt;&gt;""),'T_TTAFStock'!BP48,BO44+'Grid_Incoming'!BP44-'Grid_TTAFOutgoing'!BP44))</f>
        <v/>
      </c>
      <c r="BQ44">
        <f>IF(COUNTIFS(T_StockCount[Part Name],$A44,T_StockCount[WeekIndex],68)&gt;0,0,IF(('T_TTAFStock'!BQ48&lt;&gt;""),'T_TTAFStock'!BQ48,BP44+'Grid_Incoming'!BQ44-'Grid_TTAFOutgoing'!BQ44))</f>
        <v/>
      </c>
      <c r="BR44">
        <f>IF(COUNTIFS(T_StockCount[Part Name],$A44,T_StockCount[WeekIndex],69)&gt;0,0,IF(('T_TTAFStock'!BR48&lt;&gt;""),'T_TTAFStock'!BR48,BQ44+'Grid_Incoming'!BR44-'Grid_TTAFOutgoing'!BR44))</f>
        <v/>
      </c>
      <c r="BS44">
        <f>IF(COUNTIFS(T_StockCount[Part Name],$A44,T_StockCount[WeekIndex],70)&gt;0,0,IF(('T_TTAFStock'!BS48&lt;&gt;""),'T_TTAFStock'!BS48,BR44+'Grid_Incoming'!BS44-'Grid_TTAFOutgoing'!BS44))</f>
        <v/>
      </c>
      <c r="BT44">
        <f>IF(COUNTIFS(T_StockCount[Part Name],$A44,T_StockCount[WeekIndex],71)&gt;0,0,IF(('T_TTAFStock'!BT48&lt;&gt;""),'T_TTAFStock'!BT48,BS44+'Grid_Incoming'!BT44-'Grid_TTAFOutgoing'!BT44))</f>
        <v/>
      </c>
      <c r="BU44">
        <f>IF(COUNTIFS(T_StockCount[Part Name],$A44,T_StockCount[WeekIndex],72)&gt;0,0,IF(('T_TTAFStock'!BU48&lt;&gt;""),'T_TTAFStock'!BU48,BT44+'Grid_Incoming'!BU44-'Grid_TTAFOutgoing'!BU44))</f>
        <v/>
      </c>
      <c r="BV44">
        <f>IF(COUNTIFS(T_StockCount[Part Name],$A44,T_StockCount[WeekIndex],73)&gt;0,0,IF(('T_TTAFStock'!BV48&lt;&gt;""),'T_TTAFStock'!BV48,BU44+'Grid_Incoming'!BV44-'Grid_TTAFOutgoing'!BV44))</f>
        <v/>
      </c>
      <c r="BW44">
        <f>IF(COUNTIFS(T_StockCount[Part Name],$A44,T_StockCount[WeekIndex],74)&gt;0,0,IF(('T_TTAFStock'!BW48&lt;&gt;""),'T_TTAFStock'!BW48,BV44+'Grid_Incoming'!BW44-'Grid_TTAFOutgoing'!BW44))</f>
        <v/>
      </c>
      <c r="BX44">
        <f>IF(COUNTIFS(T_StockCount[Part Name],$A44,T_StockCount[WeekIndex],75)&gt;0,0,IF(('T_TTAFStock'!BX48&lt;&gt;""),'T_TTAFStock'!BX48,BW44+'Grid_Incoming'!BX44-'Grid_TTAFOutgoing'!BX44))</f>
        <v/>
      </c>
      <c r="BY44">
        <f>IF(COUNTIFS(T_StockCount[Part Name],$A44,T_StockCount[WeekIndex],76)&gt;0,0,IF(('T_TTAFStock'!BY48&lt;&gt;""),'T_TTAFStock'!BY48,BX44+'Grid_Incoming'!BY44-'Grid_TTAFOutgoing'!BY44))</f>
        <v/>
      </c>
      <c r="BZ44">
        <f>IF(COUNTIFS(T_StockCount[Part Name],$A44,T_StockCount[WeekIndex],77)&gt;0,0,IF(('T_TTAFStock'!BZ48&lt;&gt;""),'T_TTAFStock'!BZ48,BY44+'Grid_Incoming'!BZ44-'Grid_TTAFOutgoing'!BZ44))</f>
        <v/>
      </c>
      <c r="CA44">
        <f>IF(COUNTIFS(T_StockCount[Part Name],$A44,T_StockCount[WeekIndex],78)&gt;0,0,IF(('T_TTAFStock'!CA48&lt;&gt;""),'T_TTAFStock'!CA48,BZ44+'Grid_Incoming'!CA44-'Grid_TTAFOutgoing'!CA44))</f>
        <v/>
      </c>
      <c r="CB44">
        <f>IF(COUNTIFS(T_StockCount[Part Name],$A44,T_StockCount[WeekIndex],79)&gt;0,0,IF(('T_TTAFStock'!CB48&lt;&gt;""),'T_TTAFStock'!CB48,CA44+'Grid_Incoming'!CB44-'Grid_TTAFOutgoing'!CB44))</f>
        <v/>
      </c>
      <c r="CC44">
        <f>IF(COUNTIFS(T_StockCount[Part Name],$A44,T_StockCount[WeekIndex],80)&gt;0,0,IF(('T_TTAFStock'!CC48&lt;&gt;""),'T_TTAFStock'!CC48,CB44+'Grid_Incoming'!CC44-'Grid_TTAFOutgoing'!CC44))</f>
        <v/>
      </c>
      <c r="CD44">
        <f>IF(COUNTIFS(T_StockCount[Part Name],$A44,T_StockCount[WeekIndex],81)&gt;0,0,IF(('T_TTAFStock'!CD48&lt;&gt;""),'T_TTAFStock'!CD48,CC44+'Grid_Incoming'!CD44-'Grid_TTAFOutgoing'!CD44))</f>
        <v/>
      </c>
      <c r="CE44">
        <f>IF(COUNTIFS(T_StockCount[Part Name],$A44,T_StockCount[WeekIndex],82)&gt;0,0,IF(('T_TTAFStock'!CE48&lt;&gt;""),'T_TTAFStock'!CE48,CD44+'Grid_Incoming'!CE44-'Grid_TTAFOutgoing'!CE44))</f>
        <v/>
      </c>
      <c r="CF44">
        <f>IF(COUNTIFS(T_StockCount[Part Name],$A44,T_StockCount[WeekIndex],83)&gt;0,0,IF(('T_TTAFStock'!CF48&lt;&gt;""),'T_TTAFStock'!CF48,CE44+'Grid_Incoming'!CF44-'Grid_TTAFOutgoing'!CF44))</f>
        <v/>
      </c>
      <c r="CG44">
        <f>IF(COUNTIFS(T_StockCount[Part Name],$A44,T_StockCount[WeekIndex],84)&gt;0,0,IF(('T_TTAFStock'!CG48&lt;&gt;""),'T_TTAFStock'!CG48,CF44+'Grid_Incoming'!CG44-'Grid_TTAFOutgoing'!CG44))</f>
        <v/>
      </c>
      <c r="CH44">
        <f>IF(COUNTIFS(T_StockCount[Part Name],$A44,T_StockCount[WeekIndex],85)&gt;0,0,IF(('T_TTAFStock'!CH48&lt;&gt;""),'T_TTAFStock'!CH48,CG44+'Grid_Incoming'!CH44-'Grid_TTAFOutgoing'!CH44))</f>
        <v/>
      </c>
      <c r="CI44">
        <f>IF(COUNTIFS(T_StockCount[Part Name],$A44,T_StockCount[WeekIndex],86)&gt;0,0,IF(('T_TTAFStock'!CI48&lt;&gt;""),'T_TTAFStock'!CI48,CH44+'Grid_Incoming'!CI44-'Grid_TTAFOutgoing'!CI44))</f>
        <v/>
      </c>
      <c r="CJ44">
        <f>IF(COUNTIFS(T_StockCount[Part Name],$A44,T_StockCount[WeekIndex],87)&gt;0,0,IF(('T_TTAFStock'!CJ48&lt;&gt;""),'T_TTAFStock'!CJ48,CI44+'Grid_Incoming'!CJ44-'Grid_TTAFOutgoing'!CJ44))</f>
        <v/>
      </c>
      <c r="CK44">
        <f>IF(COUNTIFS(T_StockCount[Part Name],$A44,T_StockCount[WeekIndex],88)&gt;0,0,IF(('T_TTAFStock'!CK48&lt;&gt;""),'T_TTAFStock'!CK48,CJ44+'Grid_Incoming'!CK44-'Grid_TTAFOutgoing'!CK44))</f>
        <v/>
      </c>
      <c r="CL44">
        <f>IF(COUNTIFS(T_StockCount[Part Name],$A44,T_StockCount[WeekIndex],89)&gt;0,0,IF(('T_TTAFStock'!CL48&lt;&gt;""),'T_TTAFStock'!CL48,CK44+'Grid_Incoming'!CL44-'Grid_TTAFOutgoing'!CL44))</f>
        <v/>
      </c>
      <c r="CM44">
        <f>IF(COUNTIFS(T_StockCount[Part Name],$A44,T_StockCount[WeekIndex],90)&gt;0,0,IF(('T_TTAFStock'!CM48&lt;&gt;""),'T_TTAFStock'!CM48,CL44+'Grid_Incoming'!CM44-'Grid_TTAFOutgoing'!CM44))</f>
        <v/>
      </c>
      <c r="CN44">
        <f>IF(COUNTIFS(T_StockCount[Part Name],$A44,T_StockCount[WeekIndex],91)&gt;0,0,IF(('T_TTAFStock'!CN48&lt;&gt;""),'T_TTAFStock'!CN48,CM44+'Grid_Incoming'!CN44-'Grid_TTAFOutgoing'!CN44))</f>
        <v/>
      </c>
      <c r="CO44">
        <f>IF(COUNTIFS(T_StockCount[Part Name],$A44,T_StockCount[WeekIndex],92)&gt;0,0,IF(('T_TTAFStock'!CO48&lt;&gt;""),'T_TTAFStock'!CO48,CN44+'Grid_Incoming'!CO44-'Grid_TTAFOutgoing'!CO44))</f>
        <v/>
      </c>
      <c r="CP44">
        <f>IF(COUNTIFS(T_StockCount[Part Name],$A44,T_StockCount[WeekIndex],93)&gt;0,0,IF(('T_TTAFStock'!CP48&lt;&gt;""),'T_TTAFStock'!CP48,CO44+'Grid_Incoming'!CP44-'Grid_TTAFOutgoing'!CP44))</f>
        <v/>
      </c>
      <c r="CQ44">
        <f>IF(COUNTIFS(T_StockCount[Part Name],$A44,T_StockCount[WeekIndex],94)&gt;0,0,IF(('T_TTAFStock'!CQ48&lt;&gt;""),'T_TTAFStock'!CQ48,CP44+'Grid_Incoming'!CQ44-'Grid_TTAFOutgoing'!CQ44))</f>
        <v/>
      </c>
      <c r="CR44">
        <f>IF(COUNTIFS(T_StockCount[Part Name],$A44,T_StockCount[WeekIndex],95)&gt;0,0,IF(('T_TTAFStock'!CR48&lt;&gt;""),'T_TTAFStock'!CR48,CQ44+'Grid_Incoming'!CR44-'Grid_TTAFOutgoing'!CR44))</f>
        <v/>
      </c>
      <c r="CS44">
        <f>IF(COUNTIFS(T_StockCount[Part Name],$A44,T_StockCount[WeekIndex],96)&gt;0,0,IF(('T_TTAFStock'!CS48&lt;&gt;""),'T_TTAFStock'!CS48,CR44+'Grid_Incoming'!CS44-'Grid_TTAFOutgoing'!CS44))</f>
        <v/>
      </c>
      <c r="CT44">
        <f>IF(COUNTIFS(T_StockCount[Part Name],$A44,T_StockCount[WeekIndex],97)&gt;0,0,IF(('T_TTAFStock'!CT48&lt;&gt;""),'T_TTAFStock'!CT48,CS44+'Grid_Incoming'!CT44-'Grid_TTAFOutgoing'!CT44))</f>
        <v/>
      </c>
      <c r="CU44">
        <f>IF(COUNTIFS(T_StockCount[Part Name],$A44,T_StockCount[WeekIndex],98)&gt;0,0,IF(('T_TTAFStock'!CU48&lt;&gt;""),'T_TTAFStock'!CU48,CT44+'Grid_Incoming'!CU44-'Grid_TTAFOutgoing'!CU44))</f>
        <v/>
      </c>
      <c r="CV44">
        <f>IF(COUNTIFS(T_StockCount[Part Name],$A44,T_StockCount[WeekIndex],99)&gt;0,0,IF(('T_TTAFStock'!CV48&lt;&gt;""),'T_TTAFStock'!CV48,CU44+'Grid_Incoming'!CV44-'Grid_TTAFOutgoing'!CV44))</f>
        <v/>
      </c>
      <c r="CW44">
        <f>IF(COUNTIFS(T_StockCount[Part Name],$A44,T_StockCount[WeekIndex],100)&gt;0,0,IF(('T_TTAFStock'!CW48&lt;&gt;""),'T_TTAFStock'!CW48,CV44+'Grid_Incoming'!CW44-'Grid_TTAFOutgoing'!CW44))</f>
        <v/>
      </c>
      <c r="CX44">
        <f>IF(COUNTIFS(T_StockCount[Part Name],$A44,T_StockCount[WeekIndex],101)&gt;0,0,IF(('T_TTAFStock'!CX48&lt;&gt;""),'T_TTAFStock'!CX48,CW44+'Grid_Incoming'!CX44-'Grid_TTAFOutgoing'!CX44))</f>
        <v/>
      </c>
      <c r="CY44">
        <f>IF(COUNTIFS(T_StockCount[Part Name],$A44,T_StockCount[WeekIndex],102)&gt;0,0,IF(('T_TTAFStock'!CY48&lt;&gt;""),'T_TTAFStock'!CY48,CX44+'Grid_Incoming'!CY44-'Grid_TTAFOutgoing'!CY44))</f>
        <v/>
      </c>
      <c r="CZ44">
        <f>IF(COUNTIFS(T_StockCount[Part Name],$A44,T_StockCount[WeekIndex],103)&gt;0,0,IF(('T_TTAFStock'!CZ48&lt;&gt;""),'T_TTAFStock'!CZ48,CY44+'Grid_Incoming'!CZ44-'Grid_TTAFOutgoing'!CZ44))</f>
        <v/>
      </c>
      <c r="DA44">
        <f>IF(COUNTIFS(T_StockCount[Part Name],$A44,T_StockCount[WeekIndex],104)&gt;0,0,IF(('T_TTAFStock'!DA48&lt;&gt;""),'T_TTAFStock'!DA48,CZ44+'Grid_Incoming'!DA44-'Grid_TTAFOutgoing'!DA44))</f>
        <v/>
      </c>
    </row>
    <row r="45">
      <c r="A45" t="inlineStr">
        <is>
          <t>A043</t>
        </is>
      </c>
      <c r="B45">
        <f>IF(COUNTIFS(T_StockCount[Part Name],$A45,T_StockCount[WeekIndex],1)&gt;0,0,IF(('T_TTAFStock'!B49&lt;&gt;""),'T_TTAFStock'!B49,0+'Grid_Incoming'!B45-'Grid_TTAFOutgoing'!B45))</f>
        <v/>
      </c>
      <c r="C45">
        <f>IF(COUNTIFS(T_StockCount[Part Name],$A45,T_StockCount[WeekIndex],2)&gt;0,0,IF(('T_TTAFStock'!C49&lt;&gt;""),'T_TTAFStock'!C49,B45+'Grid_Incoming'!C45-'Grid_TTAFOutgoing'!C45))</f>
        <v/>
      </c>
      <c r="D45">
        <f>IF(COUNTIFS(T_StockCount[Part Name],$A45,T_StockCount[WeekIndex],3)&gt;0,0,IF(('T_TTAFStock'!D49&lt;&gt;""),'T_TTAFStock'!D49,C45+'Grid_Incoming'!D45-'Grid_TTAFOutgoing'!D45))</f>
        <v/>
      </c>
      <c r="E45">
        <f>IF(COUNTIFS(T_StockCount[Part Name],$A45,T_StockCount[WeekIndex],4)&gt;0,0,IF(('T_TTAFStock'!E49&lt;&gt;""),'T_TTAFStock'!E49,D45+'Grid_Incoming'!E45-'Grid_TTAFOutgoing'!E45))</f>
        <v/>
      </c>
      <c r="F45">
        <f>IF(COUNTIFS(T_StockCount[Part Name],$A45,T_StockCount[WeekIndex],5)&gt;0,0,IF(('T_TTAFStock'!F49&lt;&gt;""),'T_TTAFStock'!F49,E45+'Grid_Incoming'!F45-'Grid_TTAFOutgoing'!F45))</f>
        <v/>
      </c>
      <c r="G45">
        <f>IF(COUNTIFS(T_StockCount[Part Name],$A45,T_StockCount[WeekIndex],6)&gt;0,0,IF(('T_TTAFStock'!G49&lt;&gt;""),'T_TTAFStock'!G49,F45+'Grid_Incoming'!G45-'Grid_TTAFOutgoing'!G45))</f>
        <v/>
      </c>
      <c r="H45">
        <f>IF(COUNTIFS(T_StockCount[Part Name],$A45,T_StockCount[WeekIndex],7)&gt;0,0,IF(('T_TTAFStock'!H49&lt;&gt;""),'T_TTAFStock'!H49,G45+'Grid_Incoming'!H45-'Grid_TTAFOutgoing'!H45))</f>
        <v/>
      </c>
      <c r="I45">
        <f>IF(COUNTIFS(T_StockCount[Part Name],$A45,T_StockCount[WeekIndex],8)&gt;0,0,IF(('T_TTAFStock'!I49&lt;&gt;""),'T_TTAFStock'!I49,H45+'Grid_Incoming'!I45-'Grid_TTAFOutgoing'!I45))</f>
        <v/>
      </c>
      <c r="J45">
        <f>IF(COUNTIFS(T_StockCount[Part Name],$A45,T_StockCount[WeekIndex],9)&gt;0,0,IF(('T_TTAFStock'!J49&lt;&gt;""),'T_TTAFStock'!J49,I45+'Grid_Incoming'!J45-'Grid_TTAFOutgoing'!J45))</f>
        <v/>
      </c>
      <c r="K45">
        <f>IF(COUNTIFS(T_StockCount[Part Name],$A45,T_StockCount[WeekIndex],10)&gt;0,0,IF(('T_TTAFStock'!K49&lt;&gt;""),'T_TTAFStock'!K49,J45+'Grid_Incoming'!K45-'Grid_TTAFOutgoing'!K45))</f>
        <v/>
      </c>
      <c r="L45">
        <f>IF(COUNTIFS(T_StockCount[Part Name],$A45,T_StockCount[WeekIndex],11)&gt;0,0,IF(('T_TTAFStock'!L49&lt;&gt;""),'T_TTAFStock'!L49,K45+'Grid_Incoming'!L45-'Grid_TTAFOutgoing'!L45))</f>
        <v/>
      </c>
      <c r="M45">
        <f>IF(COUNTIFS(T_StockCount[Part Name],$A45,T_StockCount[WeekIndex],12)&gt;0,0,IF(('T_TTAFStock'!M49&lt;&gt;""),'T_TTAFStock'!M49,L45+'Grid_Incoming'!M45-'Grid_TTAFOutgoing'!M45))</f>
        <v/>
      </c>
      <c r="N45">
        <f>IF(COUNTIFS(T_StockCount[Part Name],$A45,T_StockCount[WeekIndex],13)&gt;0,0,IF(('T_TTAFStock'!N49&lt;&gt;""),'T_TTAFStock'!N49,M45+'Grid_Incoming'!N45-'Grid_TTAFOutgoing'!N45))</f>
        <v/>
      </c>
      <c r="O45">
        <f>IF(COUNTIFS(T_StockCount[Part Name],$A45,T_StockCount[WeekIndex],14)&gt;0,0,IF(('T_TTAFStock'!O49&lt;&gt;""),'T_TTAFStock'!O49,N45+'Grid_Incoming'!O45-'Grid_TTAFOutgoing'!O45))</f>
        <v/>
      </c>
      <c r="P45">
        <f>IF(COUNTIFS(T_StockCount[Part Name],$A45,T_StockCount[WeekIndex],15)&gt;0,0,IF(('T_TTAFStock'!P49&lt;&gt;""),'T_TTAFStock'!P49,O45+'Grid_Incoming'!P45-'Grid_TTAFOutgoing'!P45))</f>
        <v/>
      </c>
      <c r="Q45">
        <f>IF(COUNTIFS(T_StockCount[Part Name],$A45,T_StockCount[WeekIndex],16)&gt;0,0,IF(('T_TTAFStock'!Q49&lt;&gt;""),'T_TTAFStock'!Q49,P45+'Grid_Incoming'!Q45-'Grid_TTAFOutgoing'!Q45))</f>
        <v/>
      </c>
      <c r="R45">
        <f>IF(COUNTIFS(T_StockCount[Part Name],$A45,T_StockCount[WeekIndex],17)&gt;0,0,IF(('T_TTAFStock'!R49&lt;&gt;""),'T_TTAFStock'!R49,Q45+'Grid_Incoming'!R45-'Grid_TTAFOutgoing'!R45))</f>
        <v/>
      </c>
      <c r="S45">
        <f>IF(COUNTIFS(T_StockCount[Part Name],$A45,T_StockCount[WeekIndex],18)&gt;0,0,IF(('T_TTAFStock'!S49&lt;&gt;""),'T_TTAFStock'!S49,R45+'Grid_Incoming'!S45-'Grid_TTAFOutgoing'!S45))</f>
        <v/>
      </c>
      <c r="T45">
        <f>IF(COUNTIFS(T_StockCount[Part Name],$A45,T_StockCount[WeekIndex],19)&gt;0,0,IF(('T_TTAFStock'!T49&lt;&gt;""),'T_TTAFStock'!T49,S45+'Grid_Incoming'!T45-'Grid_TTAFOutgoing'!T45))</f>
        <v/>
      </c>
      <c r="U45">
        <f>IF(COUNTIFS(T_StockCount[Part Name],$A45,T_StockCount[WeekIndex],20)&gt;0,0,IF(('T_TTAFStock'!U49&lt;&gt;""),'T_TTAFStock'!U49,T45+'Grid_Incoming'!U45-'Grid_TTAFOutgoing'!U45))</f>
        <v/>
      </c>
      <c r="V45">
        <f>IF(COUNTIFS(T_StockCount[Part Name],$A45,T_StockCount[WeekIndex],21)&gt;0,0,IF(('T_TTAFStock'!V49&lt;&gt;""),'T_TTAFStock'!V49,U45+'Grid_Incoming'!V45-'Grid_TTAFOutgoing'!V45))</f>
        <v/>
      </c>
      <c r="W45">
        <f>IF(COUNTIFS(T_StockCount[Part Name],$A45,T_StockCount[WeekIndex],22)&gt;0,0,IF(('T_TTAFStock'!W49&lt;&gt;""),'T_TTAFStock'!W49,V45+'Grid_Incoming'!W45-'Grid_TTAFOutgoing'!W45))</f>
        <v/>
      </c>
      <c r="X45">
        <f>IF(COUNTIFS(T_StockCount[Part Name],$A45,T_StockCount[WeekIndex],23)&gt;0,0,IF(('T_TTAFStock'!X49&lt;&gt;""),'T_TTAFStock'!X49,W45+'Grid_Incoming'!X45-'Grid_TTAFOutgoing'!X45))</f>
        <v/>
      </c>
      <c r="Y45">
        <f>IF(COUNTIFS(T_StockCount[Part Name],$A45,T_StockCount[WeekIndex],24)&gt;0,0,IF(('T_TTAFStock'!Y49&lt;&gt;""),'T_TTAFStock'!Y49,X45+'Grid_Incoming'!Y45-'Grid_TTAFOutgoing'!Y45))</f>
        <v/>
      </c>
      <c r="Z45">
        <f>IF(COUNTIFS(T_StockCount[Part Name],$A45,T_StockCount[WeekIndex],25)&gt;0,0,IF(('T_TTAFStock'!Z49&lt;&gt;""),'T_TTAFStock'!Z49,Y45+'Grid_Incoming'!Z45-'Grid_TTAFOutgoing'!Z45))</f>
        <v/>
      </c>
      <c r="AA45">
        <f>IF(COUNTIFS(T_StockCount[Part Name],$A45,T_StockCount[WeekIndex],26)&gt;0,0,IF(('T_TTAFStock'!AA49&lt;&gt;""),'T_TTAFStock'!AA49,Z45+'Grid_Incoming'!AA45-'Grid_TTAFOutgoing'!AA45))</f>
        <v/>
      </c>
      <c r="AB45">
        <f>IF(COUNTIFS(T_StockCount[Part Name],$A45,T_StockCount[WeekIndex],27)&gt;0,0,IF(('T_TTAFStock'!AB49&lt;&gt;""),'T_TTAFStock'!AB49,AA45+'Grid_Incoming'!AB45-'Grid_TTAFOutgoing'!AB45))</f>
        <v/>
      </c>
      <c r="AC45">
        <f>IF(COUNTIFS(T_StockCount[Part Name],$A45,T_StockCount[WeekIndex],28)&gt;0,0,IF(('T_TTAFStock'!AC49&lt;&gt;""),'T_TTAFStock'!AC49,AB45+'Grid_Incoming'!AC45-'Grid_TTAFOutgoing'!AC45))</f>
        <v/>
      </c>
      <c r="AD45">
        <f>IF(COUNTIFS(T_StockCount[Part Name],$A45,T_StockCount[WeekIndex],29)&gt;0,0,IF(('T_TTAFStock'!AD49&lt;&gt;""),'T_TTAFStock'!AD49,AC45+'Grid_Incoming'!AD45-'Grid_TTAFOutgoing'!AD45))</f>
        <v/>
      </c>
      <c r="AE45">
        <f>IF(COUNTIFS(T_StockCount[Part Name],$A45,T_StockCount[WeekIndex],30)&gt;0,0,IF(('T_TTAFStock'!AE49&lt;&gt;""),'T_TTAFStock'!AE49,AD45+'Grid_Incoming'!AE45-'Grid_TTAFOutgoing'!AE45))</f>
        <v/>
      </c>
      <c r="AF45">
        <f>IF(COUNTIFS(T_StockCount[Part Name],$A45,T_StockCount[WeekIndex],31)&gt;0,0,IF(('T_TTAFStock'!AF49&lt;&gt;""),'T_TTAFStock'!AF49,AE45+'Grid_Incoming'!AF45-'Grid_TTAFOutgoing'!AF45))</f>
        <v/>
      </c>
      <c r="AG45">
        <f>IF(COUNTIFS(T_StockCount[Part Name],$A45,T_StockCount[WeekIndex],32)&gt;0,0,IF(('T_TTAFStock'!AG49&lt;&gt;""),'T_TTAFStock'!AG49,AF45+'Grid_Incoming'!AG45-'Grid_TTAFOutgoing'!AG45))</f>
        <v/>
      </c>
      <c r="AH45">
        <f>IF(COUNTIFS(T_StockCount[Part Name],$A45,T_StockCount[WeekIndex],33)&gt;0,0,IF(('T_TTAFStock'!AH49&lt;&gt;""),'T_TTAFStock'!AH49,AG45+'Grid_Incoming'!AH45-'Grid_TTAFOutgoing'!AH45))</f>
        <v/>
      </c>
      <c r="AI45">
        <f>IF(COUNTIFS(T_StockCount[Part Name],$A45,T_StockCount[WeekIndex],34)&gt;0,0,IF(('T_TTAFStock'!AI49&lt;&gt;""),'T_TTAFStock'!AI49,AH45+'Grid_Incoming'!AI45-'Grid_TTAFOutgoing'!AI45))</f>
        <v/>
      </c>
      <c r="AJ45">
        <f>IF(COUNTIFS(T_StockCount[Part Name],$A45,T_StockCount[WeekIndex],35)&gt;0,0,IF(('T_TTAFStock'!AJ49&lt;&gt;""),'T_TTAFStock'!AJ49,AI45+'Grid_Incoming'!AJ45-'Grid_TTAFOutgoing'!AJ45))</f>
        <v/>
      </c>
      <c r="AK45">
        <f>IF(COUNTIFS(T_StockCount[Part Name],$A45,T_StockCount[WeekIndex],36)&gt;0,0,IF(('T_TTAFStock'!AK49&lt;&gt;""),'T_TTAFStock'!AK49,AJ45+'Grid_Incoming'!AK45-'Grid_TTAFOutgoing'!AK45))</f>
        <v/>
      </c>
      <c r="AL45">
        <f>IF(COUNTIFS(T_StockCount[Part Name],$A45,T_StockCount[WeekIndex],37)&gt;0,0,IF(('T_TTAFStock'!AL49&lt;&gt;""),'T_TTAFStock'!AL49,AK45+'Grid_Incoming'!AL45-'Grid_TTAFOutgoing'!AL45))</f>
        <v/>
      </c>
      <c r="AM45">
        <f>IF(COUNTIFS(T_StockCount[Part Name],$A45,T_StockCount[WeekIndex],38)&gt;0,0,IF(('T_TTAFStock'!AM49&lt;&gt;""),'T_TTAFStock'!AM49,AL45+'Grid_Incoming'!AM45-'Grid_TTAFOutgoing'!AM45))</f>
        <v/>
      </c>
      <c r="AN45">
        <f>IF(COUNTIFS(T_StockCount[Part Name],$A45,T_StockCount[WeekIndex],39)&gt;0,0,IF(('T_TTAFStock'!AN49&lt;&gt;""),'T_TTAFStock'!AN49,AM45+'Grid_Incoming'!AN45-'Grid_TTAFOutgoing'!AN45))</f>
        <v/>
      </c>
      <c r="AO45">
        <f>IF(COUNTIFS(T_StockCount[Part Name],$A45,T_StockCount[WeekIndex],40)&gt;0,0,IF(('T_TTAFStock'!AO49&lt;&gt;""),'T_TTAFStock'!AO49,AN45+'Grid_Incoming'!AO45-'Grid_TTAFOutgoing'!AO45))</f>
        <v/>
      </c>
      <c r="AP45">
        <f>IF(COUNTIFS(T_StockCount[Part Name],$A45,T_StockCount[WeekIndex],41)&gt;0,0,IF(('T_TTAFStock'!AP49&lt;&gt;""),'T_TTAFStock'!AP49,AO45+'Grid_Incoming'!AP45-'Grid_TTAFOutgoing'!AP45))</f>
        <v/>
      </c>
      <c r="AQ45">
        <f>IF(COUNTIFS(T_StockCount[Part Name],$A45,T_StockCount[WeekIndex],42)&gt;0,0,IF(('T_TTAFStock'!AQ49&lt;&gt;""),'T_TTAFStock'!AQ49,AP45+'Grid_Incoming'!AQ45-'Grid_TTAFOutgoing'!AQ45))</f>
        <v/>
      </c>
      <c r="AR45">
        <f>IF(COUNTIFS(T_StockCount[Part Name],$A45,T_StockCount[WeekIndex],43)&gt;0,0,IF(('T_TTAFStock'!AR49&lt;&gt;""),'T_TTAFStock'!AR49,AQ45+'Grid_Incoming'!AR45-'Grid_TTAFOutgoing'!AR45))</f>
        <v/>
      </c>
      <c r="AS45">
        <f>IF(COUNTIFS(T_StockCount[Part Name],$A45,T_StockCount[WeekIndex],44)&gt;0,0,IF(('T_TTAFStock'!AS49&lt;&gt;""),'T_TTAFStock'!AS49,AR45+'Grid_Incoming'!AS45-'Grid_TTAFOutgoing'!AS45))</f>
        <v/>
      </c>
      <c r="AT45">
        <f>IF(COUNTIFS(T_StockCount[Part Name],$A45,T_StockCount[WeekIndex],45)&gt;0,0,IF(('T_TTAFStock'!AT49&lt;&gt;""),'T_TTAFStock'!AT49,AS45+'Grid_Incoming'!AT45-'Grid_TTAFOutgoing'!AT45))</f>
        <v/>
      </c>
      <c r="AU45">
        <f>IF(COUNTIFS(T_StockCount[Part Name],$A45,T_StockCount[WeekIndex],46)&gt;0,0,IF(('T_TTAFStock'!AU49&lt;&gt;""),'T_TTAFStock'!AU49,AT45+'Grid_Incoming'!AU45-'Grid_TTAFOutgoing'!AU45))</f>
        <v/>
      </c>
      <c r="AV45">
        <f>IF(COUNTIFS(T_StockCount[Part Name],$A45,T_StockCount[WeekIndex],47)&gt;0,0,IF(('T_TTAFStock'!AV49&lt;&gt;""),'T_TTAFStock'!AV49,AU45+'Grid_Incoming'!AV45-'Grid_TTAFOutgoing'!AV45))</f>
        <v/>
      </c>
      <c r="AW45">
        <f>IF(COUNTIFS(T_StockCount[Part Name],$A45,T_StockCount[WeekIndex],48)&gt;0,0,IF(('T_TTAFStock'!AW49&lt;&gt;""),'T_TTAFStock'!AW49,AV45+'Grid_Incoming'!AW45-'Grid_TTAFOutgoing'!AW45))</f>
        <v/>
      </c>
      <c r="AX45">
        <f>IF(COUNTIFS(T_StockCount[Part Name],$A45,T_StockCount[WeekIndex],49)&gt;0,0,IF(('T_TTAFStock'!AX49&lt;&gt;""),'T_TTAFStock'!AX49,AW45+'Grid_Incoming'!AX45-'Grid_TTAFOutgoing'!AX45))</f>
        <v/>
      </c>
      <c r="AY45">
        <f>IF(COUNTIFS(T_StockCount[Part Name],$A45,T_StockCount[WeekIndex],50)&gt;0,0,IF(('T_TTAFStock'!AY49&lt;&gt;""),'T_TTAFStock'!AY49,AX45+'Grid_Incoming'!AY45-'Grid_TTAFOutgoing'!AY45))</f>
        <v/>
      </c>
      <c r="AZ45">
        <f>IF(COUNTIFS(T_StockCount[Part Name],$A45,T_StockCount[WeekIndex],51)&gt;0,0,IF(('T_TTAFStock'!AZ49&lt;&gt;""),'T_TTAFStock'!AZ49,AY45+'Grid_Incoming'!AZ45-'Grid_TTAFOutgoing'!AZ45))</f>
        <v/>
      </c>
      <c r="BA45">
        <f>IF(COUNTIFS(T_StockCount[Part Name],$A45,T_StockCount[WeekIndex],52)&gt;0,0,IF(('T_TTAFStock'!BA49&lt;&gt;""),'T_TTAFStock'!BA49,AZ45+'Grid_Incoming'!BA45-'Grid_TTAFOutgoing'!BA45))</f>
        <v/>
      </c>
      <c r="BB45">
        <f>IF(COUNTIFS(T_StockCount[Part Name],$A45,T_StockCount[WeekIndex],53)&gt;0,0,IF(('T_TTAFStock'!BB49&lt;&gt;""),'T_TTAFStock'!BB49,BA45+'Grid_Incoming'!BB45-'Grid_TTAFOutgoing'!BB45))</f>
        <v/>
      </c>
      <c r="BC45">
        <f>IF(COUNTIFS(T_StockCount[Part Name],$A45,T_StockCount[WeekIndex],54)&gt;0,0,IF(('T_TTAFStock'!BC49&lt;&gt;""),'T_TTAFStock'!BC49,BB45+'Grid_Incoming'!BC45-'Grid_TTAFOutgoing'!BC45))</f>
        <v/>
      </c>
      <c r="BD45">
        <f>IF(COUNTIFS(T_StockCount[Part Name],$A45,T_StockCount[WeekIndex],55)&gt;0,0,IF(('T_TTAFStock'!BD49&lt;&gt;""),'T_TTAFStock'!BD49,BC45+'Grid_Incoming'!BD45-'Grid_TTAFOutgoing'!BD45))</f>
        <v/>
      </c>
      <c r="BE45">
        <f>IF(COUNTIFS(T_StockCount[Part Name],$A45,T_StockCount[WeekIndex],56)&gt;0,0,IF(('T_TTAFStock'!BE49&lt;&gt;""),'T_TTAFStock'!BE49,BD45+'Grid_Incoming'!BE45-'Grid_TTAFOutgoing'!BE45))</f>
        <v/>
      </c>
      <c r="BF45">
        <f>IF(COUNTIFS(T_StockCount[Part Name],$A45,T_StockCount[WeekIndex],57)&gt;0,0,IF(('T_TTAFStock'!BF49&lt;&gt;""),'T_TTAFStock'!BF49,BE45+'Grid_Incoming'!BF45-'Grid_TTAFOutgoing'!BF45))</f>
        <v/>
      </c>
      <c r="BG45">
        <f>IF(COUNTIFS(T_StockCount[Part Name],$A45,T_StockCount[WeekIndex],58)&gt;0,0,IF(('T_TTAFStock'!BG49&lt;&gt;""),'T_TTAFStock'!BG49,BF45+'Grid_Incoming'!BG45-'Grid_TTAFOutgoing'!BG45))</f>
        <v/>
      </c>
      <c r="BH45">
        <f>IF(COUNTIFS(T_StockCount[Part Name],$A45,T_StockCount[WeekIndex],59)&gt;0,0,IF(('T_TTAFStock'!BH49&lt;&gt;""),'T_TTAFStock'!BH49,BG45+'Grid_Incoming'!BH45-'Grid_TTAFOutgoing'!BH45))</f>
        <v/>
      </c>
      <c r="BI45">
        <f>IF(COUNTIFS(T_StockCount[Part Name],$A45,T_StockCount[WeekIndex],60)&gt;0,0,IF(('T_TTAFStock'!BI49&lt;&gt;""),'T_TTAFStock'!BI49,BH45+'Grid_Incoming'!BI45-'Grid_TTAFOutgoing'!BI45))</f>
        <v/>
      </c>
      <c r="BJ45">
        <f>IF(COUNTIFS(T_StockCount[Part Name],$A45,T_StockCount[WeekIndex],61)&gt;0,0,IF(('T_TTAFStock'!BJ49&lt;&gt;""),'T_TTAFStock'!BJ49,BI45+'Grid_Incoming'!BJ45-'Grid_TTAFOutgoing'!BJ45))</f>
        <v/>
      </c>
      <c r="BK45">
        <f>IF(COUNTIFS(T_StockCount[Part Name],$A45,T_StockCount[WeekIndex],62)&gt;0,0,IF(('T_TTAFStock'!BK49&lt;&gt;""),'T_TTAFStock'!BK49,BJ45+'Grid_Incoming'!BK45-'Grid_TTAFOutgoing'!BK45))</f>
        <v/>
      </c>
      <c r="BL45">
        <f>IF(COUNTIFS(T_StockCount[Part Name],$A45,T_StockCount[WeekIndex],63)&gt;0,0,IF(('T_TTAFStock'!BL49&lt;&gt;""),'T_TTAFStock'!BL49,BK45+'Grid_Incoming'!BL45-'Grid_TTAFOutgoing'!BL45))</f>
        <v/>
      </c>
      <c r="BM45">
        <f>IF(COUNTIFS(T_StockCount[Part Name],$A45,T_StockCount[WeekIndex],64)&gt;0,0,IF(('T_TTAFStock'!BM49&lt;&gt;""),'T_TTAFStock'!BM49,BL45+'Grid_Incoming'!BM45-'Grid_TTAFOutgoing'!BM45))</f>
        <v/>
      </c>
      <c r="BN45">
        <f>IF(COUNTIFS(T_StockCount[Part Name],$A45,T_StockCount[WeekIndex],65)&gt;0,0,IF(('T_TTAFStock'!BN49&lt;&gt;""),'T_TTAFStock'!BN49,BM45+'Grid_Incoming'!BN45-'Grid_TTAFOutgoing'!BN45))</f>
        <v/>
      </c>
      <c r="BO45">
        <f>IF(COUNTIFS(T_StockCount[Part Name],$A45,T_StockCount[WeekIndex],66)&gt;0,0,IF(('T_TTAFStock'!BO49&lt;&gt;""),'T_TTAFStock'!BO49,BN45+'Grid_Incoming'!BO45-'Grid_TTAFOutgoing'!BO45))</f>
        <v/>
      </c>
      <c r="BP45">
        <f>IF(COUNTIFS(T_StockCount[Part Name],$A45,T_StockCount[WeekIndex],67)&gt;0,0,IF(('T_TTAFStock'!BP49&lt;&gt;""),'T_TTAFStock'!BP49,BO45+'Grid_Incoming'!BP45-'Grid_TTAFOutgoing'!BP45))</f>
        <v/>
      </c>
      <c r="BQ45">
        <f>IF(COUNTIFS(T_StockCount[Part Name],$A45,T_StockCount[WeekIndex],68)&gt;0,0,IF(('T_TTAFStock'!BQ49&lt;&gt;""),'T_TTAFStock'!BQ49,BP45+'Grid_Incoming'!BQ45-'Grid_TTAFOutgoing'!BQ45))</f>
        <v/>
      </c>
      <c r="BR45">
        <f>IF(COUNTIFS(T_StockCount[Part Name],$A45,T_StockCount[WeekIndex],69)&gt;0,0,IF(('T_TTAFStock'!BR49&lt;&gt;""),'T_TTAFStock'!BR49,BQ45+'Grid_Incoming'!BR45-'Grid_TTAFOutgoing'!BR45))</f>
        <v/>
      </c>
      <c r="BS45">
        <f>IF(COUNTIFS(T_StockCount[Part Name],$A45,T_StockCount[WeekIndex],70)&gt;0,0,IF(('T_TTAFStock'!BS49&lt;&gt;""),'T_TTAFStock'!BS49,BR45+'Grid_Incoming'!BS45-'Grid_TTAFOutgoing'!BS45))</f>
        <v/>
      </c>
      <c r="BT45">
        <f>IF(COUNTIFS(T_StockCount[Part Name],$A45,T_StockCount[WeekIndex],71)&gt;0,0,IF(('T_TTAFStock'!BT49&lt;&gt;""),'T_TTAFStock'!BT49,BS45+'Grid_Incoming'!BT45-'Grid_TTAFOutgoing'!BT45))</f>
        <v/>
      </c>
      <c r="BU45">
        <f>IF(COUNTIFS(T_StockCount[Part Name],$A45,T_StockCount[WeekIndex],72)&gt;0,0,IF(('T_TTAFStock'!BU49&lt;&gt;""),'T_TTAFStock'!BU49,BT45+'Grid_Incoming'!BU45-'Grid_TTAFOutgoing'!BU45))</f>
        <v/>
      </c>
      <c r="BV45">
        <f>IF(COUNTIFS(T_StockCount[Part Name],$A45,T_StockCount[WeekIndex],73)&gt;0,0,IF(('T_TTAFStock'!BV49&lt;&gt;""),'T_TTAFStock'!BV49,BU45+'Grid_Incoming'!BV45-'Grid_TTAFOutgoing'!BV45))</f>
        <v/>
      </c>
      <c r="BW45">
        <f>IF(COUNTIFS(T_StockCount[Part Name],$A45,T_StockCount[WeekIndex],74)&gt;0,0,IF(('T_TTAFStock'!BW49&lt;&gt;""),'T_TTAFStock'!BW49,BV45+'Grid_Incoming'!BW45-'Grid_TTAFOutgoing'!BW45))</f>
        <v/>
      </c>
      <c r="BX45">
        <f>IF(COUNTIFS(T_StockCount[Part Name],$A45,T_StockCount[WeekIndex],75)&gt;0,0,IF(('T_TTAFStock'!BX49&lt;&gt;""),'T_TTAFStock'!BX49,BW45+'Grid_Incoming'!BX45-'Grid_TTAFOutgoing'!BX45))</f>
        <v/>
      </c>
      <c r="BY45">
        <f>IF(COUNTIFS(T_StockCount[Part Name],$A45,T_StockCount[WeekIndex],76)&gt;0,0,IF(('T_TTAFStock'!BY49&lt;&gt;""),'T_TTAFStock'!BY49,BX45+'Grid_Incoming'!BY45-'Grid_TTAFOutgoing'!BY45))</f>
        <v/>
      </c>
      <c r="BZ45">
        <f>IF(COUNTIFS(T_StockCount[Part Name],$A45,T_StockCount[WeekIndex],77)&gt;0,0,IF(('T_TTAFStock'!BZ49&lt;&gt;""),'T_TTAFStock'!BZ49,BY45+'Grid_Incoming'!BZ45-'Grid_TTAFOutgoing'!BZ45))</f>
        <v/>
      </c>
      <c r="CA45">
        <f>IF(COUNTIFS(T_StockCount[Part Name],$A45,T_StockCount[WeekIndex],78)&gt;0,0,IF(('T_TTAFStock'!CA49&lt;&gt;""),'T_TTAFStock'!CA49,BZ45+'Grid_Incoming'!CA45-'Grid_TTAFOutgoing'!CA45))</f>
        <v/>
      </c>
      <c r="CB45">
        <f>IF(COUNTIFS(T_StockCount[Part Name],$A45,T_StockCount[WeekIndex],79)&gt;0,0,IF(('T_TTAFStock'!CB49&lt;&gt;""),'T_TTAFStock'!CB49,CA45+'Grid_Incoming'!CB45-'Grid_TTAFOutgoing'!CB45))</f>
        <v/>
      </c>
      <c r="CC45">
        <f>IF(COUNTIFS(T_StockCount[Part Name],$A45,T_StockCount[WeekIndex],80)&gt;0,0,IF(('T_TTAFStock'!CC49&lt;&gt;""),'T_TTAFStock'!CC49,CB45+'Grid_Incoming'!CC45-'Grid_TTAFOutgoing'!CC45))</f>
        <v/>
      </c>
      <c r="CD45">
        <f>IF(COUNTIFS(T_StockCount[Part Name],$A45,T_StockCount[WeekIndex],81)&gt;0,0,IF(('T_TTAFStock'!CD49&lt;&gt;""),'T_TTAFStock'!CD49,CC45+'Grid_Incoming'!CD45-'Grid_TTAFOutgoing'!CD45))</f>
        <v/>
      </c>
      <c r="CE45">
        <f>IF(COUNTIFS(T_StockCount[Part Name],$A45,T_StockCount[WeekIndex],82)&gt;0,0,IF(('T_TTAFStock'!CE49&lt;&gt;""),'T_TTAFStock'!CE49,CD45+'Grid_Incoming'!CE45-'Grid_TTAFOutgoing'!CE45))</f>
        <v/>
      </c>
      <c r="CF45">
        <f>IF(COUNTIFS(T_StockCount[Part Name],$A45,T_StockCount[WeekIndex],83)&gt;0,0,IF(('T_TTAFStock'!CF49&lt;&gt;""),'T_TTAFStock'!CF49,CE45+'Grid_Incoming'!CF45-'Grid_TTAFOutgoing'!CF45))</f>
        <v/>
      </c>
      <c r="CG45">
        <f>IF(COUNTIFS(T_StockCount[Part Name],$A45,T_StockCount[WeekIndex],84)&gt;0,0,IF(('T_TTAFStock'!CG49&lt;&gt;""),'T_TTAFStock'!CG49,CF45+'Grid_Incoming'!CG45-'Grid_TTAFOutgoing'!CG45))</f>
        <v/>
      </c>
      <c r="CH45">
        <f>IF(COUNTIFS(T_StockCount[Part Name],$A45,T_StockCount[WeekIndex],85)&gt;0,0,IF(('T_TTAFStock'!CH49&lt;&gt;""),'T_TTAFStock'!CH49,CG45+'Grid_Incoming'!CH45-'Grid_TTAFOutgoing'!CH45))</f>
        <v/>
      </c>
      <c r="CI45">
        <f>IF(COUNTIFS(T_StockCount[Part Name],$A45,T_StockCount[WeekIndex],86)&gt;0,0,IF(('T_TTAFStock'!CI49&lt;&gt;""),'T_TTAFStock'!CI49,CH45+'Grid_Incoming'!CI45-'Grid_TTAFOutgoing'!CI45))</f>
        <v/>
      </c>
      <c r="CJ45">
        <f>IF(COUNTIFS(T_StockCount[Part Name],$A45,T_StockCount[WeekIndex],87)&gt;0,0,IF(('T_TTAFStock'!CJ49&lt;&gt;""),'T_TTAFStock'!CJ49,CI45+'Grid_Incoming'!CJ45-'Grid_TTAFOutgoing'!CJ45))</f>
        <v/>
      </c>
      <c r="CK45">
        <f>IF(COUNTIFS(T_StockCount[Part Name],$A45,T_StockCount[WeekIndex],88)&gt;0,0,IF(('T_TTAFStock'!CK49&lt;&gt;""),'T_TTAFStock'!CK49,CJ45+'Grid_Incoming'!CK45-'Grid_TTAFOutgoing'!CK45))</f>
        <v/>
      </c>
      <c r="CL45">
        <f>IF(COUNTIFS(T_StockCount[Part Name],$A45,T_StockCount[WeekIndex],89)&gt;0,0,IF(('T_TTAFStock'!CL49&lt;&gt;""),'T_TTAFStock'!CL49,CK45+'Grid_Incoming'!CL45-'Grid_TTAFOutgoing'!CL45))</f>
        <v/>
      </c>
      <c r="CM45">
        <f>IF(COUNTIFS(T_StockCount[Part Name],$A45,T_StockCount[WeekIndex],90)&gt;0,0,IF(('T_TTAFStock'!CM49&lt;&gt;""),'T_TTAFStock'!CM49,CL45+'Grid_Incoming'!CM45-'Grid_TTAFOutgoing'!CM45))</f>
        <v/>
      </c>
      <c r="CN45">
        <f>IF(COUNTIFS(T_StockCount[Part Name],$A45,T_StockCount[WeekIndex],91)&gt;0,0,IF(('T_TTAFStock'!CN49&lt;&gt;""),'T_TTAFStock'!CN49,CM45+'Grid_Incoming'!CN45-'Grid_TTAFOutgoing'!CN45))</f>
        <v/>
      </c>
      <c r="CO45">
        <f>IF(COUNTIFS(T_StockCount[Part Name],$A45,T_StockCount[WeekIndex],92)&gt;0,0,IF(('T_TTAFStock'!CO49&lt;&gt;""),'T_TTAFStock'!CO49,CN45+'Grid_Incoming'!CO45-'Grid_TTAFOutgoing'!CO45))</f>
        <v/>
      </c>
      <c r="CP45">
        <f>IF(COUNTIFS(T_StockCount[Part Name],$A45,T_StockCount[WeekIndex],93)&gt;0,0,IF(('T_TTAFStock'!CP49&lt;&gt;""),'T_TTAFStock'!CP49,CO45+'Grid_Incoming'!CP45-'Grid_TTAFOutgoing'!CP45))</f>
        <v/>
      </c>
      <c r="CQ45">
        <f>IF(COUNTIFS(T_StockCount[Part Name],$A45,T_StockCount[WeekIndex],94)&gt;0,0,IF(('T_TTAFStock'!CQ49&lt;&gt;""),'T_TTAFStock'!CQ49,CP45+'Grid_Incoming'!CQ45-'Grid_TTAFOutgoing'!CQ45))</f>
        <v/>
      </c>
      <c r="CR45">
        <f>IF(COUNTIFS(T_StockCount[Part Name],$A45,T_StockCount[WeekIndex],95)&gt;0,0,IF(('T_TTAFStock'!CR49&lt;&gt;""),'T_TTAFStock'!CR49,CQ45+'Grid_Incoming'!CR45-'Grid_TTAFOutgoing'!CR45))</f>
        <v/>
      </c>
      <c r="CS45">
        <f>IF(COUNTIFS(T_StockCount[Part Name],$A45,T_StockCount[WeekIndex],96)&gt;0,0,IF(('T_TTAFStock'!CS49&lt;&gt;""),'T_TTAFStock'!CS49,CR45+'Grid_Incoming'!CS45-'Grid_TTAFOutgoing'!CS45))</f>
        <v/>
      </c>
      <c r="CT45">
        <f>IF(COUNTIFS(T_StockCount[Part Name],$A45,T_StockCount[WeekIndex],97)&gt;0,0,IF(('T_TTAFStock'!CT49&lt;&gt;""),'T_TTAFStock'!CT49,CS45+'Grid_Incoming'!CT45-'Grid_TTAFOutgoing'!CT45))</f>
        <v/>
      </c>
      <c r="CU45">
        <f>IF(COUNTIFS(T_StockCount[Part Name],$A45,T_StockCount[WeekIndex],98)&gt;0,0,IF(('T_TTAFStock'!CU49&lt;&gt;""),'T_TTAFStock'!CU49,CT45+'Grid_Incoming'!CU45-'Grid_TTAFOutgoing'!CU45))</f>
        <v/>
      </c>
      <c r="CV45">
        <f>IF(COUNTIFS(T_StockCount[Part Name],$A45,T_StockCount[WeekIndex],99)&gt;0,0,IF(('T_TTAFStock'!CV49&lt;&gt;""),'T_TTAFStock'!CV49,CU45+'Grid_Incoming'!CV45-'Grid_TTAFOutgoing'!CV45))</f>
        <v/>
      </c>
      <c r="CW45">
        <f>IF(COUNTIFS(T_StockCount[Part Name],$A45,T_StockCount[WeekIndex],100)&gt;0,0,IF(('T_TTAFStock'!CW49&lt;&gt;""),'T_TTAFStock'!CW49,CV45+'Grid_Incoming'!CW45-'Grid_TTAFOutgoing'!CW45))</f>
        <v/>
      </c>
      <c r="CX45">
        <f>IF(COUNTIFS(T_StockCount[Part Name],$A45,T_StockCount[WeekIndex],101)&gt;0,0,IF(('T_TTAFStock'!CX49&lt;&gt;""),'T_TTAFStock'!CX49,CW45+'Grid_Incoming'!CX45-'Grid_TTAFOutgoing'!CX45))</f>
        <v/>
      </c>
      <c r="CY45">
        <f>IF(COUNTIFS(T_StockCount[Part Name],$A45,T_StockCount[WeekIndex],102)&gt;0,0,IF(('T_TTAFStock'!CY49&lt;&gt;""),'T_TTAFStock'!CY49,CX45+'Grid_Incoming'!CY45-'Grid_TTAFOutgoing'!CY45))</f>
        <v/>
      </c>
      <c r="CZ45">
        <f>IF(COUNTIFS(T_StockCount[Part Name],$A45,T_StockCount[WeekIndex],103)&gt;0,0,IF(('T_TTAFStock'!CZ49&lt;&gt;""),'T_TTAFStock'!CZ49,CY45+'Grid_Incoming'!CZ45-'Grid_TTAFOutgoing'!CZ45))</f>
        <v/>
      </c>
      <c r="DA45">
        <f>IF(COUNTIFS(T_StockCount[Part Name],$A45,T_StockCount[WeekIndex],104)&gt;0,0,IF(('T_TTAFStock'!DA49&lt;&gt;""),'T_TTAFStock'!DA49,CZ45+'Grid_Incoming'!DA45-'Grid_TTAFOutgoing'!DA45))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'Grid_SelfBalance'!B2+'Grid_TTAFBalance'!B2</f>
        <v/>
      </c>
      <c r="C2">
        <f>'Grid_SelfBalance'!C2+'Grid_TTAFBalance'!C2</f>
        <v/>
      </c>
      <c r="D2">
        <f>'Grid_SelfBalance'!D2+'Grid_TTAFBalance'!D2</f>
        <v/>
      </c>
      <c r="E2">
        <f>'Grid_SelfBalance'!E2+'Grid_TTAFBalance'!E2</f>
        <v/>
      </c>
      <c r="F2">
        <f>'Grid_SelfBalance'!F2+'Grid_TTAFBalance'!F2</f>
        <v/>
      </c>
      <c r="G2">
        <f>'Grid_SelfBalance'!G2+'Grid_TTAFBalance'!G2</f>
        <v/>
      </c>
      <c r="H2">
        <f>'Grid_SelfBalance'!H2+'Grid_TTAFBalance'!H2</f>
        <v/>
      </c>
      <c r="I2">
        <f>'Grid_SelfBalance'!I2+'Grid_TTAFBalance'!I2</f>
        <v/>
      </c>
      <c r="J2">
        <f>'Grid_SelfBalance'!J2+'Grid_TTAFBalance'!J2</f>
        <v/>
      </c>
      <c r="K2">
        <f>'Grid_SelfBalance'!K2+'Grid_TTAFBalance'!K2</f>
        <v/>
      </c>
      <c r="L2">
        <f>'Grid_SelfBalance'!L2+'Grid_TTAFBalance'!L2</f>
        <v/>
      </c>
      <c r="M2">
        <f>'Grid_SelfBalance'!M2+'Grid_TTAFBalance'!M2</f>
        <v/>
      </c>
      <c r="N2">
        <f>'Grid_SelfBalance'!N2+'Grid_TTAFBalance'!N2</f>
        <v/>
      </c>
      <c r="O2">
        <f>'Grid_SelfBalance'!O2+'Grid_TTAFBalance'!O2</f>
        <v/>
      </c>
      <c r="P2">
        <f>'Grid_SelfBalance'!P2+'Grid_TTAFBalance'!P2</f>
        <v/>
      </c>
      <c r="Q2">
        <f>'Grid_SelfBalance'!Q2+'Grid_TTAFBalance'!Q2</f>
        <v/>
      </c>
      <c r="R2">
        <f>'Grid_SelfBalance'!R2+'Grid_TTAFBalance'!R2</f>
        <v/>
      </c>
      <c r="S2">
        <f>'Grid_SelfBalance'!S2+'Grid_TTAFBalance'!S2</f>
        <v/>
      </c>
      <c r="T2">
        <f>'Grid_SelfBalance'!T2+'Grid_TTAFBalance'!T2</f>
        <v/>
      </c>
      <c r="U2">
        <f>'Grid_SelfBalance'!U2+'Grid_TTAFBalance'!U2</f>
        <v/>
      </c>
      <c r="V2">
        <f>'Grid_SelfBalance'!V2+'Grid_TTAFBalance'!V2</f>
        <v/>
      </c>
      <c r="W2">
        <f>'Grid_SelfBalance'!W2+'Grid_TTAFBalance'!W2</f>
        <v/>
      </c>
      <c r="X2">
        <f>'Grid_SelfBalance'!X2+'Grid_TTAFBalance'!X2</f>
        <v/>
      </c>
      <c r="Y2">
        <f>'Grid_SelfBalance'!Y2+'Grid_TTAFBalance'!Y2</f>
        <v/>
      </c>
      <c r="Z2">
        <f>'Grid_SelfBalance'!Z2+'Grid_TTAFBalance'!Z2</f>
        <v/>
      </c>
      <c r="AA2">
        <f>'Grid_SelfBalance'!AA2+'Grid_TTAFBalance'!AA2</f>
        <v/>
      </c>
      <c r="AB2">
        <f>'Grid_SelfBalance'!AB2+'Grid_TTAFBalance'!AB2</f>
        <v/>
      </c>
      <c r="AC2">
        <f>'Grid_SelfBalance'!AC2+'Grid_TTAFBalance'!AC2</f>
        <v/>
      </c>
      <c r="AD2">
        <f>'Grid_SelfBalance'!AD2+'Grid_TTAFBalance'!AD2</f>
        <v/>
      </c>
      <c r="AE2">
        <f>'Grid_SelfBalance'!AE2+'Grid_TTAFBalance'!AE2</f>
        <v/>
      </c>
      <c r="AF2">
        <f>'Grid_SelfBalance'!AF2+'Grid_TTAFBalance'!AF2</f>
        <v/>
      </c>
      <c r="AG2">
        <f>'Grid_SelfBalance'!AG2+'Grid_TTAFBalance'!AG2</f>
        <v/>
      </c>
      <c r="AH2">
        <f>'Grid_SelfBalance'!AH2+'Grid_TTAFBalance'!AH2</f>
        <v/>
      </c>
      <c r="AI2">
        <f>'Grid_SelfBalance'!AI2+'Grid_TTAFBalance'!AI2</f>
        <v/>
      </c>
      <c r="AJ2">
        <f>'Grid_SelfBalance'!AJ2+'Grid_TTAFBalance'!AJ2</f>
        <v/>
      </c>
      <c r="AK2">
        <f>'Grid_SelfBalance'!AK2+'Grid_TTAFBalance'!AK2</f>
        <v/>
      </c>
      <c r="AL2">
        <f>'Grid_SelfBalance'!AL2+'Grid_TTAFBalance'!AL2</f>
        <v/>
      </c>
      <c r="AM2">
        <f>'Grid_SelfBalance'!AM2+'Grid_TTAFBalance'!AM2</f>
        <v/>
      </c>
      <c r="AN2">
        <f>'Grid_SelfBalance'!AN2+'Grid_TTAFBalance'!AN2</f>
        <v/>
      </c>
      <c r="AO2">
        <f>'Grid_SelfBalance'!AO2+'Grid_TTAFBalance'!AO2</f>
        <v/>
      </c>
      <c r="AP2">
        <f>'Grid_SelfBalance'!AP2+'Grid_TTAFBalance'!AP2</f>
        <v/>
      </c>
      <c r="AQ2">
        <f>'Grid_SelfBalance'!AQ2+'Grid_TTAFBalance'!AQ2</f>
        <v/>
      </c>
      <c r="AR2">
        <f>'Grid_SelfBalance'!AR2+'Grid_TTAFBalance'!AR2</f>
        <v/>
      </c>
      <c r="AS2">
        <f>'Grid_SelfBalance'!AS2+'Grid_TTAFBalance'!AS2</f>
        <v/>
      </c>
      <c r="AT2">
        <f>'Grid_SelfBalance'!AT2+'Grid_TTAFBalance'!AT2</f>
        <v/>
      </c>
      <c r="AU2">
        <f>'Grid_SelfBalance'!AU2+'Grid_TTAFBalance'!AU2</f>
        <v/>
      </c>
      <c r="AV2">
        <f>'Grid_SelfBalance'!AV2+'Grid_TTAFBalance'!AV2</f>
        <v/>
      </c>
      <c r="AW2">
        <f>'Grid_SelfBalance'!AW2+'Grid_TTAFBalance'!AW2</f>
        <v/>
      </c>
      <c r="AX2">
        <f>'Grid_SelfBalance'!AX2+'Grid_TTAFBalance'!AX2</f>
        <v/>
      </c>
      <c r="AY2">
        <f>'Grid_SelfBalance'!AY2+'Grid_TTAFBalance'!AY2</f>
        <v/>
      </c>
      <c r="AZ2">
        <f>'Grid_SelfBalance'!AZ2+'Grid_TTAFBalance'!AZ2</f>
        <v/>
      </c>
      <c r="BA2">
        <f>'Grid_SelfBalance'!BA2+'Grid_TTAFBalance'!BA2</f>
        <v/>
      </c>
      <c r="BB2">
        <f>'Grid_SelfBalance'!BB2+'Grid_TTAFBalance'!BB2</f>
        <v/>
      </c>
      <c r="BC2">
        <f>'Grid_SelfBalance'!BC2+'Grid_TTAFBalance'!BC2</f>
        <v/>
      </c>
      <c r="BD2">
        <f>'Grid_SelfBalance'!BD2+'Grid_TTAFBalance'!BD2</f>
        <v/>
      </c>
      <c r="BE2">
        <f>'Grid_SelfBalance'!BE2+'Grid_TTAFBalance'!BE2</f>
        <v/>
      </c>
      <c r="BF2">
        <f>'Grid_SelfBalance'!BF2+'Grid_TTAFBalance'!BF2</f>
        <v/>
      </c>
      <c r="BG2">
        <f>'Grid_SelfBalance'!BG2+'Grid_TTAFBalance'!BG2</f>
        <v/>
      </c>
      <c r="BH2">
        <f>'Grid_SelfBalance'!BH2+'Grid_TTAFBalance'!BH2</f>
        <v/>
      </c>
      <c r="BI2">
        <f>'Grid_SelfBalance'!BI2+'Grid_TTAFBalance'!BI2</f>
        <v/>
      </c>
      <c r="BJ2">
        <f>'Grid_SelfBalance'!BJ2+'Grid_TTAFBalance'!BJ2</f>
        <v/>
      </c>
      <c r="BK2">
        <f>'Grid_SelfBalance'!BK2+'Grid_TTAFBalance'!BK2</f>
        <v/>
      </c>
      <c r="BL2">
        <f>'Grid_SelfBalance'!BL2+'Grid_TTAFBalance'!BL2</f>
        <v/>
      </c>
      <c r="BM2">
        <f>'Grid_SelfBalance'!BM2+'Grid_TTAFBalance'!BM2</f>
        <v/>
      </c>
      <c r="BN2">
        <f>'Grid_SelfBalance'!BN2+'Grid_TTAFBalance'!BN2</f>
        <v/>
      </c>
      <c r="BO2">
        <f>'Grid_SelfBalance'!BO2+'Grid_TTAFBalance'!BO2</f>
        <v/>
      </c>
      <c r="BP2">
        <f>'Grid_SelfBalance'!BP2+'Grid_TTAFBalance'!BP2</f>
        <v/>
      </c>
      <c r="BQ2">
        <f>'Grid_SelfBalance'!BQ2+'Grid_TTAFBalance'!BQ2</f>
        <v/>
      </c>
      <c r="BR2">
        <f>'Grid_SelfBalance'!BR2+'Grid_TTAFBalance'!BR2</f>
        <v/>
      </c>
      <c r="BS2">
        <f>'Grid_SelfBalance'!BS2+'Grid_TTAFBalance'!BS2</f>
        <v/>
      </c>
      <c r="BT2">
        <f>'Grid_SelfBalance'!BT2+'Grid_TTAFBalance'!BT2</f>
        <v/>
      </c>
      <c r="BU2">
        <f>'Grid_SelfBalance'!BU2+'Grid_TTAFBalance'!BU2</f>
        <v/>
      </c>
      <c r="BV2">
        <f>'Grid_SelfBalance'!BV2+'Grid_TTAFBalance'!BV2</f>
        <v/>
      </c>
      <c r="BW2">
        <f>'Grid_SelfBalance'!BW2+'Grid_TTAFBalance'!BW2</f>
        <v/>
      </c>
      <c r="BX2">
        <f>'Grid_SelfBalance'!BX2+'Grid_TTAFBalance'!BX2</f>
        <v/>
      </c>
      <c r="BY2">
        <f>'Grid_SelfBalance'!BY2+'Grid_TTAFBalance'!BY2</f>
        <v/>
      </c>
      <c r="BZ2">
        <f>'Grid_SelfBalance'!BZ2+'Grid_TTAFBalance'!BZ2</f>
        <v/>
      </c>
      <c r="CA2">
        <f>'Grid_SelfBalance'!CA2+'Grid_TTAFBalance'!CA2</f>
        <v/>
      </c>
      <c r="CB2">
        <f>'Grid_SelfBalance'!CB2+'Grid_TTAFBalance'!CB2</f>
        <v/>
      </c>
      <c r="CC2">
        <f>'Grid_SelfBalance'!CC2+'Grid_TTAFBalance'!CC2</f>
        <v/>
      </c>
      <c r="CD2">
        <f>'Grid_SelfBalance'!CD2+'Grid_TTAFBalance'!CD2</f>
        <v/>
      </c>
      <c r="CE2">
        <f>'Grid_SelfBalance'!CE2+'Grid_TTAFBalance'!CE2</f>
        <v/>
      </c>
      <c r="CF2">
        <f>'Grid_SelfBalance'!CF2+'Grid_TTAFBalance'!CF2</f>
        <v/>
      </c>
      <c r="CG2">
        <f>'Grid_SelfBalance'!CG2+'Grid_TTAFBalance'!CG2</f>
        <v/>
      </c>
      <c r="CH2">
        <f>'Grid_SelfBalance'!CH2+'Grid_TTAFBalance'!CH2</f>
        <v/>
      </c>
      <c r="CI2">
        <f>'Grid_SelfBalance'!CI2+'Grid_TTAFBalance'!CI2</f>
        <v/>
      </c>
      <c r="CJ2">
        <f>'Grid_SelfBalance'!CJ2+'Grid_TTAFBalance'!CJ2</f>
        <v/>
      </c>
      <c r="CK2">
        <f>'Grid_SelfBalance'!CK2+'Grid_TTAFBalance'!CK2</f>
        <v/>
      </c>
      <c r="CL2">
        <f>'Grid_SelfBalance'!CL2+'Grid_TTAFBalance'!CL2</f>
        <v/>
      </c>
      <c r="CM2">
        <f>'Grid_SelfBalance'!CM2+'Grid_TTAFBalance'!CM2</f>
        <v/>
      </c>
      <c r="CN2">
        <f>'Grid_SelfBalance'!CN2+'Grid_TTAFBalance'!CN2</f>
        <v/>
      </c>
      <c r="CO2">
        <f>'Grid_SelfBalance'!CO2+'Grid_TTAFBalance'!CO2</f>
        <v/>
      </c>
      <c r="CP2">
        <f>'Grid_SelfBalance'!CP2+'Grid_TTAFBalance'!CP2</f>
        <v/>
      </c>
      <c r="CQ2">
        <f>'Grid_SelfBalance'!CQ2+'Grid_TTAFBalance'!CQ2</f>
        <v/>
      </c>
      <c r="CR2">
        <f>'Grid_SelfBalance'!CR2+'Grid_TTAFBalance'!CR2</f>
        <v/>
      </c>
      <c r="CS2">
        <f>'Grid_SelfBalance'!CS2+'Grid_TTAFBalance'!CS2</f>
        <v/>
      </c>
      <c r="CT2">
        <f>'Grid_SelfBalance'!CT2+'Grid_TTAFBalance'!CT2</f>
        <v/>
      </c>
      <c r="CU2">
        <f>'Grid_SelfBalance'!CU2+'Grid_TTAFBalance'!CU2</f>
        <v/>
      </c>
      <c r="CV2">
        <f>'Grid_SelfBalance'!CV2+'Grid_TTAFBalance'!CV2</f>
        <v/>
      </c>
      <c r="CW2">
        <f>'Grid_SelfBalance'!CW2+'Grid_TTAFBalance'!CW2</f>
        <v/>
      </c>
      <c r="CX2">
        <f>'Grid_SelfBalance'!CX2+'Grid_TTAFBalance'!CX2</f>
        <v/>
      </c>
      <c r="CY2">
        <f>'Grid_SelfBalance'!CY2+'Grid_TTAFBalance'!CY2</f>
        <v/>
      </c>
      <c r="CZ2">
        <f>'Grid_SelfBalance'!CZ2+'Grid_TTAFBalance'!CZ2</f>
        <v/>
      </c>
      <c r="DA2">
        <f>'Grid_SelfBalance'!DA2+'Grid_TTAFBalance'!DA2</f>
        <v/>
      </c>
    </row>
    <row r="3">
      <c r="A3" t="inlineStr">
        <is>
          <t>CHEM-1670</t>
        </is>
      </c>
      <c r="B3">
        <f>'Grid_SelfBalance'!B3+'Grid_TTAFBalance'!B3</f>
        <v/>
      </c>
      <c r="C3">
        <f>'Grid_SelfBalance'!C3+'Grid_TTAFBalance'!C3</f>
        <v/>
      </c>
      <c r="D3">
        <f>'Grid_SelfBalance'!D3+'Grid_TTAFBalance'!D3</f>
        <v/>
      </c>
      <c r="E3">
        <f>'Grid_SelfBalance'!E3+'Grid_TTAFBalance'!E3</f>
        <v/>
      </c>
      <c r="F3">
        <f>'Grid_SelfBalance'!F3+'Grid_TTAFBalance'!F3</f>
        <v/>
      </c>
      <c r="G3">
        <f>'Grid_SelfBalance'!G3+'Grid_TTAFBalance'!G3</f>
        <v/>
      </c>
      <c r="H3">
        <f>'Grid_SelfBalance'!H3+'Grid_TTAFBalance'!H3</f>
        <v/>
      </c>
      <c r="I3">
        <f>'Grid_SelfBalance'!I3+'Grid_TTAFBalance'!I3</f>
        <v/>
      </c>
      <c r="J3">
        <f>'Grid_SelfBalance'!J3+'Grid_TTAFBalance'!J3</f>
        <v/>
      </c>
      <c r="K3">
        <f>'Grid_SelfBalance'!K3+'Grid_TTAFBalance'!K3</f>
        <v/>
      </c>
      <c r="L3">
        <f>'Grid_SelfBalance'!L3+'Grid_TTAFBalance'!L3</f>
        <v/>
      </c>
      <c r="M3">
        <f>'Grid_SelfBalance'!M3+'Grid_TTAFBalance'!M3</f>
        <v/>
      </c>
      <c r="N3">
        <f>'Grid_SelfBalance'!N3+'Grid_TTAFBalance'!N3</f>
        <v/>
      </c>
      <c r="O3">
        <f>'Grid_SelfBalance'!O3+'Grid_TTAFBalance'!O3</f>
        <v/>
      </c>
      <c r="P3">
        <f>'Grid_SelfBalance'!P3+'Grid_TTAFBalance'!P3</f>
        <v/>
      </c>
      <c r="Q3">
        <f>'Grid_SelfBalance'!Q3+'Grid_TTAFBalance'!Q3</f>
        <v/>
      </c>
      <c r="R3">
        <f>'Grid_SelfBalance'!R3+'Grid_TTAFBalance'!R3</f>
        <v/>
      </c>
      <c r="S3">
        <f>'Grid_SelfBalance'!S3+'Grid_TTAFBalance'!S3</f>
        <v/>
      </c>
      <c r="T3">
        <f>'Grid_SelfBalance'!T3+'Grid_TTAFBalance'!T3</f>
        <v/>
      </c>
      <c r="U3">
        <f>'Grid_SelfBalance'!U3+'Grid_TTAFBalance'!U3</f>
        <v/>
      </c>
      <c r="V3">
        <f>'Grid_SelfBalance'!V3+'Grid_TTAFBalance'!V3</f>
        <v/>
      </c>
      <c r="W3">
        <f>'Grid_SelfBalance'!W3+'Grid_TTAFBalance'!W3</f>
        <v/>
      </c>
      <c r="X3">
        <f>'Grid_SelfBalance'!X3+'Grid_TTAFBalance'!X3</f>
        <v/>
      </c>
      <c r="Y3">
        <f>'Grid_SelfBalance'!Y3+'Grid_TTAFBalance'!Y3</f>
        <v/>
      </c>
      <c r="Z3">
        <f>'Grid_SelfBalance'!Z3+'Grid_TTAFBalance'!Z3</f>
        <v/>
      </c>
      <c r="AA3">
        <f>'Grid_SelfBalance'!AA3+'Grid_TTAFBalance'!AA3</f>
        <v/>
      </c>
      <c r="AB3">
        <f>'Grid_SelfBalance'!AB3+'Grid_TTAFBalance'!AB3</f>
        <v/>
      </c>
      <c r="AC3">
        <f>'Grid_SelfBalance'!AC3+'Grid_TTAFBalance'!AC3</f>
        <v/>
      </c>
      <c r="AD3">
        <f>'Grid_SelfBalance'!AD3+'Grid_TTAFBalance'!AD3</f>
        <v/>
      </c>
      <c r="AE3">
        <f>'Grid_SelfBalance'!AE3+'Grid_TTAFBalance'!AE3</f>
        <v/>
      </c>
      <c r="AF3">
        <f>'Grid_SelfBalance'!AF3+'Grid_TTAFBalance'!AF3</f>
        <v/>
      </c>
      <c r="AG3">
        <f>'Grid_SelfBalance'!AG3+'Grid_TTAFBalance'!AG3</f>
        <v/>
      </c>
      <c r="AH3">
        <f>'Grid_SelfBalance'!AH3+'Grid_TTAFBalance'!AH3</f>
        <v/>
      </c>
      <c r="AI3">
        <f>'Grid_SelfBalance'!AI3+'Grid_TTAFBalance'!AI3</f>
        <v/>
      </c>
      <c r="AJ3">
        <f>'Grid_SelfBalance'!AJ3+'Grid_TTAFBalance'!AJ3</f>
        <v/>
      </c>
      <c r="AK3">
        <f>'Grid_SelfBalance'!AK3+'Grid_TTAFBalance'!AK3</f>
        <v/>
      </c>
      <c r="AL3">
        <f>'Grid_SelfBalance'!AL3+'Grid_TTAFBalance'!AL3</f>
        <v/>
      </c>
      <c r="AM3">
        <f>'Grid_SelfBalance'!AM3+'Grid_TTAFBalance'!AM3</f>
        <v/>
      </c>
      <c r="AN3">
        <f>'Grid_SelfBalance'!AN3+'Grid_TTAFBalance'!AN3</f>
        <v/>
      </c>
      <c r="AO3">
        <f>'Grid_SelfBalance'!AO3+'Grid_TTAFBalance'!AO3</f>
        <v/>
      </c>
      <c r="AP3">
        <f>'Grid_SelfBalance'!AP3+'Grid_TTAFBalance'!AP3</f>
        <v/>
      </c>
      <c r="AQ3">
        <f>'Grid_SelfBalance'!AQ3+'Grid_TTAFBalance'!AQ3</f>
        <v/>
      </c>
      <c r="AR3">
        <f>'Grid_SelfBalance'!AR3+'Grid_TTAFBalance'!AR3</f>
        <v/>
      </c>
      <c r="AS3">
        <f>'Grid_SelfBalance'!AS3+'Grid_TTAFBalance'!AS3</f>
        <v/>
      </c>
      <c r="AT3">
        <f>'Grid_SelfBalance'!AT3+'Grid_TTAFBalance'!AT3</f>
        <v/>
      </c>
      <c r="AU3">
        <f>'Grid_SelfBalance'!AU3+'Grid_TTAFBalance'!AU3</f>
        <v/>
      </c>
      <c r="AV3">
        <f>'Grid_SelfBalance'!AV3+'Grid_TTAFBalance'!AV3</f>
        <v/>
      </c>
      <c r="AW3">
        <f>'Grid_SelfBalance'!AW3+'Grid_TTAFBalance'!AW3</f>
        <v/>
      </c>
      <c r="AX3">
        <f>'Grid_SelfBalance'!AX3+'Grid_TTAFBalance'!AX3</f>
        <v/>
      </c>
      <c r="AY3">
        <f>'Grid_SelfBalance'!AY3+'Grid_TTAFBalance'!AY3</f>
        <v/>
      </c>
      <c r="AZ3">
        <f>'Grid_SelfBalance'!AZ3+'Grid_TTAFBalance'!AZ3</f>
        <v/>
      </c>
      <c r="BA3">
        <f>'Grid_SelfBalance'!BA3+'Grid_TTAFBalance'!BA3</f>
        <v/>
      </c>
      <c r="BB3">
        <f>'Grid_SelfBalance'!BB3+'Grid_TTAFBalance'!BB3</f>
        <v/>
      </c>
      <c r="BC3">
        <f>'Grid_SelfBalance'!BC3+'Grid_TTAFBalance'!BC3</f>
        <v/>
      </c>
      <c r="BD3">
        <f>'Grid_SelfBalance'!BD3+'Grid_TTAFBalance'!BD3</f>
        <v/>
      </c>
      <c r="BE3">
        <f>'Grid_SelfBalance'!BE3+'Grid_TTAFBalance'!BE3</f>
        <v/>
      </c>
      <c r="BF3">
        <f>'Grid_SelfBalance'!BF3+'Grid_TTAFBalance'!BF3</f>
        <v/>
      </c>
      <c r="BG3">
        <f>'Grid_SelfBalance'!BG3+'Grid_TTAFBalance'!BG3</f>
        <v/>
      </c>
      <c r="BH3">
        <f>'Grid_SelfBalance'!BH3+'Grid_TTAFBalance'!BH3</f>
        <v/>
      </c>
      <c r="BI3">
        <f>'Grid_SelfBalance'!BI3+'Grid_TTAFBalance'!BI3</f>
        <v/>
      </c>
      <c r="BJ3">
        <f>'Grid_SelfBalance'!BJ3+'Grid_TTAFBalance'!BJ3</f>
        <v/>
      </c>
      <c r="BK3">
        <f>'Grid_SelfBalance'!BK3+'Grid_TTAFBalance'!BK3</f>
        <v/>
      </c>
      <c r="BL3">
        <f>'Grid_SelfBalance'!BL3+'Grid_TTAFBalance'!BL3</f>
        <v/>
      </c>
      <c r="BM3">
        <f>'Grid_SelfBalance'!BM3+'Grid_TTAFBalance'!BM3</f>
        <v/>
      </c>
      <c r="BN3">
        <f>'Grid_SelfBalance'!BN3+'Grid_TTAFBalance'!BN3</f>
        <v/>
      </c>
      <c r="BO3">
        <f>'Grid_SelfBalance'!BO3+'Grid_TTAFBalance'!BO3</f>
        <v/>
      </c>
      <c r="BP3">
        <f>'Grid_SelfBalance'!BP3+'Grid_TTAFBalance'!BP3</f>
        <v/>
      </c>
      <c r="BQ3">
        <f>'Grid_SelfBalance'!BQ3+'Grid_TTAFBalance'!BQ3</f>
        <v/>
      </c>
      <c r="BR3">
        <f>'Grid_SelfBalance'!BR3+'Grid_TTAFBalance'!BR3</f>
        <v/>
      </c>
      <c r="BS3">
        <f>'Grid_SelfBalance'!BS3+'Grid_TTAFBalance'!BS3</f>
        <v/>
      </c>
      <c r="BT3">
        <f>'Grid_SelfBalance'!BT3+'Grid_TTAFBalance'!BT3</f>
        <v/>
      </c>
      <c r="BU3">
        <f>'Grid_SelfBalance'!BU3+'Grid_TTAFBalance'!BU3</f>
        <v/>
      </c>
      <c r="BV3">
        <f>'Grid_SelfBalance'!BV3+'Grid_TTAFBalance'!BV3</f>
        <v/>
      </c>
      <c r="BW3">
        <f>'Grid_SelfBalance'!BW3+'Grid_TTAFBalance'!BW3</f>
        <v/>
      </c>
      <c r="BX3">
        <f>'Grid_SelfBalance'!BX3+'Grid_TTAFBalance'!BX3</f>
        <v/>
      </c>
      <c r="BY3">
        <f>'Grid_SelfBalance'!BY3+'Grid_TTAFBalance'!BY3</f>
        <v/>
      </c>
      <c r="BZ3">
        <f>'Grid_SelfBalance'!BZ3+'Grid_TTAFBalance'!BZ3</f>
        <v/>
      </c>
      <c r="CA3">
        <f>'Grid_SelfBalance'!CA3+'Grid_TTAFBalance'!CA3</f>
        <v/>
      </c>
      <c r="CB3">
        <f>'Grid_SelfBalance'!CB3+'Grid_TTAFBalance'!CB3</f>
        <v/>
      </c>
      <c r="CC3">
        <f>'Grid_SelfBalance'!CC3+'Grid_TTAFBalance'!CC3</f>
        <v/>
      </c>
      <c r="CD3">
        <f>'Grid_SelfBalance'!CD3+'Grid_TTAFBalance'!CD3</f>
        <v/>
      </c>
      <c r="CE3">
        <f>'Grid_SelfBalance'!CE3+'Grid_TTAFBalance'!CE3</f>
        <v/>
      </c>
      <c r="CF3">
        <f>'Grid_SelfBalance'!CF3+'Grid_TTAFBalance'!CF3</f>
        <v/>
      </c>
      <c r="CG3">
        <f>'Grid_SelfBalance'!CG3+'Grid_TTAFBalance'!CG3</f>
        <v/>
      </c>
      <c r="CH3">
        <f>'Grid_SelfBalance'!CH3+'Grid_TTAFBalance'!CH3</f>
        <v/>
      </c>
      <c r="CI3">
        <f>'Grid_SelfBalance'!CI3+'Grid_TTAFBalance'!CI3</f>
        <v/>
      </c>
      <c r="CJ3">
        <f>'Grid_SelfBalance'!CJ3+'Grid_TTAFBalance'!CJ3</f>
        <v/>
      </c>
      <c r="CK3">
        <f>'Grid_SelfBalance'!CK3+'Grid_TTAFBalance'!CK3</f>
        <v/>
      </c>
      <c r="CL3">
        <f>'Grid_SelfBalance'!CL3+'Grid_TTAFBalance'!CL3</f>
        <v/>
      </c>
      <c r="CM3">
        <f>'Grid_SelfBalance'!CM3+'Grid_TTAFBalance'!CM3</f>
        <v/>
      </c>
      <c r="CN3">
        <f>'Grid_SelfBalance'!CN3+'Grid_TTAFBalance'!CN3</f>
        <v/>
      </c>
      <c r="CO3">
        <f>'Grid_SelfBalance'!CO3+'Grid_TTAFBalance'!CO3</f>
        <v/>
      </c>
      <c r="CP3">
        <f>'Grid_SelfBalance'!CP3+'Grid_TTAFBalance'!CP3</f>
        <v/>
      </c>
      <c r="CQ3">
        <f>'Grid_SelfBalance'!CQ3+'Grid_TTAFBalance'!CQ3</f>
        <v/>
      </c>
      <c r="CR3">
        <f>'Grid_SelfBalance'!CR3+'Grid_TTAFBalance'!CR3</f>
        <v/>
      </c>
      <c r="CS3">
        <f>'Grid_SelfBalance'!CS3+'Grid_TTAFBalance'!CS3</f>
        <v/>
      </c>
      <c r="CT3">
        <f>'Grid_SelfBalance'!CT3+'Grid_TTAFBalance'!CT3</f>
        <v/>
      </c>
      <c r="CU3">
        <f>'Grid_SelfBalance'!CU3+'Grid_TTAFBalance'!CU3</f>
        <v/>
      </c>
      <c r="CV3">
        <f>'Grid_SelfBalance'!CV3+'Grid_TTAFBalance'!CV3</f>
        <v/>
      </c>
      <c r="CW3">
        <f>'Grid_SelfBalance'!CW3+'Grid_TTAFBalance'!CW3</f>
        <v/>
      </c>
      <c r="CX3">
        <f>'Grid_SelfBalance'!CX3+'Grid_TTAFBalance'!CX3</f>
        <v/>
      </c>
      <c r="CY3">
        <f>'Grid_SelfBalance'!CY3+'Grid_TTAFBalance'!CY3</f>
        <v/>
      </c>
      <c r="CZ3">
        <f>'Grid_SelfBalance'!CZ3+'Grid_TTAFBalance'!CZ3</f>
        <v/>
      </c>
      <c r="DA3">
        <f>'Grid_SelfBalance'!DA3+'Grid_TTAFBalance'!DA3</f>
        <v/>
      </c>
    </row>
    <row r="4">
      <c r="A4" t="inlineStr">
        <is>
          <t>CHEM-1700</t>
        </is>
      </c>
      <c r="B4">
        <f>'Grid_SelfBalance'!B4+'Grid_TTAFBalance'!B4</f>
        <v/>
      </c>
      <c r="C4">
        <f>'Grid_SelfBalance'!C4+'Grid_TTAFBalance'!C4</f>
        <v/>
      </c>
      <c r="D4">
        <f>'Grid_SelfBalance'!D4+'Grid_TTAFBalance'!D4</f>
        <v/>
      </c>
      <c r="E4">
        <f>'Grid_SelfBalance'!E4+'Grid_TTAFBalance'!E4</f>
        <v/>
      </c>
      <c r="F4">
        <f>'Grid_SelfBalance'!F4+'Grid_TTAFBalance'!F4</f>
        <v/>
      </c>
      <c r="G4">
        <f>'Grid_SelfBalance'!G4+'Grid_TTAFBalance'!G4</f>
        <v/>
      </c>
      <c r="H4">
        <f>'Grid_SelfBalance'!H4+'Grid_TTAFBalance'!H4</f>
        <v/>
      </c>
      <c r="I4">
        <f>'Grid_SelfBalance'!I4+'Grid_TTAFBalance'!I4</f>
        <v/>
      </c>
      <c r="J4">
        <f>'Grid_SelfBalance'!J4+'Grid_TTAFBalance'!J4</f>
        <v/>
      </c>
      <c r="K4">
        <f>'Grid_SelfBalance'!K4+'Grid_TTAFBalance'!K4</f>
        <v/>
      </c>
      <c r="L4">
        <f>'Grid_SelfBalance'!L4+'Grid_TTAFBalance'!L4</f>
        <v/>
      </c>
      <c r="M4">
        <f>'Grid_SelfBalance'!M4+'Grid_TTAFBalance'!M4</f>
        <v/>
      </c>
      <c r="N4">
        <f>'Grid_SelfBalance'!N4+'Grid_TTAFBalance'!N4</f>
        <v/>
      </c>
      <c r="O4">
        <f>'Grid_SelfBalance'!O4+'Grid_TTAFBalance'!O4</f>
        <v/>
      </c>
      <c r="P4">
        <f>'Grid_SelfBalance'!P4+'Grid_TTAFBalance'!P4</f>
        <v/>
      </c>
      <c r="Q4">
        <f>'Grid_SelfBalance'!Q4+'Grid_TTAFBalance'!Q4</f>
        <v/>
      </c>
      <c r="R4">
        <f>'Grid_SelfBalance'!R4+'Grid_TTAFBalance'!R4</f>
        <v/>
      </c>
      <c r="S4">
        <f>'Grid_SelfBalance'!S4+'Grid_TTAFBalance'!S4</f>
        <v/>
      </c>
      <c r="T4">
        <f>'Grid_SelfBalance'!T4+'Grid_TTAFBalance'!T4</f>
        <v/>
      </c>
      <c r="U4">
        <f>'Grid_SelfBalance'!U4+'Grid_TTAFBalance'!U4</f>
        <v/>
      </c>
      <c r="V4">
        <f>'Grid_SelfBalance'!V4+'Grid_TTAFBalance'!V4</f>
        <v/>
      </c>
      <c r="W4">
        <f>'Grid_SelfBalance'!W4+'Grid_TTAFBalance'!W4</f>
        <v/>
      </c>
      <c r="X4">
        <f>'Grid_SelfBalance'!X4+'Grid_TTAFBalance'!X4</f>
        <v/>
      </c>
      <c r="Y4">
        <f>'Grid_SelfBalance'!Y4+'Grid_TTAFBalance'!Y4</f>
        <v/>
      </c>
      <c r="Z4">
        <f>'Grid_SelfBalance'!Z4+'Grid_TTAFBalance'!Z4</f>
        <v/>
      </c>
      <c r="AA4">
        <f>'Grid_SelfBalance'!AA4+'Grid_TTAFBalance'!AA4</f>
        <v/>
      </c>
      <c r="AB4">
        <f>'Grid_SelfBalance'!AB4+'Grid_TTAFBalance'!AB4</f>
        <v/>
      </c>
      <c r="AC4">
        <f>'Grid_SelfBalance'!AC4+'Grid_TTAFBalance'!AC4</f>
        <v/>
      </c>
      <c r="AD4">
        <f>'Grid_SelfBalance'!AD4+'Grid_TTAFBalance'!AD4</f>
        <v/>
      </c>
      <c r="AE4">
        <f>'Grid_SelfBalance'!AE4+'Grid_TTAFBalance'!AE4</f>
        <v/>
      </c>
      <c r="AF4">
        <f>'Grid_SelfBalance'!AF4+'Grid_TTAFBalance'!AF4</f>
        <v/>
      </c>
      <c r="AG4">
        <f>'Grid_SelfBalance'!AG4+'Grid_TTAFBalance'!AG4</f>
        <v/>
      </c>
      <c r="AH4">
        <f>'Grid_SelfBalance'!AH4+'Grid_TTAFBalance'!AH4</f>
        <v/>
      </c>
      <c r="AI4">
        <f>'Grid_SelfBalance'!AI4+'Grid_TTAFBalance'!AI4</f>
        <v/>
      </c>
      <c r="AJ4">
        <f>'Grid_SelfBalance'!AJ4+'Grid_TTAFBalance'!AJ4</f>
        <v/>
      </c>
      <c r="AK4">
        <f>'Grid_SelfBalance'!AK4+'Grid_TTAFBalance'!AK4</f>
        <v/>
      </c>
      <c r="AL4">
        <f>'Grid_SelfBalance'!AL4+'Grid_TTAFBalance'!AL4</f>
        <v/>
      </c>
      <c r="AM4">
        <f>'Grid_SelfBalance'!AM4+'Grid_TTAFBalance'!AM4</f>
        <v/>
      </c>
      <c r="AN4">
        <f>'Grid_SelfBalance'!AN4+'Grid_TTAFBalance'!AN4</f>
        <v/>
      </c>
      <c r="AO4">
        <f>'Grid_SelfBalance'!AO4+'Grid_TTAFBalance'!AO4</f>
        <v/>
      </c>
      <c r="AP4">
        <f>'Grid_SelfBalance'!AP4+'Grid_TTAFBalance'!AP4</f>
        <v/>
      </c>
      <c r="AQ4">
        <f>'Grid_SelfBalance'!AQ4+'Grid_TTAFBalance'!AQ4</f>
        <v/>
      </c>
      <c r="AR4">
        <f>'Grid_SelfBalance'!AR4+'Grid_TTAFBalance'!AR4</f>
        <v/>
      </c>
      <c r="AS4">
        <f>'Grid_SelfBalance'!AS4+'Grid_TTAFBalance'!AS4</f>
        <v/>
      </c>
      <c r="AT4">
        <f>'Grid_SelfBalance'!AT4+'Grid_TTAFBalance'!AT4</f>
        <v/>
      </c>
      <c r="AU4">
        <f>'Grid_SelfBalance'!AU4+'Grid_TTAFBalance'!AU4</f>
        <v/>
      </c>
      <c r="AV4">
        <f>'Grid_SelfBalance'!AV4+'Grid_TTAFBalance'!AV4</f>
        <v/>
      </c>
      <c r="AW4">
        <f>'Grid_SelfBalance'!AW4+'Grid_TTAFBalance'!AW4</f>
        <v/>
      </c>
      <c r="AX4">
        <f>'Grid_SelfBalance'!AX4+'Grid_TTAFBalance'!AX4</f>
        <v/>
      </c>
      <c r="AY4">
        <f>'Grid_SelfBalance'!AY4+'Grid_TTAFBalance'!AY4</f>
        <v/>
      </c>
      <c r="AZ4">
        <f>'Grid_SelfBalance'!AZ4+'Grid_TTAFBalance'!AZ4</f>
        <v/>
      </c>
      <c r="BA4">
        <f>'Grid_SelfBalance'!BA4+'Grid_TTAFBalance'!BA4</f>
        <v/>
      </c>
      <c r="BB4">
        <f>'Grid_SelfBalance'!BB4+'Grid_TTAFBalance'!BB4</f>
        <v/>
      </c>
      <c r="BC4">
        <f>'Grid_SelfBalance'!BC4+'Grid_TTAFBalance'!BC4</f>
        <v/>
      </c>
      <c r="BD4">
        <f>'Grid_SelfBalance'!BD4+'Grid_TTAFBalance'!BD4</f>
        <v/>
      </c>
      <c r="BE4">
        <f>'Grid_SelfBalance'!BE4+'Grid_TTAFBalance'!BE4</f>
        <v/>
      </c>
      <c r="BF4">
        <f>'Grid_SelfBalance'!BF4+'Grid_TTAFBalance'!BF4</f>
        <v/>
      </c>
      <c r="BG4">
        <f>'Grid_SelfBalance'!BG4+'Grid_TTAFBalance'!BG4</f>
        <v/>
      </c>
      <c r="BH4">
        <f>'Grid_SelfBalance'!BH4+'Grid_TTAFBalance'!BH4</f>
        <v/>
      </c>
      <c r="BI4">
        <f>'Grid_SelfBalance'!BI4+'Grid_TTAFBalance'!BI4</f>
        <v/>
      </c>
      <c r="BJ4">
        <f>'Grid_SelfBalance'!BJ4+'Grid_TTAFBalance'!BJ4</f>
        <v/>
      </c>
      <c r="BK4">
        <f>'Grid_SelfBalance'!BK4+'Grid_TTAFBalance'!BK4</f>
        <v/>
      </c>
      <c r="BL4">
        <f>'Grid_SelfBalance'!BL4+'Grid_TTAFBalance'!BL4</f>
        <v/>
      </c>
      <c r="BM4">
        <f>'Grid_SelfBalance'!BM4+'Grid_TTAFBalance'!BM4</f>
        <v/>
      </c>
      <c r="BN4">
        <f>'Grid_SelfBalance'!BN4+'Grid_TTAFBalance'!BN4</f>
        <v/>
      </c>
      <c r="BO4">
        <f>'Grid_SelfBalance'!BO4+'Grid_TTAFBalance'!BO4</f>
        <v/>
      </c>
      <c r="BP4">
        <f>'Grid_SelfBalance'!BP4+'Grid_TTAFBalance'!BP4</f>
        <v/>
      </c>
      <c r="BQ4">
        <f>'Grid_SelfBalance'!BQ4+'Grid_TTAFBalance'!BQ4</f>
        <v/>
      </c>
      <c r="BR4">
        <f>'Grid_SelfBalance'!BR4+'Grid_TTAFBalance'!BR4</f>
        <v/>
      </c>
      <c r="BS4">
        <f>'Grid_SelfBalance'!BS4+'Grid_TTAFBalance'!BS4</f>
        <v/>
      </c>
      <c r="BT4">
        <f>'Grid_SelfBalance'!BT4+'Grid_TTAFBalance'!BT4</f>
        <v/>
      </c>
      <c r="BU4">
        <f>'Grid_SelfBalance'!BU4+'Grid_TTAFBalance'!BU4</f>
        <v/>
      </c>
      <c r="BV4">
        <f>'Grid_SelfBalance'!BV4+'Grid_TTAFBalance'!BV4</f>
        <v/>
      </c>
      <c r="BW4">
        <f>'Grid_SelfBalance'!BW4+'Grid_TTAFBalance'!BW4</f>
        <v/>
      </c>
      <c r="BX4">
        <f>'Grid_SelfBalance'!BX4+'Grid_TTAFBalance'!BX4</f>
        <v/>
      </c>
      <c r="BY4">
        <f>'Grid_SelfBalance'!BY4+'Grid_TTAFBalance'!BY4</f>
        <v/>
      </c>
      <c r="BZ4">
        <f>'Grid_SelfBalance'!BZ4+'Grid_TTAFBalance'!BZ4</f>
        <v/>
      </c>
      <c r="CA4">
        <f>'Grid_SelfBalance'!CA4+'Grid_TTAFBalance'!CA4</f>
        <v/>
      </c>
      <c r="CB4">
        <f>'Grid_SelfBalance'!CB4+'Grid_TTAFBalance'!CB4</f>
        <v/>
      </c>
      <c r="CC4">
        <f>'Grid_SelfBalance'!CC4+'Grid_TTAFBalance'!CC4</f>
        <v/>
      </c>
      <c r="CD4">
        <f>'Grid_SelfBalance'!CD4+'Grid_TTAFBalance'!CD4</f>
        <v/>
      </c>
      <c r="CE4">
        <f>'Grid_SelfBalance'!CE4+'Grid_TTAFBalance'!CE4</f>
        <v/>
      </c>
      <c r="CF4">
        <f>'Grid_SelfBalance'!CF4+'Grid_TTAFBalance'!CF4</f>
        <v/>
      </c>
      <c r="CG4">
        <f>'Grid_SelfBalance'!CG4+'Grid_TTAFBalance'!CG4</f>
        <v/>
      </c>
      <c r="CH4">
        <f>'Grid_SelfBalance'!CH4+'Grid_TTAFBalance'!CH4</f>
        <v/>
      </c>
      <c r="CI4">
        <f>'Grid_SelfBalance'!CI4+'Grid_TTAFBalance'!CI4</f>
        <v/>
      </c>
      <c r="CJ4">
        <f>'Grid_SelfBalance'!CJ4+'Grid_TTAFBalance'!CJ4</f>
        <v/>
      </c>
      <c r="CK4">
        <f>'Grid_SelfBalance'!CK4+'Grid_TTAFBalance'!CK4</f>
        <v/>
      </c>
      <c r="CL4">
        <f>'Grid_SelfBalance'!CL4+'Grid_TTAFBalance'!CL4</f>
        <v/>
      </c>
      <c r="CM4">
        <f>'Grid_SelfBalance'!CM4+'Grid_TTAFBalance'!CM4</f>
        <v/>
      </c>
      <c r="CN4">
        <f>'Grid_SelfBalance'!CN4+'Grid_TTAFBalance'!CN4</f>
        <v/>
      </c>
      <c r="CO4">
        <f>'Grid_SelfBalance'!CO4+'Grid_TTAFBalance'!CO4</f>
        <v/>
      </c>
      <c r="CP4">
        <f>'Grid_SelfBalance'!CP4+'Grid_TTAFBalance'!CP4</f>
        <v/>
      </c>
      <c r="CQ4">
        <f>'Grid_SelfBalance'!CQ4+'Grid_TTAFBalance'!CQ4</f>
        <v/>
      </c>
      <c r="CR4">
        <f>'Grid_SelfBalance'!CR4+'Grid_TTAFBalance'!CR4</f>
        <v/>
      </c>
      <c r="CS4">
        <f>'Grid_SelfBalance'!CS4+'Grid_TTAFBalance'!CS4</f>
        <v/>
      </c>
      <c r="CT4">
        <f>'Grid_SelfBalance'!CT4+'Grid_TTAFBalance'!CT4</f>
        <v/>
      </c>
      <c r="CU4">
        <f>'Grid_SelfBalance'!CU4+'Grid_TTAFBalance'!CU4</f>
        <v/>
      </c>
      <c r="CV4">
        <f>'Grid_SelfBalance'!CV4+'Grid_TTAFBalance'!CV4</f>
        <v/>
      </c>
      <c r="CW4">
        <f>'Grid_SelfBalance'!CW4+'Grid_TTAFBalance'!CW4</f>
        <v/>
      </c>
      <c r="CX4">
        <f>'Grid_SelfBalance'!CX4+'Grid_TTAFBalance'!CX4</f>
        <v/>
      </c>
      <c r="CY4">
        <f>'Grid_SelfBalance'!CY4+'Grid_TTAFBalance'!CY4</f>
        <v/>
      </c>
      <c r="CZ4">
        <f>'Grid_SelfBalance'!CZ4+'Grid_TTAFBalance'!CZ4</f>
        <v/>
      </c>
      <c r="DA4">
        <f>'Grid_SelfBalance'!DA4+'Grid_TTAFBalance'!DA4</f>
        <v/>
      </c>
    </row>
    <row r="5">
      <c r="A5" t="inlineStr">
        <is>
          <t>CHEM-1420</t>
        </is>
      </c>
      <c r="B5">
        <f>'Grid_SelfBalance'!B5+'Grid_TTAFBalance'!B5</f>
        <v/>
      </c>
      <c r="C5">
        <f>'Grid_SelfBalance'!C5+'Grid_TTAFBalance'!C5</f>
        <v/>
      </c>
      <c r="D5">
        <f>'Grid_SelfBalance'!D5+'Grid_TTAFBalance'!D5</f>
        <v/>
      </c>
      <c r="E5">
        <f>'Grid_SelfBalance'!E5+'Grid_TTAFBalance'!E5</f>
        <v/>
      </c>
      <c r="F5">
        <f>'Grid_SelfBalance'!F5+'Grid_TTAFBalance'!F5</f>
        <v/>
      </c>
      <c r="G5">
        <f>'Grid_SelfBalance'!G5+'Grid_TTAFBalance'!G5</f>
        <v/>
      </c>
      <c r="H5">
        <f>'Grid_SelfBalance'!H5+'Grid_TTAFBalance'!H5</f>
        <v/>
      </c>
      <c r="I5">
        <f>'Grid_SelfBalance'!I5+'Grid_TTAFBalance'!I5</f>
        <v/>
      </c>
      <c r="J5">
        <f>'Grid_SelfBalance'!J5+'Grid_TTAFBalance'!J5</f>
        <v/>
      </c>
      <c r="K5">
        <f>'Grid_SelfBalance'!K5+'Grid_TTAFBalance'!K5</f>
        <v/>
      </c>
      <c r="L5">
        <f>'Grid_SelfBalance'!L5+'Grid_TTAFBalance'!L5</f>
        <v/>
      </c>
      <c r="M5">
        <f>'Grid_SelfBalance'!M5+'Grid_TTAFBalance'!M5</f>
        <v/>
      </c>
      <c r="N5">
        <f>'Grid_SelfBalance'!N5+'Grid_TTAFBalance'!N5</f>
        <v/>
      </c>
      <c r="O5">
        <f>'Grid_SelfBalance'!O5+'Grid_TTAFBalance'!O5</f>
        <v/>
      </c>
      <c r="P5">
        <f>'Grid_SelfBalance'!P5+'Grid_TTAFBalance'!P5</f>
        <v/>
      </c>
      <c r="Q5">
        <f>'Grid_SelfBalance'!Q5+'Grid_TTAFBalance'!Q5</f>
        <v/>
      </c>
      <c r="R5">
        <f>'Grid_SelfBalance'!R5+'Grid_TTAFBalance'!R5</f>
        <v/>
      </c>
      <c r="S5">
        <f>'Grid_SelfBalance'!S5+'Grid_TTAFBalance'!S5</f>
        <v/>
      </c>
      <c r="T5">
        <f>'Grid_SelfBalance'!T5+'Grid_TTAFBalance'!T5</f>
        <v/>
      </c>
      <c r="U5">
        <f>'Grid_SelfBalance'!U5+'Grid_TTAFBalance'!U5</f>
        <v/>
      </c>
      <c r="V5">
        <f>'Grid_SelfBalance'!V5+'Grid_TTAFBalance'!V5</f>
        <v/>
      </c>
      <c r="W5">
        <f>'Grid_SelfBalance'!W5+'Grid_TTAFBalance'!W5</f>
        <v/>
      </c>
      <c r="X5">
        <f>'Grid_SelfBalance'!X5+'Grid_TTAFBalance'!X5</f>
        <v/>
      </c>
      <c r="Y5">
        <f>'Grid_SelfBalance'!Y5+'Grid_TTAFBalance'!Y5</f>
        <v/>
      </c>
      <c r="Z5">
        <f>'Grid_SelfBalance'!Z5+'Grid_TTAFBalance'!Z5</f>
        <v/>
      </c>
      <c r="AA5">
        <f>'Grid_SelfBalance'!AA5+'Grid_TTAFBalance'!AA5</f>
        <v/>
      </c>
      <c r="AB5">
        <f>'Grid_SelfBalance'!AB5+'Grid_TTAFBalance'!AB5</f>
        <v/>
      </c>
      <c r="AC5">
        <f>'Grid_SelfBalance'!AC5+'Grid_TTAFBalance'!AC5</f>
        <v/>
      </c>
      <c r="AD5">
        <f>'Grid_SelfBalance'!AD5+'Grid_TTAFBalance'!AD5</f>
        <v/>
      </c>
      <c r="AE5">
        <f>'Grid_SelfBalance'!AE5+'Grid_TTAFBalance'!AE5</f>
        <v/>
      </c>
      <c r="AF5">
        <f>'Grid_SelfBalance'!AF5+'Grid_TTAFBalance'!AF5</f>
        <v/>
      </c>
      <c r="AG5">
        <f>'Grid_SelfBalance'!AG5+'Grid_TTAFBalance'!AG5</f>
        <v/>
      </c>
      <c r="AH5">
        <f>'Grid_SelfBalance'!AH5+'Grid_TTAFBalance'!AH5</f>
        <v/>
      </c>
      <c r="AI5">
        <f>'Grid_SelfBalance'!AI5+'Grid_TTAFBalance'!AI5</f>
        <v/>
      </c>
      <c r="AJ5">
        <f>'Grid_SelfBalance'!AJ5+'Grid_TTAFBalance'!AJ5</f>
        <v/>
      </c>
      <c r="AK5">
        <f>'Grid_SelfBalance'!AK5+'Grid_TTAFBalance'!AK5</f>
        <v/>
      </c>
      <c r="AL5">
        <f>'Grid_SelfBalance'!AL5+'Grid_TTAFBalance'!AL5</f>
        <v/>
      </c>
      <c r="AM5">
        <f>'Grid_SelfBalance'!AM5+'Grid_TTAFBalance'!AM5</f>
        <v/>
      </c>
      <c r="AN5">
        <f>'Grid_SelfBalance'!AN5+'Grid_TTAFBalance'!AN5</f>
        <v/>
      </c>
      <c r="AO5">
        <f>'Grid_SelfBalance'!AO5+'Grid_TTAFBalance'!AO5</f>
        <v/>
      </c>
      <c r="AP5">
        <f>'Grid_SelfBalance'!AP5+'Grid_TTAFBalance'!AP5</f>
        <v/>
      </c>
      <c r="AQ5">
        <f>'Grid_SelfBalance'!AQ5+'Grid_TTAFBalance'!AQ5</f>
        <v/>
      </c>
      <c r="AR5">
        <f>'Grid_SelfBalance'!AR5+'Grid_TTAFBalance'!AR5</f>
        <v/>
      </c>
      <c r="AS5">
        <f>'Grid_SelfBalance'!AS5+'Grid_TTAFBalance'!AS5</f>
        <v/>
      </c>
      <c r="AT5">
        <f>'Grid_SelfBalance'!AT5+'Grid_TTAFBalance'!AT5</f>
        <v/>
      </c>
      <c r="AU5">
        <f>'Grid_SelfBalance'!AU5+'Grid_TTAFBalance'!AU5</f>
        <v/>
      </c>
      <c r="AV5">
        <f>'Grid_SelfBalance'!AV5+'Grid_TTAFBalance'!AV5</f>
        <v/>
      </c>
      <c r="AW5">
        <f>'Grid_SelfBalance'!AW5+'Grid_TTAFBalance'!AW5</f>
        <v/>
      </c>
      <c r="AX5">
        <f>'Grid_SelfBalance'!AX5+'Grid_TTAFBalance'!AX5</f>
        <v/>
      </c>
      <c r="AY5">
        <f>'Grid_SelfBalance'!AY5+'Grid_TTAFBalance'!AY5</f>
        <v/>
      </c>
      <c r="AZ5">
        <f>'Grid_SelfBalance'!AZ5+'Grid_TTAFBalance'!AZ5</f>
        <v/>
      </c>
      <c r="BA5">
        <f>'Grid_SelfBalance'!BA5+'Grid_TTAFBalance'!BA5</f>
        <v/>
      </c>
      <c r="BB5">
        <f>'Grid_SelfBalance'!BB5+'Grid_TTAFBalance'!BB5</f>
        <v/>
      </c>
      <c r="BC5">
        <f>'Grid_SelfBalance'!BC5+'Grid_TTAFBalance'!BC5</f>
        <v/>
      </c>
      <c r="BD5">
        <f>'Grid_SelfBalance'!BD5+'Grid_TTAFBalance'!BD5</f>
        <v/>
      </c>
      <c r="BE5">
        <f>'Grid_SelfBalance'!BE5+'Grid_TTAFBalance'!BE5</f>
        <v/>
      </c>
      <c r="BF5">
        <f>'Grid_SelfBalance'!BF5+'Grid_TTAFBalance'!BF5</f>
        <v/>
      </c>
      <c r="BG5">
        <f>'Grid_SelfBalance'!BG5+'Grid_TTAFBalance'!BG5</f>
        <v/>
      </c>
      <c r="BH5">
        <f>'Grid_SelfBalance'!BH5+'Grid_TTAFBalance'!BH5</f>
        <v/>
      </c>
      <c r="BI5">
        <f>'Grid_SelfBalance'!BI5+'Grid_TTAFBalance'!BI5</f>
        <v/>
      </c>
      <c r="BJ5">
        <f>'Grid_SelfBalance'!BJ5+'Grid_TTAFBalance'!BJ5</f>
        <v/>
      </c>
      <c r="BK5">
        <f>'Grid_SelfBalance'!BK5+'Grid_TTAFBalance'!BK5</f>
        <v/>
      </c>
      <c r="BL5">
        <f>'Grid_SelfBalance'!BL5+'Grid_TTAFBalance'!BL5</f>
        <v/>
      </c>
      <c r="BM5">
        <f>'Grid_SelfBalance'!BM5+'Grid_TTAFBalance'!BM5</f>
        <v/>
      </c>
      <c r="BN5">
        <f>'Grid_SelfBalance'!BN5+'Grid_TTAFBalance'!BN5</f>
        <v/>
      </c>
      <c r="BO5">
        <f>'Grid_SelfBalance'!BO5+'Grid_TTAFBalance'!BO5</f>
        <v/>
      </c>
      <c r="BP5">
        <f>'Grid_SelfBalance'!BP5+'Grid_TTAFBalance'!BP5</f>
        <v/>
      </c>
      <c r="BQ5">
        <f>'Grid_SelfBalance'!BQ5+'Grid_TTAFBalance'!BQ5</f>
        <v/>
      </c>
      <c r="BR5">
        <f>'Grid_SelfBalance'!BR5+'Grid_TTAFBalance'!BR5</f>
        <v/>
      </c>
      <c r="BS5">
        <f>'Grid_SelfBalance'!BS5+'Grid_TTAFBalance'!BS5</f>
        <v/>
      </c>
      <c r="BT5">
        <f>'Grid_SelfBalance'!BT5+'Grid_TTAFBalance'!BT5</f>
        <v/>
      </c>
      <c r="BU5">
        <f>'Grid_SelfBalance'!BU5+'Grid_TTAFBalance'!BU5</f>
        <v/>
      </c>
      <c r="BV5">
        <f>'Grid_SelfBalance'!BV5+'Grid_TTAFBalance'!BV5</f>
        <v/>
      </c>
      <c r="BW5">
        <f>'Grid_SelfBalance'!BW5+'Grid_TTAFBalance'!BW5</f>
        <v/>
      </c>
      <c r="BX5">
        <f>'Grid_SelfBalance'!BX5+'Grid_TTAFBalance'!BX5</f>
        <v/>
      </c>
      <c r="BY5">
        <f>'Grid_SelfBalance'!BY5+'Grid_TTAFBalance'!BY5</f>
        <v/>
      </c>
      <c r="BZ5">
        <f>'Grid_SelfBalance'!BZ5+'Grid_TTAFBalance'!BZ5</f>
        <v/>
      </c>
      <c r="CA5">
        <f>'Grid_SelfBalance'!CA5+'Grid_TTAFBalance'!CA5</f>
        <v/>
      </c>
      <c r="CB5">
        <f>'Grid_SelfBalance'!CB5+'Grid_TTAFBalance'!CB5</f>
        <v/>
      </c>
      <c r="CC5">
        <f>'Grid_SelfBalance'!CC5+'Grid_TTAFBalance'!CC5</f>
        <v/>
      </c>
      <c r="CD5">
        <f>'Grid_SelfBalance'!CD5+'Grid_TTAFBalance'!CD5</f>
        <v/>
      </c>
      <c r="CE5">
        <f>'Grid_SelfBalance'!CE5+'Grid_TTAFBalance'!CE5</f>
        <v/>
      </c>
      <c r="CF5">
        <f>'Grid_SelfBalance'!CF5+'Grid_TTAFBalance'!CF5</f>
        <v/>
      </c>
      <c r="CG5">
        <f>'Grid_SelfBalance'!CG5+'Grid_TTAFBalance'!CG5</f>
        <v/>
      </c>
      <c r="CH5">
        <f>'Grid_SelfBalance'!CH5+'Grid_TTAFBalance'!CH5</f>
        <v/>
      </c>
      <c r="CI5">
        <f>'Grid_SelfBalance'!CI5+'Grid_TTAFBalance'!CI5</f>
        <v/>
      </c>
      <c r="CJ5">
        <f>'Grid_SelfBalance'!CJ5+'Grid_TTAFBalance'!CJ5</f>
        <v/>
      </c>
      <c r="CK5">
        <f>'Grid_SelfBalance'!CK5+'Grid_TTAFBalance'!CK5</f>
        <v/>
      </c>
      <c r="CL5">
        <f>'Grid_SelfBalance'!CL5+'Grid_TTAFBalance'!CL5</f>
        <v/>
      </c>
      <c r="CM5">
        <f>'Grid_SelfBalance'!CM5+'Grid_TTAFBalance'!CM5</f>
        <v/>
      </c>
      <c r="CN5">
        <f>'Grid_SelfBalance'!CN5+'Grid_TTAFBalance'!CN5</f>
        <v/>
      </c>
      <c r="CO5">
        <f>'Grid_SelfBalance'!CO5+'Grid_TTAFBalance'!CO5</f>
        <v/>
      </c>
      <c r="CP5">
        <f>'Grid_SelfBalance'!CP5+'Grid_TTAFBalance'!CP5</f>
        <v/>
      </c>
      <c r="CQ5">
        <f>'Grid_SelfBalance'!CQ5+'Grid_TTAFBalance'!CQ5</f>
        <v/>
      </c>
      <c r="CR5">
        <f>'Grid_SelfBalance'!CR5+'Grid_TTAFBalance'!CR5</f>
        <v/>
      </c>
      <c r="CS5">
        <f>'Grid_SelfBalance'!CS5+'Grid_TTAFBalance'!CS5</f>
        <v/>
      </c>
      <c r="CT5">
        <f>'Grid_SelfBalance'!CT5+'Grid_TTAFBalance'!CT5</f>
        <v/>
      </c>
      <c r="CU5">
        <f>'Grid_SelfBalance'!CU5+'Grid_TTAFBalance'!CU5</f>
        <v/>
      </c>
      <c r="CV5">
        <f>'Grid_SelfBalance'!CV5+'Grid_TTAFBalance'!CV5</f>
        <v/>
      </c>
      <c r="CW5">
        <f>'Grid_SelfBalance'!CW5+'Grid_TTAFBalance'!CW5</f>
        <v/>
      </c>
      <c r="CX5">
        <f>'Grid_SelfBalance'!CX5+'Grid_TTAFBalance'!CX5</f>
        <v/>
      </c>
      <c r="CY5">
        <f>'Grid_SelfBalance'!CY5+'Grid_TTAFBalance'!CY5</f>
        <v/>
      </c>
      <c r="CZ5">
        <f>'Grid_SelfBalance'!CZ5+'Grid_TTAFBalance'!CZ5</f>
        <v/>
      </c>
      <c r="DA5">
        <f>'Grid_SelfBalance'!DA5+'Grid_TTAFBalance'!DA5</f>
        <v/>
      </c>
    </row>
    <row r="6">
      <c r="A6" t="inlineStr">
        <is>
          <t>CHEM-1530</t>
        </is>
      </c>
      <c r="B6">
        <f>'Grid_SelfBalance'!B6+'Grid_TTAFBalance'!B6</f>
        <v/>
      </c>
      <c r="C6">
        <f>'Grid_SelfBalance'!C6+'Grid_TTAFBalance'!C6</f>
        <v/>
      </c>
      <c r="D6">
        <f>'Grid_SelfBalance'!D6+'Grid_TTAFBalance'!D6</f>
        <v/>
      </c>
      <c r="E6">
        <f>'Grid_SelfBalance'!E6+'Grid_TTAFBalance'!E6</f>
        <v/>
      </c>
      <c r="F6">
        <f>'Grid_SelfBalance'!F6+'Grid_TTAFBalance'!F6</f>
        <v/>
      </c>
      <c r="G6">
        <f>'Grid_SelfBalance'!G6+'Grid_TTAFBalance'!G6</f>
        <v/>
      </c>
      <c r="H6">
        <f>'Grid_SelfBalance'!H6+'Grid_TTAFBalance'!H6</f>
        <v/>
      </c>
      <c r="I6">
        <f>'Grid_SelfBalance'!I6+'Grid_TTAFBalance'!I6</f>
        <v/>
      </c>
      <c r="J6">
        <f>'Grid_SelfBalance'!J6+'Grid_TTAFBalance'!J6</f>
        <v/>
      </c>
      <c r="K6">
        <f>'Grid_SelfBalance'!K6+'Grid_TTAFBalance'!K6</f>
        <v/>
      </c>
      <c r="L6">
        <f>'Grid_SelfBalance'!L6+'Grid_TTAFBalance'!L6</f>
        <v/>
      </c>
      <c r="M6">
        <f>'Grid_SelfBalance'!M6+'Grid_TTAFBalance'!M6</f>
        <v/>
      </c>
      <c r="N6">
        <f>'Grid_SelfBalance'!N6+'Grid_TTAFBalance'!N6</f>
        <v/>
      </c>
      <c r="O6">
        <f>'Grid_SelfBalance'!O6+'Grid_TTAFBalance'!O6</f>
        <v/>
      </c>
      <c r="P6">
        <f>'Grid_SelfBalance'!P6+'Grid_TTAFBalance'!P6</f>
        <v/>
      </c>
      <c r="Q6">
        <f>'Grid_SelfBalance'!Q6+'Grid_TTAFBalance'!Q6</f>
        <v/>
      </c>
      <c r="R6">
        <f>'Grid_SelfBalance'!R6+'Grid_TTAFBalance'!R6</f>
        <v/>
      </c>
      <c r="S6">
        <f>'Grid_SelfBalance'!S6+'Grid_TTAFBalance'!S6</f>
        <v/>
      </c>
      <c r="T6">
        <f>'Grid_SelfBalance'!T6+'Grid_TTAFBalance'!T6</f>
        <v/>
      </c>
      <c r="U6">
        <f>'Grid_SelfBalance'!U6+'Grid_TTAFBalance'!U6</f>
        <v/>
      </c>
      <c r="V6">
        <f>'Grid_SelfBalance'!V6+'Grid_TTAFBalance'!V6</f>
        <v/>
      </c>
      <c r="W6">
        <f>'Grid_SelfBalance'!W6+'Grid_TTAFBalance'!W6</f>
        <v/>
      </c>
      <c r="X6">
        <f>'Grid_SelfBalance'!X6+'Grid_TTAFBalance'!X6</f>
        <v/>
      </c>
      <c r="Y6">
        <f>'Grid_SelfBalance'!Y6+'Grid_TTAFBalance'!Y6</f>
        <v/>
      </c>
      <c r="Z6">
        <f>'Grid_SelfBalance'!Z6+'Grid_TTAFBalance'!Z6</f>
        <v/>
      </c>
      <c r="AA6">
        <f>'Grid_SelfBalance'!AA6+'Grid_TTAFBalance'!AA6</f>
        <v/>
      </c>
      <c r="AB6">
        <f>'Grid_SelfBalance'!AB6+'Grid_TTAFBalance'!AB6</f>
        <v/>
      </c>
      <c r="AC6">
        <f>'Grid_SelfBalance'!AC6+'Grid_TTAFBalance'!AC6</f>
        <v/>
      </c>
      <c r="AD6">
        <f>'Grid_SelfBalance'!AD6+'Grid_TTAFBalance'!AD6</f>
        <v/>
      </c>
      <c r="AE6">
        <f>'Grid_SelfBalance'!AE6+'Grid_TTAFBalance'!AE6</f>
        <v/>
      </c>
      <c r="AF6">
        <f>'Grid_SelfBalance'!AF6+'Grid_TTAFBalance'!AF6</f>
        <v/>
      </c>
      <c r="AG6">
        <f>'Grid_SelfBalance'!AG6+'Grid_TTAFBalance'!AG6</f>
        <v/>
      </c>
      <c r="AH6">
        <f>'Grid_SelfBalance'!AH6+'Grid_TTAFBalance'!AH6</f>
        <v/>
      </c>
      <c r="AI6">
        <f>'Grid_SelfBalance'!AI6+'Grid_TTAFBalance'!AI6</f>
        <v/>
      </c>
      <c r="AJ6">
        <f>'Grid_SelfBalance'!AJ6+'Grid_TTAFBalance'!AJ6</f>
        <v/>
      </c>
      <c r="AK6">
        <f>'Grid_SelfBalance'!AK6+'Grid_TTAFBalance'!AK6</f>
        <v/>
      </c>
      <c r="AL6">
        <f>'Grid_SelfBalance'!AL6+'Grid_TTAFBalance'!AL6</f>
        <v/>
      </c>
      <c r="AM6">
        <f>'Grid_SelfBalance'!AM6+'Grid_TTAFBalance'!AM6</f>
        <v/>
      </c>
      <c r="AN6">
        <f>'Grid_SelfBalance'!AN6+'Grid_TTAFBalance'!AN6</f>
        <v/>
      </c>
      <c r="AO6">
        <f>'Grid_SelfBalance'!AO6+'Grid_TTAFBalance'!AO6</f>
        <v/>
      </c>
      <c r="AP6">
        <f>'Grid_SelfBalance'!AP6+'Grid_TTAFBalance'!AP6</f>
        <v/>
      </c>
      <c r="AQ6">
        <f>'Grid_SelfBalance'!AQ6+'Grid_TTAFBalance'!AQ6</f>
        <v/>
      </c>
      <c r="AR6">
        <f>'Grid_SelfBalance'!AR6+'Grid_TTAFBalance'!AR6</f>
        <v/>
      </c>
      <c r="AS6">
        <f>'Grid_SelfBalance'!AS6+'Grid_TTAFBalance'!AS6</f>
        <v/>
      </c>
      <c r="AT6">
        <f>'Grid_SelfBalance'!AT6+'Grid_TTAFBalance'!AT6</f>
        <v/>
      </c>
      <c r="AU6">
        <f>'Grid_SelfBalance'!AU6+'Grid_TTAFBalance'!AU6</f>
        <v/>
      </c>
      <c r="AV6">
        <f>'Grid_SelfBalance'!AV6+'Grid_TTAFBalance'!AV6</f>
        <v/>
      </c>
      <c r="AW6">
        <f>'Grid_SelfBalance'!AW6+'Grid_TTAFBalance'!AW6</f>
        <v/>
      </c>
      <c r="AX6">
        <f>'Grid_SelfBalance'!AX6+'Grid_TTAFBalance'!AX6</f>
        <v/>
      </c>
      <c r="AY6">
        <f>'Grid_SelfBalance'!AY6+'Grid_TTAFBalance'!AY6</f>
        <v/>
      </c>
      <c r="AZ6">
        <f>'Grid_SelfBalance'!AZ6+'Grid_TTAFBalance'!AZ6</f>
        <v/>
      </c>
      <c r="BA6">
        <f>'Grid_SelfBalance'!BA6+'Grid_TTAFBalance'!BA6</f>
        <v/>
      </c>
      <c r="BB6">
        <f>'Grid_SelfBalance'!BB6+'Grid_TTAFBalance'!BB6</f>
        <v/>
      </c>
      <c r="BC6">
        <f>'Grid_SelfBalance'!BC6+'Grid_TTAFBalance'!BC6</f>
        <v/>
      </c>
      <c r="BD6">
        <f>'Grid_SelfBalance'!BD6+'Grid_TTAFBalance'!BD6</f>
        <v/>
      </c>
      <c r="BE6">
        <f>'Grid_SelfBalance'!BE6+'Grid_TTAFBalance'!BE6</f>
        <v/>
      </c>
      <c r="BF6">
        <f>'Grid_SelfBalance'!BF6+'Grid_TTAFBalance'!BF6</f>
        <v/>
      </c>
      <c r="BG6">
        <f>'Grid_SelfBalance'!BG6+'Grid_TTAFBalance'!BG6</f>
        <v/>
      </c>
      <c r="BH6">
        <f>'Grid_SelfBalance'!BH6+'Grid_TTAFBalance'!BH6</f>
        <v/>
      </c>
      <c r="BI6">
        <f>'Grid_SelfBalance'!BI6+'Grid_TTAFBalance'!BI6</f>
        <v/>
      </c>
      <c r="BJ6">
        <f>'Grid_SelfBalance'!BJ6+'Grid_TTAFBalance'!BJ6</f>
        <v/>
      </c>
      <c r="BK6">
        <f>'Grid_SelfBalance'!BK6+'Grid_TTAFBalance'!BK6</f>
        <v/>
      </c>
      <c r="BL6">
        <f>'Grid_SelfBalance'!BL6+'Grid_TTAFBalance'!BL6</f>
        <v/>
      </c>
      <c r="BM6">
        <f>'Grid_SelfBalance'!BM6+'Grid_TTAFBalance'!BM6</f>
        <v/>
      </c>
      <c r="BN6">
        <f>'Grid_SelfBalance'!BN6+'Grid_TTAFBalance'!BN6</f>
        <v/>
      </c>
      <c r="BO6">
        <f>'Grid_SelfBalance'!BO6+'Grid_TTAFBalance'!BO6</f>
        <v/>
      </c>
      <c r="BP6">
        <f>'Grid_SelfBalance'!BP6+'Grid_TTAFBalance'!BP6</f>
        <v/>
      </c>
      <c r="BQ6">
        <f>'Grid_SelfBalance'!BQ6+'Grid_TTAFBalance'!BQ6</f>
        <v/>
      </c>
      <c r="BR6">
        <f>'Grid_SelfBalance'!BR6+'Grid_TTAFBalance'!BR6</f>
        <v/>
      </c>
      <c r="BS6">
        <f>'Grid_SelfBalance'!BS6+'Grid_TTAFBalance'!BS6</f>
        <v/>
      </c>
      <c r="BT6">
        <f>'Grid_SelfBalance'!BT6+'Grid_TTAFBalance'!BT6</f>
        <v/>
      </c>
      <c r="BU6">
        <f>'Grid_SelfBalance'!BU6+'Grid_TTAFBalance'!BU6</f>
        <v/>
      </c>
      <c r="BV6">
        <f>'Grid_SelfBalance'!BV6+'Grid_TTAFBalance'!BV6</f>
        <v/>
      </c>
      <c r="BW6">
        <f>'Grid_SelfBalance'!BW6+'Grid_TTAFBalance'!BW6</f>
        <v/>
      </c>
      <c r="BX6">
        <f>'Grid_SelfBalance'!BX6+'Grid_TTAFBalance'!BX6</f>
        <v/>
      </c>
      <c r="BY6">
        <f>'Grid_SelfBalance'!BY6+'Grid_TTAFBalance'!BY6</f>
        <v/>
      </c>
      <c r="BZ6">
        <f>'Grid_SelfBalance'!BZ6+'Grid_TTAFBalance'!BZ6</f>
        <v/>
      </c>
      <c r="CA6">
        <f>'Grid_SelfBalance'!CA6+'Grid_TTAFBalance'!CA6</f>
        <v/>
      </c>
      <c r="CB6">
        <f>'Grid_SelfBalance'!CB6+'Grid_TTAFBalance'!CB6</f>
        <v/>
      </c>
      <c r="CC6">
        <f>'Grid_SelfBalance'!CC6+'Grid_TTAFBalance'!CC6</f>
        <v/>
      </c>
      <c r="CD6">
        <f>'Grid_SelfBalance'!CD6+'Grid_TTAFBalance'!CD6</f>
        <v/>
      </c>
      <c r="CE6">
        <f>'Grid_SelfBalance'!CE6+'Grid_TTAFBalance'!CE6</f>
        <v/>
      </c>
      <c r="CF6">
        <f>'Grid_SelfBalance'!CF6+'Grid_TTAFBalance'!CF6</f>
        <v/>
      </c>
      <c r="CG6">
        <f>'Grid_SelfBalance'!CG6+'Grid_TTAFBalance'!CG6</f>
        <v/>
      </c>
      <c r="CH6">
        <f>'Grid_SelfBalance'!CH6+'Grid_TTAFBalance'!CH6</f>
        <v/>
      </c>
      <c r="CI6">
        <f>'Grid_SelfBalance'!CI6+'Grid_TTAFBalance'!CI6</f>
        <v/>
      </c>
      <c r="CJ6">
        <f>'Grid_SelfBalance'!CJ6+'Grid_TTAFBalance'!CJ6</f>
        <v/>
      </c>
      <c r="CK6">
        <f>'Grid_SelfBalance'!CK6+'Grid_TTAFBalance'!CK6</f>
        <v/>
      </c>
      <c r="CL6">
        <f>'Grid_SelfBalance'!CL6+'Grid_TTAFBalance'!CL6</f>
        <v/>
      </c>
      <c r="CM6">
        <f>'Grid_SelfBalance'!CM6+'Grid_TTAFBalance'!CM6</f>
        <v/>
      </c>
      <c r="CN6">
        <f>'Grid_SelfBalance'!CN6+'Grid_TTAFBalance'!CN6</f>
        <v/>
      </c>
      <c r="CO6">
        <f>'Grid_SelfBalance'!CO6+'Grid_TTAFBalance'!CO6</f>
        <v/>
      </c>
      <c r="CP6">
        <f>'Grid_SelfBalance'!CP6+'Grid_TTAFBalance'!CP6</f>
        <v/>
      </c>
      <c r="CQ6">
        <f>'Grid_SelfBalance'!CQ6+'Grid_TTAFBalance'!CQ6</f>
        <v/>
      </c>
      <c r="CR6">
        <f>'Grid_SelfBalance'!CR6+'Grid_TTAFBalance'!CR6</f>
        <v/>
      </c>
      <c r="CS6">
        <f>'Grid_SelfBalance'!CS6+'Grid_TTAFBalance'!CS6</f>
        <v/>
      </c>
      <c r="CT6">
        <f>'Grid_SelfBalance'!CT6+'Grid_TTAFBalance'!CT6</f>
        <v/>
      </c>
      <c r="CU6">
        <f>'Grid_SelfBalance'!CU6+'Grid_TTAFBalance'!CU6</f>
        <v/>
      </c>
      <c r="CV6">
        <f>'Grid_SelfBalance'!CV6+'Grid_TTAFBalance'!CV6</f>
        <v/>
      </c>
      <c r="CW6">
        <f>'Grid_SelfBalance'!CW6+'Grid_TTAFBalance'!CW6</f>
        <v/>
      </c>
      <c r="CX6">
        <f>'Grid_SelfBalance'!CX6+'Grid_TTAFBalance'!CX6</f>
        <v/>
      </c>
      <c r="CY6">
        <f>'Grid_SelfBalance'!CY6+'Grid_TTAFBalance'!CY6</f>
        <v/>
      </c>
      <c r="CZ6">
        <f>'Grid_SelfBalance'!CZ6+'Grid_TTAFBalance'!CZ6</f>
        <v/>
      </c>
      <c r="DA6">
        <f>'Grid_SelfBalance'!DA6+'Grid_TTAFBalance'!DA6</f>
        <v/>
      </c>
    </row>
    <row r="7">
      <c r="A7" t="inlineStr">
        <is>
          <t>CHEM-1540</t>
        </is>
      </c>
      <c r="B7">
        <f>'Grid_SelfBalance'!B7+'Grid_TTAFBalance'!B7</f>
        <v/>
      </c>
      <c r="C7">
        <f>'Grid_SelfBalance'!C7+'Grid_TTAFBalance'!C7</f>
        <v/>
      </c>
      <c r="D7">
        <f>'Grid_SelfBalance'!D7+'Grid_TTAFBalance'!D7</f>
        <v/>
      </c>
      <c r="E7">
        <f>'Grid_SelfBalance'!E7+'Grid_TTAFBalance'!E7</f>
        <v/>
      </c>
      <c r="F7">
        <f>'Grid_SelfBalance'!F7+'Grid_TTAFBalance'!F7</f>
        <v/>
      </c>
      <c r="G7">
        <f>'Grid_SelfBalance'!G7+'Grid_TTAFBalance'!G7</f>
        <v/>
      </c>
      <c r="H7">
        <f>'Grid_SelfBalance'!H7+'Grid_TTAFBalance'!H7</f>
        <v/>
      </c>
      <c r="I7">
        <f>'Grid_SelfBalance'!I7+'Grid_TTAFBalance'!I7</f>
        <v/>
      </c>
      <c r="J7">
        <f>'Grid_SelfBalance'!J7+'Grid_TTAFBalance'!J7</f>
        <v/>
      </c>
      <c r="K7">
        <f>'Grid_SelfBalance'!K7+'Grid_TTAFBalance'!K7</f>
        <v/>
      </c>
      <c r="L7">
        <f>'Grid_SelfBalance'!L7+'Grid_TTAFBalance'!L7</f>
        <v/>
      </c>
      <c r="M7">
        <f>'Grid_SelfBalance'!M7+'Grid_TTAFBalance'!M7</f>
        <v/>
      </c>
      <c r="N7">
        <f>'Grid_SelfBalance'!N7+'Grid_TTAFBalance'!N7</f>
        <v/>
      </c>
      <c r="O7">
        <f>'Grid_SelfBalance'!O7+'Grid_TTAFBalance'!O7</f>
        <v/>
      </c>
      <c r="P7">
        <f>'Grid_SelfBalance'!P7+'Grid_TTAFBalance'!P7</f>
        <v/>
      </c>
      <c r="Q7">
        <f>'Grid_SelfBalance'!Q7+'Grid_TTAFBalance'!Q7</f>
        <v/>
      </c>
      <c r="R7">
        <f>'Grid_SelfBalance'!R7+'Grid_TTAFBalance'!R7</f>
        <v/>
      </c>
      <c r="S7">
        <f>'Grid_SelfBalance'!S7+'Grid_TTAFBalance'!S7</f>
        <v/>
      </c>
      <c r="T7">
        <f>'Grid_SelfBalance'!T7+'Grid_TTAFBalance'!T7</f>
        <v/>
      </c>
      <c r="U7">
        <f>'Grid_SelfBalance'!U7+'Grid_TTAFBalance'!U7</f>
        <v/>
      </c>
      <c r="V7">
        <f>'Grid_SelfBalance'!V7+'Grid_TTAFBalance'!V7</f>
        <v/>
      </c>
      <c r="W7">
        <f>'Grid_SelfBalance'!W7+'Grid_TTAFBalance'!W7</f>
        <v/>
      </c>
      <c r="X7">
        <f>'Grid_SelfBalance'!X7+'Grid_TTAFBalance'!X7</f>
        <v/>
      </c>
      <c r="Y7">
        <f>'Grid_SelfBalance'!Y7+'Grid_TTAFBalance'!Y7</f>
        <v/>
      </c>
      <c r="Z7">
        <f>'Grid_SelfBalance'!Z7+'Grid_TTAFBalance'!Z7</f>
        <v/>
      </c>
      <c r="AA7">
        <f>'Grid_SelfBalance'!AA7+'Grid_TTAFBalance'!AA7</f>
        <v/>
      </c>
      <c r="AB7">
        <f>'Grid_SelfBalance'!AB7+'Grid_TTAFBalance'!AB7</f>
        <v/>
      </c>
      <c r="AC7">
        <f>'Grid_SelfBalance'!AC7+'Grid_TTAFBalance'!AC7</f>
        <v/>
      </c>
      <c r="AD7">
        <f>'Grid_SelfBalance'!AD7+'Grid_TTAFBalance'!AD7</f>
        <v/>
      </c>
      <c r="AE7">
        <f>'Grid_SelfBalance'!AE7+'Grid_TTAFBalance'!AE7</f>
        <v/>
      </c>
      <c r="AF7">
        <f>'Grid_SelfBalance'!AF7+'Grid_TTAFBalance'!AF7</f>
        <v/>
      </c>
      <c r="AG7">
        <f>'Grid_SelfBalance'!AG7+'Grid_TTAFBalance'!AG7</f>
        <v/>
      </c>
      <c r="AH7">
        <f>'Grid_SelfBalance'!AH7+'Grid_TTAFBalance'!AH7</f>
        <v/>
      </c>
      <c r="AI7">
        <f>'Grid_SelfBalance'!AI7+'Grid_TTAFBalance'!AI7</f>
        <v/>
      </c>
      <c r="AJ7">
        <f>'Grid_SelfBalance'!AJ7+'Grid_TTAFBalance'!AJ7</f>
        <v/>
      </c>
      <c r="AK7">
        <f>'Grid_SelfBalance'!AK7+'Grid_TTAFBalance'!AK7</f>
        <v/>
      </c>
      <c r="AL7">
        <f>'Grid_SelfBalance'!AL7+'Grid_TTAFBalance'!AL7</f>
        <v/>
      </c>
      <c r="AM7">
        <f>'Grid_SelfBalance'!AM7+'Grid_TTAFBalance'!AM7</f>
        <v/>
      </c>
      <c r="AN7">
        <f>'Grid_SelfBalance'!AN7+'Grid_TTAFBalance'!AN7</f>
        <v/>
      </c>
      <c r="AO7">
        <f>'Grid_SelfBalance'!AO7+'Grid_TTAFBalance'!AO7</f>
        <v/>
      </c>
      <c r="AP7">
        <f>'Grid_SelfBalance'!AP7+'Grid_TTAFBalance'!AP7</f>
        <v/>
      </c>
      <c r="AQ7">
        <f>'Grid_SelfBalance'!AQ7+'Grid_TTAFBalance'!AQ7</f>
        <v/>
      </c>
      <c r="AR7">
        <f>'Grid_SelfBalance'!AR7+'Grid_TTAFBalance'!AR7</f>
        <v/>
      </c>
      <c r="AS7">
        <f>'Grid_SelfBalance'!AS7+'Grid_TTAFBalance'!AS7</f>
        <v/>
      </c>
      <c r="AT7">
        <f>'Grid_SelfBalance'!AT7+'Grid_TTAFBalance'!AT7</f>
        <v/>
      </c>
      <c r="AU7">
        <f>'Grid_SelfBalance'!AU7+'Grid_TTAFBalance'!AU7</f>
        <v/>
      </c>
      <c r="AV7">
        <f>'Grid_SelfBalance'!AV7+'Grid_TTAFBalance'!AV7</f>
        <v/>
      </c>
      <c r="AW7">
        <f>'Grid_SelfBalance'!AW7+'Grid_TTAFBalance'!AW7</f>
        <v/>
      </c>
      <c r="AX7">
        <f>'Grid_SelfBalance'!AX7+'Grid_TTAFBalance'!AX7</f>
        <v/>
      </c>
      <c r="AY7">
        <f>'Grid_SelfBalance'!AY7+'Grid_TTAFBalance'!AY7</f>
        <v/>
      </c>
      <c r="AZ7">
        <f>'Grid_SelfBalance'!AZ7+'Grid_TTAFBalance'!AZ7</f>
        <v/>
      </c>
      <c r="BA7">
        <f>'Grid_SelfBalance'!BA7+'Grid_TTAFBalance'!BA7</f>
        <v/>
      </c>
      <c r="BB7">
        <f>'Grid_SelfBalance'!BB7+'Grid_TTAFBalance'!BB7</f>
        <v/>
      </c>
      <c r="BC7">
        <f>'Grid_SelfBalance'!BC7+'Grid_TTAFBalance'!BC7</f>
        <v/>
      </c>
      <c r="BD7">
        <f>'Grid_SelfBalance'!BD7+'Grid_TTAFBalance'!BD7</f>
        <v/>
      </c>
      <c r="BE7">
        <f>'Grid_SelfBalance'!BE7+'Grid_TTAFBalance'!BE7</f>
        <v/>
      </c>
      <c r="BF7">
        <f>'Grid_SelfBalance'!BF7+'Grid_TTAFBalance'!BF7</f>
        <v/>
      </c>
      <c r="BG7">
        <f>'Grid_SelfBalance'!BG7+'Grid_TTAFBalance'!BG7</f>
        <v/>
      </c>
      <c r="BH7">
        <f>'Grid_SelfBalance'!BH7+'Grid_TTAFBalance'!BH7</f>
        <v/>
      </c>
      <c r="BI7">
        <f>'Grid_SelfBalance'!BI7+'Grid_TTAFBalance'!BI7</f>
        <v/>
      </c>
      <c r="BJ7">
        <f>'Grid_SelfBalance'!BJ7+'Grid_TTAFBalance'!BJ7</f>
        <v/>
      </c>
      <c r="BK7">
        <f>'Grid_SelfBalance'!BK7+'Grid_TTAFBalance'!BK7</f>
        <v/>
      </c>
      <c r="BL7">
        <f>'Grid_SelfBalance'!BL7+'Grid_TTAFBalance'!BL7</f>
        <v/>
      </c>
      <c r="BM7">
        <f>'Grid_SelfBalance'!BM7+'Grid_TTAFBalance'!BM7</f>
        <v/>
      </c>
      <c r="BN7">
        <f>'Grid_SelfBalance'!BN7+'Grid_TTAFBalance'!BN7</f>
        <v/>
      </c>
      <c r="BO7">
        <f>'Grid_SelfBalance'!BO7+'Grid_TTAFBalance'!BO7</f>
        <v/>
      </c>
      <c r="BP7">
        <f>'Grid_SelfBalance'!BP7+'Grid_TTAFBalance'!BP7</f>
        <v/>
      </c>
      <c r="BQ7">
        <f>'Grid_SelfBalance'!BQ7+'Grid_TTAFBalance'!BQ7</f>
        <v/>
      </c>
      <c r="BR7">
        <f>'Grid_SelfBalance'!BR7+'Grid_TTAFBalance'!BR7</f>
        <v/>
      </c>
      <c r="BS7">
        <f>'Grid_SelfBalance'!BS7+'Grid_TTAFBalance'!BS7</f>
        <v/>
      </c>
      <c r="BT7">
        <f>'Grid_SelfBalance'!BT7+'Grid_TTAFBalance'!BT7</f>
        <v/>
      </c>
      <c r="BU7">
        <f>'Grid_SelfBalance'!BU7+'Grid_TTAFBalance'!BU7</f>
        <v/>
      </c>
      <c r="BV7">
        <f>'Grid_SelfBalance'!BV7+'Grid_TTAFBalance'!BV7</f>
        <v/>
      </c>
      <c r="BW7">
        <f>'Grid_SelfBalance'!BW7+'Grid_TTAFBalance'!BW7</f>
        <v/>
      </c>
      <c r="BX7">
        <f>'Grid_SelfBalance'!BX7+'Grid_TTAFBalance'!BX7</f>
        <v/>
      </c>
      <c r="BY7">
        <f>'Grid_SelfBalance'!BY7+'Grid_TTAFBalance'!BY7</f>
        <v/>
      </c>
      <c r="BZ7">
        <f>'Grid_SelfBalance'!BZ7+'Grid_TTAFBalance'!BZ7</f>
        <v/>
      </c>
      <c r="CA7">
        <f>'Grid_SelfBalance'!CA7+'Grid_TTAFBalance'!CA7</f>
        <v/>
      </c>
      <c r="CB7">
        <f>'Grid_SelfBalance'!CB7+'Grid_TTAFBalance'!CB7</f>
        <v/>
      </c>
      <c r="CC7">
        <f>'Grid_SelfBalance'!CC7+'Grid_TTAFBalance'!CC7</f>
        <v/>
      </c>
      <c r="CD7">
        <f>'Grid_SelfBalance'!CD7+'Grid_TTAFBalance'!CD7</f>
        <v/>
      </c>
      <c r="CE7">
        <f>'Grid_SelfBalance'!CE7+'Grid_TTAFBalance'!CE7</f>
        <v/>
      </c>
      <c r="CF7">
        <f>'Grid_SelfBalance'!CF7+'Grid_TTAFBalance'!CF7</f>
        <v/>
      </c>
      <c r="CG7">
        <f>'Grid_SelfBalance'!CG7+'Grid_TTAFBalance'!CG7</f>
        <v/>
      </c>
      <c r="CH7">
        <f>'Grid_SelfBalance'!CH7+'Grid_TTAFBalance'!CH7</f>
        <v/>
      </c>
      <c r="CI7">
        <f>'Grid_SelfBalance'!CI7+'Grid_TTAFBalance'!CI7</f>
        <v/>
      </c>
      <c r="CJ7">
        <f>'Grid_SelfBalance'!CJ7+'Grid_TTAFBalance'!CJ7</f>
        <v/>
      </c>
      <c r="CK7">
        <f>'Grid_SelfBalance'!CK7+'Grid_TTAFBalance'!CK7</f>
        <v/>
      </c>
      <c r="CL7">
        <f>'Grid_SelfBalance'!CL7+'Grid_TTAFBalance'!CL7</f>
        <v/>
      </c>
      <c r="CM7">
        <f>'Grid_SelfBalance'!CM7+'Grid_TTAFBalance'!CM7</f>
        <v/>
      </c>
      <c r="CN7">
        <f>'Grid_SelfBalance'!CN7+'Grid_TTAFBalance'!CN7</f>
        <v/>
      </c>
      <c r="CO7">
        <f>'Grid_SelfBalance'!CO7+'Grid_TTAFBalance'!CO7</f>
        <v/>
      </c>
      <c r="CP7">
        <f>'Grid_SelfBalance'!CP7+'Grid_TTAFBalance'!CP7</f>
        <v/>
      </c>
      <c r="CQ7">
        <f>'Grid_SelfBalance'!CQ7+'Grid_TTAFBalance'!CQ7</f>
        <v/>
      </c>
      <c r="CR7">
        <f>'Grid_SelfBalance'!CR7+'Grid_TTAFBalance'!CR7</f>
        <v/>
      </c>
      <c r="CS7">
        <f>'Grid_SelfBalance'!CS7+'Grid_TTAFBalance'!CS7</f>
        <v/>
      </c>
      <c r="CT7">
        <f>'Grid_SelfBalance'!CT7+'Grid_TTAFBalance'!CT7</f>
        <v/>
      </c>
      <c r="CU7">
        <f>'Grid_SelfBalance'!CU7+'Grid_TTAFBalance'!CU7</f>
        <v/>
      </c>
      <c r="CV7">
        <f>'Grid_SelfBalance'!CV7+'Grid_TTAFBalance'!CV7</f>
        <v/>
      </c>
      <c r="CW7">
        <f>'Grid_SelfBalance'!CW7+'Grid_TTAFBalance'!CW7</f>
        <v/>
      </c>
      <c r="CX7">
        <f>'Grid_SelfBalance'!CX7+'Grid_TTAFBalance'!CX7</f>
        <v/>
      </c>
      <c r="CY7">
        <f>'Grid_SelfBalance'!CY7+'Grid_TTAFBalance'!CY7</f>
        <v/>
      </c>
      <c r="CZ7">
        <f>'Grid_SelfBalance'!CZ7+'Grid_TTAFBalance'!CZ7</f>
        <v/>
      </c>
      <c r="DA7">
        <f>'Grid_SelfBalance'!DA7+'Grid_TTAFBalance'!DA7</f>
        <v/>
      </c>
    </row>
    <row r="8">
      <c r="A8" t="inlineStr">
        <is>
          <t>CHEM-1690</t>
        </is>
      </c>
      <c r="B8">
        <f>'Grid_SelfBalance'!B8+'Grid_TTAFBalance'!B8</f>
        <v/>
      </c>
      <c r="C8">
        <f>'Grid_SelfBalance'!C8+'Grid_TTAFBalance'!C8</f>
        <v/>
      </c>
      <c r="D8">
        <f>'Grid_SelfBalance'!D8+'Grid_TTAFBalance'!D8</f>
        <v/>
      </c>
      <c r="E8">
        <f>'Grid_SelfBalance'!E8+'Grid_TTAFBalance'!E8</f>
        <v/>
      </c>
      <c r="F8">
        <f>'Grid_SelfBalance'!F8+'Grid_TTAFBalance'!F8</f>
        <v/>
      </c>
      <c r="G8">
        <f>'Grid_SelfBalance'!G8+'Grid_TTAFBalance'!G8</f>
        <v/>
      </c>
      <c r="H8">
        <f>'Grid_SelfBalance'!H8+'Grid_TTAFBalance'!H8</f>
        <v/>
      </c>
      <c r="I8">
        <f>'Grid_SelfBalance'!I8+'Grid_TTAFBalance'!I8</f>
        <v/>
      </c>
      <c r="J8">
        <f>'Grid_SelfBalance'!J8+'Grid_TTAFBalance'!J8</f>
        <v/>
      </c>
      <c r="K8">
        <f>'Grid_SelfBalance'!K8+'Grid_TTAFBalance'!K8</f>
        <v/>
      </c>
      <c r="L8">
        <f>'Grid_SelfBalance'!L8+'Grid_TTAFBalance'!L8</f>
        <v/>
      </c>
      <c r="M8">
        <f>'Grid_SelfBalance'!M8+'Grid_TTAFBalance'!M8</f>
        <v/>
      </c>
      <c r="N8">
        <f>'Grid_SelfBalance'!N8+'Grid_TTAFBalance'!N8</f>
        <v/>
      </c>
      <c r="O8">
        <f>'Grid_SelfBalance'!O8+'Grid_TTAFBalance'!O8</f>
        <v/>
      </c>
      <c r="P8">
        <f>'Grid_SelfBalance'!P8+'Grid_TTAFBalance'!P8</f>
        <v/>
      </c>
      <c r="Q8">
        <f>'Grid_SelfBalance'!Q8+'Grid_TTAFBalance'!Q8</f>
        <v/>
      </c>
      <c r="R8">
        <f>'Grid_SelfBalance'!R8+'Grid_TTAFBalance'!R8</f>
        <v/>
      </c>
      <c r="S8">
        <f>'Grid_SelfBalance'!S8+'Grid_TTAFBalance'!S8</f>
        <v/>
      </c>
      <c r="T8">
        <f>'Grid_SelfBalance'!T8+'Grid_TTAFBalance'!T8</f>
        <v/>
      </c>
      <c r="U8">
        <f>'Grid_SelfBalance'!U8+'Grid_TTAFBalance'!U8</f>
        <v/>
      </c>
      <c r="V8">
        <f>'Grid_SelfBalance'!V8+'Grid_TTAFBalance'!V8</f>
        <v/>
      </c>
      <c r="W8">
        <f>'Grid_SelfBalance'!W8+'Grid_TTAFBalance'!W8</f>
        <v/>
      </c>
      <c r="X8">
        <f>'Grid_SelfBalance'!X8+'Grid_TTAFBalance'!X8</f>
        <v/>
      </c>
      <c r="Y8">
        <f>'Grid_SelfBalance'!Y8+'Grid_TTAFBalance'!Y8</f>
        <v/>
      </c>
      <c r="Z8">
        <f>'Grid_SelfBalance'!Z8+'Grid_TTAFBalance'!Z8</f>
        <v/>
      </c>
      <c r="AA8">
        <f>'Grid_SelfBalance'!AA8+'Grid_TTAFBalance'!AA8</f>
        <v/>
      </c>
      <c r="AB8">
        <f>'Grid_SelfBalance'!AB8+'Grid_TTAFBalance'!AB8</f>
        <v/>
      </c>
      <c r="AC8">
        <f>'Grid_SelfBalance'!AC8+'Grid_TTAFBalance'!AC8</f>
        <v/>
      </c>
      <c r="AD8">
        <f>'Grid_SelfBalance'!AD8+'Grid_TTAFBalance'!AD8</f>
        <v/>
      </c>
      <c r="AE8">
        <f>'Grid_SelfBalance'!AE8+'Grid_TTAFBalance'!AE8</f>
        <v/>
      </c>
      <c r="AF8">
        <f>'Grid_SelfBalance'!AF8+'Grid_TTAFBalance'!AF8</f>
        <v/>
      </c>
      <c r="AG8">
        <f>'Grid_SelfBalance'!AG8+'Grid_TTAFBalance'!AG8</f>
        <v/>
      </c>
      <c r="AH8">
        <f>'Grid_SelfBalance'!AH8+'Grid_TTAFBalance'!AH8</f>
        <v/>
      </c>
      <c r="AI8">
        <f>'Grid_SelfBalance'!AI8+'Grid_TTAFBalance'!AI8</f>
        <v/>
      </c>
      <c r="AJ8">
        <f>'Grid_SelfBalance'!AJ8+'Grid_TTAFBalance'!AJ8</f>
        <v/>
      </c>
      <c r="AK8">
        <f>'Grid_SelfBalance'!AK8+'Grid_TTAFBalance'!AK8</f>
        <v/>
      </c>
      <c r="AL8">
        <f>'Grid_SelfBalance'!AL8+'Grid_TTAFBalance'!AL8</f>
        <v/>
      </c>
      <c r="AM8">
        <f>'Grid_SelfBalance'!AM8+'Grid_TTAFBalance'!AM8</f>
        <v/>
      </c>
      <c r="AN8">
        <f>'Grid_SelfBalance'!AN8+'Grid_TTAFBalance'!AN8</f>
        <v/>
      </c>
      <c r="AO8">
        <f>'Grid_SelfBalance'!AO8+'Grid_TTAFBalance'!AO8</f>
        <v/>
      </c>
      <c r="AP8">
        <f>'Grid_SelfBalance'!AP8+'Grid_TTAFBalance'!AP8</f>
        <v/>
      </c>
      <c r="AQ8">
        <f>'Grid_SelfBalance'!AQ8+'Grid_TTAFBalance'!AQ8</f>
        <v/>
      </c>
      <c r="AR8">
        <f>'Grid_SelfBalance'!AR8+'Grid_TTAFBalance'!AR8</f>
        <v/>
      </c>
      <c r="AS8">
        <f>'Grid_SelfBalance'!AS8+'Grid_TTAFBalance'!AS8</f>
        <v/>
      </c>
      <c r="AT8">
        <f>'Grid_SelfBalance'!AT8+'Grid_TTAFBalance'!AT8</f>
        <v/>
      </c>
      <c r="AU8">
        <f>'Grid_SelfBalance'!AU8+'Grid_TTAFBalance'!AU8</f>
        <v/>
      </c>
      <c r="AV8">
        <f>'Grid_SelfBalance'!AV8+'Grid_TTAFBalance'!AV8</f>
        <v/>
      </c>
      <c r="AW8">
        <f>'Grid_SelfBalance'!AW8+'Grid_TTAFBalance'!AW8</f>
        <v/>
      </c>
      <c r="AX8">
        <f>'Grid_SelfBalance'!AX8+'Grid_TTAFBalance'!AX8</f>
        <v/>
      </c>
      <c r="AY8">
        <f>'Grid_SelfBalance'!AY8+'Grid_TTAFBalance'!AY8</f>
        <v/>
      </c>
      <c r="AZ8">
        <f>'Grid_SelfBalance'!AZ8+'Grid_TTAFBalance'!AZ8</f>
        <v/>
      </c>
      <c r="BA8">
        <f>'Grid_SelfBalance'!BA8+'Grid_TTAFBalance'!BA8</f>
        <v/>
      </c>
      <c r="BB8">
        <f>'Grid_SelfBalance'!BB8+'Grid_TTAFBalance'!BB8</f>
        <v/>
      </c>
      <c r="BC8">
        <f>'Grid_SelfBalance'!BC8+'Grid_TTAFBalance'!BC8</f>
        <v/>
      </c>
      <c r="BD8">
        <f>'Grid_SelfBalance'!BD8+'Grid_TTAFBalance'!BD8</f>
        <v/>
      </c>
      <c r="BE8">
        <f>'Grid_SelfBalance'!BE8+'Grid_TTAFBalance'!BE8</f>
        <v/>
      </c>
      <c r="BF8">
        <f>'Grid_SelfBalance'!BF8+'Grid_TTAFBalance'!BF8</f>
        <v/>
      </c>
      <c r="BG8">
        <f>'Grid_SelfBalance'!BG8+'Grid_TTAFBalance'!BG8</f>
        <v/>
      </c>
      <c r="BH8">
        <f>'Grid_SelfBalance'!BH8+'Grid_TTAFBalance'!BH8</f>
        <v/>
      </c>
      <c r="BI8">
        <f>'Grid_SelfBalance'!BI8+'Grid_TTAFBalance'!BI8</f>
        <v/>
      </c>
      <c r="BJ8">
        <f>'Grid_SelfBalance'!BJ8+'Grid_TTAFBalance'!BJ8</f>
        <v/>
      </c>
      <c r="BK8">
        <f>'Grid_SelfBalance'!BK8+'Grid_TTAFBalance'!BK8</f>
        <v/>
      </c>
      <c r="BL8">
        <f>'Grid_SelfBalance'!BL8+'Grid_TTAFBalance'!BL8</f>
        <v/>
      </c>
      <c r="BM8">
        <f>'Grid_SelfBalance'!BM8+'Grid_TTAFBalance'!BM8</f>
        <v/>
      </c>
      <c r="BN8">
        <f>'Grid_SelfBalance'!BN8+'Grid_TTAFBalance'!BN8</f>
        <v/>
      </c>
      <c r="BO8">
        <f>'Grid_SelfBalance'!BO8+'Grid_TTAFBalance'!BO8</f>
        <v/>
      </c>
      <c r="BP8">
        <f>'Grid_SelfBalance'!BP8+'Grid_TTAFBalance'!BP8</f>
        <v/>
      </c>
      <c r="BQ8">
        <f>'Grid_SelfBalance'!BQ8+'Grid_TTAFBalance'!BQ8</f>
        <v/>
      </c>
      <c r="BR8">
        <f>'Grid_SelfBalance'!BR8+'Grid_TTAFBalance'!BR8</f>
        <v/>
      </c>
      <c r="BS8">
        <f>'Grid_SelfBalance'!BS8+'Grid_TTAFBalance'!BS8</f>
        <v/>
      </c>
      <c r="BT8">
        <f>'Grid_SelfBalance'!BT8+'Grid_TTAFBalance'!BT8</f>
        <v/>
      </c>
      <c r="BU8">
        <f>'Grid_SelfBalance'!BU8+'Grid_TTAFBalance'!BU8</f>
        <v/>
      </c>
      <c r="BV8">
        <f>'Grid_SelfBalance'!BV8+'Grid_TTAFBalance'!BV8</f>
        <v/>
      </c>
      <c r="BW8">
        <f>'Grid_SelfBalance'!BW8+'Grid_TTAFBalance'!BW8</f>
        <v/>
      </c>
      <c r="BX8">
        <f>'Grid_SelfBalance'!BX8+'Grid_TTAFBalance'!BX8</f>
        <v/>
      </c>
      <c r="BY8">
        <f>'Grid_SelfBalance'!BY8+'Grid_TTAFBalance'!BY8</f>
        <v/>
      </c>
      <c r="BZ8">
        <f>'Grid_SelfBalance'!BZ8+'Grid_TTAFBalance'!BZ8</f>
        <v/>
      </c>
      <c r="CA8">
        <f>'Grid_SelfBalance'!CA8+'Grid_TTAFBalance'!CA8</f>
        <v/>
      </c>
      <c r="CB8">
        <f>'Grid_SelfBalance'!CB8+'Grid_TTAFBalance'!CB8</f>
        <v/>
      </c>
      <c r="CC8">
        <f>'Grid_SelfBalance'!CC8+'Grid_TTAFBalance'!CC8</f>
        <v/>
      </c>
      <c r="CD8">
        <f>'Grid_SelfBalance'!CD8+'Grid_TTAFBalance'!CD8</f>
        <v/>
      </c>
      <c r="CE8">
        <f>'Grid_SelfBalance'!CE8+'Grid_TTAFBalance'!CE8</f>
        <v/>
      </c>
      <c r="CF8">
        <f>'Grid_SelfBalance'!CF8+'Grid_TTAFBalance'!CF8</f>
        <v/>
      </c>
      <c r="CG8">
        <f>'Grid_SelfBalance'!CG8+'Grid_TTAFBalance'!CG8</f>
        <v/>
      </c>
      <c r="CH8">
        <f>'Grid_SelfBalance'!CH8+'Grid_TTAFBalance'!CH8</f>
        <v/>
      </c>
      <c r="CI8">
        <f>'Grid_SelfBalance'!CI8+'Grid_TTAFBalance'!CI8</f>
        <v/>
      </c>
      <c r="CJ8">
        <f>'Grid_SelfBalance'!CJ8+'Grid_TTAFBalance'!CJ8</f>
        <v/>
      </c>
      <c r="CK8">
        <f>'Grid_SelfBalance'!CK8+'Grid_TTAFBalance'!CK8</f>
        <v/>
      </c>
      <c r="CL8">
        <f>'Grid_SelfBalance'!CL8+'Grid_TTAFBalance'!CL8</f>
        <v/>
      </c>
      <c r="CM8">
        <f>'Grid_SelfBalance'!CM8+'Grid_TTAFBalance'!CM8</f>
        <v/>
      </c>
      <c r="CN8">
        <f>'Grid_SelfBalance'!CN8+'Grid_TTAFBalance'!CN8</f>
        <v/>
      </c>
      <c r="CO8">
        <f>'Grid_SelfBalance'!CO8+'Grid_TTAFBalance'!CO8</f>
        <v/>
      </c>
      <c r="CP8">
        <f>'Grid_SelfBalance'!CP8+'Grid_TTAFBalance'!CP8</f>
        <v/>
      </c>
      <c r="CQ8">
        <f>'Grid_SelfBalance'!CQ8+'Grid_TTAFBalance'!CQ8</f>
        <v/>
      </c>
      <c r="CR8">
        <f>'Grid_SelfBalance'!CR8+'Grid_TTAFBalance'!CR8</f>
        <v/>
      </c>
      <c r="CS8">
        <f>'Grid_SelfBalance'!CS8+'Grid_TTAFBalance'!CS8</f>
        <v/>
      </c>
      <c r="CT8">
        <f>'Grid_SelfBalance'!CT8+'Grid_TTAFBalance'!CT8</f>
        <v/>
      </c>
      <c r="CU8">
        <f>'Grid_SelfBalance'!CU8+'Grid_TTAFBalance'!CU8</f>
        <v/>
      </c>
      <c r="CV8">
        <f>'Grid_SelfBalance'!CV8+'Grid_TTAFBalance'!CV8</f>
        <v/>
      </c>
      <c r="CW8">
        <f>'Grid_SelfBalance'!CW8+'Grid_TTAFBalance'!CW8</f>
        <v/>
      </c>
      <c r="CX8">
        <f>'Grid_SelfBalance'!CX8+'Grid_TTAFBalance'!CX8</f>
        <v/>
      </c>
      <c r="CY8">
        <f>'Grid_SelfBalance'!CY8+'Grid_TTAFBalance'!CY8</f>
        <v/>
      </c>
      <c r="CZ8">
        <f>'Grid_SelfBalance'!CZ8+'Grid_TTAFBalance'!CZ8</f>
        <v/>
      </c>
      <c r="DA8">
        <f>'Grid_SelfBalance'!DA8+'Grid_TTAFBalance'!DA8</f>
        <v/>
      </c>
    </row>
    <row r="9">
      <c r="A9" t="inlineStr">
        <is>
          <t>CHEM-1720</t>
        </is>
      </c>
      <c r="B9">
        <f>'Grid_SelfBalance'!B9+'Grid_TTAFBalance'!B9</f>
        <v/>
      </c>
      <c r="C9">
        <f>'Grid_SelfBalance'!C9+'Grid_TTAFBalance'!C9</f>
        <v/>
      </c>
      <c r="D9">
        <f>'Grid_SelfBalance'!D9+'Grid_TTAFBalance'!D9</f>
        <v/>
      </c>
      <c r="E9">
        <f>'Grid_SelfBalance'!E9+'Grid_TTAFBalance'!E9</f>
        <v/>
      </c>
      <c r="F9">
        <f>'Grid_SelfBalance'!F9+'Grid_TTAFBalance'!F9</f>
        <v/>
      </c>
      <c r="G9">
        <f>'Grid_SelfBalance'!G9+'Grid_TTAFBalance'!G9</f>
        <v/>
      </c>
      <c r="H9">
        <f>'Grid_SelfBalance'!H9+'Grid_TTAFBalance'!H9</f>
        <v/>
      </c>
      <c r="I9">
        <f>'Grid_SelfBalance'!I9+'Grid_TTAFBalance'!I9</f>
        <v/>
      </c>
      <c r="J9">
        <f>'Grid_SelfBalance'!J9+'Grid_TTAFBalance'!J9</f>
        <v/>
      </c>
      <c r="K9">
        <f>'Grid_SelfBalance'!K9+'Grid_TTAFBalance'!K9</f>
        <v/>
      </c>
      <c r="L9">
        <f>'Grid_SelfBalance'!L9+'Grid_TTAFBalance'!L9</f>
        <v/>
      </c>
      <c r="M9">
        <f>'Grid_SelfBalance'!M9+'Grid_TTAFBalance'!M9</f>
        <v/>
      </c>
      <c r="N9">
        <f>'Grid_SelfBalance'!N9+'Grid_TTAFBalance'!N9</f>
        <v/>
      </c>
      <c r="O9">
        <f>'Grid_SelfBalance'!O9+'Grid_TTAFBalance'!O9</f>
        <v/>
      </c>
      <c r="P9">
        <f>'Grid_SelfBalance'!P9+'Grid_TTAFBalance'!P9</f>
        <v/>
      </c>
      <c r="Q9">
        <f>'Grid_SelfBalance'!Q9+'Grid_TTAFBalance'!Q9</f>
        <v/>
      </c>
      <c r="R9">
        <f>'Grid_SelfBalance'!R9+'Grid_TTAFBalance'!R9</f>
        <v/>
      </c>
      <c r="S9">
        <f>'Grid_SelfBalance'!S9+'Grid_TTAFBalance'!S9</f>
        <v/>
      </c>
      <c r="T9">
        <f>'Grid_SelfBalance'!T9+'Grid_TTAFBalance'!T9</f>
        <v/>
      </c>
      <c r="U9">
        <f>'Grid_SelfBalance'!U9+'Grid_TTAFBalance'!U9</f>
        <v/>
      </c>
      <c r="V9">
        <f>'Grid_SelfBalance'!V9+'Grid_TTAFBalance'!V9</f>
        <v/>
      </c>
      <c r="W9">
        <f>'Grid_SelfBalance'!W9+'Grid_TTAFBalance'!W9</f>
        <v/>
      </c>
      <c r="X9">
        <f>'Grid_SelfBalance'!X9+'Grid_TTAFBalance'!X9</f>
        <v/>
      </c>
      <c r="Y9">
        <f>'Grid_SelfBalance'!Y9+'Grid_TTAFBalance'!Y9</f>
        <v/>
      </c>
      <c r="Z9">
        <f>'Grid_SelfBalance'!Z9+'Grid_TTAFBalance'!Z9</f>
        <v/>
      </c>
      <c r="AA9">
        <f>'Grid_SelfBalance'!AA9+'Grid_TTAFBalance'!AA9</f>
        <v/>
      </c>
      <c r="AB9">
        <f>'Grid_SelfBalance'!AB9+'Grid_TTAFBalance'!AB9</f>
        <v/>
      </c>
      <c r="AC9">
        <f>'Grid_SelfBalance'!AC9+'Grid_TTAFBalance'!AC9</f>
        <v/>
      </c>
      <c r="AD9">
        <f>'Grid_SelfBalance'!AD9+'Grid_TTAFBalance'!AD9</f>
        <v/>
      </c>
      <c r="AE9">
        <f>'Grid_SelfBalance'!AE9+'Grid_TTAFBalance'!AE9</f>
        <v/>
      </c>
      <c r="AF9">
        <f>'Grid_SelfBalance'!AF9+'Grid_TTAFBalance'!AF9</f>
        <v/>
      </c>
      <c r="AG9">
        <f>'Grid_SelfBalance'!AG9+'Grid_TTAFBalance'!AG9</f>
        <v/>
      </c>
      <c r="AH9">
        <f>'Grid_SelfBalance'!AH9+'Grid_TTAFBalance'!AH9</f>
        <v/>
      </c>
      <c r="AI9">
        <f>'Grid_SelfBalance'!AI9+'Grid_TTAFBalance'!AI9</f>
        <v/>
      </c>
      <c r="AJ9">
        <f>'Grid_SelfBalance'!AJ9+'Grid_TTAFBalance'!AJ9</f>
        <v/>
      </c>
      <c r="AK9">
        <f>'Grid_SelfBalance'!AK9+'Grid_TTAFBalance'!AK9</f>
        <v/>
      </c>
      <c r="AL9">
        <f>'Grid_SelfBalance'!AL9+'Grid_TTAFBalance'!AL9</f>
        <v/>
      </c>
      <c r="AM9">
        <f>'Grid_SelfBalance'!AM9+'Grid_TTAFBalance'!AM9</f>
        <v/>
      </c>
      <c r="AN9">
        <f>'Grid_SelfBalance'!AN9+'Grid_TTAFBalance'!AN9</f>
        <v/>
      </c>
      <c r="AO9">
        <f>'Grid_SelfBalance'!AO9+'Grid_TTAFBalance'!AO9</f>
        <v/>
      </c>
      <c r="AP9">
        <f>'Grid_SelfBalance'!AP9+'Grid_TTAFBalance'!AP9</f>
        <v/>
      </c>
      <c r="AQ9">
        <f>'Grid_SelfBalance'!AQ9+'Grid_TTAFBalance'!AQ9</f>
        <v/>
      </c>
      <c r="AR9">
        <f>'Grid_SelfBalance'!AR9+'Grid_TTAFBalance'!AR9</f>
        <v/>
      </c>
      <c r="AS9">
        <f>'Grid_SelfBalance'!AS9+'Grid_TTAFBalance'!AS9</f>
        <v/>
      </c>
      <c r="AT9">
        <f>'Grid_SelfBalance'!AT9+'Grid_TTAFBalance'!AT9</f>
        <v/>
      </c>
      <c r="AU9">
        <f>'Grid_SelfBalance'!AU9+'Grid_TTAFBalance'!AU9</f>
        <v/>
      </c>
      <c r="AV9">
        <f>'Grid_SelfBalance'!AV9+'Grid_TTAFBalance'!AV9</f>
        <v/>
      </c>
      <c r="AW9">
        <f>'Grid_SelfBalance'!AW9+'Grid_TTAFBalance'!AW9</f>
        <v/>
      </c>
      <c r="AX9">
        <f>'Grid_SelfBalance'!AX9+'Grid_TTAFBalance'!AX9</f>
        <v/>
      </c>
      <c r="AY9">
        <f>'Grid_SelfBalance'!AY9+'Grid_TTAFBalance'!AY9</f>
        <v/>
      </c>
      <c r="AZ9">
        <f>'Grid_SelfBalance'!AZ9+'Grid_TTAFBalance'!AZ9</f>
        <v/>
      </c>
      <c r="BA9">
        <f>'Grid_SelfBalance'!BA9+'Grid_TTAFBalance'!BA9</f>
        <v/>
      </c>
      <c r="BB9">
        <f>'Grid_SelfBalance'!BB9+'Grid_TTAFBalance'!BB9</f>
        <v/>
      </c>
      <c r="BC9">
        <f>'Grid_SelfBalance'!BC9+'Grid_TTAFBalance'!BC9</f>
        <v/>
      </c>
      <c r="BD9">
        <f>'Grid_SelfBalance'!BD9+'Grid_TTAFBalance'!BD9</f>
        <v/>
      </c>
      <c r="BE9">
        <f>'Grid_SelfBalance'!BE9+'Grid_TTAFBalance'!BE9</f>
        <v/>
      </c>
      <c r="BF9">
        <f>'Grid_SelfBalance'!BF9+'Grid_TTAFBalance'!BF9</f>
        <v/>
      </c>
      <c r="BG9">
        <f>'Grid_SelfBalance'!BG9+'Grid_TTAFBalance'!BG9</f>
        <v/>
      </c>
      <c r="BH9">
        <f>'Grid_SelfBalance'!BH9+'Grid_TTAFBalance'!BH9</f>
        <v/>
      </c>
      <c r="BI9">
        <f>'Grid_SelfBalance'!BI9+'Grid_TTAFBalance'!BI9</f>
        <v/>
      </c>
      <c r="BJ9">
        <f>'Grid_SelfBalance'!BJ9+'Grid_TTAFBalance'!BJ9</f>
        <v/>
      </c>
      <c r="BK9">
        <f>'Grid_SelfBalance'!BK9+'Grid_TTAFBalance'!BK9</f>
        <v/>
      </c>
      <c r="BL9">
        <f>'Grid_SelfBalance'!BL9+'Grid_TTAFBalance'!BL9</f>
        <v/>
      </c>
      <c r="BM9">
        <f>'Grid_SelfBalance'!BM9+'Grid_TTAFBalance'!BM9</f>
        <v/>
      </c>
      <c r="BN9">
        <f>'Grid_SelfBalance'!BN9+'Grid_TTAFBalance'!BN9</f>
        <v/>
      </c>
      <c r="BO9">
        <f>'Grid_SelfBalance'!BO9+'Grid_TTAFBalance'!BO9</f>
        <v/>
      </c>
      <c r="BP9">
        <f>'Grid_SelfBalance'!BP9+'Grid_TTAFBalance'!BP9</f>
        <v/>
      </c>
      <c r="BQ9">
        <f>'Grid_SelfBalance'!BQ9+'Grid_TTAFBalance'!BQ9</f>
        <v/>
      </c>
      <c r="BR9">
        <f>'Grid_SelfBalance'!BR9+'Grid_TTAFBalance'!BR9</f>
        <v/>
      </c>
      <c r="BS9">
        <f>'Grid_SelfBalance'!BS9+'Grid_TTAFBalance'!BS9</f>
        <v/>
      </c>
      <c r="BT9">
        <f>'Grid_SelfBalance'!BT9+'Grid_TTAFBalance'!BT9</f>
        <v/>
      </c>
      <c r="BU9">
        <f>'Grid_SelfBalance'!BU9+'Grid_TTAFBalance'!BU9</f>
        <v/>
      </c>
      <c r="BV9">
        <f>'Grid_SelfBalance'!BV9+'Grid_TTAFBalance'!BV9</f>
        <v/>
      </c>
      <c r="BW9">
        <f>'Grid_SelfBalance'!BW9+'Grid_TTAFBalance'!BW9</f>
        <v/>
      </c>
      <c r="BX9">
        <f>'Grid_SelfBalance'!BX9+'Grid_TTAFBalance'!BX9</f>
        <v/>
      </c>
      <c r="BY9">
        <f>'Grid_SelfBalance'!BY9+'Grid_TTAFBalance'!BY9</f>
        <v/>
      </c>
      <c r="BZ9">
        <f>'Grid_SelfBalance'!BZ9+'Grid_TTAFBalance'!BZ9</f>
        <v/>
      </c>
      <c r="CA9">
        <f>'Grid_SelfBalance'!CA9+'Grid_TTAFBalance'!CA9</f>
        <v/>
      </c>
      <c r="CB9">
        <f>'Grid_SelfBalance'!CB9+'Grid_TTAFBalance'!CB9</f>
        <v/>
      </c>
      <c r="CC9">
        <f>'Grid_SelfBalance'!CC9+'Grid_TTAFBalance'!CC9</f>
        <v/>
      </c>
      <c r="CD9">
        <f>'Grid_SelfBalance'!CD9+'Grid_TTAFBalance'!CD9</f>
        <v/>
      </c>
      <c r="CE9">
        <f>'Grid_SelfBalance'!CE9+'Grid_TTAFBalance'!CE9</f>
        <v/>
      </c>
      <c r="CF9">
        <f>'Grid_SelfBalance'!CF9+'Grid_TTAFBalance'!CF9</f>
        <v/>
      </c>
      <c r="CG9">
        <f>'Grid_SelfBalance'!CG9+'Grid_TTAFBalance'!CG9</f>
        <v/>
      </c>
      <c r="CH9">
        <f>'Grid_SelfBalance'!CH9+'Grid_TTAFBalance'!CH9</f>
        <v/>
      </c>
      <c r="CI9">
        <f>'Grid_SelfBalance'!CI9+'Grid_TTAFBalance'!CI9</f>
        <v/>
      </c>
      <c r="CJ9">
        <f>'Grid_SelfBalance'!CJ9+'Grid_TTAFBalance'!CJ9</f>
        <v/>
      </c>
      <c r="CK9">
        <f>'Grid_SelfBalance'!CK9+'Grid_TTAFBalance'!CK9</f>
        <v/>
      </c>
      <c r="CL9">
        <f>'Grid_SelfBalance'!CL9+'Grid_TTAFBalance'!CL9</f>
        <v/>
      </c>
      <c r="CM9">
        <f>'Grid_SelfBalance'!CM9+'Grid_TTAFBalance'!CM9</f>
        <v/>
      </c>
      <c r="CN9">
        <f>'Grid_SelfBalance'!CN9+'Grid_TTAFBalance'!CN9</f>
        <v/>
      </c>
      <c r="CO9">
        <f>'Grid_SelfBalance'!CO9+'Grid_TTAFBalance'!CO9</f>
        <v/>
      </c>
      <c r="CP9">
        <f>'Grid_SelfBalance'!CP9+'Grid_TTAFBalance'!CP9</f>
        <v/>
      </c>
      <c r="CQ9">
        <f>'Grid_SelfBalance'!CQ9+'Grid_TTAFBalance'!CQ9</f>
        <v/>
      </c>
      <c r="CR9">
        <f>'Grid_SelfBalance'!CR9+'Grid_TTAFBalance'!CR9</f>
        <v/>
      </c>
      <c r="CS9">
        <f>'Grid_SelfBalance'!CS9+'Grid_TTAFBalance'!CS9</f>
        <v/>
      </c>
      <c r="CT9">
        <f>'Grid_SelfBalance'!CT9+'Grid_TTAFBalance'!CT9</f>
        <v/>
      </c>
      <c r="CU9">
        <f>'Grid_SelfBalance'!CU9+'Grid_TTAFBalance'!CU9</f>
        <v/>
      </c>
      <c r="CV9">
        <f>'Grid_SelfBalance'!CV9+'Grid_TTAFBalance'!CV9</f>
        <v/>
      </c>
      <c r="CW9">
        <f>'Grid_SelfBalance'!CW9+'Grid_TTAFBalance'!CW9</f>
        <v/>
      </c>
      <c r="CX9">
        <f>'Grid_SelfBalance'!CX9+'Grid_TTAFBalance'!CX9</f>
        <v/>
      </c>
      <c r="CY9">
        <f>'Grid_SelfBalance'!CY9+'Grid_TTAFBalance'!CY9</f>
        <v/>
      </c>
      <c r="CZ9">
        <f>'Grid_SelfBalance'!CZ9+'Grid_TTAFBalance'!CZ9</f>
        <v/>
      </c>
      <c r="DA9">
        <f>'Grid_SelfBalance'!DA9+'Grid_TTAFBalance'!DA9</f>
        <v/>
      </c>
    </row>
    <row r="10">
      <c r="A10" t="inlineStr">
        <is>
          <t>CHEM-1440</t>
        </is>
      </c>
      <c r="B10">
        <f>'Grid_SelfBalance'!B10+'Grid_TTAFBalance'!B10</f>
        <v/>
      </c>
      <c r="C10">
        <f>'Grid_SelfBalance'!C10+'Grid_TTAFBalance'!C10</f>
        <v/>
      </c>
      <c r="D10">
        <f>'Grid_SelfBalance'!D10+'Grid_TTAFBalance'!D10</f>
        <v/>
      </c>
      <c r="E10">
        <f>'Grid_SelfBalance'!E10+'Grid_TTAFBalance'!E10</f>
        <v/>
      </c>
      <c r="F10">
        <f>'Grid_SelfBalance'!F10+'Grid_TTAFBalance'!F10</f>
        <v/>
      </c>
      <c r="G10">
        <f>'Grid_SelfBalance'!G10+'Grid_TTAFBalance'!G10</f>
        <v/>
      </c>
      <c r="H10">
        <f>'Grid_SelfBalance'!H10+'Grid_TTAFBalance'!H10</f>
        <v/>
      </c>
      <c r="I10">
        <f>'Grid_SelfBalance'!I10+'Grid_TTAFBalance'!I10</f>
        <v/>
      </c>
      <c r="J10">
        <f>'Grid_SelfBalance'!J10+'Grid_TTAFBalance'!J10</f>
        <v/>
      </c>
      <c r="K10">
        <f>'Grid_SelfBalance'!K10+'Grid_TTAFBalance'!K10</f>
        <v/>
      </c>
      <c r="L10">
        <f>'Grid_SelfBalance'!L10+'Grid_TTAFBalance'!L10</f>
        <v/>
      </c>
      <c r="M10">
        <f>'Grid_SelfBalance'!M10+'Grid_TTAFBalance'!M10</f>
        <v/>
      </c>
      <c r="N10">
        <f>'Grid_SelfBalance'!N10+'Grid_TTAFBalance'!N10</f>
        <v/>
      </c>
      <c r="O10">
        <f>'Grid_SelfBalance'!O10+'Grid_TTAFBalance'!O10</f>
        <v/>
      </c>
      <c r="P10">
        <f>'Grid_SelfBalance'!P10+'Grid_TTAFBalance'!P10</f>
        <v/>
      </c>
      <c r="Q10">
        <f>'Grid_SelfBalance'!Q10+'Grid_TTAFBalance'!Q10</f>
        <v/>
      </c>
      <c r="R10">
        <f>'Grid_SelfBalance'!R10+'Grid_TTAFBalance'!R10</f>
        <v/>
      </c>
      <c r="S10">
        <f>'Grid_SelfBalance'!S10+'Grid_TTAFBalance'!S10</f>
        <v/>
      </c>
      <c r="T10">
        <f>'Grid_SelfBalance'!T10+'Grid_TTAFBalance'!T10</f>
        <v/>
      </c>
      <c r="U10">
        <f>'Grid_SelfBalance'!U10+'Grid_TTAFBalance'!U10</f>
        <v/>
      </c>
      <c r="V10">
        <f>'Grid_SelfBalance'!V10+'Grid_TTAFBalance'!V10</f>
        <v/>
      </c>
      <c r="W10">
        <f>'Grid_SelfBalance'!W10+'Grid_TTAFBalance'!W10</f>
        <v/>
      </c>
      <c r="X10">
        <f>'Grid_SelfBalance'!X10+'Grid_TTAFBalance'!X10</f>
        <v/>
      </c>
      <c r="Y10">
        <f>'Grid_SelfBalance'!Y10+'Grid_TTAFBalance'!Y10</f>
        <v/>
      </c>
      <c r="Z10">
        <f>'Grid_SelfBalance'!Z10+'Grid_TTAFBalance'!Z10</f>
        <v/>
      </c>
      <c r="AA10">
        <f>'Grid_SelfBalance'!AA10+'Grid_TTAFBalance'!AA10</f>
        <v/>
      </c>
      <c r="AB10">
        <f>'Grid_SelfBalance'!AB10+'Grid_TTAFBalance'!AB10</f>
        <v/>
      </c>
      <c r="AC10">
        <f>'Grid_SelfBalance'!AC10+'Grid_TTAFBalance'!AC10</f>
        <v/>
      </c>
      <c r="AD10">
        <f>'Grid_SelfBalance'!AD10+'Grid_TTAFBalance'!AD10</f>
        <v/>
      </c>
      <c r="AE10">
        <f>'Grid_SelfBalance'!AE10+'Grid_TTAFBalance'!AE10</f>
        <v/>
      </c>
      <c r="AF10">
        <f>'Grid_SelfBalance'!AF10+'Grid_TTAFBalance'!AF10</f>
        <v/>
      </c>
      <c r="AG10">
        <f>'Grid_SelfBalance'!AG10+'Grid_TTAFBalance'!AG10</f>
        <v/>
      </c>
      <c r="AH10">
        <f>'Grid_SelfBalance'!AH10+'Grid_TTAFBalance'!AH10</f>
        <v/>
      </c>
      <c r="AI10">
        <f>'Grid_SelfBalance'!AI10+'Grid_TTAFBalance'!AI10</f>
        <v/>
      </c>
      <c r="AJ10">
        <f>'Grid_SelfBalance'!AJ10+'Grid_TTAFBalance'!AJ10</f>
        <v/>
      </c>
      <c r="AK10">
        <f>'Grid_SelfBalance'!AK10+'Grid_TTAFBalance'!AK10</f>
        <v/>
      </c>
      <c r="AL10">
        <f>'Grid_SelfBalance'!AL10+'Grid_TTAFBalance'!AL10</f>
        <v/>
      </c>
      <c r="AM10">
        <f>'Grid_SelfBalance'!AM10+'Grid_TTAFBalance'!AM10</f>
        <v/>
      </c>
      <c r="AN10">
        <f>'Grid_SelfBalance'!AN10+'Grid_TTAFBalance'!AN10</f>
        <v/>
      </c>
      <c r="AO10">
        <f>'Grid_SelfBalance'!AO10+'Grid_TTAFBalance'!AO10</f>
        <v/>
      </c>
      <c r="AP10">
        <f>'Grid_SelfBalance'!AP10+'Grid_TTAFBalance'!AP10</f>
        <v/>
      </c>
      <c r="AQ10">
        <f>'Grid_SelfBalance'!AQ10+'Grid_TTAFBalance'!AQ10</f>
        <v/>
      </c>
      <c r="AR10">
        <f>'Grid_SelfBalance'!AR10+'Grid_TTAFBalance'!AR10</f>
        <v/>
      </c>
      <c r="AS10">
        <f>'Grid_SelfBalance'!AS10+'Grid_TTAFBalance'!AS10</f>
        <v/>
      </c>
      <c r="AT10">
        <f>'Grid_SelfBalance'!AT10+'Grid_TTAFBalance'!AT10</f>
        <v/>
      </c>
      <c r="AU10">
        <f>'Grid_SelfBalance'!AU10+'Grid_TTAFBalance'!AU10</f>
        <v/>
      </c>
      <c r="AV10">
        <f>'Grid_SelfBalance'!AV10+'Grid_TTAFBalance'!AV10</f>
        <v/>
      </c>
      <c r="AW10">
        <f>'Grid_SelfBalance'!AW10+'Grid_TTAFBalance'!AW10</f>
        <v/>
      </c>
      <c r="AX10">
        <f>'Grid_SelfBalance'!AX10+'Grid_TTAFBalance'!AX10</f>
        <v/>
      </c>
      <c r="AY10">
        <f>'Grid_SelfBalance'!AY10+'Grid_TTAFBalance'!AY10</f>
        <v/>
      </c>
      <c r="AZ10">
        <f>'Grid_SelfBalance'!AZ10+'Grid_TTAFBalance'!AZ10</f>
        <v/>
      </c>
      <c r="BA10">
        <f>'Grid_SelfBalance'!BA10+'Grid_TTAFBalance'!BA10</f>
        <v/>
      </c>
      <c r="BB10">
        <f>'Grid_SelfBalance'!BB10+'Grid_TTAFBalance'!BB10</f>
        <v/>
      </c>
      <c r="BC10">
        <f>'Grid_SelfBalance'!BC10+'Grid_TTAFBalance'!BC10</f>
        <v/>
      </c>
      <c r="BD10">
        <f>'Grid_SelfBalance'!BD10+'Grid_TTAFBalance'!BD10</f>
        <v/>
      </c>
      <c r="BE10">
        <f>'Grid_SelfBalance'!BE10+'Grid_TTAFBalance'!BE10</f>
        <v/>
      </c>
      <c r="BF10">
        <f>'Grid_SelfBalance'!BF10+'Grid_TTAFBalance'!BF10</f>
        <v/>
      </c>
      <c r="BG10">
        <f>'Grid_SelfBalance'!BG10+'Grid_TTAFBalance'!BG10</f>
        <v/>
      </c>
      <c r="BH10">
        <f>'Grid_SelfBalance'!BH10+'Grid_TTAFBalance'!BH10</f>
        <v/>
      </c>
      <c r="BI10">
        <f>'Grid_SelfBalance'!BI10+'Grid_TTAFBalance'!BI10</f>
        <v/>
      </c>
      <c r="BJ10">
        <f>'Grid_SelfBalance'!BJ10+'Grid_TTAFBalance'!BJ10</f>
        <v/>
      </c>
      <c r="BK10">
        <f>'Grid_SelfBalance'!BK10+'Grid_TTAFBalance'!BK10</f>
        <v/>
      </c>
      <c r="BL10">
        <f>'Grid_SelfBalance'!BL10+'Grid_TTAFBalance'!BL10</f>
        <v/>
      </c>
      <c r="BM10">
        <f>'Grid_SelfBalance'!BM10+'Grid_TTAFBalance'!BM10</f>
        <v/>
      </c>
      <c r="BN10">
        <f>'Grid_SelfBalance'!BN10+'Grid_TTAFBalance'!BN10</f>
        <v/>
      </c>
      <c r="BO10">
        <f>'Grid_SelfBalance'!BO10+'Grid_TTAFBalance'!BO10</f>
        <v/>
      </c>
      <c r="BP10">
        <f>'Grid_SelfBalance'!BP10+'Grid_TTAFBalance'!BP10</f>
        <v/>
      </c>
      <c r="BQ10">
        <f>'Grid_SelfBalance'!BQ10+'Grid_TTAFBalance'!BQ10</f>
        <v/>
      </c>
      <c r="BR10">
        <f>'Grid_SelfBalance'!BR10+'Grid_TTAFBalance'!BR10</f>
        <v/>
      </c>
      <c r="BS10">
        <f>'Grid_SelfBalance'!BS10+'Grid_TTAFBalance'!BS10</f>
        <v/>
      </c>
      <c r="BT10">
        <f>'Grid_SelfBalance'!BT10+'Grid_TTAFBalance'!BT10</f>
        <v/>
      </c>
      <c r="BU10">
        <f>'Grid_SelfBalance'!BU10+'Grid_TTAFBalance'!BU10</f>
        <v/>
      </c>
      <c r="BV10">
        <f>'Grid_SelfBalance'!BV10+'Grid_TTAFBalance'!BV10</f>
        <v/>
      </c>
      <c r="BW10">
        <f>'Grid_SelfBalance'!BW10+'Grid_TTAFBalance'!BW10</f>
        <v/>
      </c>
      <c r="BX10">
        <f>'Grid_SelfBalance'!BX10+'Grid_TTAFBalance'!BX10</f>
        <v/>
      </c>
      <c r="BY10">
        <f>'Grid_SelfBalance'!BY10+'Grid_TTAFBalance'!BY10</f>
        <v/>
      </c>
      <c r="BZ10">
        <f>'Grid_SelfBalance'!BZ10+'Grid_TTAFBalance'!BZ10</f>
        <v/>
      </c>
      <c r="CA10">
        <f>'Grid_SelfBalance'!CA10+'Grid_TTAFBalance'!CA10</f>
        <v/>
      </c>
      <c r="CB10">
        <f>'Grid_SelfBalance'!CB10+'Grid_TTAFBalance'!CB10</f>
        <v/>
      </c>
      <c r="CC10">
        <f>'Grid_SelfBalance'!CC10+'Grid_TTAFBalance'!CC10</f>
        <v/>
      </c>
      <c r="CD10">
        <f>'Grid_SelfBalance'!CD10+'Grid_TTAFBalance'!CD10</f>
        <v/>
      </c>
      <c r="CE10">
        <f>'Grid_SelfBalance'!CE10+'Grid_TTAFBalance'!CE10</f>
        <v/>
      </c>
      <c r="CF10">
        <f>'Grid_SelfBalance'!CF10+'Grid_TTAFBalance'!CF10</f>
        <v/>
      </c>
      <c r="CG10">
        <f>'Grid_SelfBalance'!CG10+'Grid_TTAFBalance'!CG10</f>
        <v/>
      </c>
      <c r="CH10">
        <f>'Grid_SelfBalance'!CH10+'Grid_TTAFBalance'!CH10</f>
        <v/>
      </c>
      <c r="CI10">
        <f>'Grid_SelfBalance'!CI10+'Grid_TTAFBalance'!CI10</f>
        <v/>
      </c>
      <c r="CJ10">
        <f>'Grid_SelfBalance'!CJ10+'Grid_TTAFBalance'!CJ10</f>
        <v/>
      </c>
      <c r="CK10">
        <f>'Grid_SelfBalance'!CK10+'Grid_TTAFBalance'!CK10</f>
        <v/>
      </c>
      <c r="CL10">
        <f>'Grid_SelfBalance'!CL10+'Grid_TTAFBalance'!CL10</f>
        <v/>
      </c>
      <c r="CM10">
        <f>'Grid_SelfBalance'!CM10+'Grid_TTAFBalance'!CM10</f>
        <v/>
      </c>
      <c r="CN10">
        <f>'Grid_SelfBalance'!CN10+'Grid_TTAFBalance'!CN10</f>
        <v/>
      </c>
      <c r="CO10">
        <f>'Grid_SelfBalance'!CO10+'Grid_TTAFBalance'!CO10</f>
        <v/>
      </c>
      <c r="CP10">
        <f>'Grid_SelfBalance'!CP10+'Grid_TTAFBalance'!CP10</f>
        <v/>
      </c>
      <c r="CQ10">
        <f>'Grid_SelfBalance'!CQ10+'Grid_TTAFBalance'!CQ10</f>
        <v/>
      </c>
      <c r="CR10">
        <f>'Grid_SelfBalance'!CR10+'Grid_TTAFBalance'!CR10</f>
        <v/>
      </c>
      <c r="CS10">
        <f>'Grid_SelfBalance'!CS10+'Grid_TTAFBalance'!CS10</f>
        <v/>
      </c>
      <c r="CT10">
        <f>'Grid_SelfBalance'!CT10+'Grid_TTAFBalance'!CT10</f>
        <v/>
      </c>
      <c r="CU10">
        <f>'Grid_SelfBalance'!CU10+'Grid_TTAFBalance'!CU10</f>
        <v/>
      </c>
      <c r="CV10">
        <f>'Grid_SelfBalance'!CV10+'Grid_TTAFBalance'!CV10</f>
        <v/>
      </c>
      <c r="CW10">
        <f>'Grid_SelfBalance'!CW10+'Grid_TTAFBalance'!CW10</f>
        <v/>
      </c>
      <c r="CX10">
        <f>'Grid_SelfBalance'!CX10+'Grid_TTAFBalance'!CX10</f>
        <v/>
      </c>
      <c r="CY10">
        <f>'Grid_SelfBalance'!CY10+'Grid_TTAFBalance'!CY10</f>
        <v/>
      </c>
      <c r="CZ10">
        <f>'Grid_SelfBalance'!CZ10+'Grid_TTAFBalance'!CZ10</f>
        <v/>
      </c>
      <c r="DA10">
        <f>'Grid_SelfBalance'!DA10+'Grid_TTAFBalance'!DA10</f>
        <v/>
      </c>
    </row>
    <row r="11">
      <c r="A11" t="inlineStr">
        <is>
          <t>4HL</t>
        </is>
      </c>
      <c r="B11">
        <f>'Grid_SelfBalance'!B11+'Grid_TTAFBalance'!B11</f>
        <v/>
      </c>
      <c r="C11">
        <f>'Grid_SelfBalance'!C11+'Grid_TTAFBalance'!C11</f>
        <v/>
      </c>
      <c r="D11">
        <f>'Grid_SelfBalance'!D11+'Grid_TTAFBalance'!D11</f>
        <v/>
      </c>
      <c r="E11">
        <f>'Grid_SelfBalance'!E11+'Grid_TTAFBalance'!E11</f>
        <v/>
      </c>
      <c r="F11">
        <f>'Grid_SelfBalance'!F11+'Grid_TTAFBalance'!F11</f>
        <v/>
      </c>
      <c r="G11">
        <f>'Grid_SelfBalance'!G11+'Grid_TTAFBalance'!G11</f>
        <v/>
      </c>
      <c r="H11">
        <f>'Grid_SelfBalance'!H11+'Grid_TTAFBalance'!H11</f>
        <v/>
      </c>
      <c r="I11">
        <f>'Grid_SelfBalance'!I11+'Grid_TTAFBalance'!I11</f>
        <v/>
      </c>
      <c r="J11">
        <f>'Grid_SelfBalance'!J11+'Grid_TTAFBalance'!J11</f>
        <v/>
      </c>
      <c r="K11">
        <f>'Grid_SelfBalance'!K11+'Grid_TTAFBalance'!K11</f>
        <v/>
      </c>
      <c r="L11">
        <f>'Grid_SelfBalance'!L11+'Grid_TTAFBalance'!L11</f>
        <v/>
      </c>
      <c r="M11">
        <f>'Grid_SelfBalance'!M11+'Grid_TTAFBalance'!M11</f>
        <v/>
      </c>
      <c r="N11">
        <f>'Grid_SelfBalance'!N11+'Grid_TTAFBalance'!N11</f>
        <v/>
      </c>
      <c r="O11">
        <f>'Grid_SelfBalance'!O11+'Grid_TTAFBalance'!O11</f>
        <v/>
      </c>
      <c r="P11">
        <f>'Grid_SelfBalance'!P11+'Grid_TTAFBalance'!P11</f>
        <v/>
      </c>
      <c r="Q11">
        <f>'Grid_SelfBalance'!Q11+'Grid_TTAFBalance'!Q11</f>
        <v/>
      </c>
      <c r="R11">
        <f>'Grid_SelfBalance'!R11+'Grid_TTAFBalance'!R11</f>
        <v/>
      </c>
      <c r="S11">
        <f>'Grid_SelfBalance'!S11+'Grid_TTAFBalance'!S11</f>
        <v/>
      </c>
      <c r="T11">
        <f>'Grid_SelfBalance'!T11+'Grid_TTAFBalance'!T11</f>
        <v/>
      </c>
      <c r="U11">
        <f>'Grid_SelfBalance'!U11+'Grid_TTAFBalance'!U11</f>
        <v/>
      </c>
      <c r="V11">
        <f>'Grid_SelfBalance'!V11+'Grid_TTAFBalance'!V11</f>
        <v/>
      </c>
      <c r="W11">
        <f>'Grid_SelfBalance'!W11+'Grid_TTAFBalance'!W11</f>
        <v/>
      </c>
      <c r="X11">
        <f>'Grid_SelfBalance'!X11+'Grid_TTAFBalance'!X11</f>
        <v/>
      </c>
      <c r="Y11">
        <f>'Grid_SelfBalance'!Y11+'Grid_TTAFBalance'!Y11</f>
        <v/>
      </c>
      <c r="Z11">
        <f>'Grid_SelfBalance'!Z11+'Grid_TTAFBalance'!Z11</f>
        <v/>
      </c>
      <c r="AA11">
        <f>'Grid_SelfBalance'!AA11+'Grid_TTAFBalance'!AA11</f>
        <v/>
      </c>
      <c r="AB11">
        <f>'Grid_SelfBalance'!AB11+'Grid_TTAFBalance'!AB11</f>
        <v/>
      </c>
      <c r="AC11">
        <f>'Grid_SelfBalance'!AC11+'Grid_TTAFBalance'!AC11</f>
        <v/>
      </c>
      <c r="AD11">
        <f>'Grid_SelfBalance'!AD11+'Grid_TTAFBalance'!AD11</f>
        <v/>
      </c>
      <c r="AE11">
        <f>'Grid_SelfBalance'!AE11+'Grid_TTAFBalance'!AE11</f>
        <v/>
      </c>
      <c r="AF11">
        <f>'Grid_SelfBalance'!AF11+'Grid_TTAFBalance'!AF11</f>
        <v/>
      </c>
      <c r="AG11">
        <f>'Grid_SelfBalance'!AG11+'Grid_TTAFBalance'!AG11</f>
        <v/>
      </c>
      <c r="AH11">
        <f>'Grid_SelfBalance'!AH11+'Grid_TTAFBalance'!AH11</f>
        <v/>
      </c>
      <c r="AI11">
        <f>'Grid_SelfBalance'!AI11+'Grid_TTAFBalance'!AI11</f>
        <v/>
      </c>
      <c r="AJ11">
        <f>'Grid_SelfBalance'!AJ11+'Grid_TTAFBalance'!AJ11</f>
        <v/>
      </c>
      <c r="AK11">
        <f>'Grid_SelfBalance'!AK11+'Grid_TTAFBalance'!AK11</f>
        <v/>
      </c>
      <c r="AL11">
        <f>'Grid_SelfBalance'!AL11+'Grid_TTAFBalance'!AL11</f>
        <v/>
      </c>
      <c r="AM11">
        <f>'Grid_SelfBalance'!AM11+'Grid_TTAFBalance'!AM11</f>
        <v/>
      </c>
      <c r="AN11">
        <f>'Grid_SelfBalance'!AN11+'Grid_TTAFBalance'!AN11</f>
        <v/>
      </c>
      <c r="AO11">
        <f>'Grid_SelfBalance'!AO11+'Grid_TTAFBalance'!AO11</f>
        <v/>
      </c>
      <c r="AP11">
        <f>'Grid_SelfBalance'!AP11+'Grid_TTAFBalance'!AP11</f>
        <v/>
      </c>
      <c r="AQ11">
        <f>'Grid_SelfBalance'!AQ11+'Grid_TTAFBalance'!AQ11</f>
        <v/>
      </c>
      <c r="AR11">
        <f>'Grid_SelfBalance'!AR11+'Grid_TTAFBalance'!AR11</f>
        <v/>
      </c>
      <c r="AS11">
        <f>'Grid_SelfBalance'!AS11+'Grid_TTAFBalance'!AS11</f>
        <v/>
      </c>
      <c r="AT11">
        <f>'Grid_SelfBalance'!AT11+'Grid_TTAFBalance'!AT11</f>
        <v/>
      </c>
      <c r="AU11">
        <f>'Grid_SelfBalance'!AU11+'Grid_TTAFBalance'!AU11</f>
        <v/>
      </c>
      <c r="AV11">
        <f>'Grid_SelfBalance'!AV11+'Grid_TTAFBalance'!AV11</f>
        <v/>
      </c>
      <c r="AW11">
        <f>'Grid_SelfBalance'!AW11+'Grid_TTAFBalance'!AW11</f>
        <v/>
      </c>
      <c r="AX11">
        <f>'Grid_SelfBalance'!AX11+'Grid_TTAFBalance'!AX11</f>
        <v/>
      </c>
      <c r="AY11">
        <f>'Grid_SelfBalance'!AY11+'Grid_TTAFBalance'!AY11</f>
        <v/>
      </c>
      <c r="AZ11">
        <f>'Grid_SelfBalance'!AZ11+'Grid_TTAFBalance'!AZ11</f>
        <v/>
      </c>
      <c r="BA11">
        <f>'Grid_SelfBalance'!BA11+'Grid_TTAFBalance'!BA11</f>
        <v/>
      </c>
      <c r="BB11">
        <f>'Grid_SelfBalance'!BB11+'Grid_TTAFBalance'!BB11</f>
        <v/>
      </c>
      <c r="BC11">
        <f>'Grid_SelfBalance'!BC11+'Grid_TTAFBalance'!BC11</f>
        <v/>
      </c>
      <c r="BD11">
        <f>'Grid_SelfBalance'!BD11+'Grid_TTAFBalance'!BD11</f>
        <v/>
      </c>
      <c r="BE11">
        <f>'Grid_SelfBalance'!BE11+'Grid_TTAFBalance'!BE11</f>
        <v/>
      </c>
      <c r="BF11">
        <f>'Grid_SelfBalance'!BF11+'Grid_TTAFBalance'!BF11</f>
        <v/>
      </c>
      <c r="BG11">
        <f>'Grid_SelfBalance'!BG11+'Grid_TTAFBalance'!BG11</f>
        <v/>
      </c>
      <c r="BH11">
        <f>'Grid_SelfBalance'!BH11+'Grid_TTAFBalance'!BH11</f>
        <v/>
      </c>
      <c r="BI11">
        <f>'Grid_SelfBalance'!BI11+'Grid_TTAFBalance'!BI11</f>
        <v/>
      </c>
      <c r="BJ11">
        <f>'Grid_SelfBalance'!BJ11+'Grid_TTAFBalance'!BJ11</f>
        <v/>
      </c>
      <c r="BK11">
        <f>'Grid_SelfBalance'!BK11+'Grid_TTAFBalance'!BK11</f>
        <v/>
      </c>
      <c r="BL11">
        <f>'Grid_SelfBalance'!BL11+'Grid_TTAFBalance'!BL11</f>
        <v/>
      </c>
      <c r="BM11">
        <f>'Grid_SelfBalance'!BM11+'Grid_TTAFBalance'!BM11</f>
        <v/>
      </c>
      <c r="BN11">
        <f>'Grid_SelfBalance'!BN11+'Grid_TTAFBalance'!BN11</f>
        <v/>
      </c>
      <c r="BO11">
        <f>'Grid_SelfBalance'!BO11+'Grid_TTAFBalance'!BO11</f>
        <v/>
      </c>
      <c r="BP11">
        <f>'Grid_SelfBalance'!BP11+'Grid_TTAFBalance'!BP11</f>
        <v/>
      </c>
      <c r="BQ11">
        <f>'Grid_SelfBalance'!BQ11+'Grid_TTAFBalance'!BQ11</f>
        <v/>
      </c>
      <c r="BR11">
        <f>'Grid_SelfBalance'!BR11+'Grid_TTAFBalance'!BR11</f>
        <v/>
      </c>
      <c r="BS11">
        <f>'Grid_SelfBalance'!BS11+'Grid_TTAFBalance'!BS11</f>
        <v/>
      </c>
      <c r="BT11">
        <f>'Grid_SelfBalance'!BT11+'Grid_TTAFBalance'!BT11</f>
        <v/>
      </c>
      <c r="BU11">
        <f>'Grid_SelfBalance'!BU11+'Grid_TTAFBalance'!BU11</f>
        <v/>
      </c>
      <c r="BV11">
        <f>'Grid_SelfBalance'!BV11+'Grid_TTAFBalance'!BV11</f>
        <v/>
      </c>
      <c r="BW11">
        <f>'Grid_SelfBalance'!BW11+'Grid_TTAFBalance'!BW11</f>
        <v/>
      </c>
      <c r="BX11">
        <f>'Grid_SelfBalance'!BX11+'Grid_TTAFBalance'!BX11</f>
        <v/>
      </c>
      <c r="BY11">
        <f>'Grid_SelfBalance'!BY11+'Grid_TTAFBalance'!BY11</f>
        <v/>
      </c>
      <c r="BZ11">
        <f>'Grid_SelfBalance'!BZ11+'Grid_TTAFBalance'!BZ11</f>
        <v/>
      </c>
      <c r="CA11">
        <f>'Grid_SelfBalance'!CA11+'Grid_TTAFBalance'!CA11</f>
        <v/>
      </c>
      <c r="CB11">
        <f>'Grid_SelfBalance'!CB11+'Grid_TTAFBalance'!CB11</f>
        <v/>
      </c>
      <c r="CC11">
        <f>'Grid_SelfBalance'!CC11+'Grid_TTAFBalance'!CC11</f>
        <v/>
      </c>
      <c r="CD11">
        <f>'Grid_SelfBalance'!CD11+'Grid_TTAFBalance'!CD11</f>
        <v/>
      </c>
      <c r="CE11">
        <f>'Grid_SelfBalance'!CE11+'Grid_TTAFBalance'!CE11</f>
        <v/>
      </c>
      <c r="CF11">
        <f>'Grid_SelfBalance'!CF11+'Grid_TTAFBalance'!CF11</f>
        <v/>
      </c>
      <c r="CG11">
        <f>'Grid_SelfBalance'!CG11+'Grid_TTAFBalance'!CG11</f>
        <v/>
      </c>
      <c r="CH11">
        <f>'Grid_SelfBalance'!CH11+'Grid_TTAFBalance'!CH11</f>
        <v/>
      </c>
      <c r="CI11">
        <f>'Grid_SelfBalance'!CI11+'Grid_TTAFBalance'!CI11</f>
        <v/>
      </c>
      <c r="CJ11">
        <f>'Grid_SelfBalance'!CJ11+'Grid_TTAFBalance'!CJ11</f>
        <v/>
      </c>
      <c r="CK11">
        <f>'Grid_SelfBalance'!CK11+'Grid_TTAFBalance'!CK11</f>
        <v/>
      </c>
      <c r="CL11">
        <f>'Grid_SelfBalance'!CL11+'Grid_TTAFBalance'!CL11</f>
        <v/>
      </c>
      <c r="CM11">
        <f>'Grid_SelfBalance'!CM11+'Grid_TTAFBalance'!CM11</f>
        <v/>
      </c>
      <c r="CN11">
        <f>'Grid_SelfBalance'!CN11+'Grid_TTAFBalance'!CN11</f>
        <v/>
      </c>
      <c r="CO11">
        <f>'Grid_SelfBalance'!CO11+'Grid_TTAFBalance'!CO11</f>
        <v/>
      </c>
      <c r="CP11">
        <f>'Grid_SelfBalance'!CP11+'Grid_TTAFBalance'!CP11</f>
        <v/>
      </c>
      <c r="CQ11">
        <f>'Grid_SelfBalance'!CQ11+'Grid_TTAFBalance'!CQ11</f>
        <v/>
      </c>
      <c r="CR11">
        <f>'Grid_SelfBalance'!CR11+'Grid_TTAFBalance'!CR11</f>
        <v/>
      </c>
      <c r="CS11">
        <f>'Grid_SelfBalance'!CS11+'Grid_TTAFBalance'!CS11</f>
        <v/>
      </c>
      <c r="CT11">
        <f>'Grid_SelfBalance'!CT11+'Grid_TTAFBalance'!CT11</f>
        <v/>
      </c>
      <c r="CU11">
        <f>'Grid_SelfBalance'!CU11+'Grid_TTAFBalance'!CU11</f>
        <v/>
      </c>
      <c r="CV11">
        <f>'Grid_SelfBalance'!CV11+'Grid_TTAFBalance'!CV11</f>
        <v/>
      </c>
      <c r="CW11">
        <f>'Grid_SelfBalance'!CW11+'Grid_TTAFBalance'!CW11</f>
        <v/>
      </c>
      <c r="CX11">
        <f>'Grid_SelfBalance'!CX11+'Grid_TTAFBalance'!CX11</f>
        <v/>
      </c>
      <c r="CY11">
        <f>'Grid_SelfBalance'!CY11+'Grid_TTAFBalance'!CY11</f>
        <v/>
      </c>
      <c r="CZ11">
        <f>'Grid_SelfBalance'!CZ11+'Grid_TTAFBalance'!CZ11</f>
        <v/>
      </c>
      <c r="DA11">
        <f>'Grid_SelfBalance'!DA11+'Grid_TTAFBalance'!DA11</f>
        <v/>
      </c>
    </row>
    <row r="12">
      <c r="A12" t="inlineStr">
        <is>
          <t>1EK</t>
        </is>
      </c>
      <c r="B12">
        <f>'Grid_SelfBalance'!B12+'Grid_TTAFBalance'!B12</f>
        <v/>
      </c>
      <c r="C12">
        <f>'Grid_SelfBalance'!C12+'Grid_TTAFBalance'!C12</f>
        <v/>
      </c>
      <c r="D12">
        <f>'Grid_SelfBalance'!D12+'Grid_TTAFBalance'!D12</f>
        <v/>
      </c>
      <c r="E12">
        <f>'Grid_SelfBalance'!E12+'Grid_TTAFBalance'!E12</f>
        <v/>
      </c>
      <c r="F12">
        <f>'Grid_SelfBalance'!F12+'Grid_TTAFBalance'!F12</f>
        <v/>
      </c>
      <c r="G12">
        <f>'Grid_SelfBalance'!G12+'Grid_TTAFBalance'!G12</f>
        <v/>
      </c>
      <c r="H12">
        <f>'Grid_SelfBalance'!H12+'Grid_TTAFBalance'!H12</f>
        <v/>
      </c>
      <c r="I12">
        <f>'Grid_SelfBalance'!I12+'Grid_TTAFBalance'!I12</f>
        <v/>
      </c>
      <c r="J12">
        <f>'Grid_SelfBalance'!J12+'Grid_TTAFBalance'!J12</f>
        <v/>
      </c>
      <c r="K12">
        <f>'Grid_SelfBalance'!K12+'Grid_TTAFBalance'!K12</f>
        <v/>
      </c>
      <c r="L12">
        <f>'Grid_SelfBalance'!L12+'Grid_TTAFBalance'!L12</f>
        <v/>
      </c>
      <c r="M12">
        <f>'Grid_SelfBalance'!M12+'Grid_TTAFBalance'!M12</f>
        <v/>
      </c>
      <c r="N12">
        <f>'Grid_SelfBalance'!N12+'Grid_TTAFBalance'!N12</f>
        <v/>
      </c>
      <c r="O12">
        <f>'Grid_SelfBalance'!O12+'Grid_TTAFBalance'!O12</f>
        <v/>
      </c>
      <c r="P12">
        <f>'Grid_SelfBalance'!P12+'Grid_TTAFBalance'!P12</f>
        <v/>
      </c>
      <c r="Q12">
        <f>'Grid_SelfBalance'!Q12+'Grid_TTAFBalance'!Q12</f>
        <v/>
      </c>
      <c r="R12">
        <f>'Grid_SelfBalance'!R12+'Grid_TTAFBalance'!R12</f>
        <v/>
      </c>
      <c r="S12">
        <f>'Grid_SelfBalance'!S12+'Grid_TTAFBalance'!S12</f>
        <v/>
      </c>
      <c r="T12">
        <f>'Grid_SelfBalance'!T12+'Grid_TTAFBalance'!T12</f>
        <v/>
      </c>
      <c r="U12">
        <f>'Grid_SelfBalance'!U12+'Grid_TTAFBalance'!U12</f>
        <v/>
      </c>
      <c r="V12">
        <f>'Grid_SelfBalance'!V12+'Grid_TTAFBalance'!V12</f>
        <v/>
      </c>
      <c r="W12">
        <f>'Grid_SelfBalance'!W12+'Grid_TTAFBalance'!W12</f>
        <v/>
      </c>
      <c r="X12">
        <f>'Grid_SelfBalance'!X12+'Grid_TTAFBalance'!X12</f>
        <v/>
      </c>
      <c r="Y12">
        <f>'Grid_SelfBalance'!Y12+'Grid_TTAFBalance'!Y12</f>
        <v/>
      </c>
      <c r="Z12">
        <f>'Grid_SelfBalance'!Z12+'Grid_TTAFBalance'!Z12</f>
        <v/>
      </c>
      <c r="AA12">
        <f>'Grid_SelfBalance'!AA12+'Grid_TTAFBalance'!AA12</f>
        <v/>
      </c>
      <c r="AB12">
        <f>'Grid_SelfBalance'!AB12+'Grid_TTAFBalance'!AB12</f>
        <v/>
      </c>
      <c r="AC12">
        <f>'Grid_SelfBalance'!AC12+'Grid_TTAFBalance'!AC12</f>
        <v/>
      </c>
      <c r="AD12">
        <f>'Grid_SelfBalance'!AD12+'Grid_TTAFBalance'!AD12</f>
        <v/>
      </c>
      <c r="AE12">
        <f>'Grid_SelfBalance'!AE12+'Grid_TTAFBalance'!AE12</f>
        <v/>
      </c>
      <c r="AF12">
        <f>'Grid_SelfBalance'!AF12+'Grid_TTAFBalance'!AF12</f>
        <v/>
      </c>
      <c r="AG12">
        <f>'Grid_SelfBalance'!AG12+'Grid_TTAFBalance'!AG12</f>
        <v/>
      </c>
      <c r="AH12">
        <f>'Grid_SelfBalance'!AH12+'Grid_TTAFBalance'!AH12</f>
        <v/>
      </c>
      <c r="AI12">
        <f>'Grid_SelfBalance'!AI12+'Grid_TTAFBalance'!AI12</f>
        <v/>
      </c>
      <c r="AJ12">
        <f>'Grid_SelfBalance'!AJ12+'Grid_TTAFBalance'!AJ12</f>
        <v/>
      </c>
      <c r="AK12">
        <f>'Grid_SelfBalance'!AK12+'Grid_TTAFBalance'!AK12</f>
        <v/>
      </c>
      <c r="AL12">
        <f>'Grid_SelfBalance'!AL12+'Grid_TTAFBalance'!AL12</f>
        <v/>
      </c>
      <c r="AM12">
        <f>'Grid_SelfBalance'!AM12+'Grid_TTAFBalance'!AM12</f>
        <v/>
      </c>
      <c r="AN12">
        <f>'Grid_SelfBalance'!AN12+'Grid_TTAFBalance'!AN12</f>
        <v/>
      </c>
      <c r="AO12">
        <f>'Grid_SelfBalance'!AO12+'Grid_TTAFBalance'!AO12</f>
        <v/>
      </c>
      <c r="AP12">
        <f>'Grid_SelfBalance'!AP12+'Grid_TTAFBalance'!AP12</f>
        <v/>
      </c>
      <c r="AQ12">
        <f>'Grid_SelfBalance'!AQ12+'Grid_TTAFBalance'!AQ12</f>
        <v/>
      </c>
      <c r="AR12">
        <f>'Grid_SelfBalance'!AR12+'Grid_TTAFBalance'!AR12</f>
        <v/>
      </c>
      <c r="AS12">
        <f>'Grid_SelfBalance'!AS12+'Grid_TTAFBalance'!AS12</f>
        <v/>
      </c>
      <c r="AT12">
        <f>'Grid_SelfBalance'!AT12+'Grid_TTAFBalance'!AT12</f>
        <v/>
      </c>
      <c r="AU12">
        <f>'Grid_SelfBalance'!AU12+'Grid_TTAFBalance'!AU12</f>
        <v/>
      </c>
      <c r="AV12">
        <f>'Grid_SelfBalance'!AV12+'Grid_TTAFBalance'!AV12</f>
        <v/>
      </c>
      <c r="AW12">
        <f>'Grid_SelfBalance'!AW12+'Grid_TTAFBalance'!AW12</f>
        <v/>
      </c>
      <c r="AX12">
        <f>'Grid_SelfBalance'!AX12+'Grid_TTAFBalance'!AX12</f>
        <v/>
      </c>
      <c r="AY12">
        <f>'Grid_SelfBalance'!AY12+'Grid_TTAFBalance'!AY12</f>
        <v/>
      </c>
      <c r="AZ12">
        <f>'Grid_SelfBalance'!AZ12+'Grid_TTAFBalance'!AZ12</f>
        <v/>
      </c>
      <c r="BA12">
        <f>'Grid_SelfBalance'!BA12+'Grid_TTAFBalance'!BA12</f>
        <v/>
      </c>
      <c r="BB12">
        <f>'Grid_SelfBalance'!BB12+'Grid_TTAFBalance'!BB12</f>
        <v/>
      </c>
      <c r="BC12">
        <f>'Grid_SelfBalance'!BC12+'Grid_TTAFBalance'!BC12</f>
        <v/>
      </c>
      <c r="BD12">
        <f>'Grid_SelfBalance'!BD12+'Grid_TTAFBalance'!BD12</f>
        <v/>
      </c>
      <c r="BE12">
        <f>'Grid_SelfBalance'!BE12+'Grid_TTAFBalance'!BE12</f>
        <v/>
      </c>
      <c r="BF12">
        <f>'Grid_SelfBalance'!BF12+'Grid_TTAFBalance'!BF12</f>
        <v/>
      </c>
      <c r="BG12">
        <f>'Grid_SelfBalance'!BG12+'Grid_TTAFBalance'!BG12</f>
        <v/>
      </c>
      <c r="BH12">
        <f>'Grid_SelfBalance'!BH12+'Grid_TTAFBalance'!BH12</f>
        <v/>
      </c>
      <c r="BI12">
        <f>'Grid_SelfBalance'!BI12+'Grid_TTAFBalance'!BI12</f>
        <v/>
      </c>
      <c r="BJ12">
        <f>'Grid_SelfBalance'!BJ12+'Grid_TTAFBalance'!BJ12</f>
        <v/>
      </c>
      <c r="BK12">
        <f>'Grid_SelfBalance'!BK12+'Grid_TTAFBalance'!BK12</f>
        <v/>
      </c>
      <c r="BL12">
        <f>'Grid_SelfBalance'!BL12+'Grid_TTAFBalance'!BL12</f>
        <v/>
      </c>
      <c r="BM12">
        <f>'Grid_SelfBalance'!BM12+'Grid_TTAFBalance'!BM12</f>
        <v/>
      </c>
      <c r="BN12">
        <f>'Grid_SelfBalance'!BN12+'Grid_TTAFBalance'!BN12</f>
        <v/>
      </c>
      <c r="BO12">
        <f>'Grid_SelfBalance'!BO12+'Grid_TTAFBalance'!BO12</f>
        <v/>
      </c>
      <c r="BP12">
        <f>'Grid_SelfBalance'!BP12+'Grid_TTAFBalance'!BP12</f>
        <v/>
      </c>
      <c r="BQ12">
        <f>'Grid_SelfBalance'!BQ12+'Grid_TTAFBalance'!BQ12</f>
        <v/>
      </c>
      <c r="BR12">
        <f>'Grid_SelfBalance'!BR12+'Grid_TTAFBalance'!BR12</f>
        <v/>
      </c>
      <c r="BS12">
        <f>'Grid_SelfBalance'!BS12+'Grid_TTAFBalance'!BS12</f>
        <v/>
      </c>
      <c r="BT12">
        <f>'Grid_SelfBalance'!BT12+'Grid_TTAFBalance'!BT12</f>
        <v/>
      </c>
      <c r="BU12">
        <f>'Grid_SelfBalance'!BU12+'Grid_TTAFBalance'!BU12</f>
        <v/>
      </c>
      <c r="BV12">
        <f>'Grid_SelfBalance'!BV12+'Grid_TTAFBalance'!BV12</f>
        <v/>
      </c>
      <c r="BW12">
        <f>'Grid_SelfBalance'!BW12+'Grid_TTAFBalance'!BW12</f>
        <v/>
      </c>
      <c r="BX12">
        <f>'Grid_SelfBalance'!BX12+'Grid_TTAFBalance'!BX12</f>
        <v/>
      </c>
      <c r="BY12">
        <f>'Grid_SelfBalance'!BY12+'Grid_TTAFBalance'!BY12</f>
        <v/>
      </c>
      <c r="BZ12">
        <f>'Grid_SelfBalance'!BZ12+'Grid_TTAFBalance'!BZ12</f>
        <v/>
      </c>
      <c r="CA12">
        <f>'Grid_SelfBalance'!CA12+'Grid_TTAFBalance'!CA12</f>
        <v/>
      </c>
      <c r="CB12">
        <f>'Grid_SelfBalance'!CB12+'Grid_TTAFBalance'!CB12</f>
        <v/>
      </c>
      <c r="CC12">
        <f>'Grid_SelfBalance'!CC12+'Grid_TTAFBalance'!CC12</f>
        <v/>
      </c>
      <c r="CD12">
        <f>'Grid_SelfBalance'!CD12+'Grid_TTAFBalance'!CD12</f>
        <v/>
      </c>
      <c r="CE12">
        <f>'Grid_SelfBalance'!CE12+'Grid_TTAFBalance'!CE12</f>
        <v/>
      </c>
      <c r="CF12">
        <f>'Grid_SelfBalance'!CF12+'Grid_TTAFBalance'!CF12</f>
        <v/>
      </c>
      <c r="CG12">
        <f>'Grid_SelfBalance'!CG12+'Grid_TTAFBalance'!CG12</f>
        <v/>
      </c>
      <c r="CH12">
        <f>'Grid_SelfBalance'!CH12+'Grid_TTAFBalance'!CH12</f>
        <v/>
      </c>
      <c r="CI12">
        <f>'Grid_SelfBalance'!CI12+'Grid_TTAFBalance'!CI12</f>
        <v/>
      </c>
      <c r="CJ12">
        <f>'Grid_SelfBalance'!CJ12+'Grid_TTAFBalance'!CJ12</f>
        <v/>
      </c>
      <c r="CK12">
        <f>'Grid_SelfBalance'!CK12+'Grid_TTAFBalance'!CK12</f>
        <v/>
      </c>
      <c r="CL12">
        <f>'Grid_SelfBalance'!CL12+'Grid_TTAFBalance'!CL12</f>
        <v/>
      </c>
      <c r="CM12">
        <f>'Grid_SelfBalance'!CM12+'Grid_TTAFBalance'!CM12</f>
        <v/>
      </c>
      <c r="CN12">
        <f>'Grid_SelfBalance'!CN12+'Grid_TTAFBalance'!CN12</f>
        <v/>
      </c>
      <c r="CO12">
        <f>'Grid_SelfBalance'!CO12+'Grid_TTAFBalance'!CO12</f>
        <v/>
      </c>
      <c r="CP12">
        <f>'Grid_SelfBalance'!CP12+'Grid_TTAFBalance'!CP12</f>
        <v/>
      </c>
      <c r="CQ12">
        <f>'Grid_SelfBalance'!CQ12+'Grid_TTAFBalance'!CQ12</f>
        <v/>
      </c>
      <c r="CR12">
        <f>'Grid_SelfBalance'!CR12+'Grid_TTAFBalance'!CR12</f>
        <v/>
      </c>
      <c r="CS12">
        <f>'Grid_SelfBalance'!CS12+'Grid_TTAFBalance'!CS12</f>
        <v/>
      </c>
      <c r="CT12">
        <f>'Grid_SelfBalance'!CT12+'Grid_TTAFBalance'!CT12</f>
        <v/>
      </c>
      <c r="CU12">
        <f>'Grid_SelfBalance'!CU12+'Grid_TTAFBalance'!CU12</f>
        <v/>
      </c>
      <c r="CV12">
        <f>'Grid_SelfBalance'!CV12+'Grid_TTAFBalance'!CV12</f>
        <v/>
      </c>
      <c r="CW12">
        <f>'Grid_SelfBalance'!CW12+'Grid_TTAFBalance'!CW12</f>
        <v/>
      </c>
      <c r="CX12">
        <f>'Grid_SelfBalance'!CX12+'Grid_TTAFBalance'!CX12</f>
        <v/>
      </c>
      <c r="CY12">
        <f>'Grid_SelfBalance'!CY12+'Grid_TTAFBalance'!CY12</f>
        <v/>
      </c>
      <c r="CZ12">
        <f>'Grid_SelfBalance'!CZ12+'Grid_TTAFBalance'!CZ12</f>
        <v/>
      </c>
      <c r="DA12">
        <f>'Grid_SelfBalance'!DA12+'Grid_TTAFBalance'!DA12</f>
        <v/>
      </c>
    </row>
    <row r="13">
      <c r="A13" t="inlineStr">
        <is>
          <t>7CL</t>
        </is>
      </c>
      <c r="B13">
        <f>'Grid_SelfBalance'!B13+'Grid_TTAFBalance'!B13</f>
        <v/>
      </c>
      <c r="C13">
        <f>'Grid_SelfBalance'!C13+'Grid_TTAFBalance'!C13</f>
        <v/>
      </c>
      <c r="D13">
        <f>'Grid_SelfBalance'!D13+'Grid_TTAFBalance'!D13</f>
        <v/>
      </c>
      <c r="E13">
        <f>'Grid_SelfBalance'!E13+'Grid_TTAFBalance'!E13</f>
        <v/>
      </c>
      <c r="F13">
        <f>'Grid_SelfBalance'!F13+'Grid_TTAFBalance'!F13</f>
        <v/>
      </c>
      <c r="G13">
        <f>'Grid_SelfBalance'!G13+'Grid_TTAFBalance'!G13</f>
        <v/>
      </c>
      <c r="H13">
        <f>'Grid_SelfBalance'!H13+'Grid_TTAFBalance'!H13</f>
        <v/>
      </c>
      <c r="I13">
        <f>'Grid_SelfBalance'!I13+'Grid_TTAFBalance'!I13</f>
        <v/>
      </c>
      <c r="J13">
        <f>'Grid_SelfBalance'!J13+'Grid_TTAFBalance'!J13</f>
        <v/>
      </c>
      <c r="K13">
        <f>'Grid_SelfBalance'!K13+'Grid_TTAFBalance'!K13</f>
        <v/>
      </c>
      <c r="L13">
        <f>'Grid_SelfBalance'!L13+'Grid_TTAFBalance'!L13</f>
        <v/>
      </c>
      <c r="M13">
        <f>'Grid_SelfBalance'!M13+'Grid_TTAFBalance'!M13</f>
        <v/>
      </c>
      <c r="N13">
        <f>'Grid_SelfBalance'!N13+'Grid_TTAFBalance'!N13</f>
        <v/>
      </c>
      <c r="O13">
        <f>'Grid_SelfBalance'!O13+'Grid_TTAFBalance'!O13</f>
        <v/>
      </c>
      <c r="P13">
        <f>'Grid_SelfBalance'!P13+'Grid_TTAFBalance'!P13</f>
        <v/>
      </c>
      <c r="Q13">
        <f>'Grid_SelfBalance'!Q13+'Grid_TTAFBalance'!Q13</f>
        <v/>
      </c>
      <c r="R13">
        <f>'Grid_SelfBalance'!R13+'Grid_TTAFBalance'!R13</f>
        <v/>
      </c>
      <c r="S13">
        <f>'Grid_SelfBalance'!S13+'Grid_TTAFBalance'!S13</f>
        <v/>
      </c>
      <c r="T13">
        <f>'Grid_SelfBalance'!T13+'Grid_TTAFBalance'!T13</f>
        <v/>
      </c>
      <c r="U13">
        <f>'Grid_SelfBalance'!U13+'Grid_TTAFBalance'!U13</f>
        <v/>
      </c>
      <c r="V13">
        <f>'Grid_SelfBalance'!V13+'Grid_TTAFBalance'!V13</f>
        <v/>
      </c>
      <c r="W13">
        <f>'Grid_SelfBalance'!W13+'Grid_TTAFBalance'!W13</f>
        <v/>
      </c>
      <c r="X13">
        <f>'Grid_SelfBalance'!X13+'Grid_TTAFBalance'!X13</f>
        <v/>
      </c>
      <c r="Y13">
        <f>'Grid_SelfBalance'!Y13+'Grid_TTAFBalance'!Y13</f>
        <v/>
      </c>
      <c r="Z13">
        <f>'Grid_SelfBalance'!Z13+'Grid_TTAFBalance'!Z13</f>
        <v/>
      </c>
      <c r="AA13">
        <f>'Grid_SelfBalance'!AA13+'Grid_TTAFBalance'!AA13</f>
        <v/>
      </c>
      <c r="AB13">
        <f>'Grid_SelfBalance'!AB13+'Grid_TTAFBalance'!AB13</f>
        <v/>
      </c>
      <c r="AC13">
        <f>'Grid_SelfBalance'!AC13+'Grid_TTAFBalance'!AC13</f>
        <v/>
      </c>
      <c r="AD13">
        <f>'Grid_SelfBalance'!AD13+'Grid_TTAFBalance'!AD13</f>
        <v/>
      </c>
      <c r="AE13">
        <f>'Grid_SelfBalance'!AE13+'Grid_TTAFBalance'!AE13</f>
        <v/>
      </c>
      <c r="AF13">
        <f>'Grid_SelfBalance'!AF13+'Grid_TTAFBalance'!AF13</f>
        <v/>
      </c>
      <c r="AG13">
        <f>'Grid_SelfBalance'!AG13+'Grid_TTAFBalance'!AG13</f>
        <v/>
      </c>
      <c r="AH13">
        <f>'Grid_SelfBalance'!AH13+'Grid_TTAFBalance'!AH13</f>
        <v/>
      </c>
      <c r="AI13">
        <f>'Grid_SelfBalance'!AI13+'Grid_TTAFBalance'!AI13</f>
        <v/>
      </c>
      <c r="AJ13">
        <f>'Grid_SelfBalance'!AJ13+'Grid_TTAFBalance'!AJ13</f>
        <v/>
      </c>
      <c r="AK13">
        <f>'Grid_SelfBalance'!AK13+'Grid_TTAFBalance'!AK13</f>
        <v/>
      </c>
      <c r="AL13">
        <f>'Grid_SelfBalance'!AL13+'Grid_TTAFBalance'!AL13</f>
        <v/>
      </c>
      <c r="AM13">
        <f>'Grid_SelfBalance'!AM13+'Grid_TTAFBalance'!AM13</f>
        <v/>
      </c>
      <c r="AN13">
        <f>'Grid_SelfBalance'!AN13+'Grid_TTAFBalance'!AN13</f>
        <v/>
      </c>
      <c r="AO13">
        <f>'Grid_SelfBalance'!AO13+'Grid_TTAFBalance'!AO13</f>
        <v/>
      </c>
      <c r="AP13">
        <f>'Grid_SelfBalance'!AP13+'Grid_TTAFBalance'!AP13</f>
        <v/>
      </c>
      <c r="AQ13">
        <f>'Grid_SelfBalance'!AQ13+'Grid_TTAFBalance'!AQ13</f>
        <v/>
      </c>
      <c r="AR13">
        <f>'Grid_SelfBalance'!AR13+'Grid_TTAFBalance'!AR13</f>
        <v/>
      </c>
      <c r="AS13">
        <f>'Grid_SelfBalance'!AS13+'Grid_TTAFBalance'!AS13</f>
        <v/>
      </c>
      <c r="AT13">
        <f>'Grid_SelfBalance'!AT13+'Grid_TTAFBalance'!AT13</f>
        <v/>
      </c>
      <c r="AU13">
        <f>'Grid_SelfBalance'!AU13+'Grid_TTAFBalance'!AU13</f>
        <v/>
      </c>
      <c r="AV13">
        <f>'Grid_SelfBalance'!AV13+'Grid_TTAFBalance'!AV13</f>
        <v/>
      </c>
      <c r="AW13">
        <f>'Grid_SelfBalance'!AW13+'Grid_TTAFBalance'!AW13</f>
        <v/>
      </c>
      <c r="AX13">
        <f>'Grid_SelfBalance'!AX13+'Grid_TTAFBalance'!AX13</f>
        <v/>
      </c>
      <c r="AY13">
        <f>'Grid_SelfBalance'!AY13+'Grid_TTAFBalance'!AY13</f>
        <v/>
      </c>
      <c r="AZ13">
        <f>'Grid_SelfBalance'!AZ13+'Grid_TTAFBalance'!AZ13</f>
        <v/>
      </c>
      <c r="BA13">
        <f>'Grid_SelfBalance'!BA13+'Grid_TTAFBalance'!BA13</f>
        <v/>
      </c>
      <c r="BB13">
        <f>'Grid_SelfBalance'!BB13+'Grid_TTAFBalance'!BB13</f>
        <v/>
      </c>
      <c r="BC13">
        <f>'Grid_SelfBalance'!BC13+'Grid_TTAFBalance'!BC13</f>
        <v/>
      </c>
      <c r="BD13">
        <f>'Grid_SelfBalance'!BD13+'Grid_TTAFBalance'!BD13</f>
        <v/>
      </c>
      <c r="BE13">
        <f>'Grid_SelfBalance'!BE13+'Grid_TTAFBalance'!BE13</f>
        <v/>
      </c>
      <c r="BF13">
        <f>'Grid_SelfBalance'!BF13+'Grid_TTAFBalance'!BF13</f>
        <v/>
      </c>
      <c r="BG13">
        <f>'Grid_SelfBalance'!BG13+'Grid_TTAFBalance'!BG13</f>
        <v/>
      </c>
      <c r="BH13">
        <f>'Grid_SelfBalance'!BH13+'Grid_TTAFBalance'!BH13</f>
        <v/>
      </c>
      <c r="BI13">
        <f>'Grid_SelfBalance'!BI13+'Grid_TTAFBalance'!BI13</f>
        <v/>
      </c>
      <c r="BJ13">
        <f>'Grid_SelfBalance'!BJ13+'Grid_TTAFBalance'!BJ13</f>
        <v/>
      </c>
      <c r="BK13">
        <f>'Grid_SelfBalance'!BK13+'Grid_TTAFBalance'!BK13</f>
        <v/>
      </c>
      <c r="BL13">
        <f>'Grid_SelfBalance'!BL13+'Grid_TTAFBalance'!BL13</f>
        <v/>
      </c>
      <c r="BM13">
        <f>'Grid_SelfBalance'!BM13+'Grid_TTAFBalance'!BM13</f>
        <v/>
      </c>
      <c r="BN13">
        <f>'Grid_SelfBalance'!BN13+'Grid_TTAFBalance'!BN13</f>
        <v/>
      </c>
      <c r="BO13">
        <f>'Grid_SelfBalance'!BO13+'Grid_TTAFBalance'!BO13</f>
        <v/>
      </c>
      <c r="BP13">
        <f>'Grid_SelfBalance'!BP13+'Grid_TTAFBalance'!BP13</f>
        <v/>
      </c>
      <c r="BQ13">
        <f>'Grid_SelfBalance'!BQ13+'Grid_TTAFBalance'!BQ13</f>
        <v/>
      </c>
      <c r="BR13">
        <f>'Grid_SelfBalance'!BR13+'Grid_TTAFBalance'!BR13</f>
        <v/>
      </c>
      <c r="BS13">
        <f>'Grid_SelfBalance'!BS13+'Grid_TTAFBalance'!BS13</f>
        <v/>
      </c>
      <c r="BT13">
        <f>'Grid_SelfBalance'!BT13+'Grid_TTAFBalance'!BT13</f>
        <v/>
      </c>
      <c r="BU13">
        <f>'Grid_SelfBalance'!BU13+'Grid_TTAFBalance'!BU13</f>
        <v/>
      </c>
      <c r="BV13">
        <f>'Grid_SelfBalance'!BV13+'Grid_TTAFBalance'!BV13</f>
        <v/>
      </c>
      <c r="BW13">
        <f>'Grid_SelfBalance'!BW13+'Grid_TTAFBalance'!BW13</f>
        <v/>
      </c>
      <c r="BX13">
        <f>'Grid_SelfBalance'!BX13+'Grid_TTAFBalance'!BX13</f>
        <v/>
      </c>
      <c r="BY13">
        <f>'Grid_SelfBalance'!BY13+'Grid_TTAFBalance'!BY13</f>
        <v/>
      </c>
      <c r="BZ13">
        <f>'Grid_SelfBalance'!BZ13+'Grid_TTAFBalance'!BZ13</f>
        <v/>
      </c>
      <c r="CA13">
        <f>'Grid_SelfBalance'!CA13+'Grid_TTAFBalance'!CA13</f>
        <v/>
      </c>
      <c r="CB13">
        <f>'Grid_SelfBalance'!CB13+'Grid_TTAFBalance'!CB13</f>
        <v/>
      </c>
      <c r="CC13">
        <f>'Grid_SelfBalance'!CC13+'Grid_TTAFBalance'!CC13</f>
        <v/>
      </c>
      <c r="CD13">
        <f>'Grid_SelfBalance'!CD13+'Grid_TTAFBalance'!CD13</f>
        <v/>
      </c>
      <c r="CE13">
        <f>'Grid_SelfBalance'!CE13+'Grid_TTAFBalance'!CE13</f>
        <v/>
      </c>
      <c r="CF13">
        <f>'Grid_SelfBalance'!CF13+'Grid_TTAFBalance'!CF13</f>
        <v/>
      </c>
      <c r="CG13">
        <f>'Grid_SelfBalance'!CG13+'Grid_TTAFBalance'!CG13</f>
        <v/>
      </c>
      <c r="CH13">
        <f>'Grid_SelfBalance'!CH13+'Grid_TTAFBalance'!CH13</f>
        <v/>
      </c>
      <c r="CI13">
        <f>'Grid_SelfBalance'!CI13+'Grid_TTAFBalance'!CI13</f>
        <v/>
      </c>
      <c r="CJ13">
        <f>'Grid_SelfBalance'!CJ13+'Grid_TTAFBalance'!CJ13</f>
        <v/>
      </c>
      <c r="CK13">
        <f>'Grid_SelfBalance'!CK13+'Grid_TTAFBalance'!CK13</f>
        <v/>
      </c>
      <c r="CL13">
        <f>'Grid_SelfBalance'!CL13+'Grid_TTAFBalance'!CL13</f>
        <v/>
      </c>
      <c r="CM13">
        <f>'Grid_SelfBalance'!CM13+'Grid_TTAFBalance'!CM13</f>
        <v/>
      </c>
      <c r="CN13">
        <f>'Grid_SelfBalance'!CN13+'Grid_TTAFBalance'!CN13</f>
        <v/>
      </c>
      <c r="CO13">
        <f>'Grid_SelfBalance'!CO13+'Grid_TTAFBalance'!CO13</f>
        <v/>
      </c>
      <c r="CP13">
        <f>'Grid_SelfBalance'!CP13+'Grid_TTAFBalance'!CP13</f>
        <v/>
      </c>
      <c r="CQ13">
        <f>'Grid_SelfBalance'!CQ13+'Grid_TTAFBalance'!CQ13</f>
        <v/>
      </c>
      <c r="CR13">
        <f>'Grid_SelfBalance'!CR13+'Grid_TTAFBalance'!CR13</f>
        <v/>
      </c>
      <c r="CS13">
        <f>'Grid_SelfBalance'!CS13+'Grid_TTAFBalance'!CS13</f>
        <v/>
      </c>
      <c r="CT13">
        <f>'Grid_SelfBalance'!CT13+'Grid_TTAFBalance'!CT13</f>
        <v/>
      </c>
      <c r="CU13">
        <f>'Grid_SelfBalance'!CU13+'Grid_TTAFBalance'!CU13</f>
        <v/>
      </c>
      <c r="CV13">
        <f>'Grid_SelfBalance'!CV13+'Grid_TTAFBalance'!CV13</f>
        <v/>
      </c>
      <c r="CW13">
        <f>'Grid_SelfBalance'!CW13+'Grid_TTAFBalance'!CW13</f>
        <v/>
      </c>
      <c r="CX13">
        <f>'Grid_SelfBalance'!CX13+'Grid_TTAFBalance'!CX13</f>
        <v/>
      </c>
      <c r="CY13">
        <f>'Grid_SelfBalance'!CY13+'Grid_TTAFBalance'!CY13</f>
        <v/>
      </c>
      <c r="CZ13">
        <f>'Grid_SelfBalance'!CZ13+'Grid_TTAFBalance'!CZ13</f>
        <v/>
      </c>
      <c r="DA13">
        <f>'Grid_SelfBalance'!DA13+'Grid_TTAFBalance'!DA13</f>
        <v/>
      </c>
    </row>
    <row r="14">
      <c r="A14" t="inlineStr">
        <is>
          <t>9RN</t>
        </is>
      </c>
      <c r="B14">
        <f>'Grid_SelfBalance'!B14+'Grid_TTAFBalance'!B14</f>
        <v/>
      </c>
      <c r="C14">
        <f>'Grid_SelfBalance'!C14+'Grid_TTAFBalance'!C14</f>
        <v/>
      </c>
      <c r="D14">
        <f>'Grid_SelfBalance'!D14+'Grid_TTAFBalance'!D14</f>
        <v/>
      </c>
      <c r="E14">
        <f>'Grid_SelfBalance'!E14+'Grid_TTAFBalance'!E14</f>
        <v/>
      </c>
      <c r="F14">
        <f>'Grid_SelfBalance'!F14+'Grid_TTAFBalance'!F14</f>
        <v/>
      </c>
      <c r="G14">
        <f>'Grid_SelfBalance'!G14+'Grid_TTAFBalance'!G14</f>
        <v/>
      </c>
      <c r="H14">
        <f>'Grid_SelfBalance'!H14+'Grid_TTAFBalance'!H14</f>
        <v/>
      </c>
      <c r="I14">
        <f>'Grid_SelfBalance'!I14+'Grid_TTAFBalance'!I14</f>
        <v/>
      </c>
      <c r="J14">
        <f>'Grid_SelfBalance'!J14+'Grid_TTAFBalance'!J14</f>
        <v/>
      </c>
      <c r="K14">
        <f>'Grid_SelfBalance'!K14+'Grid_TTAFBalance'!K14</f>
        <v/>
      </c>
      <c r="L14">
        <f>'Grid_SelfBalance'!L14+'Grid_TTAFBalance'!L14</f>
        <v/>
      </c>
      <c r="M14">
        <f>'Grid_SelfBalance'!M14+'Grid_TTAFBalance'!M14</f>
        <v/>
      </c>
      <c r="N14">
        <f>'Grid_SelfBalance'!N14+'Grid_TTAFBalance'!N14</f>
        <v/>
      </c>
      <c r="O14">
        <f>'Grid_SelfBalance'!O14+'Grid_TTAFBalance'!O14</f>
        <v/>
      </c>
      <c r="P14">
        <f>'Grid_SelfBalance'!P14+'Grid_TTAFBalance'!P14</f>
        <v/>
      </c>
      <c r="Q14">
        <f>'Grid_SelfBalance'!Q14+'Grid_TTAFBalance'!Q14</f>
        <v/>
      </c>
      <c r="R14">
        <f>'Grid_SelfBalance'!R14+'Grid_TTAFBalance'!R14</f>
        <v/>
      </c>
      <c r="S14">
        <f>'Grid_SelfBalance'!S14+'Grid_TTAFBalance'!S14</f>
        <v/>
      </c>
      <c r="T14">
        <f>'Grid_SelfBalance'!T14+'Grid_TTAFBalance'!T14</f>
        <v/>
      </c>
      <c r="U14">
        <f>'Grid_SelfBalance'!U14+'Grid_TTAFBalance'!U14</f>
        <v/>
      </c>
      <c r="V14">
        <f>'Grid_SelfBalance'!V14+'Grid_TTAFBalance'!V14</f>
        <v/>
      </c>
      <c r="W14">
        <f>'Grid_SelfBalance'!W14+'Grid_TTAFBalance'!W14</f>
        <v/>
      </c>
      <c r="X14">
        <f>'Grid_SelfBalance'!X14+'Grid_TTAFBalance'!X14</f>
        <v/>
      </c>
      <c r="Y14">
        <f>'Grid_SelfBalance'!Y14+'Grid_TTAFBalance'!Y14</f>
        <v/>
      </c>
      <c r="Z14">
        <f>'Grid_SelfBalance'!Z14+'Grid_TTAFBalance'!Z14</f>
        <v/>
      </c>
      <c r="AA14">
        <f>'Grid_SelfBalance'!AA14+'Grid_TTAFBalance'!AA14</f>
        <v/>
      </c>
      <c r="AB14">
        <f>'Grid_SelfBalance'!AB14+'Grid_TTAFBalance'!AB14</f>
        <v/>
      </c>
      <c r="AC14">
        <f>'Grid_SelfBalance'!AC14+'Grid_TTAFBalance'!AC14</f>
        <v/>
      </c>
      <c r="AD14">
        <f>'Grid_SelfBalance'!AD14+'Grid_TTAFBalance'!AD14</f>
        <v/>
      </c>
      <c r="AE14">
        <f>'Grid_SelfBalance'!AE14+'Grid_TTAFBalance'!AE14</f>
        <v/>
      </c>
      <c r="AF14">
        <f>'Grid_SelfBalance'!AF14+'Grid_TTAFBalance'!AF14</f>
        <v/>
      </c>
      <c r="AG14">
        <f>'Grid_SelfBalance'!AG14+'Grid_TTAFBalance'!AG14</f>
        <v/>
      </c>
      <c r="AH14">
        <f>'Grid_SelfBalance'!AH14+'Grid_TTAFBalance'!AH14</f>
        <v/>
      </c>
      <c r="AI14">
        <f>'Grid_SelfBalance'!AI14+'Grid_TTAFBalance'!AI14</f>
        <v/>
      </c>
      <c r="AJ14">
        <f>'Grid_SelfBalance'!AJ14+'Grid_TTAFBalance'!AJ14</f>
        <v/>
      </c>
      <c r="AK14">
        <f>'Grid_SelfBalance'!AK14+'Grid_TTAFBalance'!AK14</f>
        <v/>
      </c>
      <c r="AL14">
        <f>'Grid_SelfBalance'!AL14+'Grid_TTAFBalance'!AL14</f>
        <v/>
      </c>
      <c r="AM14">
        <f>'Grid_SelfBalance'!AM14+'Grid_TTAFBalance'!AM14</f>
        <v/>
      </c>
      <c r="AN14">
        <f>'Grid_SelfBalance'!AN14+'Grid_TTAFBalance'!AN14</f>
        <v/>
      </c>
      <c r="AO14">
        <f>'Grid_SelfBalance'!AO14+'Grid_TTAFBalance'!AO14</f>
        <v/>
      </c>
      <c r="AP14">
        <f>'Grid_SelfBalance'!AP14+'Grid_TTAFBalance'!AP14</f>
        <v/>
      </c>
      <c r="AQ14">
        <f>'Grid_SelfBalance'!AQ14+'Grid_TTAFBalance'!AQ14</f>
        <v/>
      </c>
      <c r="AR14">
        <f>'Grid_SelfBalance'!AR14+'Grid_TTAFBalance'!AR14</f>
        <v/>
      </c>
      <c r="AS14">
        <f>'Grid_SelfBalance'!AS14+'Grid_TTAFBalance'!AS14</f>
        <v/>
      </c>
      <c r="AT14">
        <f>'Grid_SelfBalance'!AT14+'Grid_TTAFBalance'!AT14</f>
        <v/>
      </c>
      <c r="AU14">
        <f>'Grid_SelfBalance'!AU14+'Grid_TTAFBalance'!AU14</f>
        <v/>
      </c>
      <c r="AV14">
        <f>'Grid_SelfBalance'!AV14+'Grid_TTAFBalance'!AV14</f>
        <v/>
      </c>
      <c r="AW14">
        <f>'Grid_SelfBalance'!AW14+'Grid_TTAFBalance'!AW14</f>
        <v/>
      </c>
      <c r="AX14">
        <f>'Grid_SelfBalance'!AX14+'Grid_TTAFBalance'!AX14</f>
        <v/>
      </c>
      <c r="AY14">
        <f>'Grid_SelfBalance'!AY14+'Grid_TTAFBalance'!AY14</f>
        <v/>
      </c>
      <c r="AZ14">
        <f>'Grid_SelfBalance'!AZ14+'Grid_TTAFBalance'!AZ14</f>
        <v/>
      </c>
      <c r="BA14">
        <f>'Grid_SelfBalance'!BA14+'Grid_TTAFBalance'!BA14</f>
        <v/>
      </c>
      <c r="BB14">
        <f>'Grid_SelfBalance'!BB14+'Grid_TTAFBalance'!BB14</f>
        <v/>
      </c>
      <c r="BC14">
        <f>'Grid_SelfBalance'!BC14+'Grid_TTAFBalance'!BC14</f>
        <v/>
      </c>
      <c r="BD14">
        <f>'Grid_SelfBalance'!BD14+'Grid_TTAFBalance'!BD14</f>
        <v/>
      </c>
      <c r="BE14">
        <f>'Grid_SelfBalance'!BE14+'Grid_TTAFBalance'!BE14</f>
        <v/>
      </c>
      <c r="BF14">
        <f>'Grid_SelfBalance'!BF14+'Grid_TTAFBalance'!BF14</f>
        <v/>
      </c>
      <c r="BG14">
        <f>'Grid_SelfBalance'!BG14+'Grid_TTAFBalance'!BG14</f>
        <v/>
      </c>
      <c r="BH14">
        <f>'Grid_SelfBalance'!BH14+'Grid_TTAFBalance'!BH14</f>
        <v/>
      </c>
      <c r="BI14">
        <f>'Grid_SelfBalance'!BI14+'Grid_TTAFBalance'!BI14</f>
        <v/>
      </c>
      <c r="BJ14">
        <f>'Grid_SelfBalance'!BJ14+'Grid_TTAFBalance'!BJ14</f>
        <v/>
      </c>
      <c r="BK14">
        <f>'Grid_SelfBalance'!BK14+'Grid_TTAFBalance'!BK14</f>
        <v/>
      </c>
      <c r="BL14">
        <f>'Grid_SelfBalance'!BL14+'Grid_TTAFBalance'!BL14</f>
        <v/>
      </c>
      <c r="BM14">
        <f>'Grid_SelfBalance'!BM14+'Grid_TTAFBalance'!BM14</f>
        <v/>
      </c>
      <c r="BN14">
        <f>'Grid_SelfBalance'!BN14+'Grid_TTAFBalance'!BN14</f>
        <v/>
      </c>
      <c r="BO14">
        <f>'Grid_SelfBalance'!BO14+'Grid_TTAFBalance'!BO14</f>
        <v/>
      </c>
      <c r="BP14">
        <f>'Grid_SelfBalance'!BP14+'Grid_TTAFBalance'!BP14</f>
        <v/>
      </c>
      <c r="BQ14">
        <f>'Grid_SelfBalance'!BQ14+'Grid_TTAFBalance'!BQ14</f>
        <v/>
      </c>
      <c r="BR14">
        <f>'Grid_SelfBalance'!BR14+'Grid_TTAFBalance'!BR14</f>
        <v/>
      </c>
      <c r="BS14">
        <f>'Grid_SelfBalance'!BS14+'Grid_TTAFBalance'!BS14</f>
        <v/>
      </c>
      <c r="BT14">
        <f>'Grid_SelfBalance'!BT14+'Grid_TTAFBalance'!BT14</f>
        <v/>
      </c>
      <c r="BU14">
        <f>'Grid_SelfBalance'!BU14+'Grid_TTAFBalance'!BU14</f>
        <v/>
      </c>
      <c r="BV14">
        <f>'Grid_SelfBalance'!BV14+'Grid_TTAFBalance'!BV14</f>
        <v/>
      </c>
      <c r="BW14">
        <f>'Grid_SelfBalance'!BW14+'Grid_TTAFBalance'!BW14</f>
        <v/>
      </c>
      <c r="BX14">
        <f>'Grid_SelfBalance'!BX14+'Grid_TTAFBalance'!BX14</f>
        <v/>
      </c>
      <c r="BY14">
        <f>'Grid_SelfBalance'!BY14+'Grid_TTAFBalance'!BY14</f>
        <v/>
      </c>
      <c r="BZ14">
        <f>'Grid_SelfBalance'!BZ14+'Grid_TTAFBalance'!BZ14</f>
        <v/>
      </c>
      <c r="CA14">
        <f>'Grid_SelfBalance'!CA14+'Grid_TTAFBalance'!CA14</f>
        <v/>
      </c>
      <c r="CB14">
        <f>'Grid_SelfBalance'!CB14+'Grid_TTAFBalance'!CB14</f>
        <v/>
      </c>
      <c r="CC14">
        <f>'Grid_SelfBalance'!CC14+'Grid_TTAFBalance'!CC14</f>
        <v/>
      </c>
      <c r="CD14">
        <f>'Grid_SelfBalance'!CD14+'Grid_TTAFBalance'!CD14</f>
        <v/>
      </c>
      <c r="CE14">
        <f>'Grid_SelfBalance'!CE14+'Grid_TTAFBalance'!CE14</f>
        <v/>
      </c>
      <c r="CF14">
        <f>'Grid_SelfBalance'!CF14+'Grid_TTAFBalance'!CF14</f>
        <v/>
      </c>
      <c r="CG14">
        <f>'Grid_SelfBalance'!CG14+'Grid_TTAFBalance'!CG14</f>
        <v/>
      </c>
      <c r="CH14">
        <f>'Grid_SelfBalance'!CH14+'Grid_TTAFBalance'!CH14</f>
        <v/>
      </c>
      <c r="CI14">
        <f>'Grid_SelfBalance'!CI14+'Grid_TTAFBalance'!CI14</f>
        <v/>
      </c>
      <c r="CJ14">
        <f>'Grid_SelfBalance'!CJ14+'Grid_TTAFBalance'!CJ14</f>
        <v/>
      </c>
      <c r="CK14">
        <f>'Grid_SelfBalance'!CK14+'Grid_TTAFBalance'!CK14</f>
        <v/>
      </c>
      <c r="CL14">
        <f>'Grid_SelfBalance'!CL14+'Grid_TTAFBalance'!CL14</f>
        <v/>
      </c>
      <c r="CM14">
        <f>'Grid_SelfBalance'!CM14+'Grid_TTAFBalance'!CM14</f>
        <v/>
      </c>
      <c r="CN14">
        <f>'Grid_SelfBalance'!CN14+'Grid_TTAFBalance'!CN14</f>
        <v/>
      </c>
      <c r="CO14">
        <f>'Grid_SelfBalance'!CO14+'Grid_TTAFBalance'!CO14</f>
        <v/>
      </c>
      <c r="CP14">
        <f>'Grid_SelfBalance'!CP14+'Grid_TTAFBalance'!CP14</f>
        <v/>
      </c>
      <c r="CQ14">
        <f>'Grid_SelfBalance'!CQ14+'Grid_TTAFBalance'!CQ14</f>
        <v/>
      </c>
      <c r="CR14">
        <f>'Grid_SelfBalance'!CR14+'Grid_TTAFBalance'!CR14</f>
        <v/>
      </c>
      <c r="CS14">
        <f>'Grid_SelfBalance'!CS14+'Grid_TTAFBalance'!CS14</f>
        <v/>
      </c>
      <c r="CT14">
        <f>'Grid_SelfBalance'!CT14+'Grid_TTAFBalance'!CT14</f>
        <v/>
      </c>
      <c r="CU14">
        <f>'Grid_SelfBalance'!CU14+'Grid_TTAFBalance'!CU14</f>
        <v/>
      </c>
      <c r="CV14">
        <f>'Grid_SelfBalance'!CV14+'Grid_TTAFBalance'!CV14</f>
        <v/>
      </c>
      <c r="CW14">
        <f>'Grid_SelfBalance'!CW14+'Grid_TTAFBalance'!CW14</f>
        <v/>
      </c>
      <c r="CX14">
        <f>'Grid_SelfBalance'!CX14+'Grid_TTAFBalance'!CX14</f>
        <v/>
      </c>
      <c r="CY14">
        <f>'Grid_SelfBalance'!CY14+'Grid_TTAFBalance'!CY14</f>
        <v/>
      </c>
      <c r="CZ14">
        <f>'Grid_SelfBalance'!CZ14+'Grid_TTAFBalance'!CZ14</f>
        <v/>
      </c>
      <c r="DA14">
        <f>'Grid_SelfBalance'!DA14+'Grid_TTAFBalance'!DA14</f>
        <v/>
      </c>
    </row>
    <row r="15">
      <c r="A15" t="inlineStr">
        <is>
          <t>CHEM-1400</t>
        </is>
      </c>
      <c r="B15">
        <f>'Grid_SelfBalance'!B15+'Grid_TTAFBalance'!B15</f>
        <v/>
      </c>
      <c r="C15">
        <f>'Grid_SelfBalance'!C15+'Grid_TTAFBalance'!C15</f>
        <v/>
      </c>
      <c r="D15">
        <f>'Grid_SelfBalance'!D15+'Grid_TTAFBalance'!D15</f>
        <v/>
      </c>
      <c r="E15">
        <f>'Grid_SelfBalance'!E15+'Grid_TTAFBalance'!E15</f>
        <v/>
      </c>
      <c r="F15">
        <f>'Grid_SelfBalance'!F15+'Grid_TTAFBalance'!F15</f>
        <v/>
      </c>
      <c r="G15">
        <f>'Grid_SelfBalance'!G15+'Grid_TTAFBalance'!G15</f>
        <v/>
      </c>
      <c r="H15">
        <f>'Grid_SelfBalance'!H15+'Grid_TTAFBalance'!H15</f>
        <v/>
      </c>
      <c r="I15">
        <f>'Grid_SelfBalance'!I15+'Grid_TTAFBalance'!I15</f>
        <v/>
      </c>
      <c r="J15">
        <f>'Grid_SelfBalance'!J15+'Grid_TTAFBalance'!J15</f>
        <v/>
      </c>
      <c r="K15">
        <f>'Grid_SelfBalance'!K15+'Grid_TTAFBalance'!K15</f>
        <v/>
      </c>
      <c r="L15">
        <f>'Grid_SelfBalance'!L15+'Grid_TTAFBalance'!L15</f>
        <v/>
      </c>
      <c r="M15">
        <f>'Grid_SelfBalance'!M15+'Grid_TTAFBalance'!M15</f>
        <v/>
      </c>
      <c r="N15">
        <f>'Grid_SelfBalance'!N15+'Grid_TTAFBalance'!N15</f>
        <v/>
      </c>
      <c r="O15">
        <f>'Grid_SelfBalance'!O15+'Grid_TTAFBalance'!O15</f>
        <v/>
      </c>
      <c r="P15">
        <f>'Grid_SelfBalance'!P15+'Grid_TTAFBalance'!P15</f>
        <v/>
      </c>
      <c r="Q15">
        <f>'Grid_SelfBalance'!Q15+'Grid_TTAFBalance'!Q15</f>
        <v/>
      </c>
      <c r="R15">
        <f>'Grid_SelfBalance'!R15+'Grid_TTAFBalance'!R15</f>
        <v/>
      </c>
      <c r="S15">
        <f>'Grid_SelfBalance'!S15+'Grid_TTAFBalance'!S15</f>
        <v/>
      </c>
      <c r="T15">
        <f>'Grid_SelfBalance'!T15+'Grid_TTAFBalance'!T15</f>
        <v/>
      </c>
      <c r="U15">
        <f>'Grid_SelfBalance'!U15+'Grid_TTAFBalance'!U15</f>
        <v/>
      </c>
      <c r="V15">
        <f>'Grid_SelfBalance'!V15+'Grid_TTAFBalance'!V15</f>
        <v/>
      </c>
      <c r="W15">
        <f>'Grid_SelfBalance'!W15+'Grid_TTAFBalance'!W15</f>
        <v/>
      </c>
      <c r="X15">
        <f>'Grid_SelfBalance'!X15+'Grid_TTAFBalance'!X15</f>
        <v/>
      </c>
      <c r="Y15">
        <f>'Grid_SelfBalance'!Y15+'Grid_TTAFBalance'!Y15</f>
        <v/>
      </c>
      <c r="Z15">
        <f>'Grid_SelfBalance'!Z15+'Grid_TTAFBalance'!Z15</f>
        <v/>
      </c>
      <c r="AA15">
        <f>'Grid_SelfBalance'!AA15+'Grid_TTAFBalance'!AA15</f>
        <v/>
      </c>
      <c r="AB15">
        <f>'Grid_SelfBalance'!AB15+'Grid_TTAFBalance'!AB15</f>
        <v/>
      </c>
      <c r="AC15">
        <f>'Grid_SelfBalance'!AC15+'Grid_TTAFBalance'!AC15</f>
        <v/>
      </c>
      <c r="AD15">
        <f>'Grid_SelfBalance'!AD15+'Grid_TTAFBalance'!AD15</f>
        <v/>
      </c>
      <c r="AE15">
        <f>'Grid_SelfBalance'!AE15+'Grid_TTAFBalance'!AE15</f>
        <v/>
      </c>
      <c r="AF15">
        <f>'Grid_SelfBalance'!AF15+'Grid_TTAFBalance'!AF15</f>
        <v/>
      </c>
      <c r="AG15">
        <f>'Grid_SelfBalance'!AG15+'Grid_TTAFBalance'!AG15</f>
        <v/>
      </c>
      <c r="AH15">
        <f>'Grid_SelfBalance'!AH15+'Grid_TTAFBalance'!AH15</f>
        <v/>
      </c>
      <c r="AI15">
        <f>'Grid_SelfBalance'!AI15+'Grid_TTAFBalance'!AI15</f>
        <v/>
      </c>
      <c r="AJ15">
        <f>'Grid_SelfBalance'!AJ15+'Grid_TTAFBalance'!AJ15</f>
        <v/>
      </c>
      <c r="AK15">
        <f>'Grid_SelfBalance'!AK15+'Grid_TTAFBalance'!AK15</f>
        <v/>
      </c>
      <c r="AL15">
        <f>'Grid_SelfBalance'!AL15+'Grid_TTAFBalance'!AL15</f>
        <v/>
      </c>
      <c r="AM15">
        <f>'Grid_SelfBalance'!AM15+'Grid_TTAFBalance'!AM15</f>
        <v/>
      </c>
      <c r="AN15">
        <f>'Grid_SelfBalance'!AN15+'Grid_TTAFBalance'!AN15</f>
        <v/>
      </c>
      <c r="AO15">
        <f>'Grid_SelfBalance'!AO15+'Grid_TTAFBalance'!AO15</f>
        <v/>
      </c>
      <c r="AP15">
        <f>'Grid_SelfBalance'!AP15+'Grid_TTAFBalance'!AP15</f>
        <v/>
      </c>
      <c r="AQ15">
        <f>'Grid_SelfBalance'!AQ15+'Grid_TTAFBalance'!AQ15</f>
        <v/>
      </c>
      <c r="AR15">
        <f>'Grid_SelfBalance'!AR15+'Grid_TTAFBalance'!AR15</f>
        <v/>
      </c>
      <c r="AS15">
        <f>'Grid_SelfBalance'!AS15+'Grid_TTAFBalance'!AS15</f>
        <v/>
      </c>
      <c r="AT15">
        <f>'Grid_SelfBalance'!AT15+'Grid_TTAFBalance'!AT15</f>
        <v/>
      </c>
      <c r="AU15">
        <f>'Grid_SelfBalance'!AU15+'Grid_TTAFBalance'!AU15</f>
        <v/>
      </c>
      <c r="AV15">
        <f>'Grid_SelfBalance'!AV15+'Grid_TTAFBalance'!AV15</f>
        <v/>
      </c>
      <c r="AW15">
        <f>'Grid_SelfBalance'!AW15+'Grid_TTAFBalance'!AW15</f>
        <v/>
      </c>
      <c r="AX15">
        <f>'Grid_SelfBalance'!AX15+'Grid_TTAFBalance'!AX15</f>
        <v/>
      </c>
      <c r="AY15">
        <f>'Grid_SelfBalance'!AY15+'Grid_TTAFBalance'!AY15</f>
        <v/>
      </c>
      <c r="AZ15">
        <f>'Grid_SelfBalance'!AZ15+'Grid_TTAFBalance'!AZ15</f>
        <v/>
      </c>
      <c r="BA15">
        <f>'Grid_SelfBalance'!BA15+'Grid_TTAFBalance'!BA15</f>
        <v/>
      </c>
      <c r="BB15">
        <f>'Grid_SelfBalance'!BB15+'Grid_TTAFBalance'!BB15</f>
        <v/>
      </c>
      <c r="BC15">
        <f>'Grid_SelfBalance'!BC15+'Grid_TTAFBalance'!BC15</f>
        <v/>
      </c>
      <c r="BD15">
        <f>'Grid_SelfBalance'!BD15+'Grid_TTAFBalance'!BD15</f>
        <v/>
      </c>
      <c r="BE15">
        <f>'Grid_SelfBalance'!BE15+'Grid_TTAFBalance'!BE15</f>
        <v/>
      </c>
      <c r="BF15">
        <f>'Grid_SelfBalance'!BF15+'Grid_TTAFBalance'!BF15</f>
        <v/>
      </c>
      <c r="BG15">
        <f>'Grid_SelfBalance'!BG15+'Grid_TTAFBalance'!BG15</f>
        <v/>
      </c>
      <c r="BH15">
        <f>'Grid_SelfBalance'!BH15+'Grid_TTAFBalance'!BH15</f>
        <v/>
      </c>
      <c r="BI15">
        <f>'Grid_SelfBalance'!BI15+'Grid_TTAFBalance'!BI15</f>
        <v/>
      </c>
      <c r="BJ15">
        <f>'Grid_SelfBalance'!BJ15+'Grid_TTAFBalance'!BJ15</f>
        <v/>
      </c>
      <c r="BK15">
        <f>'Grid_SelfBalance'!BK15+'Grid_TTAFBalance'!BK15</f>
        <v/>
      </c>
      <c r="BL15">
        <f>'Grid_SelfBalance'!BL15+'Grid_TTAFBalance'!BL15</f>
        <v/>
      </c>
      <c r="BM15">
        <f>'Grid_SelfBalance'!BM15+'Grid_TTAFBalance'!BM15</f>
        <v/>
      </c>
      <c r="BN15">
        <f>'Grid_SelfBalance'!BN15+'Grid_TTAFBalance'!BN15</f>
        <v/>
      </c>
      <c r="BO15">
        <f>'Grid_SelfBalance'!BO15+'Grid_TTAFBalance'!BO15</f>
        <v/>
      </c>
      <c r="BP15">
        <f>'Grid_SelfBalance'!BP15+'Grid_TTAFBalance'!BP15</f>
        <v/>
      </c>
      <c r="BQ15">
        <f>'Grid_SelfBalance'!BQ15+'Grid_TTAFBalance'!BQ15</f>
        <v/>
      </c>
      <c r="BR15">
        <f>'Grid_SelfBalance'!BR15+'Grid_TTAFBalance'!BR15</f>
        <v/>
      </c>
      <c r="BS15">
        <f>'Grid_SelfBalance'!BS15+'Grid_TTAFBalance'!BS15</f>
        <v/>
      </c>
      <c r="BT15">
        <f>'Grid_SelfBalance'!BT15+'Grid_TTAFBalance'!BT15</f>
        <v/>
      </c>
      <c r="BU15">
        <f>'Grid_SelfBalance'!BU15+'Grid_TTAFBalance'!BU15</f>
        <v/>
      </c>
      <c r="BV15">
        <f>'Grid_SelfBalance'!BV15+'Grid_TTAFBalance'!BV15</f>
        <v/>
      </c>
      <c r="BW15">
        <f>'Grid_SelfBalance'!BW15+'Grid_TTAFBalance'!BW15</f>
        <v/>
      </c>
      <c r="BX15">
        <f>'Grid_SelfBalance'!BX15+'Grid_TTAFBalance'!BX15</f>
        <v/>
      </c>
      <c r="BY15">
        <f>'Grid_SelfBalance'!BY15+'Grid_TTAFBalance'!BY15</f>
        <v/>
      </c>
      <c r="BZ15">
        <f>'Grid_SelfBalance'!BZ15+'Grid_TTAFBalance'!BZ15</f>
        <v/>
      </c>
      <c r="CA15">
        <f>'Grid_SelfBalance'!CA15+'Grid_TTAFBalance'!CA15</f>
        <v/>
      </c>
      <c r="CB15">
        <f>'Grid_SelfBalance'!CB15+'Grid_TTAFBalance'!CB15</f>
        <v/>
      </c>
      <c r="CC15">
        <f>'Grid_SelfBalance'!CC15+'Grid_TTAFBalance'!CC15</f>
        <v/>
      </c>
      <c r="CD15">
        <f>'Grid_SelfBalance'!CD15+'Grid_TTAFBalance'!CD15</f>
        <v/>
      </c>
      <c r="CE15">
        <f>'Grid_SelfBalance'!CE15+'Grid_TTAFBalance'!CE15</f>
        <v/>
      </c>
      <c r="CF15">
        <f>'Grid_SelfBalance'!CF15+'Grid_TTAFBalance'!CF15</f>
        <v/>
      </c>
      <c r="CG15">
        <f>'Grid_SelfBalance'!CG15+'Grid_TTAFBalance'!CG15</f>
        <v/>
      </c>
      <c r="CH15">
        <f>'Grid_SelfBalance'!CH15+'Grid_TTAFBalance'!CH15</f>
        <v/>
      </c>
      <c r="CI15">
        <f>'Grid_SelfBalance'!CI15+'Grid_TTAFBalance'!CI15</f>
        <v/>
      </c>
      <c r="CJ15">
        <f>'Grid_SelfBalance'!CJ15+'Grid_TTAFBalance'!CJ15</f>
        <v/>
      </c>
      <c r="CK15">
        <f>'Grid_SelfBalance'!CK15+'Grid_TTAFBalance'!CK15</f>
        <v/>
      </c>
      <c r="CL15">
        <f>'Grid_SelfBalance'!CL15+'Grid_TTAFBalance'!CL15</f>
        <v/>
      </c>
      <c r="CM15">
        <f>'Grid_SelfBalance'!CM15+'Grid_TTAFBalance'!CM15</f>
        <v/>
      </c>
      <c r="CN15">
        <f>'Grid_SelfBalance'!CN15+'Grid_TTAFBalance'!CN15</f>
        <v/>
      </c>
      <c r="CO15">
        <f>'Grid_SelfBalance'!CO15+'Grid_TTAFBalance'!CO15</f>
        <v/>
      </c>
      <c r="CP15">
        <f>'Grid_SelfBalance'!CP15+'Grid_TTAFBalance'!CP15</f>
        <v/>
      </c>
      <c r="CQ15">
        <f>'Grid_SelfBalance'!CQ15+'Grid_TTAFBalance'!CQ15</f>
        <v/>
      </c>
      <c r="CR15">
        <f>'Grid_SelfBalance'!CR15+'Grid_TTAFBalance'!CR15</f>
        <v/>
      </c>
      <c r="CS15">
        <f>'Grid_SelfBalance'!CS15+'Grid_TTAFBalance'!CS15</f>
        <v/>
      </c>
      <c r="CT15">
        <f>'Grid_SelfBalance'!CT15+'Grid_TTAFBalance'!CT15</f>
        <v/>
      </c>
      <c r="CU15">
        <f>'Grid_SelfBalance'!CU15+'Grid_TTAFBalance'!CU15</f>
        <v/>
      </c>
      <c r="CV15">
        <f>'Grid_SelfBalance'!CV15+'Grid_TTAFBalance'!CV15</f>
        <v/>
      </c>
      <c r="CW15">
        <f>'Grid_SelfBalance'!CW15+'Grid_TTAFBalance'!CW15</f>
        <v/>
      </c>
      <c r="CX15">
        <f>'Grid_SelfBalance'!CX15+'Grid_TTAFBalance'!CX15</f>
        <v/>
      </c>
      <c r="CY15">
        <f>'Grid_SelfBalance'!CY15+'Grid_TTAFBalance'!CY15</f>
        <v/>
      </c>
      <c r="CZ15">
        <f>'Grid_SelfBalance'!CZ15+'Grid_TTAFBalance'!CZ15</f>
        <v/>
      </c>
      <c r="DA15">
        <f>'Grid_SelfBalance'!DA15+'Grid_TTAFBalance'!DA15</f>
        <v/>
      </c>
    </row>
    <row r="16">
      <c r="A16" t="inlineStr">
        <is>
          <t>CHEM-1570</t>
        </is>
      </c>
      <c r="B16">
        <f>'Grid_SelfBalance'!B16+'Grid_TTAFBalance'!B16</f>
        <v/>
      </c>
      <c r="C16">
        <f>'Grid_SelfBalance'!C16+'Grid_TTAFBalance'!C16</f>
        <v/>
      </c>
      <c r="D16">
        <f>'Grid_SelfBalance'!D16+'Grid_TTAFBalance'!D16</f>
        <v/>
      </c>
      <c r="E16">
        <f>'Grid_SelfBalance'!E16+'Grid_TTAFBalance'!E16</f>
        <v/>
      </c>
      <c r="F16">
        <f>'Grid_SelfBalance'!F16+'Grid_TTAFBalance'!F16</f>
        <v/>
      </c>
      <c r="G16">
        <f>'Grid_SelfBalance'!G16+'Grid_TTAFBalance'!G16</f>
        <v/>
      </c>
      <c r="H16">
        <f>'Grid_SelfBalance'!H16+'Grid_TTAFBalance'!H16</f>
        <v/>
      </c>
      <c r="I16">
        <f>'Grid_SelfBalance'!I16+'Grid_TTAFBalance'!I16</f>
        <v/>
      </c>
      <c r="J16">
        <f>'Grid_SelfBalance'!J16+'Grid_TTAFBalance'!J16</f>
        <v/>
      </c>
      <c r="K16">
        <f>'Grid_SelfBalance'!K16+'Grid_TTAFBalance'!K16</f>
        <v/>
      </c>
      <c r="L16">
        <f>'Grid_SelfBalance'!L16+'Grid_TTAFBalance'!L16</f>
        <v/>
      </c>
      <c r="M16">
        <f>'Grid_SelfBalance'!M16+'Grid_TTAFBalance'!M16</f>
        <v/>
      </c>
      <c r="N16">
        <f>'Grid_SelfBalance'!N16+'Grid_TTAFBalance'!N16</f>
        <v/>
      </c>
      <c r="O16">
        <f>'Grid_SelfBalance'!O16+'Grid_TTAFBalance'!O16</f>
        <v/>
      </c>
      <c r="P16">
        <f>'Grid_SelfBalance'!P16+'Grid_TTAFBalance'!P16</f>
        <v/>
      </c>
      <c r="Q16">
        <f>'Grid_SelfBalance'!Q16+'Grid_TTAFBalance'!Q16</f>
        <v/>
      </c>
      <c r="R16">
        <f>'Grid_SelfBalance'!R16+'Grid_TTAFBalance'!R16</f>
        <v/>
      </c>
      <c r="S16">
        <f>'Grid_SelfBalance'!S16+'Grid_TTAFBalance'!S16</f>
        <v/>
      </c>
      <c r="T16">
        <f>'Grid_SelfBalance'!T16+'Grid_TTAFBalance'!T16</f>
        <v/>
      </c>
      <c r="U16">
        <f>'Grid_SelfBalance'!U16+'Grid_TTAFBalance'!U16</f>
        <v/>
      </c>
      <c r="V16">
        <f>'Grid_SelfBalance'!V16+'Grid_TTAFBalance'!V16</f>
        <v/>
      </c>
      <c r="W16">
        <f>'Grid_SelfBalance'!W16+'Grid_TTAFBalance'!W16</f>
        <v/>
      </c>
      <c r="X16">
        <f>'Grid_SelfBalance'!X16+'Grid_TTAFBalance'!X16</f>
        <v/>
      </c>
      <c r="Y16">
        <f>'Grid_SelfBalance'!Y16+'Grid_TTAFBalance'!Y16</f>
        <v/>
      </c>
      <c r="Z16">
        <f>'Grid_SelfBalance'!Z16+'Grid_TTAFBalance'!Z16</f>
        <v/>
      </c>
      <c r="AA16">
        <f>'Grid_SelfBalance'!AA16+'Grid_TTAFBalance'!AA16</f>
        <v/>
      </c>
      <c r="AB16">
        <f>'Grid_SelfBalance'!AB16+'Grid_TTAFBalance'!AB16</f>
        <v/>
      </c>
      <c r="AC16">
        <f>'Grid_SelfBalance'!AC16+'Grid_TTAFBalance'!AC16</f>
        <v/>
      </c>
      <c r="AD16">
        <f>'Grid_SelfBalance'!AD16+'Grid_TTAFBalance'!AD16</f>
        <v/>
      </c>
      <c r="AE16">
        <f>'Grid_SelfBalance'!AE16+'Grid_TTAFBalance'!AE16</f>
        <v/>
      </c>
      <c r="AF16">
        <f>'Grid_SelfBalance'!AF16+'Grid_TTAFBalance'!AF16</f>
        <v/>
      </c>
      <c r="AG16">
        <f>'Grid_SelfBalance'!AG16+'Grid_TTAFBalance'!AG16</f>
        <v/>
      </c>
      <c r="AH16">
        <f>'Grid_SelfBalance'!AH16+'Grid_TTAFBalance'!AH16</f>
        <v/>
      </c>
      <c r="AI16">
        <f>'Grid_SelfBalance'!AI16+'Grid_TTAFBalance'!AI16</f>
        <v/>
      </c>
      <c r="AJ16">
        <f>'Grid_SelfBalance'!AJ16+'Grid_TTAFBalance'!AJ16</f>
        <v/>
      </c>
      <c r="AK16">
        <f>'Grid_SelfBalance'!AK16+'Grid_TTAFBalance'!AK16</f>
        <v/>
      </c>
      <c r="AL16">
        <f>'Grid_SelfBalance'!AL16+'Grid_TTAFBalance'!AL16</f>
        <v/>
      </c>
      <c r="AM16">
        <f>'Grid_SelfBalance'!AM16+'Grid_TTAFBalance'!AM16</f>
        <v/>
      </c>
      <c r="AN16">
        <f>'Grid_SelfBalance'!AN16+'Grid_TTAFBalance'!AN16</f>
        <v/>
      </c>
      <c r="AO16">
        <f>'Grid_SelfBalance'!AO16+'Grid_TTAFBalance'!AO16</f>
        <v/>
      </c>
      <c r="AP16">
        <f>'Grid_SelfBalance'!AP16+'Grid_TTAFBalance'!AP16</f>
        <v/>
      </c>
      <c r="AQ16">
        <f>'Grid_SelfBalance'!AQ16+'Grid_TTAFBalance'!AQ16</f>
        <v/>
      </c>
      <c r="AR16">
        <f>'Grid_SelfBalance'!AR16+'Grid_TTAFBalance'!AR16</f>
        <v/>
      </c>
      <c r="AS16">
        <f>'Grid_SelfBalance'!AS16+'Grid_TTAFBalance'!AS16</f>
        <v/>
      </c>
      <c r="AT16">
        <f>'Grid_SelfBalance'!AT16+'Grid_TTAFBalance'!AT16</f>
        <v/>
      </c>
      <c r="AU16">
        <f>'Grid_SelfBalance'!AU16+'Grid_TTAFBalance'!AU16</f>
        <v/>
      </c>
      <c r="AV16">
        <f>'Grid_SelfBalance'!AV16+'Grid_TTAFBalance'!AV16</f>
        <v/>
      </c>
      <c r="AW16">
        <f>'Grid_SelfBalance'!AW16+'Grid_TTAFBalance'!AW16</f>
        <v/>
      </c>
      <c r="AX16">
        <f>'Grid_SelfBalance'!AX16+'Grid_TTAFBalance'!AX16</f>
        <v/>
      </c>
      <c r="AY16">
        <f>'Grid_SelfBalance'!AY16+'Grid_TTAFBalance'!AY16</f>
        <v/>
      </c>
      <c r="AZ16">
        <f>'Grid_SelfBalance'!AZ16+'Grid_TTAFBalance'!AZ16</f>
        <v/>
      </c>
      <c r="BA16">
        <f>'Grid_SelfBalance'!BA16+'Grid_TTAFBalance'!BA16</f>
        <v/>
      </c>
      <c r="BB16">
        <f>'Grid_SelfBalance'!BB16+'Grid_TTAFBalance'!BB16</f>
        <v/>
      </c>
      <c r="BC16">
        <f>'Grid_SelfBalance'!BC16+'Grid_TTAFBalance'!BC16</f>
        <v/>
      </c>
      <c r="BD16">
        <f>'Grid_SelfBalance'!BD16+'Grid_TTAFBalance'!BD16</f>
        <v/>
      </c>
      <c r="BE16">
        <f>'Grid_SelfBalance'!BE16+'Grid_TTAFBalance'!BE16</f>
        <v/>
      </c>
      <c r="BF16">
        <f>'Grid_SelfBalance'!BF16+'Grid_TTAFBalance'!BF16</f>
        <v/>
      </c>
      <c r="BG16">
        <f>'Grid_SelfBalance'!BG16+'Grid_TTAFBalance'!BG16</f>
        <v/>
      </c>
      <c r="BH16">
        <f>'Grid_SelfBalance'!BH16+'Grid_TTAFBalance'!BH16</f>
        <v/>
      </c>
      <c r="BI16">
        <f>'Grid_SelfBalance'!BI16+'Grid_TTAFBalance'!BI16</f>
        <v/>
      </c>
      <c r="BJ16">
        <f>'Grid_SelfBalance'!BJ16+'Grid_TTAFBalance'!BJ16</f>
        <v/>
      </c>
      <c r="BK16">
        <f>'Grid_SelfBalance'!BK16+'Grid_TTAFBalance'!BK16</f>
        <v/>
      </c>
      <c r="BL16">
        <f>'Grid_SelfBalance'!BL16+'Grid_TTAFBalance'!BL16</f>
        <v/>
      </c>
      <c r="BM16">
        <f>'Grid_SelfBalance'!BM16+'Grid_TTAFBalance'!BM16</f>
        <v/>
      </c>
      <c r="BN16">
        <f>'Grid_SelfBalance'!BN16+'Grid_TTAFBalance'!BN16</f>
        <v/>
      </c>
      <c r="BO16">
        <f>'Grid_SelfBalance'!BO16+'Grid_TTAFBalance'!BO16</f>
        <v/>
      </c>
      <c r="BP16">
        <f>'Grid_SelfBalance'!BP16+'Grid_TTAFBalance'!BP16</f>
        <v/>
      </c>
      <c r="BQ16">
        <f>'Grid_SelfBalance'!BQ16+'Grid_TTAFBalance'!BQ16</f>
        <v/>
      </c>
      <c r="BR16">
        <f>'Grid_SelfBalance'!BR16+'Grid_TTAFBalance'!BR16</f>
        <v/>
      </c>
      <c r="BS16">
        <f>'Grid_SelfBalance'!BS16+'Grid_TTAFBalance'!BS16</f>
        <v/>
      </c>
      <c r="BT16">
        <f>'Grid_SelfBalance'!BT16+'Grid_TTAFBalance'!BT16</f>
        <v/>
      </c>
      <c r="BU16">
        <f>'Grid_SelfBalance'!BU16+'Grid_TTAFBalance'!BU16</f>
        <v/>
      </c>
      <c r="BV16">
        <f>'Grid_SelfBalance'!BV16+'Grid_TTAFBalance'!BV16</f>
        <v/>
      </c>
      <c r="BW16">
        <f>'Grid_SelfBalance'!BW16+'Grid_TTAFBalance'!BW16</f>
        <v/>
      </c>
      <c r="BX16">
        <f>'Grid_SelfBalance'!BX16+'Grid_TTAFBalance'!BX16</f>
        <v/>
      </c>
      <c r="BY16">
        <f>'Grid_SelfBalance'!BY16+'Grid_TTAFBalance'!BY16</f>
        <v/>
      </c>
      <c r="BZ16">
        <f>'Grid_SelfBalance'!BZ16+'Grid_TTAFBalance'!BZ16</f>
        <v/>
      </c>
      <c r="CA16">
        <f>'Grid_SelfBalance'!CA16+'Grid_TTAFBalance'!CA16</f>
        <v/>
      </c>
      <c r="CB16">
        <f>'Grid_SelfBalance'!CB16+'Grid_TTAFBalance'!CB16</f>
        <v/>
      </c>
      <c r="CC16">
        <f>'Grid_SelfBalance'!CC16+'Grid_TTAFBalance'!CC16</f>
        <v/>
      </c>
      <c r="CD16">
        <f>'Grid_SelfBalance'!CD16+'Grid_TTAFBalance'!CD16</f>
        <v/>
      </c>
      <c r="CE16">
        <f>'Grid_SelfBalance'!CE16+'Grid_TTAFBalance'!CE16</f>
        <v/>
      </c>
      <c r="CF16">
        <f>'Grid_SelfBalance'!CF16+'Grid_TTAFBalance'!CF16</f>
        <v/>
      </c>
      <c r="CG16">
        <f>'Grid_SelfBalance'!CG16+'Grid_TTAFBalance'!CG16</f>
        <v/>
      </c>
      <c r="CH16">
        <f>'Grid_SelfBalance'!CH16+'Grid_TTAFBalance'!CH16</f>
        <v/>
      </c>
      <c r="CI16">
        <f>'Grid_SelfBalance'!CI16+'Grid_TTAFBalance'!CI16</f>
        <v/>
      </c>
      <c r="CJ16">
        <f>'Grid_SelfBalance'!CJ16+'Grid_TTAFBalance'!CJ16</f>
        <v/>
      </c>
      <c r="CK16">
        <f>'Grid_SelfBalance'!CK16+'Grid_TTAFBalance'!CK16</f>
        <v/>
      </c>
      <c r="CL16">
        <f>'Grid_SelfBalance'!CL16+'Grid_TTAFBalance'!CL16</f>
        <v/>
      </c>
      <c r="CM16">
        <f>'Grid_SelfBalance'!CM16+'Grid_TTAFBalance'!CM16</f>
        <v/>
      </c>
      <c r="CN16">
        <f>'Grid_SelfBalance'!CN16+'Grid_TTAFBalance'!CN16</f>
        <v/>
      </c>
      <c r="CO16">
        <f>'Grid_SelfBalance'!CO16+'Grid_TTAFBalance'!CO16</f>
        <v/>
      </c>
      <c r="CP16">
        <f>'Grid_SelfBalance'!CP16+'Grid_TTAFBalance'!CP16</f>
        <v/>
      </c>
      <c r="CQ16">
        <f>'Grid_SelfBalance'!CQ16+'Grid_TTAFBalance'!CQ16</f>
        <v/>
      </c>
      <c r="CR16">
        <f>'Grid_SelfBalance'!CR16+'Grid_TTAFBalance'!CR16</f>
        <v/>
      </c>
      <c r="CS16">
        <f>'Grid_SelfBalance'!CS16+'Grid_TTAFBalance'!CS16</f>
        <v/>
      </c>
      <c r="CT16">
        <f>'Grid_SelfBalance'!CT16+'Grid_TTAFBalance'!CT16</f>
        <v/>
      </c>
      <c r="CU16">
        <f>'Grid_SelfBalance'!CU16+'Grid_TTAFBalance'!CU16</f>
        <v/>
      </c>
      <c r="CV16">
        <f>'Grid_SelfBalance'!CV16+'Grid_TTAFBalance'!CV16</f>
        <v/>
      </c>
      <c r="CW16">
        <f>'Grid_SelfBalance'!CW16+'Grid_TTAFBalance'!CW16</f>
        <v/>
      </c>
      <c r="CX16">
        <f>'Grid_SelfBalance'!CX16+'Grid_TTAFBalance'!CX16</f>
        <v/>
      </c>
      <c r="CY16">
        <f>'Grid_SelfBalance'!CY16+'Grid_TTAFBalance'!CY16</f>
        <v/>
      </c>
      <c r="CZ16">
        <f>'Grid_SelfBalance'!CZ16+'Grid_TTAFBalance'!CZ16</f>
        <v/>
      </c>
      <c r="DA16">
        <f>'Grid_SelfBalance'!DA16+'Grid_TTAFBalance'!DA16</f>
        <v/>
      </c>
    </row>
    <row r="17">
      <c r="A17" t="inlineStr">
        <is>
          <t>CHEM-1650</t>
        </is>
      </c>
      <c r="B17">
        <f>'Grid_SelfBalance'!B17+'Grid_TTAFBalance'!B17</f>
        <v/>
      </c>
      <c r="C17">
        <f>'Grid_SelfBalance'!C17+'Grid_TTAFBalance'!C17</f>
        <v/>
      </c>
      <c r="D17">
        <f>'Grid_SelfBalance'!D17+'Grid_TTAFBalance'!D17</f>
        <v/>
      </c>
      <c r="E17">
        <f>'Grid_SelfBalance'!E17+'Grid_TTAFBalance'!E17</f>
        <v/>
      </c>
      <c r="F17">
        <f>'Grid_SelfBalance'!F17+'Grid_TTAFBalance'!F17</f>
        <v/>
      </c>
      <c r="G17">
        <f>'Grid_SelfBalance'!G17+'Grid_TTAFBalance'!G17</f>
        <v/>
      </c>
      <c r="H17">
        <f>'Grid_SelfBalance'!H17+'Grid_TTAFBalance'!H17</f>
        <v/>
      </c>
      <c r="I17">
        <f>'Grid_SelfBalance'!I17+'Grid_TTAFBalance'!I17</f>
        <v/>
      </c>
      <c r="J17">
        <f>'Grid_SelfBalance'!J17+'Grid_TTAFBalance'!J17</f>
        <v/>
      </c>
      <c r="K17">
        <f>'Grid_SelfBalance'!K17+'Grid_TTAFBalance'!K17</f>
        <v/>
      </c>
      <c r="L17">
        <f>'Grid_SelfBalance'!L17+'Grid_TTAFBalance'!L17</f>
        <v/>
      </c>
      <c r="M17">
        <f>'Grid_SelfBalance'!M17+'Grid_TTAFBalance'!M17</f>
        <v/>
      </c>
      <c r="N17">
        <f>'Grid_SelfBalance'!N17+'Grid_TTAFBalance'!N17</f>
        <v/>
      </c>
      <c r="O17">
        <f>'Grid_SelfBalance'!O17+'Grid_TTAFBalance'!O17</f>
        <v/>
      </c>
      <c r="P17">
        <f>'Grid_SelfBalance'!P17+'Grid_TTAFBalance'!P17</f>
        <v/>
      </c>
      <c r="Q17">
        <f>'Grid_SelfBalance'!Q17+'Grid_TTAFBalance'!Q17</f>
        <v/>
      </c>
      <c r="R17">
        <f>'Grid_SelfBalance'!R17+'Grid_TTAFBalance'!R17</f>
        <v/>
      </c>
      <c r="S17">
        <f>'Grid_SelfBalance'!S17+'Grid_TTAFBalance'!S17</f>
        <v/>
      </c>
      <c r="T17">
        <f>'Grid_SelfBalance'!T17+'Grid_TTAFBalance'!T17</f>
        <v/>
      </c>
      <c r="U17">
        <f>'Grid_SelfBalance'!U17+'Grid_TTAFBalance'!U17</f>
        <v/>
      </c>
      <c r="V17">
        <f>'Grid_SelfBalance'!V17+'Grid_TTAFBalance'!V17</f>
        <v/>
      </c>
      <c r="W17">
        <f>'Grid_SelfBalance'!W17+'Grid_TTAFBalance'!W17</f>
        <v/>
      </c>
      <c r="X17">
        <f>'Grid_SelfBalance'!X17+'Grid_TTAFBalance'!X17</f>
        <v/>
      </c>
      <c r="Y17">
        <f>'Grid_SelfBalance'!Y17+'Grid_TTAFBalance'!Y17</f>
        <v/>
      </c>
      <c r="Z17">
        <f>'Grid_SelfBalance'!Z17+'Grid_TTAFBalance'!Z17</f>
        <v/>
      </c>
      <c r="AA17">
        <f>'Grid_SelfBalance'!AA17+'Grid_TTAFBalance'!AA17</f>
        <v/>
      </c>
      <c r="AB17">
        <f>'Grid_SelfBalance'!AB17+'Grid_TTAFBalance'!AB17</f>
        <v/>
      </c>
      <c r="AC17">
        <f>'Grid_SelfBalance'!AC17+'Grid_TTAFBalance'!AC17</f>
        <v/>
      </c>
      <c r="AD17">
        <f>'Grid_SelfBalance'!AD17+'Grid_TTAFBalance'!AD17</f>
        <v/>
      </c>
      <c r="AE17">
        <f>'Grid_SelfBalance'!AE17+'Grid_TTAFBalance'!AE17</f>
        <v/>
      </c>
      <c r="AF17">
        <f>'Grid_SelfBalance'!AF17+'Grid_TTAFBalance'!AF17</f>
        <v/>
      </c>
      <c r="AG17">
        <f>'Grid_SelfBalance'!AG17+'Grid_TTAFBalance'!AG17</f>
        <v/>
      </c>
      <c r="AH17">
        <f>'Grid_SelfBalance'!AH17+'Grid_TTAFBalance'!AH17</f>
        <v/>
      </c>
      <c r="AI17">
        <f>'Grid_SelfBalance'!AI17+'Grid_TTAFBalance'!AI17</f>
        <v/>
      </c>
      <c r="AJ17">
        <f>'Grid_SelfBalance'!AJ17+'Grid_TTAFBalance'!AJ17</f>
        <v/>
      </c>
      <c r="AK17">
        <f>'Grid_SelfBalance'!AK17+'Grid_TTAFBalance'!AK17</f>
        <v/>
      </c>
      <c r="AL17">
        <f>'Grid_SelfBalance'!AL17+'Grid_TTAFBalance'!AL17</f>
        <v/>
      </c>
      <c r="AM17">
        <f>'Grid_SelfBalance'!AM17+'Grid_TTAFBalance'!AM17</f>
        <v/>
      </c>
      <c r="AN17">
        <f>'Grid_SelfBalance'!AN17+'Grid_TTAFBalance'!AN17</f>
        <v/>
      </c>
      <c r="AO17">
        <f>'Grid_SelfBalance'!AO17+'Grid_TTAFBalance'!AO17</f>
        <v/>
      </c>
      <c r="AP17">
        <f>'Grid_SelfBalance'!AP17+'Grid_TTAFBalance'!AP17</f>
        <v/>
      </c>
      <c r="AQ17">
        <f>'Grid_SelfBalance'!AQ17+'Grid_TTAFBalance'!AQ17</f>
        <v/>
      </c>
      <c r="AR17">
        <f>'Grid_SelfBalance'!AR17+'Grid_TTAFBalance'!AR17</f>
        <v/>
      </c>
      <c r="AS17">
        <f>'Grid_SelfBalance'!AS17+'Grid_TTAFBalance'!AS17</f>
        <v/>
      </c>
      <c r="AT17">
        <f>'Grid_SelfBalance'!AT17+'Grid_TTAFBalance'!AT17</f>
        <v/>
      </c>
      <c r="AU17">
        <f>'Grid_SelfBalance'!AU17+'Grid_TTAFBalance'!AU17</f>
        <v/>
      </c>
      <c r="AV17">
        <f>'Grid_SelfBalance'!AV17+'Grid_TTAFBalance'!AV17</f>
        <v/>
      </c>
      <c r="AW17">
        <f>'Grid_SelfBalance'!AW17+'Grid_TTAFBalance'!AW17</f>
        <v/>
      </c>
      <c r="AX17">
        <f>'Grid_SelfBalance'!AX17+'Grid_TTAFBalance'!AX17</f>
        <v/>
      </c>
      <c r="AY17">
        <f>'Grid_SelfBalance'!AY17+'Grid_TTAFBalance'!AY17</f>
        <v/>
      </c>
      <c r="AZ17">
        <f>'Grid_SelfBalance'!AZ17+'Grid_TTAFBalance'!AZ17</f>
        <v/>
      </c>
      <c r="BA17">
        <f>'Grid_SelfBalance'!BA17+'Grid_TTAFBalance'!BA17</f>
        <v/>
      </c>
      <c r="BB17">
        <f>'Grid_SelfBalance'!BB17+'Grid_TTAFBalance'!BB17</f>
        <v/>
      </c>
      <c r="BC17">
        <f>'Grid_SelfBalance'!BC17+'Grid_TTAFBalance'!BC17</f>
        <v/>
      </c>
      <c r="BD17">
        <f>'Grid_SelfBalance'!BD17+'Grid_TTAFBalance'!BD17</f>
        <v/>
      </c>
      <c r="BE17">
        <f>'Grid_SelfBalance'!BE17+'Grid_TTAFBalance'!BE17</f>
        <v/>
      </c>
      <c r="BF17">
        <f>'Grid_SelfBalance'!BF17+'Grid_TTAFBalance'!BF17</f>
        <v/>
      </c>
      <c r="BG17">
        <f>'Grid_SelfBalance'!BG17+'Grid_TTAFBalance'!BG17</f>
        <v/>
      </c>
      <c r="BH17">
        <f>'Grid_SelfBalance'!BH17+'Grid_TTAFBalance'!BH17</f>
        <v/>
      </c>
      <c r="BI17">
        <f>'Grid_SelfBalance'!BI17+'Grid_TTAFBalance'!BI17</f>
        <v/>
      </c>
      <c r="BJ17">
        <f>'Grid_SelfBalance'!BJ17+'Grid_TTAFBalance'!BJ17</f>
        <v/>
      </c>
      <c r="BK17">
        <f>'Grid_SelfBalance'!BK17+'Grid_TTAFBalance'!BK17</f>
        <v/>
      </c>
      <c r="BL17">
        <f>'Grid_SelfBalance'!BL17+'Grid_TTAFBalance'!BL17</f>
        <v/>
      </c>
      <c r="BM17">
        <f>'Grid_SelfBalance'!BM17+'Grid_TTAFBalance'!BM17</f>
        <v/>
      </c>
      <c r="BN17">
        <f>'Grid_SelfBalance'!BN17+'Grid_TTAFBalance'!BN17</f>
        <v/>
      </c>
      <c r="BO17">
        <f>'Grid_SelfBalance'!BO17+'Grid_TTAFBalance'!BO17</f>
        <v/>
      </c>
      <c r="BP17">
        <f>'Grid_SelfBalance'!BP17+'Grid_TTAFBalance'!BP17</f>
        <v/>
      </c>
      <c r="BQ17">
        <f>'Grid_SelfBalance'!BQ17+'Grid_TTAFBalance'!BQ17</f>
        <v/>
      </c>
      <c r="BR17">
        <f>'Grid_SelfBalance'!BR17+'Grid_TTAFBalance'!BR17</f>
        <v/>
      </c>
      <c r="BS17">
        <f>'Grid_SelfBalance'!BS17+'Grid_TTAFBalance'!BS17</f>
        <v/>
      </c>
      <c r="BT17">
        <f>'Grid_SelfBalance'!BT17+'Grid_TTAFBalance'!BT17</f>
        <v/>
      </c>
      <c r="BU17">
        <f>'Grid_SelfBalance'!BU17+'Grid_TTAFBalance'!BU17</f>
        <v/>
      </c>
      <c r="BV17">
        <f>'Grid_SelfBalance'!BV17+'Grid_TTAFBalance'!BV17</f>
        <v/>
      </c>
      <c r="BW17">
        <f>'Grid_SelfBalance'!BW17+'Grid_TTAFBalance'!BW17</f>
        <v/>
      </c>
      <c r="BX17">
        <f>'Grid_SelfBalance'!BX17+'Grid_TTAFBalance'!BX17</f>
        <v/>
      </c>
      <c r="BY17">
        <f>'Grid_SelfBalance'!BY17+'Grid_TTAFBalance'!BY17</f>
        <v/>
      </c>
      <c r="BZ17">
        <f>'Grid_SelfBalance'!BZ17+'Grid_TTAFBalance'!BZ17</f>
        <v/>
      </c>
      <c r="CA17">
        <f>'Grid_SelfBalance'!CA17+'Grid_TTAFBalance'!CA17</f>
        <v/>
      </c>
      <c r="CB17">
        <f>'Grid_SelfBalance'!CB17+'Grid_TTAFBalance'!CB17</f>
        <v/>
      </c>
      <c r="CC17">
        <f>'Grid_SelfBalance'!CC17+'Grid_TTAFBalance'!CC17</f>
        <v/>
      </c>
      <c r="CD17">
        <f>'Grid_SelfBalance'!CD17+'Grid_TTAFBalance'!CD17</f>
        <v/>
      </c>
      <c r="CE17">
        <f>'Grid_SelfBalance'!CE17+'Grid_TTAFBalance'!CE17</f>
        <v/>
      </c>
      <c r="CF17">
        <f>'Grid_SelfBalance'!CF17+'Grid_TTAFBalance'!CF17</f>
        <v/>
      </c>
      <c r="CG17">
        <f>'Grid_SelfBalance'!CG17+'Grid_TTAFBalance'!CG17</f>
        <v/>
      </c>
      <c r="CH17">
        <f>'Grid_SelfBalance'!CH17+'Grid_TTAFBalance'!CH17</f>
        <v/>
      </c>
      <c r="CI17">
        <f>'Grid_SelfBalance'!CI17+'Grid_TTAFBalance'!CI17</f>
        <v/>
      </c>
      <c r="CJ17">
        <f>'Grid_SelfBalance'!CJ17+'Grid_TTAFBalance'!CJ17</f>
        <v/>
      </c>
      <c r="CK17">
        <f>'Grid_SelfBalance'!CK17+'Grid_TTAFBalance'!CK17</f>
        <v/>
      </c>
      <c r="CL17">
        <f>'Grid_SelfBalance'!CL17+'Grid_TTAFBalance'!CL17</f>
        <v/>
      </c>
      <c r="CM17">
        <f>'Grid_SelfBalance'!CM17+'Grid_TTAFBalance'!CM17</f>
        <v/>
      </c>
      <c r="CN17">
        <f>'Grid_SelfBalance'!CN17+'Grid_TTAFBalance'!CN17</f>
        <v/>
      </c>
      <c r="CO17">
        <f>'Grid_SelfBalance'!CO17+'Grid_TTAFBalance'!CO17</f>
        <v/>
      </c>
      <c r="CP17">
        <f>'Grid_SelfBalance'!CP17+'Grid_TTAFBalance'!CP17</f>
        <v/>
      </c>
      <c r="CQ17">
        <f>'Grid_SelfBalance'!CQ17+'Grid_TTAFBalance'!CQ17</f>
        <v/>
      </c>
      <c r="CR17">
        <f>'Grid_SelfBalance'!CR17+'Grid_TTAFBalance'!CR17</f>
        <v/>
      </c>
      <c r="CS17">
        <f>'Grid_SelfBalance'!CS17+'Grid_TTAFBalance'!CS17</f>
        <v/>
      </c>
      <c r="CT17">
        <f>'Grid_SelfBalance'!CT17+'Grid_TTAFBalance'!CT17</f>
        <v/>
      </c>
      <c r="CU17">
        <f>'Grid_SelfBalance'!CU17+'Grid_TTAFBalance'!CU17</f>
        <v/>
      </c>
      <c r="CV17">
        <f>'Grid_SelfBalance'!CV17+'Grid_TTAFBalance'!CV17</f>
        <v/>
      </c>
      <c r="CW17">
        <f>'Grid_SelfBalance'!CW17+'Grid_TTAFBalance'!CW17</f>
        <v/>
      </c>
      <c r="CX17">
        <f>'Grid_SelfBalance'!CX17+'Grid_TTAFBalance'!CX17</f>
        <v/>
      </c>
      <c r="CY17">
        <f>'Grid_SelfBalance'!CY17+'Grid_TTAFBalance'!CY17</f>
        <v/>
      </c>
      <c r="CZ17">
        <f>'Grid_SelfBalance'!CZ17+'Grid_TTAFBalance'!CZ17</f>
        <v/>
      </c>
      <c r="DA17">
        <f>'Grid_SelfBalance'!DA17+'Grid_TTAFBalance'!DA17</f>
        <v/>
      </c>
    </row>
    <row r="18">
      <c r="A18" t="inlineStr">
        <is>
          <t>CHEM-1660</t>
        </is>
      </c>
      <c r="B18">
        <f>'Grid_SelfBalance'!B18+'Grid_TTAFBalance'!B18</f>
        <v/>
      </c>
      <c r="C18">
        <f>'Grid_SelfBalance'!C18+'Grid_TTAFBalance'!C18</f>
        <v/>
      </c>
      <c r="D18">
        <f>'Grid_SelfBalance'!D18+'Grid_TTAFBalance'!D18</f>
        <v/>
      </c>
      <c r="E18">
        <f>'Grid_SelfBalance'!E18+'Grid_TTAFBalance'!E18</f>
        <v/>
      </c>
      <c r="F18">
        <f>'Grid_SelfBalance'!F18+'Grid_TTAFBalance'!F18</f>
        <v/>
      </c>
      <c r="G18">
        <f>'Grid_SelfBalance'!G18+'Grid_TTAFBalance'!G18</f>
        <v/>
      </c>
      <c r="H18">
        <f>'Grid_SelfBalance'!H18+'Grid_TTAFBalance'!H18</f>
        <v/>
      </c>
      <c r="I18">
        <f>'Grid_SelfBalance'!I18+'Grid_TTAFBalance'!I18</f>
        <v/>
      </c>
      <c r="J18">
        <f>'Grid_SelfBalance'!J18+'Grid_TTAFBalance'!J18</f>
        <v/>
      </c>
      <c r="K18">
        <f>'Grid_SelfBalance'!K18+'Grid_TTAFBalance'!K18</f>
        <v/>
      </c>
      <c r="L18">
        <f>'Grid_SelfBalance'!L18+'Grid_TTAFBalance'!L18</f>
        <v/>
      </c>
      <c r="M18">
        <f>'Grid_SelfBalance'!M18+'Grid_TTAFBalance'!M18</f>
        <v/>
      </c>
      <c r="N18">
        <f>'Grid_SelfBalance'!N18+'Grid_TTAFBalance'!N18</f>
        <v/>
      </c>
      <c r="O18">
        <f>'Grid_SelfBalance'!O18+'Grid_TTAFBalance'!O18</f>
        <v/>
      </c>
      <c r="P18">
        <f>'Grid_SelfBalance'!P18+'Grid_TTAFBalance'!P18</f>
        <v/>
      </c>
      <c r="Q18">
        <f>'Grid_SelfBalance'!Q18+'Grid_TTAFBalance'!Q18</f>
        <v/>
      </c>
      <c r="R18">
        <f>'Grid_SelfBalance'!R18+'Grid_TTAFBalance'!R18</f>
        <v/>
      </c>
      <c r="S18">
        <f>'Grid_SelfBalance'!S18+'Grid_TTAFBalance'!S18</f>
        <v/>
      </c>
      <c r="T18">
        <f>'Grid_SelfBalance'!T18+'Grid_TTAFBalance'!T18</f>
        <v/>
      </c>
      <c r="U18">
        <f>'Grid_SelfBalance'!U18+'Grid_TTAFBalance'!U18</f>
        <v/>
      </c>
      <c r="V18">
        <f>'Grid_SelfBalance'!V18+'Grid_TTAFBalance'!V18</f>
        <v/>
      </c>
      <c r="W18">
        <f>'Grid_SelfBalance'!W18+'Grid_TTAFBalance'!W18</f>
        <v/>
      </c>
      <c r="X18">
        <f>'Grid_SelfBalance'!X18+'Grid_TTAFBalance'!X18</f>
        <v/>
      </c>
      <c r="Y18">
        <f>'Grid_SelfBalance'!Y18+'Grid_TTAFBalance'!Y18</f>
        <v/>
      </c>
      <c r="Z18">
        <f>'Grid_SelfBalance'!Z18+'Grid_TTAFBalance'!Z18</f>
        <v/>
      </c>
      <c r="AA18">
        <f>'Grid_SelfBalance'!AA18+'Grid_TTAFBalance'!AA18</f>
        <v/>
      </c>
      <c r="AB18">
        <f>'Grid_SelfBalance'!AB18+'Grid_TTAFBalance'!AB18</f>
        <v/>
      </c>
      <c r="AC18">
        <f>'Grid_SelfBalance'!AC18+'Grid_TTAFBalance'!AC18</f>
        <v/>
      </c>
      <c r="AD18">
        <f>'Grid_SelfBalance'!AD18+'Grid_TTAFBalance'!AD18</f>
        <v/>
      </c>
      <c r="AE18">
        <f>'Grid_SelfBalance'!AE18+'Grid_TTAFBalance'!AE18</f>
        <v/>
      </c>
      <c r="AF18">
        <f>'Grid_SelfBalance'!AF18+'Grid_TTAFBalance'!AF18</f>
        <v/>
      </c>
      <c r="AG18">
        <f>'Grid_SelfBalance'!AG18+'Grid_TTAFBalance'!AG18</f>
        <v/>
      </c>
      <c r="AH18">
        <f>'Grid_SelfBalance'!AH18+'Grid_TTAFBalance'!AH18</f>
        <v/>
      </c>
      <c r="AI18">
        <f>'Grid_SelfBalance'!AI18+'Grid_TTAFBalance'!AI18</f>
        <v/>
      </c>
      <c r="AJ18">
        <f>'Grid_SelfBalance'!AJ18+'Grid_TTAFBalance'!AJ18</f>
        <v/>
      </c>
      <c r="AK18">
        <f>'Grid_SelfBalance'!AK18+'Grid_TTAFBalance'!AK18</f>
        <v/>
      </c>
      <c r="AL18">
        <f>'Grid_SelfBalance'!AL18+'Grid_TTAFBalance'!AL18</f>
        <v/>
      </c>
      <c r="AM18">
        <f>'Grid_SelfBalance'!AM18+'Grid_TTAFBalance'!AM18</f>
        <v/>
      </c>
      <c r="AN18">
        <f>'Grid_SelfBalance'!AN18+'Grid_TTAFBalance'!AN18</f>
        <v/>
      </c>
      <c r="AO18">
        <f>'Grid_SelfBalance'!AO18+'Grid_TTAFBalance'!AO18</f>
        <v/>
      </c>
      <c r="AP18">
        <f>'Grid_SelfBalance'!AP18+'Grid_TTAFBalance'!AP18</f>
        <v/>
      </c>
      <c r="AQ18">
        <f>'Grid_SelfBalance'!AQ18+'Grid_TTAFBalance'!AQ18</f>
        <v/>
      </c>
      <c r="AR18">
        <f>'Grid_SelfBalance'!AR18+'Grid_TTAFBalance'!AR18</f>
        <v/>
      </c>
      <c r="AS18">
        <f>'Grid_SelfBalance'!AS18+'Grid_TTAFBalance'!AS18</f>
        <v/>
      </c>
      <c r="AT18">
        <f>'Grid_SelfBalance'!AT18+'Grid_TTAFBalance'!AT18</f>
        <v/>
      </c>
      <c r="AU18">
        <f>'Grid_SelfBalance'!AU18+'Grid_TTAFBalance'!AU18</f>
        <v/>
      </c>
      <c r="AV18">
        <f>'Grid_SelfBalance'!AV18+'Grid_TTAFBalance'!AV18</f>
        <v/>
      </c>
      <c r="AW18">
        <f>'Grid_SelfBalance'!AW18+'Grid_TTAFBalance'!AW18</f>
        <v/>
      </c>
      <c r="AX18">
        <f>'Grid_SelfBalance'!AX18+'Grid_TTAFBalance'!AX18</f>
        <v/>
      </c>
      <c r="AY18">
        <f>'Grid_SelfBalance'!AY18+'Grid_TTAFBalance'!AY18</f>
        <v/>
      </c>
      <c r="AZ18">
        <f>'Grid_SelfBalance'!AZ18+'Grid_TTAFBalance'!AZ18</f>
        <v/>
      </c>
      <c r="BA18">
        <f>'Grid_SelfBalance'!BA18+'Grid_TTAFBalance'!BA18</f>
        <v/>
      </c>
      <c r="BB18">
        <f>'Grid_SelfBalance'!BB18+'Grid_TTAFBalance'!BB18</f>
        <v/>
      </c>
      <c r="BC18">
        <f>'Grid_SelfBalance'!BC18+'Grid_TTAFBalance'!BC18</f>
        <v/>
      </c>
      <c r="BD18">
        <f>'Grid_SelfBalance'!BD18+'Grid_TTAFBalance'!BD18</f>
        <v/>
      </c>
      <c r="BE18">
        <f>'Grid_SelfBalance'!BE18+'Grid_TTAFBalance'!BE18</f>
        <v/>
      </c>
      <c r="BF18">
        <f>'Grid_SelfBalance'!BF18+'Grid_TTAFBalance'!BF18</f>
        <v/>
      </c>
      <c r="BG18">
        <f>'Grid_SelfBalance'!BG18+'Grid_TTAFBalance'!BG18</f>
        <v/>
      </c>
      <c r="BH18">
        <f>'Grid_SelfBalance'!BH18+'Grid_TTAFBalance'!BH18</f>
        <v/>
      </c>
      <c r="BI18">
        <f>'Grid_SelfBalance'!BI18+'Grid_TTAFBalance'!BI18</f>
        <v/>
      </c>
      <c r="BJ18">
        <f>'Grid_SelfBalance'!BJ18+'Grid_TTAFBalance'!BJ18</f>
        <v/>
      </c>
      <c r="BK18">
        <f>'Grid_SelfBalance'!BK18+'Grid_TTAFBalance'!BK18</f>
        <v/>
      </c>
      <c r="BL18">
        <f>'Grid_SelfBalance'!BL18+'Grid_TTAFBalance'!BL18</f>
        <v/>
      </c>
      <c r="BM18">
        <f>'Grid_SelfBalance'!BM18+'Grid_TTAFBalance'!BM18</f>
        <v/>
      </c>
      <c r="BN18">
        <f>'Grid_SelfBalance'!BN18+'Grid_TTAFBalance'!BN18</f>
        <v/>
      </c>
      <c r="BO18">
        <f>'Grid_SelfBalance'!BO18+'Grid_TTAFBalance'!BO18</f>
        <v/>
      </c>
      <c r="BP18">
        <f>'Grid_SelfBalance'!BP18+'Grid_TTAFBalance'!BP18</f>
        <v/>
      </c>
      <c r="BQ18">
        <f>'Grid_SelfBalance'!BQ18+'Grid_TTAFBalance'!BQ18</f>
        <v/>
      </c>
      <c r="BR18">
        <f>'Grid_SelfBalance'!BR18+'Grid_TTAFBalance'!BR18</f>
        <v/>
      </c>
      <c r="BS18">
        <f>'Grid_SelfBalance'!BS18+'Grid_TTAFBalance'!BS18</f>
        <v/>
      </c>
      <c r="BT18">
        <f>'Grid_SelfBalance'!BT18+'Grid_TTAFBalance'!BT18</f>
        <v/>
      </c>
      <c r="BU18">
        <f>'Grid_SelfBalance'!BU18+'Grid_TTAFBalance'!BU18</f>
        <v/>
      </c>
      <c r="BV18">
        <f>'Grid_SelfBalance'!BV18+'Grid_TTAFBalance'!BV18</f>
        <v/>
      </c>
      <c r="BW18">
        <f>'Grid_SelfBalance'!BW18+'Grid_TTAFBalance'!BW18</f>
        <v/>
      </c>
      <c r="BX18">
        <f>'Grid_SelfBalance'!BX18+'Grid_TTAFBalance'!BX18</f>
        <v/>
      </c>
      <c r="BY18">
        <f>'Grid_SelfBalance'!BY18+'Grid_TTAFBalance'!BY18</f>
        <v/>
      </c>
      <c r="BZ18">
        <f>'Grid_SelfBalance'!BZ18+'Grid_TTAFBalance'!BZ18</f>
        <v/>
      </c>
      <c r="CA18">
        <f>'Grid_SelfBalance'!CA18+'Grid_TTAFBalance'!CA18</f>
        <v/>
      </c>
      <c r="CB18">
        <f>'Grid_SelfBalance'!CB18+'Grid_TTAFBalance'!CB18</f>
        <v/>
      </c>
      <c r="CC18">
        <f>'Grid_SelfBalance'!CC18+'Grid_TTAFBalance'!CC18</f>
        <v/>
      </c>
      <c r="CD18">
        <f>'Grid_SelfBalance'!CD18+'Grid_TTAFBalance'!CD18</f>
        <v/>
      </c>
      <c r="CE18">
        <f>'Grid_SelfBalance'!CE18+'Grid_TTAFBalance'!CE18</f>
        <v/>
      </c>
      <c r="CF18">
        <f>'Grid_SelfBalance'!CF18+'Grid_TTAFBalance'!CF18</f>
        <v/>
      </c>
      <c r="CG18">
        <f>'Grid_SelfBalance'!CG18+'Grid_TTAFBalance'!CG18</f>
        <v/>
      </c>
      <c r="CH18">
        <f>'Grid_SelfBalance'!CH18+'Grid_TTAFBalance'!CH18</f>
        <v/>
      </c>
      <c r="CI18">
        <f>'Grid_SelfBalance'!CI18+'Grid_TTAFBalance'!CI18</f>
        <v/>
      </c>
      <c r="CJ18">
        <f>'Grid_SelfBalance'!CJ18+'Grid_TTAFBalance'!CJ18</f>
        <v/>
      </c>
      <c r="CK18">
        <f>'Grid_SelfBalance'!CK18+'Grid_TTAFBalance'!CK18</f>
        <v/>
      </c>
      <c r="CL18">
        <f>'Grid_SelfBalance'!CL18+'Grid_TTAFBalance'!CL18</f>
        <v/>
      </c>
      <c r="CM18">
        <f>'Grid_SelfBalance'!CM18+'Grid_TTAFBalance'!CM18</f>
        <v/>
      </c>
      <c r="CN18">
        <f>'Grid_SelfBalance'!CN18+'Grid_TTAFBalance'!CN18</f>
        <v/>
      </c>
      <c r="CO18">
        <f>'Grid_SelfBalance'!CO18+'Grid_TTAFBalance'!CO18</f>
        <v/>
      </c>
      <c r="CP18">
        <f>'Grid_SelfBalance'!CP18+'Grid_TTAFBalance'!CP18</f>
        <v/>
      </c>
      <c r="CQ18">
        <f>'Grid_SelfBalance'!CQ18+'Grid_TTAFBalance'!CQ18</f>
        <v/>
      </c>
      <c r="CR18">
        <f>'Grid_SelfBalance'!CR18+'Grid_TTAFBalance'!CR18</f>
        <v/>
      </c>
      <c r="CS18">
        <f>'Grid_SelfBalance'!CS18+'Grid_TTAFBalance'!CS18</f>
        <v/>
      </c>
      <c r="CT18">
        <f>'Grid_SelfBalance'!CT18+'Grid_TTAFBalance'!CT18</f>
        <v/>
      </c>
      <c r="CU18">
        <f>'Grid_SelfBalance'!CU18+'Grid_TTAFBalance'!CU18</f>
        <v/>
      </c>
      <c r="CV18">
        <f>'Grid_SelfBalance'!CV18+'Grid_TTAFBalance'!CV18</f>
        <v/>
      </c>
      <c r="CW18">
        <f>'Grid_SelfBalance'!CW18+'Grid_TTAFBalance'!CW18</f>
        <v/>
      </c>
      <c r="CX18">
        <f>'Grid_SelfBalance'!CX18+'Grid_TTAFBalance'!CX18</f>
        <v/>
      </c>
      <c r="CY18">
        <f>'Grid_SelfBalance'!CY18+'Grid_TTAFBalance'!CY18</f>
        <v/>
      </c>
      <c r="CZ18">
        <f>'Grid_SelfBalance'!CZ18+'Grid_TTAFBalance'!CZ18</f>
        <v/>
      </c>
      <c r="DA18">
        <f>'Grid_SelfBalance'!DA18+'Grid_TTAFBalance'!DA18</f>
        <v/>
      </c>
    </row>
    <row r="19">
      <c r="A19" t="inlineStr">
        <is>
          <t>CHEM-1600</t>
        </is>
      </c>
      <c r="B19">
        <f>'Grid_SelfBalance'!B19+'Grid_TTAFBalance'!B19</f>
        <v/>
      </c>
      <c r="C19">
        <f>'Grid_SelfBalance'!C19+'Grid_TTAFBalance'!C19</f>
        <v/>
      </c>
      <c r="D19">
        <f>'Grid_SelfBalance'!D19+'Grid_TTAFBalance'!D19</f>
        <v/>
      </c>
      <c r="E19">
        <f>'Grid_SelfBalance'!E19+'Grid_TTAFBalance'!E19</f>
        <v/>
      </c>
      <c r="F19">
        <f>'Grid_SelfBalance'!F19+'Grid_TTAFBalance'!F19</f>
        <v/>
      </c>
      <c r="G19">
        <f>'Grid_SelfBalance'!G19+'Grid_TTAFBalance'!G19</f>
        <v/>
      </c>
      <c r="H19">
        <f>'Grid_SelfBalance'!H19+'Grid_TTAFBalance'!H19</f>
        <v/>
      </c>
      <c r="I19">
        <f>'Grid_SelfBalance'!I19+'Grid_TTAFBalance'!I19</f>
        <v/>
      </c>
      <c r="J19">
        <f>'Grid_SelfBalance'!J19+'Grid_TTAFBalance'!J19</f>
        <v/>
      </c>
      <c r="K19">
        <f>'Grid_SelfBalance'!K19+'Grid_TTAFBalance'!K19</f>
        <v/>
      </c>
      <c r="L19">
        <f>'Grid_SelfBalance'!L19+'Grid_TTAFBalance'!L19</f>
        <v/>
      </c>
      <c r="M19">
        <f>'Grid_SelfBalance'!M19+'Grid_TTAFBalance'!M19</f>
        <v/>
      </c>
      <c r="N19">
        <f>'Grid_SelfBalance'!N19+'Grid_TTAFBalance'!N19</f>
        <v/>
      </c>
      <c r="O19">
        <f>'Grid_SelfBalance'!O19+'Grid_TTAFBalance'!O19</f>
        <v/>
      </c>
      <c r="P19">
        <f>'Grid_SelfBalance'!P19+'Grid_TTAFBalance'!P19</f>
        <v/>
      </c>
      <c r="Q19">
        <f>'Grid_SelfBalance'!Q19+'Grid_TTAFBalance'!Q19</f>
        <v/>
      </c>
      <c r="R19">
        <f>'Grid_SelfBalance'!R19+'Grid_TTAFBalance'!R19</f>
        <v/>
      </c>
      <c r="S19">
        <f>'Grid_SelfBalance'!S19+'Grid_TTAFBalance'!S19</f>
        <v/>
      </c>
      <c r="T19">
        <f>'Grid_SelfBalance'!T19+'Grid_TTAFBalance'!T19</f>
        <v/>
      </c>
      <c r="U19">
        <f>'Grid_SelfBalance'!U19+'Grid_TTAFBalance'!U19</f>
        <v/>
      </c>
      <c r="V19">
        <f>'Grid_SelfBalance'!V19+'Grid_TTAFBalance'!V19</f>
        <v/>
      </c>
      <c r="W19">
        <f>'Grid_SelfBalance'!W19+'Grid_TTAFBalance'!W19</f>
        <v/>
      </c>
      <c r="X19">
        <f>'Grid_SelfBalance'!X19+'Grid_TTAFBalance'!X19</f>
        <v/>
      </c>
      <c r="Y19">
        <f>'Grid_SelfBalance'!Y19+'Grid_TTAFBalance'!Y19</f>
        <v/>
      </c>
      <c r="Z19">
        <f>'Grid_SelfBalance'!Z19+'Grid_TTAFBalance'!Z19</f>
        <v/>
      </c>
      <c r="AA19">
        <f>'Grid_SelfBalance'!AA19+'Grid_TTAFBalance'!AA19</f>
        <v/>
      </c>
      <c r="AB19">
        <f>'Grid_SelfBalance'!AB19+'Grid_TTAFBalance'!AB19</f>
        <v/>
      </c>
      <c r="AC19">
        <f>'Grid_SelfBalance'!AC19+'Grid_TTAFBalance'!AC19</f>
        <v/>
      </c>
      <c r="AD19">
        <f>'Grid_SelfBalance'!AD19+'Grid_TTAFBalance'!AD19</f>
        <v/>
      </c>
      <c r="AE19">
        <f>'Grid_SelfBalance'!AE19+'Grid_TTAFBalance'!AE19</f>
        <v/>
      </c>
      <c r="AF19">
        <f>'Grid_SelfBalance'!AF19+'Grid_TTAFBalance'!AF19</f>
        <v/>
      </c>
      <c r="AG19">
        <f>'Grid_SelfBalance'!AG19+'Grid_TTAFBalance'!AG19</f>
        <v/>
      </c>
      <c r="AH19">
        <f>'Grid_SelfBalance'!AH19+'Grid_TTAFBalance'!AH19</f>
        <v/>
      </c>
      <c r="AI19">
        <f>'Grid_SelfBalance'!AI19+'Grid_TTAFBalance'!AI19</f>
        <v/>
      </c>
      <c r="AJ19">
        <f>'Grid_SelfBalance'!AJ19+'Grid_TTAFBalance'!AJ19</f>
        <v/>
      </c>
      <c r="AK19">
        <f>'Grid_SelfBalance'!AK19+'Grid_TTAFBalance'!AK19</f>
        <v/>
      </c>
      <c r="AL19">
        <f>'Grid_SelfBalance'!AL19+'Grid_TTAFBalance'!AL19</f>
        <v/>
      </c>
      <c r="AM19">
        <f>'Grid_SelfBalance'!AM19+'Grid_TTAFBalance'!AM19</f>
        <v/>
      </c>
      <c r="AN19">
        <f>'Grid_SelfBalance'!AN19+'Grid_TTAFBalance'!AN19</f>
        <v/>
      </c>
      <c r="AO19">
        <f>'Grid_SelfBalance'!AO19+'Grid_TTAFBalance'!AO19</f>
        <v/>
      </c>
      <c r="AP19">
        <f>'Grid_SelfBalance'!AP19+'Grid_TTAFBalance'!AP19</f>
        <v/>
      </c>
      <c r="AQ19">
        <f>'Grid_SelfBalance'!AQ19+'Grid_TTAFBalance'!AQ19</f>
        <v/>
      </c>
      <c r="AR19">
        <f>'Grid_SelfBalance'!AR19+'Grid_TTAFBalance'!AR19</f>
        <v/>
      </c>
      <c r="AS19">
        <f>'Grid_SelfBalance'!AS19+'Grid_TTAFBalance'!AS19</f>
        <v/>
      </c>
      <c r="AT19">
        <f>'Grid_SelfBalance'!AT19+'Grid_TTAFBalance'!AT19</f>
        <v/>
      </c>
      <c r="AU19">
        <f>'Grid_SelfBalance'!AU19+'Grid_TTAFBalance'!AU19</f>
        <v/>
      </c>
      <c r="AV19">
        <f>'Grid_SelfBalance'!AV19+'Grid_TTAFBalance'!AV19</f>
        <v/>
      </c>
      <c r="AW19">
        <f>'Grid_SelfBalance'!AW19+'Grid_TTAFBalance'!AW19</f>
        <v/>
      </c>
      <c r="AX19">
        <f>'Grid_SelfBalance'!AX19+'Grid_TTAFBalance'!AX19</f>
        <v/>
      </c>
      <c r="AY19">
        <f>'Grid_SelfBalance'!AY19+'Grid_TTAFBalance'!AY19</f>
        <v/>
      </c>
      <c r="AZ19">
        <f>'Grid_SelfBalance'!AZ19+'Grid_TTAFBalance'!AZ19</f>
        <v/>
      </c>
      <c r="BA19">
        <f>'Grid_SelfBalance'!BA19+'Grid_TTAFBalance'!BA19</f>
        <v/>
      </c>
      <c r="BB19">
        <f>'Grid_SelfBalance'!BB19+'Grid_TTAFBalance'!BB19</f>
        <v/>
      </c>
      <c r="BC19">
        <f>'Grid_SelfBalance'!BC19+'Grid_TTAFBalance'!BC19</f>
        <v/>
      </c>
      <c r="BD19">
        <f>'Grid_SelfBalance'!BD19+'Grid_TTAFBalance'!BD19</f>
        <v/>
      </c>
      <c r="BE19">
        <f>'Grid_SelfBalance'!BE19+'Grid_TTAFBalance'!BE19</f>
        <v/>
      </c>
      <c r="BF19">
        <f>'Grid_SelfBalance'!BF19+'Grid_TTAFBalance'!BF19</f>
        <v/>
      </c>
      <c r="BG19">
        <f>'Grid_SelfBalance'!BG19+'Grid_TTAFBalance'!BG19</f>
        <v/>
      </c>
      <c r="BH19">
        <f>'Grid_SelfBalance'!BH19+'Grid_TTAFBalance'!BH19</f>
        <v/>
      </c>
      <c r="BI19">
        <f>'Grid_SelfBalance'!BI19+'Grid_TTAFBalance'!BI19</f>
        <v/>
      </c>
      <c r="BJ19">
        <f>'Grid_SelfBalance'!BJ19+'Grid_TTAFBalance'!BJ19</f>
        <v/>
      </c>
      <c r="BK19">
        <f>'Grid_SelfBalance'!BK19+'Grid_TTAFBalance'!BK19</f>
        <v/>
      </c>
      <c r="BL19">
        <f>'Grid_SelfBalance'!BL19+'Grid_TTAFBalance'!BL19</f>
        <v/>
      </c>
      <c r="BM19">
        <f>'Grid_SelfBalance'!BM19+'Grid_TTAFBalance'!BM19</f>
        <v/>
      </c>
      <c r="BN19">
        <f>'Grid_SelfBalance'!BN19+'Grid_TTAFBalance'!BN19</f>
        <v/>
      </c>
      <c r="BO19">
        <f>'Grid_SelfBalance'!BO19+'Grid_TTAFBalance'!BO19</f>
        <v/>
      </c>
      <c r="BP19">
        <f>'Grid_SelfBalance'!BP19+'Grid_TTAFBalance'!BP19</f>
        <v/>
      </c>
      <c r="BQ19">
        <f>'Grid_SelfBalance'!BQ19+'Grid_TTAFBalance'!BQ19</f>
        <v/>
      </c>
      <c r="BR19">
        <f>'Grid_SelfBalance'!BR19+'Grid_TTAFBalance'!BR19</f>
        <v/>
      </c>
      <c r="BS19">
        <f>'Grid_SelfBalance'!BS19+'Grid_TTAFBalance'!BS19</f>
        <v/>
      </c>
      <c r="BT19">
        <f>'Grid_SelfBalance'!BT19+'Grid_TTAFBalance'!BT19</f>
        <v/>
      </c>
      <c r="BU19">
        <f>'Grid_SelfBalance'!BU19+'Grid_TTAFBalance'!BU19</f>
        <v/>
      </c>
      <c r="BV19">
        <f>'Grid_SelfBalance'!BV19+'Grid_TTAFBalance'!BV19</f>
        <v/>
      </c>
      <c r="BW19">
        <f>'Grid_SelfBalance'!BW19+'Grid_TTAFBalance'!BW19</f>
        <v/>
      </c>
      <c r="BX19">
        <f>'Grid_SelfBalance'!BX19+'Grid_TTAFBalance'!BX19</f>
        <v/>
      </c>
      <c r="BY19">
        <f>'Grid_SelfBalance'!BY19+'Grid_TTAFBalance'!BY19</f>
        <v/>
      </c>
      <c r="BZ19">
        <f>'Grid_SelfBalance'!BZ19+'Grid_TTAFBalance'!BZ19</f>
        <v/>
      </c>
      <c r="CA19">
        <f>'Grid_SelfBalance'!CA19+'Grid_TTAFBalance'!CA19</f>
        <v/>
      </c>
      <c r="CB19">
        <f>'Grid_SelfBalance'!CB19+'Grid_TTAFBalance'!CB19</f>
        <v/>
      </c>
      <c r="CC19">
        <f>'Grid_SelfBalance'!CC19+'Grid_TTAFBalance'!CC19</f>
        <v/>
      </c>
      <c r="CD19">
        <f>'Grid_SelfBalance'!CD19+'Grid_TTAFBalance'!CD19</f>
        <v/>
      </c>
      <c r="CE19">
        <f>'Grid_SelfBalance'!CE19+'Grid_TTAFBalance'!CE19</f>
        <v/>
      </c>
      <c r="CF19">
        <f>'Grid_SelfBalance'!CF19+'Grid_TTAFBalance'!CF19</f>
        <v/>
      </c>
      <c r="CG19">
        <f>'Grid_SelfBalance'!CG19+'Grid_TTAFBalance'!CG19</f>
        <v/>
      </c>
      <c r="CH19">
        <f>'Grid_SelfBalance'!CH19+'Grid_TTAFBalance'!CH19</f>
        <v/>
      </c>
      <c r="CI19">
        <f>'Grid_SelfBalance'!CI19+'Grid_TTAFBalance'!CI19</f>
        <v/>
      </c>
      <c r="CJ19">
        <f>'Grid_SelfBalance'!CJ19+'Grid_TTAFBalance'!CJ19</f>
        <v/>
      </c>
      <c r="CK19">
        <f>'Grid_SelfBalance'!CK19+'Grid_TTAFBalance'!CK19</f>
        <v/>
      </c>
      <c r="CL19">
        <f>'Grid_SelfBalance'!CL19+'Grid_TTAFBalance'!CL19</f>
        <v/>
      </c>
      <c r="CM19">
        <f>'Grid_SelfBalance'!CM19+'Grid_TTAFBalance'!CM19</f>
        <v/>
      </c>
      <c r="CN19">
        <f>'Grid_SelfBalance'!CN19+'Grid_TTAFBalance'!CN19</f>
        <v/>
      </c>
      <c r="CO19">
        <f>'Grid_SelfBalance'!CO19+'Grid_TTAFBalance'!CO19</f>
        <v/>
      </c>
      <c r="CP19">
        <f>'Grid_SelfBalance'!CP19+'Grid_TTAFBalance'!CP19</f>
        <v/>
      </c>
      <c r="CQ19">
        <f>'Grid_SelfBalance'!CQ19+'Grid_TTAFBalance'!CQ19</f>
        <v/>
      </c>
      <c r="CR19">
        <f>'Grid_SelfBalance'!CR19+'Grid_TTAFBalance'!CR19</f>
        <v/>
      </c>
      <c r="CS19">
        <f>'Grid_SelfBalance'!CS19+'Grid_TTAFBalance'!CS19</f>
        <v/>
      </c>
      <c r="CT19">
        <f>'Grid_SelfBalance'!CT19+'Grid_TTAFBalance'!CT19</f>
        <v/>
      </c>
      <c r="CU19">
        <f>'Grid_SelfBalance'!CU19+'Grid_TTAFBalance'!CU19</f>
        <v/>
      </c>
      <c r="CV19">
        <f>'Grid_SelfBalance'!CV19+'Grid_TTAFBalance'!CV19</f>
        <v/>
      </c>
      <c r="CW19">
        <f>'Grid_SelfBalance'!CW19+'Grid_TTAFBalance'!CW19</f>
        <v/>
      </c>
      <c r="CX19">
        <f>'Grid_SelfBalance'!CX19+'Grid_TTAFBalance'!CX19</f>
        <v/>
      </c>
      <c r="CY19">
        <f>'Grid_SelfBalance'!CY19+'Grid_TTAFBalance'!CY19</f>
        <v/>
      </c>
      <c r="CZ19">
        <f>'Grid_SelfBalance'!CZ19+'Grid_TTAFBalance'!CZ19</f>
        <v/>
      </c>
      <c r="DA19">
        <f>'Grid_SelfBalance'!DA19+'Grid_TTAFBalance'!DA19</f>
        <v/>
      </c>
    </row>
    <row r="20">
      <c r="A20" t="inlineStr">
        <is>
          <t>CHEM-1280</t>
        </is>
      </c>
      <c r="B20">
        <f>'Grid_SelfBalance'!B20+'Grid_TTAFBalance'!B20</f>
        <v/>
      </c>
      <c r="C20">
        <f>'Grid_SelfBalance'!C20+'Grid_TTAFBalance'!C20</f>
        <v/>
      </c>
      <c r="D20">
        <f>'Grid_SelfBalance'!D20+'Grid_TTAFBalance'!D20</f>
        <v/>
      </c>
      <c r="E20">
        <f>'Grid_SelfBalance'!E20+'Grid_TTAFBalance'!E20</f>
        <v/>
      </c>
      <c r="F20">
        <f>'Grid_SelfBalance'!F20+'Grid_TTAFBalance'!F20</f>
        <v/>
      </c>
      <c r="G20">
        <f>'Grid_SelfBalance'!G20+'Grid_TTAFBalance'!G20</f>
        <v/>
      </c>
      <c r="H20">
        <f>'Grid_SelfBalance'!H20+'Grid_TTAFBalance'!H20</f>
        <v/>
      </c>
      <c r="I20">
        <f>'Grid_SelfBalance'!I20+'Grid_TTAFBalance'!I20</f>
        <v/>
      </c>
      <c r="J20">
        <f>'Grid_SelfBalance'!J20+'Grid_TTAFBalance'!J20</f>
        <v/>
      </c>
      <c r="K20">
        <f>'Grid_SelfBalance'!K20+'Grid_TTAFBalance'!K20</f>
        <v/>
      </c>
      <c r="L20">
        <f>'Grid_SelfBalance'!L20+'Grid_TTAFBalance'!L20</f>
        <v/>
      </c>
      <c r="M20">
        <f>'Grid_SelfBalance'!M20+'Grid_TTAFBalance'!M20</f>
        <v/>
      </c>
      <c r="N20">
        <f>'Grid_SelfBalance'!N20+'Grid_TTAFBalance'!N20</f>
        <v/>
      </c>
      <c r="O20">
        <f>'Grid_SelfBalance'!O20+'Grid_TTAFBalance'!O20</f>
        <v/>
      </c>
      <c r="P20">
        <f>'Grid_SelfBalance'!P20+'Grid_TTAFBalance'!P20</f>
        <v/>
      </c>
      <c r="Q20">
        <f>'Grid_SelfBalance'!Q20+'Grid_TTAFBalance'!Q20</f>
        <v/>
      </c>
      <c r="R20">
        <f>'Grid_SelfBalance'!R20+'Grid_TTAFBalance'!R20</f>
        <v/>
      </c>
      <c r="S20">
        <f>'Grid_SelfBalance'!S20+'Grid_TTAFBalance'!S20</f>
        <v/>
      </c>
      <c r="T20">
        <f>'Grid_SelfBalance'!T20+'Grid_TTAFBalance'!T20</f>
        <v/>
      </c>
      <c r="U20">
        <f>'Grid_SelfBalance'!U20+'Grid_TTAFBalance'!U20</f>
        <v/>
      </c>
      <c r="V20">
        <f>'Grid_SelfBalance'!V20+'Grid_TTAFBalance'!V20</f>
        <v/>
      </c>
      <c r="W20">
        <f>'Grid_SelfBalance'!W20+'Grid_TTAFBalance'!W20</f>
        <v/>
      </c>
      <c r="X20">
        <f>'Grid_SelfBalance'!X20+'Grid_TTAFBalance'!X20</f>
        <v/>
      </c>
      <c r="Y20">
        <f>'Grid_SelfBalance'!Y20+'Grid_TTAFBalance'!Y20</f>
        <v/>
      </c>
      <c r="Z20">
        <f>'Grid_SelfBalance'!Z20+'Grid_TTAFBalance'!Z20</f>
        <v/>
      </c>
      <c r="AA20">
        <f>'Grid_SelfBalance'!AA20+'Grid_TTAFBalance'!AA20</f>
        <v/>
      </c>
      <c r="AB20">
        <f>'Grid_SelfBalance'!AB20+'Grid_TTAFBalance'!AB20</f>
        <v/>
      </c>
      <c r="AC20">
        <f>'Grid_SelfBalance'!AC20+'Grid_TTAFBalance'!AC20</f>
        <v/>
      </c>
      <c r="AD20">
        <f>'Grid_SelfBalance'!AD20+'Grid_TTAFBalance'!AD20</f>
        <v/>
      </c>
      <c r="AE20">
        <f>'Grid_SelfBalance'!AE20+'Grid_TTAFBalance'!AE20</f>
        <v/>
      </c>
      <c r="AF20">
        <f>'Grid_SelfBalance'!AF20+'Grid_TTAFBalance'!AF20</f>
        <v/>
      </c>
      <c r="AG20">
        <f>'Grid_SelfBalance'!AG20+'Grid_TTAFBalance'!AG20</f>
        <v/>
      </c>
      <c r="AH20">
        <f>'Grid_SelfBalance'!AH20+'Grid_TTAFBalance'!AH20</f>
        <v/>
      </c>
      <c r="AI20">
        <f>'Grid_SelfBalance'!AI20+'Grid_TTAFBalance'!AI20</f>
        <v/>
      </c>
      <c r="AJ20">
        <f>'Grid_SelfBalance'!AJ20+'Grid_TTAFBalance'!AJ20</f>
        <v/>
      </c>
      <c r="AK20">
        <f>'Grid_SelfBalance'!AK20+'Grid_TTAFBalance'!AK20</f>
        <v/>
      </c>
      <c r="AL20">
        <f>'Grid_SelfBalance'!AL20+'Grid_TTAFBalance'!AL20</f>
        <v/>
      </c>
      <c r="AM20">
        <f>'Grid_SelfBalance'!AM20+'Grid_TTAFBalance'!AM20</f>
        <v/>
      </c>
      <c r="AN20">
        <f>'Grid_SelfBalance'!AN20+'Grid_TTAFBalance'!AN20</f>
        <v/>
      </c>
      <c r="AO20">
        <f>'Grid_SelfBalance'!AO20+'Grid_TTAFBalance'!AO20</f>
        <v/>
      </c>
      <c r="AP20">
        <f>'Grid_SelfBalance'!AP20+'Grid_TTAFBalance'!AP20</f>
        <v/>
      </c>
      <c r="AQ20">
        <f>'Grid_SelfBalance'!AQ20+'Grid_TTAFBalance'!AQ20</f>
        <v/>
      </c>
      <c r="AR20">
        <f>'Grid_SelfBalance'!AR20+'Grid_TTAFBalance'!AR20</f>
        <v/>
      </c>
      <c r="AS20">
        <f>'Grid_SelfBalance'!AS20+'Grid_TTAFBalance'!AS20</f>
        <v/>
      </c>
      <c r="AT20">
        <f>'Grid_SelfBalance'!AT20+'Grid_TTAFBalance'!AT20</f>
        <v/>
      </c>
      <c r="AU20">
        <f>'Grid_SelfBalance'!AU20+'Grid_TTAFBalance'!AU20</f>
        <v/>
      </c>
      <c r="AV20">
        <f>'Grid_SelfBalance'!AV20+'Grid_TTAFBalance'!AV20</f>
        <v/>
      </c>
      <c r="AW20">
        <f>'Grid_SelfBalance'!AW20+'Grid_TTAFBalance'!AW20</f>
        <v/>
      </c>
      <c r="AX20">
        <f>'Grid_SelfBalance'!AX20+'Grid_TTAFBalance'!AX20</f>
        <v/>
      </c>
      <c r="AY20">
        <f>'Grid_SelfBalance'!AY20+'Grid_TTAFBalance'!AY20</f>
        <v/>
      </c>
      <c r="AZ20">
        <f>'Grid_SelfBalance'!AZ20+'Grid_TTAFBalance'!AZ20</f>
        <v/>
      </c>
      <c r="BA20">
        <f>'Grid_SelfBalance'!BA20+'Grid_TTAFBalance'!BA20</f>
        <v/>
      </c>
      <c r="BB20">
        <f>'Grid_SelfBalance'!BB20+'Grid_TTAFBalance'!BB20</f>
        <v/>
      </c>
      <c r="BC20">
        <f>'Grid_SelfBalance'!BC20+'Grid_TTAFBalance'!BC20</f>
        <v/>
      </c>
      <c r="BD20">
        <f>'Grid_SelfBalance'!BD20+'Grid_TTAFBalance'!BD20</f>
        <v/>
      </c>
      <c r="BE20">
        <f>'Grid_SelfBalance'!BE20+'Grid_TTAFBalance'!BE20</f>
        <v/>
      </c>
      <c r="BF20">
        <f>'Grid_SelfBalance'!BF20+'Grid_TTAFBalance'!BF20</f>
        <v/>
      </c>
      <c r="BG20">
        <f>'Grid_SelfBalance'!BG20+'Grid_TTAFBalance'!BG20</f>
        <v/>
      </c>
      <c r="BH20">
        <f>'Grid_SelfBalance'!BH20+'Grid_TTAFBalance'!BH20</f>
        <v/>
      </c>
      <c r="BI20">
        <f>'Grid_SelfBalance'!BI20+'Grid_TTAFBalance'!BI20</f>
        <v/>
      </c>
      <c r="BJ20">
        <f>'Grid_SelfBalance'!BJ20+'Grid_TTAFBalance'!BJ20</f>
        <v/>
      </c>
      <c r="BK20">
        <f>'Grid_SelfBalance'!BK20+'Grid_TTAFBalance'!BK20</f>
        <v/>
      </c>
      <c r="BL20">
        <f>'Grid_SelfBalance'!BL20+'Grid_TTAFBalance'!BL20</f>
        <v/>
      </c>
      <c r="BM20">
        <f>'Grid_SelfBalance'!BM20+'Grid_TTAFBalance'!BM20</f>
        <v/>
      </c>
      <c r="BN20">
        <f>'Grid_SelfBalance'!BN20+'Grid_TTAFBalance'!BN20</f>
        <v/>
      </c>
      <c r="BO20">
        <f>'Grid_SelfBalance'!BO20+'Grid_TTAFBalance'!BO20</f>
        <v/>
      </c>
      <c r="BP20">
        <f>'Grid_SelfBalance'!BP20+'Grid_TTAFBalance'!BP20</f>
        <v/>
      </c>
      <c r="BQ20">
        <f>'Grid_SelfBalance'!BQ20+'Grid_TTAFBalance'!BQ20</f>
        <v/>
      </c>
      <c r="BR20">
        <f>'Grid_SelfBalance'!BR20+'Grid_TTAFBalance'!BR20</f>
        <v/>
      </c>
      <c r="BS20">
        <f>'Grid_SelfBalance'!BS20+'Grid_TTAFBalance'!BS20</f>
        <v/>
      </c>
      <c r="BT20">
        <f>'Grid_SelfBalance'!BT20+'Grid_TTAFBalance'!BT20</f>
        <v/>
      </c>
      <c r="BU20">
        <f>'Grid_SelfBalance'!BU20+'Grid_TTAFBalance'!BU20</f>
        <v/>
      </c>
      <c r="BV20">
        <f>'Grid_SelfBalance'!BV20+'Grid_TTAFBalance'!BV20</f>
        <v/>
      </c>
      <c r="BW20">
        <f>'Grid_SelfBalance'!BW20+'Grid_TTAFBalance'!BW20</f>
        <v/>
      </c>
      <c r="BX20">
        <f>'Grid_SelfBalance'!BX20+'Grid_TTAFBalance'!BX20</f>
        <v/>
      </c>
      <c r="BY20">
        <f>'Grid_SelfBalance'!BY20+'Grid_TTAFBalance'!BY20</f>
        <v/>
      </c>
      <c r="BZ20">
        <f>'Grid_SelfBalance'!BZ20+'Grid_TTAFBalance'!BZ20</f>
        <v/>
      </c>
      <c r="CA20">
        <f>'Grid_SelfBalance'!CA20+'Grid_TTAFBalance'!CA20</f>
        <v/>
      </c>
      <c r="CB20">
        <f>'Grid_SelfBalance'!CB20+'Grid_TTAFBalance'!CB20</f>
        <v/>
      </c>
      <c r="CC20">
        <f>'Grid_SelfBalance'!CC20+'Grid_TTAFBalance'!CC20</f>
        <v/>
      </c>
      <c r="CD20">
        <f>'Grid_SelfBalance'!CD20+'Grid_TTAFBalance'!CD20</f>
        <v/>
      </c>
      <c r="CE20">
        <f>'Grid_SelfBalance'!CE20+'Grid_TTAFBalance'!CE20</f>
        <v/>
      </c>
      <c r="CF20">
        <f>'Grid_SelfBalance'!CF20+'Grid_TTAFBalance'!CF20</f>
        <v/>
      </c>
      <c r="CG20">
        <f>'Grid_SelfBalance'!CG20+'Grid_TTAFBalance'!CG20</f>
        <v/>
      </c>
      <c r="CH20">
        <f>'Grid_SelfBalance'!CH20+'Grid_TTAFBalance'!CH20</f>
        <v/>
      </c>
      <c r="CI20">
        <f>'Grid_SelfBalance'!CI20+'Grid_TTAFBalance'!CI20</f>
        <v/>
      </c>
      <c r="CJ20">
        <f>'Grid_SelfBalance'!CJ20+'Grid_TTAFBalance'!CJ20</f>
        <v/>
      </c>
      <c r="CK20">
        <f>'Grid_SelfBalance'!CK20+'Grid_TTAFBalance'!CK20</f>
        <v/>
      </c>
      <c r="CL20">
        <f>'Grid_SelfBalance'!CL20+'Grid_TTAFBalance'!CL20</f>
        <v/>
      </c>
      <c r="CM20">
        <f>'Grid_SelfBalance'!CM20+'Grid_TTAFBalance'!CM20</f>
        <v/>
      </c>
      <c r="CN20">
        <f>'Grid_SelfBalance'!CN20+'Grid_TTAFBalance'!CN20</f>
        <v/>
      </c>
      <c r="CO20">
        <f>'Grid_SelfBalance'!CO20+'Grid_TTAFBalance'!CO20</f>
        <v/>
      </c>
      <c r="CP20">
        <f>'Grid_SelfBalance'!CP20+'Grid_TTAFBalance'!CP20</f>
        <v/>
      </c>
      <c r="CQ20">
        <f>'Grid_SelfBalance'!CQ20+'Grid_TTAFBalance'!CQ20</f>
        <v/>
      </c>
      <c r="CR20">
        <f>'Grid_SelfBalance'!CR20+'Grid_TTAFBalance'!CR20</f>
        <v/>
      </c>
      <c r="CS20">
        <f>'Grid_SelfBalance'!CS20+'Grid_TTAFBalance'!CS20</f>
        <v/>
      </c>
      <c r="CT20">
        <f>'Grid_SelfBalance'!CT20+'Grid_TTAFBalance'!CT20</f>
        <v/>
      </c>
      <c r="CU20">
        <f>'Grid_SelfBalance'!CU20+'Grid_TTAFBalance'!CU20</f>
        <v/>
      </c>
      <c r="CV20">
        <f>'Grid_SelfBalance'!CV20+'Grid_TTAFBalance'!CV20</f>
        <v/>
      </c>
      <c r="CW20">
        <f>'Grid_SelfBalance'!CW20+'Grid_TTAFBalance'!CW20</f>
        <v/>
      </c>
      <c r="CX20">
        <f>'Grid_SelfBalance'!CX20+'Grid_TTAFBalance'!CX20</f>
        <v/>
      </c>
      <c r="CY20">
        <f>'Grid_SelfBalance'!CY20+'Grid_TTAFBalance'!CY20</f>
        <v/>
      </c>
      <c r="CZ20">
        <f>'Grid_SelfBalance'!CZ20+'Grid_TTAFBalance'!CZ20</f>
        <v/>
      </c>
      <c r="DA20">
        <f>'Grid_SelfBalance'!DA20+'Grid_TTAFBalance'!DA20</f>
        <v/>
      </c>
    </row>
    <row r="21">
      <c r="A21" t="inlineStr">
        <is>
          <t>CHEM-1240</t>
        </is>
      </c>
      <c r="B21">
        <f>'Grid_SelfBalance'!B21+'Grid_TTAFBalance'!B21</f>
        <v/>
      </c>
      <c r="C21">
        <f>'Grid_SelfBalance'!C21+'Grid_TTAFBalance'!C21</f>
        <v/>
      </c>
      <c r="D21">
        <f>'Grid_SelfBalance'!D21+'Grid_TTAFBalance'!D21</f>
        <v/>
      </c>
      <c r="E21">
        <f>'Grid_SelfBalance'!E21+'Grid_TTAFBalance'!E21</f>
        <v/>
      </c>
      <c r="F21">
        <f>'Grid_SelfBalance'!F21+'Grid_TTAFBalance'!F21</f>
        <v/>
      </c>
      <c r="G21">
        <f>'Grid_SelfBalance'!G21+'Grid_TTAFBalance'!G21</f>
        <v/>
      </c>
      <c r="H21">
        <f>'Grid_SelfBalance'!H21+'Grid_TTAFBalance'!H21</f>
        <v/>
      </c>
      <c r="I21">
        <f>'Grid_SelfBalance'!I21+'Grid_TTAFBalance'!I21</f>
        <v/>
      </c>
      <c r="J21">
        <f>'Grid_SelfBalance'!J21+'Grid_TTAFBalance'!J21</f>
        <v/>
      </c>
      <c r="K21">
        <f>'Grid_SelfBalance'!K21+'Grid_TTAFBalance'!K21</f>
        <v/>
      </c>
      <c r="L21">
        <f>'Grid_SelfBalance'!L21+'Grid_TTAFBalance'!L21</f>
        <v/>
      </c>
      <c r="M21">
        <f>'Grid_SelfBalance'!M21+'Grid_TTAFBalance'!M21</f>
        <v/>
      </c>
      <c r="N21">
        <f>'Grid_SelfBalance'!N21+'Grid_TTAFBalance'!N21</f>
        <v/>
      </c>
      <c r="O21">
        <f>'Grid_SelfBalance'!O21+'Grid_TTAFBalance'!O21</f>
        <v/>
      </c>
      <c r="P21">
        <f>'Grid_SelfBalance'!P21+'Grid_TTAFBalance'!P21</f>
        <v/>
      </c>
      <c r="Q21">
        <f>'Grid_SelfBalance'!Q21+'Grid_TTAFBalance'!Q21</f>
        <v/>
      </c>
      <c r="R21">
        <f>'Grid_SelfBalance'!R21+'Grid_TTAFBalance'!R21</f>
        <v/>
      </c>
      <c r="S21">
        <f>'Grid_SelfBalance'!S21+'Grid_TTAFBalance'!S21</f>
        <v/>
      </c>
      <c r="T21">
        <f>'Grid_SelfBalance'!T21+'Grid_TTAFBalance'!T21</f>
        <v/>
      </c>
      <c r="U21">
        <f>'Grid_SelfBalance'!U21+'Grid_TTAFBalance'!U21</f>
        <v/>
      </c>
      <c r="V21">
        <f>'Grid_SelfBalance'!V21+'Grid_TTAFBalance'!V21</f>
        <v/>
      </c>
      <c r="W21">
        <f>'Grid_SelfBalance'!W21+'Grid_TTAFBalance'!W21</f>
        <v/>
      </c>
      <c r="X21">
        <f>'Grid_SelfBalance'!X21+'Grid_TTAFBalance'!X21</f>
        <v/>
      </c>
      <c r="Y21">
        <f>'Grid_SelfBalance'!Y21+'Grid_TTAFBalance'!Y21</f>
        <v/>
      </c>
      <c r="Z21">
        <f>'Grid_SelfBalance'!Z21+'Grid_TTAFBalance'!Z21</f>
        <v/>
      </c>
      <c r="AA21">
        <f>'Grid_SelfBalance'!AA21+'Grid_TTAFBalance'!AA21</f>
        <v/>
      </c>
      <c r="AB21">
        <f>'Grid_SelfBalance'!AB21+'Grid_TTAFBalance'!AB21</f>
        <v/>
      </c>
      <c r="AC21">
        <f>'Grid_SelfBalance'!AC21+'Grid_TTAFBalance'!AC21</f>
        <v/>
      </c>
      <c r="AD21">
        <f>'Grid_SelfBalance'!AD21+'Grid_TTAFBalance'!AD21</f>
        <v/>
      </c>
      <c r="AE21">
        <f>'Grid_SelfBalance'!AE21+'Grid_TTAFBalance'!AE21</f>
        <v/>
      </c>
      <c r="AF21">
        <f>'Grid_SelfBalance'!AF21+'Grid_TTAFBalance'!AF21</f>
        <v/>
      </c>
      <c r="AG21">
        <f>'Grid_SelfBalance'!AG21+'Grid_TTAFBalance'!AG21</f>
        <v/>
      </c>
      <c r="AH21">
        <f>'Grid_SelfBalance'!AH21+'Grid_TTAFBalance'!AH21</f>
        <v/>
      </c>
      <c r="AI21">
        <f>'Grid_SelfBalance'!AI21+'Grid_TTAFBalance'!AI21</f>
        <v/>
      </c>
      <c r="AJ21">
        <f>'Grid_SelfBalance'!AJ21+'Grid_TTAFBalance'!AJ21</f>
        <v/>
      </c>
      <c r="AK21">
        <f>'Grid_SelfBalance'!AK21+'Grid_TTAFBalance'!AK21</f>
        <v/>
      </c>
      <c r="AL21">
        <f>'Grid_SelfBalance'!AL21+'Grid_TTAFBalance'!AL21</f>
        <v/>
      </c>
      <c r="AM21">
        <f>'Grid_SelfBalance'!AM21+'Grid_TTAFBalance'!AM21</f>
        <v/>
      </c>
      <c r="AN21">
        <f>'Grid_SelfBalance'!AN21+'Grid_TTAFBalance'!AN21</f>
        <v/>
      </c>
      <c r="AO21">
        <f>'Grid_SelfBalance'!AO21+'Grid_TTAFBalance'!AO21</f>
        <v/>
      </c>
      <c r="AP21">
        <f>'Grid_SelfBalance'!AP21+'Grid_TTAFBalance'!AP21</f>
        <v/>
      </c>
      <c r="AQ21">
        <f>'Grid_SelfBalance'!AQ21+'Grid_TTAFBalance'!AQ21</f>
        <v/>
      </c>
      <c r="AR21">
        <f>'Grid_SelfBalance'!AR21+'Grid_TTAFBalance'!AR21</f>
        <v/>
      </c>
      <c r="AS21">
        <f>'Grid_SelfBalance'!AS21+'Grid_TTAFBalance'!AS21</f>
        <v/>
      </c>
      <c r="AT21">
        <f>'Grid_SelfBalance'!AT21+'Grid_TTAFBalance'!AT21</f>
        <v/>
      </c>
      <c r="AU21">
        <f>'Grid_SelfBalance'!AU21+'Grid_TTAFBalance'!AU21</f>
        <v/>
      </c>
      <c r="AV21">
        <f>'Grid_SelfBalance'!AV21+'Grid_TTAFBalance'!AV21</f>
        <v/>
      </c>
      <c r="AW21">
        <f>'Grid_SelfBalance'!AW21+'Grid_TTAFBalance'!AW21</f>
        <v/>
      </c>
      <c r="AX21">
        <f>'Grid_SelfBalance'!AX21+'Grid_TTAFBalance'!AX21</f>
        <v/>
      </c>
      <c r="AY21">
        <f>'Grid_SelfBalance'!AY21+'Grid_TTAFBalance'!AY21</f>
        <v/>
      </c>
      <c r="AZ21">
        <f>'Grid_SelfBalance'!AZ21+'Grid_TTAFBalance'!AZ21</f>
        <v/>
      </c>
      <c r="BA21">
        <f>'Grid_SelfBalance'!BA21+'Grid_TTAFBalance'!BA21</f>
        <v/>
      </c>
      <c r="BB21">
        <f>'Grid_SelfBalance'!BB21+'Grid_TTAFBalance'!BB21</f>
        <v/>
      </c>
      <c r="BC21">
        <f>'Grid_SelfBalance'!BC21+'Grid_TTAFBalance'!BC21</f>
        <v/>
      </c>
      <c r="BD21">
        <f>'Grid_SelfBalance'!BD21+'Grid_TTAFBalance'!BD21</f>
        <v/>
      </c>
      <c r="BE21">
        <f>'Grid_SelfBalance'!BE21+'Grid_TTAFBalance'!BE21</f>
        <v/>
      </c>
      <c r="BF21">
        <f>'Grid_SelfBalance'!BF21+'Grid_TTAFBalance'!BF21</f>
        <v/>
      </c>
      <c r="BG21">
        <f>'Grid_SelfBalance'!BG21+'Grid_TTAFBalance'!BG21</f>
        <v/>
      </c>
      <c r="BH21">
        <f>'Grid_SelfBalance'!BH21+'Grid_TTAFBalance'!BH21</f>
        <v/>
      </c>
      <c r="BI21">
        <f>'Grid_SelfBalance'!BI21+'Grid_TTAFBalance'!BI21</f>
        <v/>
      </c>
      <c r="BJ21">
        <f>'Grid_SelfBalance'!BJ21+'Grid_TTAFBalance'!BJ21</f>
        <v/>
      </c>
      <c r="BK21">
        <f>'Grid_SelfBalance'!BK21+'Grid_TTAFBalance'!BK21</f>
        <v/>
      </c>
      <c r="BL21">
        <f>'Grid_SelfBalance'!BL21+'Grid_TTAFBalance'!BL21</f>
        <v/>
      </c>
      <c r="BM21">
        <f>'Grid_SelfBalance'!BM21+'Grid_TTAFBalance'!BM21</f>
        <v/>
      </c>
      <c r="BN21">
        <f>'Grid_SelfBalance'!BN21+'Grid_TTAFBalance'!BN21</f>
        <v/>
      </c>
      <c r="BO21">
        <f>'Grid_SelfBalance'!BO21+'Grid_TTAFBalance'!BO21</f>
        <v/>
      </c>
      <c r="BP21">
        <f>'Grid_SelfBalance'!BP21+'Grid_TTAFBalance'!BP21</f>
        <v/>
      </c>
      <c r="BQ21">
        <f>'Grid_SelfBalance'!BQ21+'Grid_TTAFBalance'!BQ21</f>
        <v/>
      </c>
      <c r="BR21">
        <f>'Grid_SelfBalance'!BR21+'Grid_TTAFBalance'!BR21</f>
        <v/>
      </c>
      <c r="BS21">
        <f>'Grid_SelfBalance'!BS21+'Grid_TTAFBalance'!BS21</f>
        <v/>
      </c>
      <c r="BT21">
        <f>'Grid_SelfBalance'!BT21+'Grid_TTAFBalance'!BT21</f>
        <v/>
      </c>
      <c r="BU21">
        <f>'Grid_SelfBalance'!BU21+'Grid_TTAFBalance'!BU21</f>
        <v/>
      </c>
      <c r="BV21">
        <f>'Grid_SelfBalance'!BV21+'Grid_TTAFBalance'!BV21</f>
        <v/>
      </c>
      <c r="BW21">
        <f>'Grid_SelfBalance'!BW21+'Grid_TTAFBalance'!BW21</f>
        <v/>
      </c>
      <c r="BX21">
        <f>'Grid_SelfBalance'!BX21+'Grid_TTAFBalance'!BX21</f>
        <v/>
      </c>
      <c r="BY21">
        <f>'Grid_SelfBalance'!BY21+'Grid_TTAFBalance'!BY21</f>
        <v/>
      </c>
      <c r="BZ21">
        <f>'Grid_SelfBalance'!BZ21+'Grid_TTAFBalance'!BZ21</f>
        <v/>
      </c>
      <c r="CA21">
        <f>'Grid_SelfBalance'!CA21+'Grid_TTAFBalance'!CA21</f>
        <v/>
      </c>
      <c r="CB21">
        <f>'Grid_SelfBalance'!CB21+'Grid_TTAFBalance'!CB21</f>
        <v/>
      </c>
      <c r="CC21">
        <f>'Grid_SelfBalance'!CC21+'Grid_TTAFBalance'!CC21</f>
        <v/>
      </c>
      <c r="CD21">
        <f>'Grid_SelfBalance'!CD21+'Grid_TTAFBalance'!CD21</f>
        <v/>
      </c>
      <c r="CE21">
        <f>'Grid_SelfBalance'!CE21+'Grid_TTAFBalance'!CE21</f>
        <v/>
      </c>
      <c r="CF21">
        <f>'Grid_SelfBalance'!CF21+'Grid_TTAFBalance'!CF21</f>
        <v/>
      </c>
      <c r="CG21">
        <f>'Grid_SelfBalance'!CG21+'Grid_TTAFBalance'!CG21</f>
        <v/>
      </c>
      <c r="CH21">
        <f>'Grid_SelfBalance'!CH21+'Grid_TTAFBalance'!CH21</f>
        <v/>
      </c>
      <c r="CI21">
        <f>'Grid_SelfBalance'!CI21+'Grid_TTAFBalance'!CI21</f>
        <v/>
      </c>
      <c r="CJ21">
        <f>'Grid_SelfBalance'!CJ21+'Grid_TTAFBalance'!CJ21</f>
        <v/>
      </c>
      <c r="CK21">
        <f>'Grid_SelfBalance'!CK21+'Grid_TTAFBalance'!CK21</f>
        <v/>
      </c>
      <c r="CL21">
        <f>'Grid_SelfBalance'!CL21+'Grid_TTAFBalance'!CL21</f>
        <v/>
      </c>
      <c r="CM21">
        <f>'Grid_SelfBalance'!CM21+'Grid_TTAFBalance'!CM21</f>
        <v/>
      </c>
      <c r="CN21">
        <f>'Grid_SelfBalance'!CN21+'Grid_TTAFBalance'!CN21</f>
        <v/>
      </c>
      <c r="CO21">
        <f>'Grid_SelfBalance'!CO21+'Grid_TTAFBalance'!CO21</f>
        <v/>
      </c>
      <c r="CP21">
        <f>'Grid_SelfBalance'!CP21+'Grid_TTAFBalance'!CP21</f>
        <v/>
      </c>
      <c r="CQ21">
        <f>'Grid_SelfBalance'!CQ21+'Grid_TTAFBalance'!CQ21</f>
        <v/>
      </c>
      <c r="CR21">
        <f>'Grid_SelfBalance'!CR21+'Grid_TTAFBalance'!CR21</f>
        <v/>
      </c>
      <c r="CS21">
        <f>'Grid_SelfBalance'!CS21+'Grid_TTAFBalance'!CS21</f>
        <v/>
      </c>
      <c r="CT21">
        <f>'Grid_SelfBalance'!CT21+'Grid_TTAFBalance'!CT21</f>
        <v/>
      </c>
      <c r="CU21">
        <f>'Grid_SelfBalance'!CU21+'Grid_TTAFBalance'!CU21</f>
        <v/>
      </c>
      <c r="CV21">
        <f>'Grid_SelfBalance'!CV21+'Grid_TTAFBalance'!CV21</f>
        <v/>
      </c>
      <c r="CW21">
        <f>'Grid_SelfBalance'!CW21+'Grid_TTAFBalance'!CW21</f>
        <v/>
      </c>
      <c r="CX21">
        <f>'Grid_SelfBalance'!CX21+'Grid_TTAFBalance'!CX21</f>
        <v/>
      </c>
      <c r="CY21">
        <f>'Grid_SelfBalance'!CY21+'Grid_TTAFBalance'!CY21</f>
        <v/>
      </c>
      <c r="CZ21">
        <f>'Grid_SelfBalance'!CZ21+'Grid_TTAFBalance'!CZ21</f>
        <v/>
      </c>
      <c r="DA21">
        <f>'Grid_SelfBalance'!DA21+'Grid_TTAFBalance'!DA21</f>
        <v/>
      </c>
    </row>
    <row r="22">
      <c r="A22" t="inlineStr">
        <is>
          <t>0JN</t>
        </is>
      </c>
      <c r="B22">
        <f>'Grid_SelfBalance'!B22+'Grid_TTAFBalance'!B22</f>
        <v/>
      </c>
      <c r="C22">
        <f>'Grid_SelfBalance'!C22+'Grid_TTAFBalance'!C22</f>
        <v/>
      </c>
      <c r="D22">
        <f>'Grid_SelfBalance'!D22+'Grid_TTAFBalance'!D22</f>
        <v/>
      </c>
      <c r="E22">
        <f>'Grid_SelfBalance'!E22+'Grid_TTAFBalance'!E22</f>
        <v/>
      </c>
      <c r="F22">
        <f>'Grid_SelfBalance'!F22+'Grid_TTAFBalance'!F22</f>
        <v/>
      </c>
      <c r="G22">
        <f>'Grid_SelfBalance'!G22+'Grid_TTAFBalance'!G22</f>
        <v/>
      </c>
      <c r="H22">
        <f>'Grid_SelfBalance'!H22+'Grid_TTAFBalance'!H22</f>
        <v/>
      </c>
      <c r="I22">
        <f>'Grid_SelfBalance'!I22+'Grid_TTAFBalance'!I22</f>
        <v/>
      </c>
      <c r="J22">
        <f>'Grid_SelfBalance'!J22+'Grid_TTAFBalance'!J22</f>
        <v/>
      </c>
      <c r="K22">
        <f>'Grid_SelfBalance'!K22+'Grid_TTAFBalance'!K22</f>
        <v/>
      </c>
      <c r="L22">
        <f>'Grid_SelfBalance'!L22+'Grid_TTAFBalance'!L22</f>
        <v/>
      </c>
      <c r="M22">
        <f>'Grid_SelfBalance'!M22+'Grid_TTAFBalance'!M22</f>
        <v/>
      </c>
      <c r="N22">
        <f>'Grid_SelfBalance'!N22+'Grid_TTAFBalance'!N22</f>
        <v/>
      </c>
      <c r="O22">
        <f>'Grid_SelfBalance'!O22+'Grid_TTAFBalance'!O22</f>
        <v/>
      </c>
      <c r="P22">
        <f>'Grid_SelfBalance'!P22+'Grid_TTAFBalance'!P22</f>
        <v/>
      </c>
      <c r="Q22">
        <f>'Grid_SelfBalance'!Q22+'Grid_TTAFBalance'!Q22</f>
        <v/>
      </c>
      <c r="R22">
        <f>'Grid_SelfBalance'!R22+'Grid_TTAFBalance'!R22</f>
        <v/>
      </c>
      <c r="S22">
        <f>'Grid_SelfBalance'!S22+'Grid_TTAFBalance'!S22</f>
        <v/>
      </c>
      <c r="T22">
        <f>'Grid_SelfBalance'!T22+'Grid_TTAFBalance'!T22</f>
        <v/>
      </c>
      <c r="U22">
        <f>'Grid_SelfBalance'!U22+'Grid_TTAFBalance'!U22</f>
        <v/>
      </c>
      <c r="V22">
        <f>'Grid_SelfBalance'!V22+'Grid_TTAFBalance'!V22</f>
        <v/>
      </c>
      <c r="W22">
        <f>'Grid_SelfBalance'!W22+'Grid_TTAFBalance'!W22</f>
        <v/>
      </c>
      <c r="X22">
        <f>'Grid_SelfBalance'!X22+'Grid_TTAFBalance'!X22</f>
        <v/>
      </c>
      <c r="Y22">
        <f>'Grid_SelfBalance'!Y22+'Grid_TTAFBalance'!Y22</f>
        <v/>
      </c>
      <c r="Z22">
        <f>'Grid_SelfBalance'!Z22+'Grid_TTAFBalance'!Z22</f>
        <v/>
      </c>
      <c r="AA22">
        <f>'Grid_SelfBalance'!AA22+'Grid_TTAFBalance'!AA22</f>
        <v/>
      </c>
      <c r="AB22">
        <f>'Grid_SelfBalance'!AB22+'Grid_TTAFBalance'!AB22</f>
        <v/>
      </c>
      <c r="AC22">
        <f>'Grid_SelfBalance'!AC22+'Grid_TTAFBalance'!AC22</f>
        <v/>
      </c>
      <c r="AD22">
        <f>'Grid_SelfBalance'!AD22+'Grid_TTAFBalance'!AD22</f>
        <v/>
      </c>
      <c r="AE22">
        <f>'Grid_SelfBalance'!AE22+'Grid_TTAFBalance'!AE22</f>
        <v/>
      </c>
      <c r="AF22">
        <f>'Grid_SelfBalance'!AF22+'Grid_TTAFBalance'!AF22</f>
        <v/>
      </c>
      <c r="AG22">
        <f>'Grid_SelfBalance'!AG22+'Grid_TTAFBalance'!AG22</f>
        <v/>
      </c>
      <c r="AH22">
        <f>'Grid_SelfBalance'!AH22+'Grid_TTAFBalance'!AH22</f>
        <v/>
      </c>
      <c r="AI22">
        <f>'Grid_SelfBalance'!AI22+'Grid_TTAFBalance'!AI22</f>
        <v/>
      </c>
      <c r="AJ22">
        <f>'Grid_SelfBalance'!AJ22+'Grid_TTAFBalance'!AJ22</f>
        <v/>
      </c>
      <c r="AK22">
        <f>'Grid_SelfBalance'!AK22+'Grid_TTAFBalance'!AK22</f>
        <v/>
      </c>
      <c r="AL22">
        <f>'Grid_SelfBalance'!AL22+'Grid_TTAFBalance'!AL22</f>
        <v/>
      </c>
      <c r="AM22">
        <f>'Grid_SelfBalance'!AM22+'Grid_TTAFBalance'!AM22</f>
        <v/>
      </c>
      <c r="AN22">
        <f>'Grid_SelfBalance'!AN22+'Grid_TTAFBalance'!AN22</f>
        <v/>
      </c>
      <c r="AO22">
        <f>'Grid_SelfBalance'!AO22+'Grid_TTAFBalance'!AO22</f>
        <v/>
      </c>
      <c r="AP22">
        <f>'Grid_SelfBalance'!AP22+'Grid_TTAFBalance'!AP22</f>
        <v/>
      </c>
      <c r="AQ22">
        <f>'Grid_SelfBalance'!AQ22+'Grid_TTAFBalance'!AQ22</f>
        <v/>
      </c>
      <c r="AR22">
        <f>'Grid_SelfBalance'!AR22+'Grid_TTAFBalance'!AR22</f>
        <v/>
      </c>
      <c r="AS22">
        <f>'Grid_SelfBalance'!AS22+'Grid_TTAFBalance'!AS22</f>
        <v/>
      </c>
      <c r="AT22">
        <f>'Grid_SelfBalance'!AT22+'Grid_TTAFBalance'!AT22</f>
        <v/>
      </c>
      <c r="AU22">
        <f>'Grid_SelfBalance'!AU22+'Grid_TTAFBalance'!AU22</f>
        <v/>
      </c>
      <c r="AV22">
        <f>'Grid_SelfBalance'!AV22+'Grid_TTAFBalance'!AV22</f>
        <v/>
      </c>
      <c r="AW22">
        <f>'Grid_SelfBalance'!AW22+'Grid_TTAFBalance'!AW22</f>
        <v/>
      </c>
      <c r="AX22">
        <f>'Grid_SelfBalance'!AX22+'Grid_TTAFBalance'!AX22</f>
        <v/>
      </c>
      <c r="AY22">
        <f>'Grid_SelfBalance'!AY22+'Grid_TTAFBalance'!AY22</f>
        <v/>
      </c>
      <c r="AZ22">
        <f>'Grid_SelfBalance'!AZ22+'Grid_TTAFBalance'!AZ22</f>
        <v/>
      </c>
      <c r="BA22">
        <f>'Grid_SelfBalance'!BA22+'Grid_TTAFBalance'!BA22</f>
        <v/>
      </c>
      <c r="BB22">
        <f>'Grid_SelfBalance'!BB22+'Grid_TTAFBalance'!BB22</f>
        <v/>
      </c>
      <c r="BC22">
        <f>'Grid_SelfBalance'!BC22+'Grid_TTAFBalance'!BC22</f>
        <v/>
      </c>
      <c r="BD22">
        <f>'Grid_SelfBalance'!BD22+'Grid_TTAFBalance'!BD22</f>
        <v/>
      </c>
      <c r="BE22">
        <f>'Grid_SelfBalance'!BE22+'Grid_TTAFBalance'!BE22</f>
        <v/>
      </c>
      <c r="BF22">
        <f>'Grid_SelfBalance'!BF22+'Grid_TTAFBalance'!BF22</f>
        <v/>
      </c>
      <c r="BG22">
        <f>'Grid_SelfBalance'!BG22+'Grid_TTAFBalance'!BG22</f>
        <v/>
      </c>
      <c r="BH22">
        <f>'Grid_SelfBalance'!BH22+'Grid_TTAFBalance'!BH22</f>
        <v/>
      </c>
      <c r="BI22">
        <f>'Grid_SelfBalance'!BI22+'Grid_TTAFBalance'!BI22</f>
        <v/>
      </c>
      <c r="BJ22">
        <f>'Grid_SelfBalance'!BJ22+'Grid_TTAFBalance'!BJ22</f>
        <v/>
      </c>
      <c r="BK22">
        <f>'Grid_SelfBalance'!BK22+'Grid_TTAFBalance'!BK22</f>
        <v/>
      </c>
      <c r="BL22">
        <f>'Grid_SelfBalance'!BL22+'Grid_TTAFBalance'!BL22</f>
        <v/>
      </c>
      <c r="BM22">
        <f>'Grid_SelfBalance'!BM22+'Grid_TTAFBalance'!BM22</f>
        <v/>
      </c>
      <c r="BN22">
        <f>'Grid_SelfBalance'!BN22+'Grid_TTAFBalance'!BN22</f>
        <v/>
      </c>
      <c r="BO22">
        <f>'Grid_SelfBalance'!BO22+'Grid_TTAFBalance'!BO22</f>
        <v/>
      </c>
      <c r="BP22">
        <f>'Grid_SelfBalance'!BP22+'Grid_TTAFBalance'!BP22</f>
        <v/>
      </c>
      <c r="BQ22">
        <f>'Grid_SelfBalance'!BQ22+'Grid_TTAFBalance'!BQ22</f>
        <v/>
      </c>
      <c r="BR22">
        <f>'Grid_SelfBalance'!BR22+'Grid_TTAFBalance'!BR22</f>
        <v/>
      </c>
      <c r="BS22">
        <f>'Grid_SelfBalance'!BS22+'Grid_TTAFBalance'!BS22</f>
        <v/>
      </c>
      <c r="BT22">
        <f>'Grid_SelfBalance'!BT22+'Grid_TTAFBalance'!BT22</f>
        <v/>
      </c>
      <c r="BU22">
        <f>'Grid_SelfBalance'!BU22+'Grid_TTAFBalance'!BU22</f>
        <v/>
      </c>
      <c r="BV22">
        <f>'Grid_SelfBalance'!BV22+'Grid_TTAFBalance'!BV22</f>
        <v/>
      </c>
      <c r="BW22">
        <f>'Grid_SelfBalance'!BW22+'Grid_TTAFBalance'!BW22</f>
        <v/>
      </c>
      <c r="BX22">
        <f>'Grid_SelfBalance'!BX22+'Grid_TTAFBalance'!BX22</f>
        <v/>
      </c>
      <c r="BY22">
        <f>'Grid_SelfBalance'!BY22+'Grid_TTAFBalance'!BY22</f>
        <v/>
      </c>
      <c r="BZ22">
        <f>'Grid_SelfBalance'!BZ22+'Grid_TTAFBalance'!BZ22</f>
        <v/>
      </c>
      <c r="CA22">
        <f>'Grid_SelfBalance'!CA22+'Grid_TTAFBalance'!CA22</f>
        <v/>
      </c>
      <c r="CB22">
        <f>'Grid_SelfBalance'!CB22+'Grid_TTAFBalance'!CB22</f>
        <v/>
      </c>
      <c r="CC22">
        <f>'Grid_SelfBalance'!CC22+'Grid_TTAFBalance'!CC22</f>
        <v/>
      </c>
      <c r="CD22">
        <f>'Grid_SelfBalance'!CD22+'Grid_TTAFBalance'!CD22</f>
        <v/>
      </c>
      <c r="CE22">
        <f>'Grid_SelfBalance'!CE22+'Grid_TTAFBalance'!CE22</f>
        <v/>
      </c>
      <c r="CF22">
        <f>'Grid_SelfBalance'!CF22+'Grid_TTAFBalance'!CF22</f>
        <v/>
      </c>
      <c r="CG22">
        <f>'Grid_SelfBalance'!CG22+'Grid_TTAFBalance'!CG22</f>
        <v/>
      </c>
      <c r="CH22">
        <f>'Grid_SelfBalance'!CH22+'Grid_TTAFBalance'!CH22</f>
        <v/>
      </c>
      <c r="CI22">
        <f>'Grid_SelfBalance'!CI22+'Grid_TTAFBalance'!CI22</f>
        <v/>
      </c>
      <c r="CJ22">
        <f>'Grid_SelfBalance'!CJ22+'Grid_TTAFBalance'!CJ22</f>
        <v/>
      </c>
      <c r="CK22">
        <f>'Grid_SelfBalance'!CK22+'Grid_TTAFBalance'!CK22</f>
        <v/>
      </c>
      <c r="CL22">
        <f>'Grid_SelfBalance'!CL22+'Grid_TTAFBalance'!CL22</f>
        <v/>
      </c>
      <c r="CM22">
        <f>'Grid_SelfBalance'!CM22+'Grid_TTAFBalance'!CM22</f>
        <v/>
      </c>
      <c r="CN22">
        <f>'Grid_SelfBalance'!CN22+'Grid_TTAFBalance'!CN22</f>
        <v/>
      </c>
      <c r="CO22">
        <f>'Grid_SelfBalance'!CO22+'Grid_TTAFBalance'!CO22</f>
        <v/>
      </c>
      <c r="CP22">
        <f>'Grid_SelfBalance'!CP22+'Grid_TTAFBalance'!CP22</f>
        <v/>
      </c>
      <c r="CQ22">
        <f>'Grid_SelfBalance'!CQ22+'Grid_TTAFBalance'!CQ22</f>
        <v/>
      </c>
      <c r="CR22">
        <f>'Grid_SelfBalance'!CR22+'Grid_TTAFBalance'!CR22</f>
        <v/>
      </c>
      <c r="CS22">
        <f>'Grid_SelfBalance'!CS22+'Grid_TTAFBalance'!CS22</f>
        <v/>
      </c>
      <c r="CT22">
        <f>'Grid_SelfBalance'!CT22+'Grid_TTAFBalance'!CT22</f>
        <v/>
      </c>
      <c r="CU22">
        <f>'Grid_SelfBalance'!CU22+'Grid_TTAFBalance'!CU22</f>
        <v/>
      </c>
      <c r="CV22">
        <f>'Grid_SelfBalance'!CV22+'Grid_TTAFBalance'!CV22</f>
        <v/>
      </c>
      <c r="CW22">
        <f>'Grid_SelfBalance'!CW22+'Grid_TTAFBalance'!CW22</f>
        <v/>
      </c>
      <c r="CX22">
        <f>'Grid_SelfBalance'!CX22+'Grid_TTAFBalance'!CX22</f>
        <v/>
      </c>
      <c r="CY22">
        <f>'Grid_SelfBalance'!CY22+'Grid_TTAFBalance'!CY22</f>
        <v/>
      </c>
      <c r="CZ22">
        <f>'Grid_SelfBalance'!CZ22+'Grid_TTAFBalance'!CZ22</f>
        <v/>
      </c>
      <c r="DA22">
        <f>'Grid_SelfBalance'!DA22+'Grid_TTAFBalance'!DA22</f>
        <v/>
      </c>
    </row>
    <row r="23">
      <c r="A23" t="inlineStr">
        <is>
          <t>CHEM-1760</t>
        </is>
      </c>
      <c r="B23">
        <f>'Grid_SelfBalance'!B23+'Grid_TTAFBalance'!B23</f>
        <v/>
      </c>
      <c r="C23">
        <f>'Grid_SelfBalance'!C23+'Grid_TTAFBalance'!C23</f>
        <v/>
      </c>
      <c r="D23">
        <f>'Grid_SelfBalance'!D23+'Grid_TTAFBalance'!D23</f>
        <v/>
      </c>
      <c r="E23">
        <f>'Grid_SelfBalance'!E23+'Grid_TTAFBalance'!E23</f>
        <v/>
      </c>
      <c r="F23">
        <f>'Grid_SelfBalance'!F23+'Grid_TTAFBalance'!F23</f>
        <v/>
      </c>
      <c r="G23">
        <f>'Grid_SelfBalance'!G23+'Grid_TTAFBalance'!G23</f>
        <v/>
      </c>
      <c r="H23">
        <f>'Grid_SelfBalance'!H23+'Grid_TTAFBalance'!H23</f>
        <v/>
      </c>
      <c r="I23">
        <f>'Grid_SelfBalance'!I23+'Grid_TTAFBalance'!I23</f>
        <v/>
      </c>
      <c r="J23">
        <f>'Grid_SelfBalance'!J23+'Grid_TTAFBalance'!J23</f>
        <v/>
      </c>
      <c r="K23">
        <f>'Grid_SelfBalance'!K23+'Grid_TTAFBalance'!K23</f>
        <v/>
      </c>
      <c r="L23">
        <f>'Grid_SelfBalance'!L23+'Grid_TTAFBalance'!L23</f>
        <v/>
      </c>
      <c r="M23">
        <f>'Grid_SelfBalance'!M23+'Grid_TTAFBalance'!M23</f>
        <v/>
      </c>
      <c r="N23">
        <f>'Grid_SelfBalance'!N23+'Grid_TTAFBalance'!N23</f>
        <v/>
      </c>
      <c r="O23">
        <f>'Grid_SelfBalance'!O23+'Grid_TTAFBalance'!O23</f>
        <v/>
      </c>
      <c r="P23">
        <f>'Grid_SelfBalance'!P23+'Grid_TTAFBalance'!P23</f>
        <v/>
      </c>
      <c r="Q23">
        <f>'Grid_SelfBalance'!Q23+'Grid_TTAFBalance'!Q23</f>
        <v/>
      </c>
      <c r="R23">
        <f>'Grid_SelfBalance'!R23+'Grid_TTAFBalance'!R23</f>
        <v/>
      </c>
      <c r="S23">
        <f>'Grid_SelfBalance'!S23+'Grid_TTAFBalance'!S23</f>
        <v/>
      </c>
      <c r="T23">
        <f>'Grid_SelfBalance'!T23+'Grid_TTAFBalance'!T23</f>
        <v/>
      </c>
      <c r="U23">
        <f>'Grid_SelfBalance'!U23+'Grid_TTAFBalance'!U23</f>
        <v/>
      </c>
      <c r="V23">
        <f>'Grid_SelfBalance'!V23+'Grid_TTAFBalance'!V23</f>
        <v/>
      </c>
      <c r="W23">
        <f>'Grid_SelfBalance'!W23+'Grid_TTAFBalance'!W23</f>
        <v/>
      </c>
      <c r="X23">
        <f>'Grid_SelfBalance'!X23+'Grid_TTAFBalance'!X23</f>
        <v/>
      </c>
      <c r="Y23">
        <f>'Grid_SelfBalance'!Y23+'Grid_TTAFBalance'!Y23</f>
        <v/>
      </c>
      <c r="Z23">
        <f>'Grid_SelfBalance'!Z23+'Grid_TTAFBalance'!Z23</f>
        <v/>
      </c>
      <c r="AA23">
        <f>'Grid_SelfBalance'!AA23+'Grid_TTAFBalance'!AA23</f>
        <v/>
      </c>
      <c r="AB23">
        <f>'Grid_SelfBalance'!AB23+'Grid_TTAFBalance'!AB23</f>
        <v/>
      </c>
      <c r="AC23">
        <f>'Grid_SelfBalance'!AC23+'Grid_TTAFBalance'!AC23</f>
        <v/>
      </c>
      <c r="AD23">
        <f>'Grid_SelfBalance'!AD23+'Grid_TTAFBalance'!AD23</f>
        <v/>
      </c>
      <c r="AE23">
        <f>'Grid_SelfBalance'!AE23+'Grid_TTAFBalance'!AE23</f>
        <v/>
      </c>
      <c r="AF23">
        <f>'Grid_SelfBalance'!AF23+'Grid_TTAFBalance'!AF23</f>
        <v/>
      </c>
      <c r="AG23">
        <f>'Grid_SelfBalance'!AG23+'Grid_TTAFBalance'!AG23</f>
        <v/>
      </c>
      <c r="AH23">
        <f>'Grid_SelfBalance'!AH23+'Grid_TTAFBalance'!AH23</f>
        <v/>
      </c>
      <c r="AI23">
        <f>'Grid_SelfBalance'!AI23+'Grid_TTAFBalance'!AI23</f>
        <v/>
      </c>
      <c r="AJ23">
        <f>'Grid_SelfBalance'!AJ23+'Grid_TTAFBalance'!AJ23</f>
        <v/>
      </c>
      <c r="AK23">
        <f>'Grid_SelfBalance'!AK23+'Grid_TTAFBalance'!AK23</f>
        <v/>
      </c>
      <c r="AL23">
        <f>'Grid_SelfBalance'!AL23+'Grid_TTAFBalance'!AL23</f>
        <v/>
      </c>
      <c r="AM23">
        <f>'Grid_SelfBalance'!AM23+'Grid_TTAFBalance'!AM23</f>
        <v/>
      </c>
      <c r="AN23">
        <f>'Grid_SelfBalance'!AN23+'Grid_TTAFBalance'!AN23</f>
        <v/>
      </c>
      <c r="AO23">
        <f>'Grid_SelfBalance'!AO23+'Grid_TTAFBalance'!AO23</f>
        <v/>
      </c>
      <c r="AP23">
        <f>'Grid_SelfBalance'!AP23+'Grid_TTAFBalance'!AP23</f>
        <v/>
      </c>
      <c r="AQ23">
        <f>'Grid_SelfBalance'!AQ23+'Grid_TTAFBalance'!AQ23</f>
        <v/>
      </c>
      <c r="AR23">
        <f>'Grid_SelfBalance'!AR23+'Grid_TTAFBalance'!AR23</f>
        <v/>
      </c>
      <c r="AS23">
        <f>'Grid_SelfBalance'!AS23+'Grid_TTAFBalance'!AS23</f>
        <v/>
      </c>
      <c r="AT23">
        <f>'Grid_SelfBalance'!AT23+'Grid_TTAFBalance'!AT23</f>
        <v/>
      </c>
      <c r="AU23">
        <f>'Grid_SelfBalance'!AU23+'Grid_TTAFBalance'!AU23</f>
        <v/>
      </c>
      <c r="AV23">
        <f>'Grid_SelfBalance'!AV23+'Grid_TTAFBalance'!AV23</f>
        <v/>
      </c>
      <c r="AW23">
        <f>'Grid_SelfBalance'!AW23+'Grid_TTAFBalance'!AW23</f>
        <v/>
      </c>
      <c r="AX23">
        <f>'Grid_SelfBalance'!AX23+'Grid_TTAFBalance'!AX23</f>
        <v/>
      </c>
      <c r="AY23">
        <f>'Grid_SelfBalance'!AY23+'Grid_TTAFBalance'!AY23</f>
        <v/>
      </c>
      <c r="AZ23">
        <f>'Grid_SelfBalance'!AZ23+'Grid_TTAFBalance'!AZ23</f>
        <v/>
      </c>
      <c r="BA23">
        <f>'Grid_SelfBalance'!BA23+'Grid_TTAFBalance'!BA23</f>
        <v/>
      </c>
      <c r="BB23">
        <f>'Grid_SelfBalance'!BB23+'Grid_TTAFBalance'!BB23</f>
        <v/>
      </c>
      <c r="BC23">
        <f>'Grid_SelfBalance'!BC23+'Grid_TTAFBalance'!BC23</f>
        <v/>
      </c>
      <c r="BD23">
        <f>'Grid_SelfBalance'!BD23+'Grid_TTAFBalance'!BD23</f>
        <v/>
      </c>
      <c r="BE23">
        <f>'Grid_SelfBalance'!BE23+'Grid_TTAFBalance'!BE23</f>
        <v/>
      </c>
      <c r="BF23">
        <f>'Grid_SelfBalance'!BF23+'Grid_TTAFBalance'!BF23</f>
        <v/>
      </c>
      <c r="BG23">
        <f>'Grid_SelfBalance'!BG23+'Grid_TTAFBalance'!BG23</f>
        <v/>
      </c>
      <c r="BH23">
        <f>'Grid_SelfBalance'!BH23+'Grid_TTAFBalance'!BH23</f>
        <v/>
      </c>
      <c r="BI23">
        <f>'Grid_SelfBalance'!BI23+'Grid_TTAFBalance'!BI23</f>
        <v/>
      </c>
      <c r="BJ23">
        <f>'Grid_SelfBalance'!BJ23+'Grid_TTAFBalance'!BJ23</f>
        <v/>
      </c>
      <c r="BK23">
        <f>'Grid_SelfBalance'!BK23+'Grid_TTAFBalance'!BK23</f>
        <v/>
      </c>
      <c r="BL23">
        <f>'Grid_SelfBalance'!BL23+'Grid_TTAFBalance'!BL23</f>
        <v/>
      </c>
      <c r="BM23">
        <f>'Grid_SelfBalance'!BM23+'Grid_TTAFBalance'!BM23</f>
        <v/>
      </c>
      <c r="BN23">
        <f>'Grid_SelfBalance'!BN23+'Grid_TTAFBalance'!BN23</f>
        <v/>
      </c>
      <c r="BO23">
        <f>'Grid_SelfBalance'!BO23+'Grid_TTAFBalance'!BO23</f>
        <v/>
      </c>
      <c r="BP23">
        <f>'Grid_SelfBalance'!BP23+'Grid_TTAFBalance'!BP23</f>
        <v/>
      </c>
      <c r="BQ23">
        <f>'Grid_SelfBalance'!BQ23+'Grid_TTAFBalance'!BQ23</f>
        <v/>
      </c>
      <c r="BR23">
        <f>'Grid_SelfBalance'!BR23+'Grid_TTAFBalance'!BR23</f>
        <v/>
      </c>
      <c r="BS23">
        <f>'Grid_SelfBalance'!BS23+'Grid_TTAFBalance'!BS23</f>
        <v/>
      </c>
      <c r="BT23">
        <f>'Grid_SelfBalance'!BT23+'Grid_TTAFBalance'!BT23</f>
        <v/>
      </c>
      <c r="BU23">
        <f>'Grid_SelfBalance'!BU23+'Grid_TTAFBalance'!BU23</f>
        <v/>
      </c>
      <c r="BV23">
        <f>'Grid_SelfBalance'!BV23+'Grid_TTAFBalance'!BV23</f>
        <v/>
      </c>
      <c r="BW23">
        <f>'Grid_SelfBalance'!BW23+'Grid_TTAFBalance'!BW23</f>
        <v/>
      </c>
      <c r="BX23">
        <f>'Grid_SelfBalance'!BX23+'Grid_TTAFBalance'!BX23</f>
        <v/>
      </c>
      <c r="BY23">
        <f>'Grid_SelfBalance'!BY23+'Grid_TTAFBalance'!BY23</f>
        <v/>
      </c>
      <c r="BZ23">
        <f>'Grid_SelfBalance'!BZ23+'Grid_TTAFBalance'!BZ23</f>
        <v/>
      </c>
      <c r="CA23">
        <f>'Grid_SelfBalance'!CA23+'Grid_TTAFBalance'!CA23</f>
        <v/>
      </c>
      <c r="CB23">
        <f>'Grid_SelfBalance'!CB23+'Grid_TTAFBalance'!CB23</f>
        <v/>
      </c>
      <c r="CC23">
        <f>'Grid_SelfBalance'!CC23+'Grid_TTAFBalance'!CC23</f>
        <v/>
      </c>
      <c r="CD23">
        <f>'Grid_SelfBalance'!CD23+'Grid_TTAFBalance'!CD23</f>
        <v/>
      </c>
      <c r="CE23">
        <f>'Grid_SelfBalance'!CE23+'Grid_TTAFBalance'!CE23</f>
        <v/>
      </c>
      <c r="CF23">
        <f>'Grid_SelfBalance'!CF23+'Grid_TTAFBalance'!CF23</f>
        <v/>
      </c>
      <c r="CG23">
        <f>'Grid_SelfBalance'!CG23+'Grid_TTAFBalance'!CG23</f>
        <v/>
      </c>
      <c r="CH23">
        <f>'Grid_SelfBalance'!CH23+'Grid_TTAFBalance'!CH23</f>
        <v/>
      </c>
      <c r="CI23">
        <f>'Grid_SelfBalance'!CI23+'Grid_TTAFBalance'!CI23</f>
        <v/>
      </c>
      <c r="CJ23">
        <f>'Grid_SelfBalance'!CJ23+'Grid_TTAFBalance'!CJ23</f>
        <v/>
      </c>
      <c r="CK23">
        <f>'Grid_SelfBalance'!CK23+'Grid_TTAFBalance'!CK23</f>
        <v/>
      </c>
      <c r="CL23">
        <f>'Grid_SelfBalance'!CL23+'Grid_TTAFBalance'!CL23</f>
        <v/>
      </c>
      <c r="CM23">
        <f>'Grid_SelfBalance'!CM23+'Grid_TTAFBalance'!CM23</f>
        <v/>
      </c>
      <c r="CN23">
        <f>'Grid_SelfBalance'!CN23+'Grid_TTAFBalance'!CN23</f>
        <v/>
      </c>
      <c r="CO23">
        <f>'Grid_SelfBalance'!CO23+'Grid_TTAFBalance'!CO23</f>
        <v/>
      </c>
      <c r="CP23">
        <f>'Grid_SelfBalance'!CP23+'Grid_TTAFBalance'!CP23</f>
        <v/>
      </c>
      <c r="CQ23">
        <f>'Grid_SelfBalance'!CQ23+'Grid_TTAFBalance'!CQ23</f>
        <v/>
      </c>
      <c r="CR23">
        <f>'Grid_SelfBalance'!CR23+'Grid_TTAFBalance'!CR23</f>
        <v/>
      </c>
      <c r="CS23">
        <f>'Grid_SelfBalance'!CS23+'Grid_TTAFBalance'!CS23</f>
        <v/>
      </c>
      <c r="CT23">
        <f>'Grid_SelfBalance'!CT23+'Grid_TTAFBalance'!CT23</f>
        <v/>
      </c>
      <c r="CU23">
        <f>'Grid_SelfBalance'!CU23+'Grid_TTAFBalance'!CU23</f>
        <v/>
      </c>
      <c r="CV23">
        <f>'Grid_SelfBalance'!CV23+'Grid_TTAFBalance'!CV23</f>
        <v/>
      </c>
      <c r="CW23">
        <f>'Grid_SelfBalance'!CW23+'Grid_TTAFBalance'!CW23</f>
        <v/>
      </c>
      <c r="CX23">
        <f>'Grid_SelfBalance'!CX23+'Grid_TTAFBalance'!CX23</f>
        <v/>
      </c>
      <c r="CY23">
        <f>'Grid_SelfBalance'!CY23+'Grid_TTAFBalance'!CY23</f>
        <v/>
      </c>
      <c r="CZ23">
        <f>'Grid_SelfBalance'!CZ23+'Grid_TTAFBalance'!CZ23</f>
        <v/>
      </c>
      <c r="DA23">
        <f>'Grid_SelfBalance'!DA23+'Grid_TTAFBalance'!DA23</f>
        <v/>
      </c>
    </row>
    <row r="24">
      <c r="A24" t="inlineStr">
        <is>
          <t>Original Towel</t>
        </is>
      </c>
      <c r="B24">
        <f>'Grid_SelfBalance'!B24+'Grid_TTAFBalance'!B24</f>
        <v/>
      </c>
      <c r="C24">
        <f>'Grid_SelfBalance'!C24+'Grid_TTAFBalance'!C24</f>
        <v/>
      </c>
      <c r="D24">
        <f>'Grid_SelfBalance'!D24+'Grid_TTAFBalance'!D24</f>
        <v/>
      </c>
      <c r="E24">
        <f>'Grid_SelfBalance'!E24+'Grid_TTAFBalance'!E24</f>
        <v/>
      </c>
      <c r="F24">
        <f>'Grid_SelfBalance'!F24+'Grid_TTAFBalance'!F24</f>
        <v/>
      </c>
      <c r="G24">
        <f>'Grid_SelfBalance'!G24+'Grid_TTAFBalance'!G24</f>
        <v/>
      </c>
      <c r="H24">
        <f>'Grid_SelfBalance'!H24+'Grid_TTAFBalance'!H24</f>
        <v/>
      </c>
      <c r="I24">
        <f>'Grid_SelfBalance'!I24+'Grid_TTAFBalance'!I24</f>
        <v/>
      </c>
      <c r="J24">
        <f>'Grid_SelfBalance'!J24+'Grid_TTAFBalance'!J24</f>
        <v/>
      </c>
      <c r="K24">
        <f>'Grid_SelfBalance'!K24+'Grid_TTAFBalance'!K24</f>
        <v/>
      </c>
      <c r="L24">
        <f>'Grid_SelfBalance'!L24+'Grid_TTAFBalance'!L24</f>
        <v/>
      </c>
      <c r="M24">
        <f>'Grid_SelfBalance'!M24+'Grid_TTAFBalance'!M24</f>
        <v/>
      </c>
      <c r="N24">
        <f>'Grid_SelfBalance'!N24+'Grid_TTAFBalance'!N24</f>
        <v/>
      </c>
      <c r="O24">
        <f>'Grid_SelfBalance'!O24+'Grid_TTAFBalance'!O24</f>
        <v/>
      </c>
      <c r="P24">
        <f>'Grid_SelfBalance'!P24+'Grid_TTAFBalance'!P24</f>
        <v/>
      </c>
      <c r="Q24">
        <f>'Grid_SelfBalance'!Q24+'Grid_TTAFBalance'!Q24</f>
        <v/>
      </c>
      <c r="R24">
        <f>'Grid_SelfBalance'!R24+'Grid_TTAFBalance'!R24</f>
        <v/>
      </c>
      <c r="S24">
        <f>'Grid_SelfBalance'!S24+'Grid_TTAFBalance'!S24</f>
        <v/>
      </c>
      <c r="T24">
        <f>'Grid_SelfBalance'!T24+'Grid_TTAFBalance'!T24</f>
        <v/>
      </c>
      <c r="U24">
        <f>'Grid_SelfBalance'!U24+'Grid_TTAFBalance'!U24</f>
        <v/>
      </c>
      <c r="V24">
        <f>'Grid_SelfBalance'!V24+'Grid_TTAFBalance'!V24</f>
        <v/>
      </c>
      <c r="W24">
        <f>'Grid_SelfBalance'!W24+'Grid_TTAFBalance'!W24</f>
        <v/>
      </c>
      <c r="X24">
        <f>'Grid_SelfBalance'!X24+'Grid_TTAFBalance'!X24</f>
        <v/>
      </c>
      <c r="Y24">
        <f>'Grid_SelfBalance'!Y24+'Grid_TTAFBalance'!Y24</f>
        <v/>
      </c>
      <c r="Z24">
        <f>'Grid_SelfBalance'!Z24+'Grid_TTAFBalance'!Z24</f>
        <v/>
      </c>
      <c r="AA24">
        <f>'Grid_SelfBalance'!AA24+'Grid_TTAFBalance'!AA24</f>
        <v/>
      </c>
      <c r="AB24">
        <f>'Grid_SelfBalance'!AB24+'Grid_TTAFBalance'!AB24</f>
        <v/>
      </c>
      <c r="AC24">
        <f>'Grid_SelfBalance'!AC24+'Grid_TTAFBalance'!AC24</f>
        <v/>
      </c>
      <c r="AD24">
        <f>'Grid_SelfBalance'!AD24+'Grid_TTAFBalance'!AD24</f>
        <v/>
      </c>
      <c r="AE24">
        <f>'Grid_SelfBalance'!AE24+'Grid_TTAFBalance'!AE24</f>
        <v/>
      </c>
      <c r="AF24">
        <f>'Grid_SelfBalance'!AF24+'Grid_TTAFBalance'!AF24</f>
        <v/>
      </c>
      <c r="AG24">
        <f>'Grid_SelfBalance'!AG24+'Grid_TTAFBalance'!AG24</f>
        <v/>
      </c>
      <c r="AH24">
        <f>'Grid_SelfBalance'!AH24+'Grid_TTAFBalance'!AH24</f>
        <v/>
      </c>
      <c r="AI24">
        <f>'Grid_SelfBalance'!AI24+'Grid_TTAFBalance'!AI24</f>
        <v/>
      </c>
      <c r="AJ24">
        <f>'Grid_SelfBalance'!AJ24+'Grid_TTAFBalance'!AJ24</f>
        <v/>
      </c>
      <c r="AK24">
        <f>'Grid_SelfBalance'!AK24+'Grid_TTAFBalance'!AK24</f>
        <v/>
      </c>
      <c r="AL24">
        <f>'Grid_SelfBalance'!AL24+'Grid_TTAFBalance'!AL24</f>
        <v/>
      </c>
      <c r="AM24">
        <f>'Grid_SelfBalance'!AM24+'Grid_TTAFBalance'!AM24</f>
        <v/>
      </c>
      <c r="AN24">
        <f>'Grid_SelfBalance'!AN24+'Grid_TTAFBalance'!AN24</f>
        <v/>
      </c>
      <c r="AO24">
        <f>'Grid_SelfBalance'!AO24+'Grid_TTAFBalance'!AO24</f>
        <v/>
      </c>
      <c r="AP24">
        <f>'Grid_SelfBalance'!AP24+'Grid_TTAFBalance'!AP24</f>
        <v/>
      </c>
      <c r="AQ24">
        <f>'Grid_SelfBalance'!AQ24+'Grid_TTAFBalance'!AQ24</f>
        <v/>
      </c>
      <c r="AR24">
        <f>'Grid_SelfBalance'!AR24+'Grid_TTAFBalance'!AR24</f>
        <v/>
      </c>
      <c r="AS24">
        <f>'Grid_SelfBalance'!AS24+'Grid_TTAFBalance'!AS24</f>
        <v/>
      </c>
      <c r="AT24">
        <f>'Grid_SelfBalance'!AT24+'Grid_TTAFBalance'!AT24</f>
        <v/>
      </c>
      <c r="AU24">
        <f>'Grid_SelfBalance'!AU24+'Grid_TTAFBalance'!AU24</f>
        <v/>
      </c>
      <c r="AV24">
        <f>'Grid_SelfBalance'!AV24+'Grid_TTAFBalance'!AV24</f>
        <v/>
      </c>
      <c r="AW24">
        <f>'Grid_SelfBalance'!AW24+'Grid_TTAFBalance'!AW24</f>
        <v/>
      </c>
      <c r="AX24">
        <f>'Grid_SelfBalance'!AX24+'Grid_TTAFBalance'!AX24</f>
        <v/>
      </c>
      <c r="AY24">
        <f>'Grid_SelfBalance'!AY24+'Grid_TTAFBalance'!AY24</f>
        <v/>
      </c>
      <c r="AZ24">
        <f>'Grid_SelfBalance'!AZ24+'Grid_TTAFBalance'!AZ24</f>
        <v/>
      </c>
      <c r="BA24">
        <f>'Grid_SelfBalance'!BA24+'Grid_TTAFBalance'!BA24</f>
        <v/>
      </c>
      <c r="BB24">
        <f>'Grid_SelfBalance'!BB24+'Grid_TTAFBalance'!BB24</f>
        <v/>
      </c>
      <c r="BC24">
        <f>'Grid_SelfBalance'!BC24+'Grid_TTAFBalance'!BC24</f>
        <v/>
      </c>
      <c r="BD24">
        <f>'Grid_SelfBalance'!BD24+'Grid_TTAFBalance'!BD24</f>
        <v/>
      </c>
      <c r="BE24">
        <f>'Grid_SelfBalance'!BE24+'Grid_TTAFBalance'!BE24</f>
        <v/>
      </c>
      <c r="BF24">
        <f>'Grid_SelfBalance'!BF24+'Grid_TTAFBalance'!BF24</f>
        <v/>
      </c>
      <c r="BG24">
        <f>'Grid_SelfBalance'!BG24+'Grid_TTAFBalance'!BG24</f>
        <v/>
      </c>
      <c r="BH24">
        <f>'Grid_SelfBalance'!BH24+'Grid_TTAFBalance'!BH24</f>
        <v/>
      </c>
      <c r="BI24">
        <f>'Grid_SelfBalance'!BI24+'Grid_TTAFBalance'!BI24</f>
        <v/>
      </c>
      <c r="BJ24">
        <f>'Grid_SelfBalance'!BJ24+'Grid_TTAFBalance'!BJ24</f>
        <v/>
      </c>
      <c r="BK24">
        <f>'Grid_SelfBalance'!BK24+'Grid_TTAFBalance'!BK24</f>
        <v/>
      </c>
      <c r="BL24">
        <f>'Grid_SelfBalance'!BL24+'Grid_TTAFBalance'!BL24</f>
        <v/>
      </c>
      <c r="BM24">
        <f>'Grid_SelfBalance'!BM24+'Grid_TTAFBalance'!BM24</f>
        <v/>
      </c>
      <c r="BN24">
        <f>'Grid_SelfBalance'!BN24+'Grid_TTAFBalance'!BN24</f>
        <v/>
      </c>
      <c r="BO24">
        <f>'Grid_SelfBalance'!BO24+'Grid_TTAFBalance'!BO24</f>
        <v/>
      </c>
      <c r="BP24">
        <f>'Grid_SelfBalance'!BP24+'Grid_TTAFBalance'!BP24</f>
        <v/>
      </c>
      <c r="BQ24">
        <f>'Grid_SelfBalance'!BQ24+'Grid_TTAFBalance'!BQ24</f>
        <v/>
      </c>
      <c r="BR24">
        <f>'Grid_SelfBalance'!BR24+'Grid_TTAFBalance'!BR24</f>
        <v/>
      </c>
      <c r="BS24">
        <f>'Grid_SelfBalance'!BS24+'Grid_TTAFBalance'!BS24</f>
        <v/>
      </c>
      <c r="BT24">
        <f>'Grid_SelfBalance'!BT24+'Grid_TTAFBalance'!BT24</f>
        <v/>
      </c>
      <c r="BU24">
        <f>'Grid_SelfBalance'!BU24+'Grid_TTAFBalance'!BU24</f>
        <v/>
      </c>
      <c r="BV24">
        <f>'Grid_SelfBalance'!BV24+'Grid_TTAFBalance'!BV24</f>
        <v/>
      </c>
      <c r="BW24">
        <f>'Grid_SelfBalance'!BW24+'Grid_TTAFBalance'!BW24</f>
        <v/>
      </c>
      <c r="BX24">
        <f>'Grid_SelfBalance'!BX24+'Grid_TTAFBalance'!BX24</f>
        <v/>
      </c>
      <c r="BY24">
        <f>'Grid_SelfBalance'!BY24+'Grid_TTAFBalance'!BY24</f>
        <v/>
      </c>
      <c r="BZ24">
        <f>'Grid_SelfBalance'!BZ24+'Grid_TTAFBalance'!BZ24</f>
        <v/>
      </c>
      <c r="CA24">
        <f>'Grid_SelfBalance'!CA24+'Grid_TTAFBalance'!CA24</f>
        <v/>
      </c>
      <c r="CB24">
        <f>'Grid_SelfBalance'!CB24+'Grid_TTAFBalance'!CB24</f>
        <v/>
      </c>
      <c r="CC24">
        <f>'Grid_SelfBalance'!CC24+'Grid_TTAFBalance'!CC24</f>
        <v/>
      </c>
      <c r="CD24">
        <f>'Grid_SelfBalance'!CD24+'Grid_TTAFBalance'!CD24</f>
        <v/>
      </c>
      <c r="CE24">
        <f>'Grid_SelfBalance'!CE24+'Grid_TTAFBalance'!CE24</f>
        <v/>
      </c>
      <c r="CF24">
        <f>'Grid_SelfBalance'!CF24+'Grid_TTAFBalance'!CF24</f>
        <v/>
      </c>
      <c r="CG24">
        <f>'Grid_SelfBalance'!CG24+'Grid_TTAFBalance'!CG24</f>
        <v/>
      </c>
      <c r="CH24">
        <f>'Grid_SelfBalance'!CH24+'Grid_TTAFBalance'!CH24</f>
        <v/>
      </c>
      <c r="CI24">
        <f>'Grid_SelfBalance'!CI24+'Grid_TTAFBalance'!CI24</f>
        <v/>
      </c>
      <c r="CJ24">
        <f>'Grid_SelfBalance'!CJ24+'Grid_TTAFBalance'!CJ24</f>
        <v/>
      </c>
      <c r="CK24">
        <f>'Grid_SelfBalance'!CK24+'Grid_TTAFBalance'!CK24</f>
        <v/>
      </c>
      <c r="CL24">
        <f>'Grid_SelfBalance'!CL24+'Grid_TTAFBalance'!CL24</f>
        <v/>
      </c>
      <c r="CM24">
        <f>'Grid_SelfBalance'!CM24+'Grid_TTAFBalance'!CM24</f>
        <v/>
      </c>
      <c r="CN24">
        <f>'Grid_SelfBalance'!CN24+'Grid_TTAFBalance'!CN24</f>
        <v/>
      </c>
      <c r="CO24">
        <f>'Grid_SelfBalance'!CO24+'Grid_TTAFBalance'!CO24</f>
        <v/>
      </c>
      <c r="CP24">
        <f>'Grid_SelfBalance'!CP24+'Grid_TTAFBalance'!CP24</f>
        <v/>
      </c>
      <c r="CQ24">
        <f>'Grid_SelfBalance'!CQ24+'Grid_TTAFBalance'!CQ24</f>
        <v/>
      </c>
      <c r="CR24">
        <f>'Grid_SelfBalance'!CR24+'Grid_TTAFBalance'!CR24</f>
        <v/>
      </c>
      <c r="CS24">
        <f>'Grid_SelfBalance'!CS24+'Grid_TTAFBalance'!CS24</f>
        <v/>
      </c>
      <c r="CT24">
        <f>'Grid_SelfBalance'!CT24+'Grid_TTAFBalance'!CT24</f>
        <v/>
      </c>
      <c r="CU24">
        <f>'Grid_SelfBalance'!CU24+'Grid_TTAFBalance'!CU24</f>
        <v/>
      </c>
      <c r="CV24">
        <f>'Grid_SelfBalance'!CV24+'Grid_TTAFBalance'!CV24</f>
        <v/>
      </c>
      <c r="CW24">
        <f>'Grid_SelfBalance'!CW24+'Grid_TTAFBalance'!CW24</f>
        <v/>
      </c>
      <c r="CX24">
        <f>'Grid_SelfBalance'!CX24+'Grid_TTAFBalance'!CX24</f>
        <v/>
      </c>
      <c r="CY24">
        <f>'Grid_SelfBalance'!CY24+'Grid_TTAFBalance'!CY24</f>
        <v/>
      </c>
      <c r="CZ24">
        <f>'Grid_SelfBalance'!CZ24+'Grid_TTAFBalance'!CZ24</f>
        <v/>
      </c>
      <c r="DA24">
        <f>'Grid_SelfBalance'!DA24+'Grid_TTAFBalance'!DA24</f>
        <v/>
      </c>
    </row>
    <row r="25">
      <c r="A25" t="inlineStr">
        <is>
          <t>CHEM-1200</t>
        </is>
      </c>
      <c r="B25">
        <f>'Grid_SelfBalance'!B25+'Grid_TTAFBalance'!B25</f>
        <v/>
      </c>
      <c r="C25">
        <f>'Grid_SelfBalance'!C25+'Grid_TTAFBalance'!C25</f>
        <v/>
      </c>
      <c r="D25">
        <f>'Grid_SelfBalance'!D25+'Grid_TTAFBalance'!D25</f>
        <v/>
      </c>
      <c r="E25">
        <f>'Grid_SelfBalance'!E25+'Grid_TTAFBalance'!E25</f>
        <v/>
      </c>
      <c r="F25">
        <f>'Grid_SelfBalance'!F25+'Grid_TTAFBalance'!F25</f>
        <v/>
      </c>
      <c r="G25">
        <f>'Grid_SelfBalance'!G25+'Grid_TTAFBalance'!G25</f>
        <v/>
      </c>
      <c r="H25">
        <f>'Grid_SelfBalance'!H25+'Grid_TTAFBalance'!H25</f>
        <v/>
      </c>
      <c r="I25">
        <f>'Grid_SelfBalance'!I25+'Grid_TTAFBalance'!I25</f>
        <v/>
      </c>
      <c r="J25">
        <f>'Grid_SelfBalance'!J25+'Grid_TTAFBalance'!J25</f>
        <v/>
      </c>
      <c r="K25">
        <f>'Grid_SelfBalance'!K25+'Grid_TTAFBalance'!K25</f>
        <v/>
      </c>
      <c r="L25">
        <f>'Grid_SelfBalance'!L25+'Grid_TTAFBalance'!L25</f>
        <v/>
      </c>
      <c r="M25">
        <f>'Grid_SelfBalance'!M25+'Grid_TTAFBalance'!M25</f>
        <v/>
      </c>
      <c r="N25">
        <f>'Grid_SelfBalance'!N25+'Grid_TTAFBalance'!N25</f>
        <v/>
      </c>
      <c r="O25">
        <f>'Grid_SelfBalance'!O25+'Grid_TTAFBalance'!O25</f>
        <v/>
      </c>
      <c r="P25">
        <f>'Grid_SelfBalance'!P25+'Grid_TTAFBalance'!P25</f>
        <v/>
      </c>
      <c r="Q25">
        <f>'Grid_SelfBalance'!Q25+'Grid_TTAFBalance'!Q25</f>
        <v/>
      </c>
      <c r="R25">
        <f>'Grid_SelfBalance'!R25+'Grid_TTAFBalance'!R25</f>
        <v/>
      </c>
      <c r="S25">
        <f>'Grid_SelfBalance'!S25+'Grid_TTAFBalance'!S25</f>
        <v/>
      </c>
      <c r="T25">
        <f>'Grid_SelfBalance'!T25+'Grid_TTAFBalance'!T25</f>
        <v/>
      </c>
      <c r="U25">
        <f>'Grid_SelfBalance'!U25+'Grid_TTAFBalance'!U25</f>
        <v/>
      </c>
      <c r="V25">
        <f>'Grid_SelfBalance'!V25+'Grid_TTAFBalance'!V25</f>
        <v/>
      </c>
      <c r="W25">
        <f>'Grid_SelfBalance'!W25+'Grid_TTAFBalance'!W25</f>
        <v/>
      </c>
      <c r="X25">
        <f>'Grid_SelfBalance'!X25+'Grid_TTAFBalance'!X25</f>
        <v/>
      </c>
      <c r="Y25">
        <f>'Grid_SelfBalance'!Y25+'Grid_TTAFBalance'!Y25</f>
        <v/>
      </c>
      <c r="Z25">
        <f>'Grid_SelfBalance'!Z25+'Grid_TTAFBalance'!Z25</f>
        <v/>
      </c>
      <c r="AA25">
        <f>'Grid_SelfBalance'!AA25+'Grid_TTAFBalance'!AA25</f>
        <v/>
      </c>
      <c r="AB25">
        <f>'Grid_SelfBalance'!AB25+'Grid_TTAFBalance'!AB25</f>
        <v/>
      </c>
      <c r="AC25">
        <f>'Grid_SelfBalance'!AC25+'Grid_TTAFBalance'!AC25</f>
        <v/>
      </c>
      <c r="AD25">
        <f>'Grid_SelfBalance'!AD25+'Grid_TTAFBalance'!AD25</f>
        <v/>
      </c>
      <c r="AE25">
        <f>'Grid_SelfBalance'!AE25+'Grid_TTAFBalance'!AE25</f>
        <v/>
      </c>
      <c r="AF25">
        <f>'Grid_SelfBalance'!AF25+'Grid_TTAFBalance'!AF25</f>
        <v/>
      </c>
      <c r="AG25">
        <f>'Grid_SelfBalance'!AG25+'Grid_TTAFBalance'!AG25</f>
        <v/>
      </c>
      <c r="AH25">
        <f>'Grid_SelfBalance'!AH25+'Grid_TTAFBalance'!AH25</f>
        <v/>
      </c>
      <c r="AI25">
        <f>'Grid_SelfBalance'!AI25+'Grid_TTAFBalance'!AI25</f>
        <v/>
      </c>
      <c r="AJ25">
        <f>'Grid_SelfBalance'!AJ25+'Grid_TTAFBalance'!AJ25</f>
        <v/>
      </c>
      <c r="AK25">
        <f>'Grid_SelfBalance'!AK25+'Grid_TTAFBalance'!AK25</f>
        <v/>
      </c>
      <c r="AL25">
        <f>'Grid_SelfBalance'!AL25+'Grid_TTAFBalance'!AL25</f>
        <v/>
      </c>
      <c r="AM25">
        <f>'Grid_SelfBalance'!AM25+'Grid_TTAFBalance'!AM25</f>
        <v/>
      </c>
      <c r="AN25">
        <f>'Grid_SelfBalance'!AN25+'Grid_TTAFBalance'!AN25</f>
        <v/>
      </c>
      <c r="AO25">
        <f>'Grid_SelfBalance'!AO25+'Grid_TTAFBalance'!AO25</f>
        <v/>
      </c>
      <c r="AP25">
        <f>'Grid_SelfBalance'!AP25+'Grid_TTAFBalance'!AP25</f>
        <v/>
      </c>
      <c r="AQ25">
        <f>'Grid_SelfBalance'!AQ25+'Grid_TTAFBalance'!AQ25</f>
        <v/>
      </c>
      <c r="AR25">
        <f>'Grid_SelfBalance'!AR25+'Grid_TTAFBalance'!AR25</f>
        <v/>
      </c>
      <c r="AS25">
        <f>'Grid_SelfBalance'!AS25+'Grid_TTAFBalance'!AS25</f>
        <v/>
      </c>
      <c r="AT25">
        <f>'Grid_SelfBalance'!AT25+'Grid_TTAFBalance'!AT25</f>
        <v/>
      </c>
      <c r="AU25">
        <f>'Grid_SelfBalance'!AU25+'Grid_TTAFBalance'!AU25</f>
        <v/>
      </c>
      <c r="AV25">
        <f>'Grid_SelfBalance'!AV25+'Grid_TTAFBalance'!AV25</f>
        <v/>
      </c>
      <c r="AW25">
        <f>'Grid_SelfBalance'!AW25+'Grid_TTAFBalance'!AW25</f>
        <v/>
      </c>
      <c r="AX25">
        <f>'Grid_SelfBalance'!AX25+'Grid_TTAFBalance'!AX25</f>
        <v/>
      </c>
      <c r="AY25">
        <f>'Grid_SelfBalance'!AY25+'Grid_TTAFBalance'!AY25</f>
        <v/>
      </c>
      <c r="AZ25">
        <f>'Grid_SelfBalance'!AZ25+'Grid_TTAFBalance'!AZ25</f>
        <v/>
      </c>
      <c r="BA25">
        <f>'Grid_SelfBalance'!BA25+'Grid_TTAFBalance'!BA25</f>
        <v/>
      </c>
      <c r="BB25">
        <f>'Grid_SelfBalance'!BB25+'Grid_TTAFBalance'!BB25</f>
        <v/>
      </c>
      <c r="BC25">
        <f>'Grid_SelfBalance'!BC25+'Grid_TTAFBalance'!BC25</f>
        <v/>
      </c>
      <c r="BD25">
        <f>'Grid_SelfBalance'!BD25+'Grid_TTAFBalance'!BD25</f>
        <v/>
      </c>
      <c r="BE25">
        <f>'Grid_SelfBalance'!BE25+'Grid_TTAFBalance'!BE25</f>
        <v/>
      </c>
      <c r="BF25">
        <f>'Grid_SelfBalance'!BF25+'Grid_TTAFBalance'!BF25</f>
        <v/>
      </c>
      <c r="BG25">
        <f>'Grid_SelfBalance'!BG25+'Grid_TTAFBalance'!BG25</f>
        <v/>
      </c>
      <c r="BH25">
        <f>'Grid_SelfBalance'!BH25+'Grid_TTAFBalance'!BH25</f>
        <v/>
      </c>
      <c r="BI25">
        <f>'Grid_SelfBalance'!BI25+'Grid_TTAFBalance'!BI25</f>
        <v/>
      </c>
      <c r="BJ25">
        <f>'Grid_SelfBalance'!BJ25+'Grid_TTAFBalance'!BJ25</f>
        <v/>
      </c>
      <c r="BK25">
        <f>'Grid_SelfBalance'!BK25+'Grid_TTAFBalance'!BK25</f>
        <v/>
      </c>
      <c r="BL25">
        <f>'Grid_SelfBalance'!BL25+'Grid_TTAFBalance'!BL25</f>
        <v/>
      </c>
      <c r="BM25">
        <f>'Grid_SelfBalance'!BM25+'Grid_TTAFBalance'!BM25</f>
        <v/>
      </c>
      <c r="BN25">
        <f>'Grid_SelfBalance'!BN25+'Grid_TTAFBalance'!BN25</f>
        <v/>
      </c>
      <c r="BO25">
        <f>'Grid_SelfBalance'!BO25+'Grid_TTAFBalance'!BO25</f>
        <v/>
      </c>
      <c r="BP25">
        <f>'Grid_SelfBalance'!BP25+'Grid_TTAFBalance'!BP25</f>
        <v/>
      </c>
      <c r="BQ25">
        <f>'Grid_SelfBalance'!BQ25+'Grid_TTAFBalance'!BQ25</f>
        <v/>
      </c>
      <c r="BR25">
        <f>'Grid_SelfBalance'!BR25+'Grid_TTAFBalance'!BR25</f>
        <v/>
      </c>
      <c r="BS25">
        <f>'Grid_SelfBalance'!BS25+'Grid_TTAFBalance'!BS25</f>
        <v/>
      </c>
      <c r="BT25">
        <f>'Grid_SelfBalance'!BT25+'Grid_TTAFBalance'!BT25</f>
        <v/>
      </c>
      <c r="BU25">
        <f>'Grid_SelfBalance'!BU25+'Grid_TTAFBalance'!BU25</f>
        <v/>
      </c>
      <c r="BV25">
        <f>'Grid_SelfBalance'!BV25+'Grid_TTAFBalance'!BV25</f>
        <v/>
      </c>
      <c r="BW25">
        <f>'Grid_SelfBalance'!BW25+'Grid_TTAFBalance'!BW25</f>
        <v/>
      </c>
      <c r="BX25">
        <f>'Grid_SelfBalance'!BX25+'Grid_TTAFBalance'!BX25</f>
        <v/>
      </c>
      <c r="BY25">
        <f>'Grid_SelfBalance'!BY25+'Grid_TTAFBalance'!BY25</f>
        <v/>
      </c>
      <c r="BZ25">
        <f>'Grid_SelfBalance'!BZ25+'Grid_TTAFBalance'!BZ25</f>
        <v/>
      </c>
      <c r="CA25">
        <f>'Grid_SelfBalance'!CA25+'Grid_TTAFBalance'!CA25</f>
        <v/>
      </c>
      <c r="CB25">
        <f>'Grid_SelfBalance'!CB25+'Grid_TTAFBalance'!CB25</f>
        <v/>
      </c>
      <c r="CC25">
        <f>'Grid_SelfBalance'!CC25+'Grid_TTAFBalance'!CC25</f>
        <v/>
      </c>
      <c r="CD25">
        <f>'Grid_SelfBalance'!CD25+'Grid_TTAFBalance'!CD25</f>
        <v/>
      </c>
      <c r="CE25">
        <f>'Grid_SelfBalance'!CE25+'Grid_TTAFBalance'!CE25</f>
        <v/>
      </c>
      <c r="CF25">
        <f>'Grid_SelfBalance'!CF25+'Grid_TTAFBalance'!CF25</f>
        <v/>
      </c>
      <c r="CG25">
        <f>'Grid_SelfBalance'!CG25+'Grid_TTAFBalance'!CG25</f>
        <v/>
      </c>
      <c r="CH25">
        <f>'Grid_SelfBalance'!CH25+'Grid_TTAFBalance'!CH25</f>
        <v/>
      </c>
      <c r="CI25">
        <f>'Grid_SelfBalance'!CI25+'Grid_TTAFBalance'!CI25</f>
        <v/>
      </c>
      <c r="CJ25">
        <f>'Grid_SelfBalance'!CJ25+'Grid_TTAFBalance'!CJ25</f>
        <v/>
      </c>
      <c r="CK25">
        <f>'Grid_SelfBalance'!CK25+'Grid_TTAFBalance'!CK25</f>
        <v/>
      </c>
      <c r="CL25">
        <f>'Grid_SelfBalance'!CL25+'Grid_TTAFBalance'!CL25</f>
        <v/>
      </c>
      <c r="CM25">
        <f>'Grid_SelfBalance'!CM25+'Grid_TTAFBalance'!CM25</f>
        <v/>
      </c>
      <c r="CN25">
        <f>'Grid_SelfBalance'!CN25+'Grid_TTAFBalance'!CN25</f>
        <v/>
      </c>
      <c r="CO25">
        <f>'Grid_SelfBalance'!CO25+'Grid_TTAFBalance'!CO25</f>
        <v/>
      </c>
      <c r="CP25">
        <f>'Grid_SelfBalance'!CP25+'Grid_TTAFBalance'!CP25</f>
        <v/>
      </c>
      <c r="CQ25">
        <f>'Grid_SelfBalance'!CQ25+'Grid_TTAFBalance'!CQ25</f>
        <v/>
      </c>
      <c r="CR25">
        <f>'Grid_SelfBalance'!CR25+'Grid_TTAFBalance'!CR25</f>
        <v/>
      </c>
      <c r="CS25">
        <f>'Grid_SelfBalance'!CS25+'Grid_TTAFBalance'!CS25</f>
        <v/>
      </c>
      <c r="CT25">
        <f>'Grid_SelfBalance'!CT25+'Grid_TTAFBalance'!CT25</f>
        <v/>
      </c>
      <c r="CU25">
        <f>'Grid_SelfBalance'!CU25+'Grid_TTAFBalance'!CU25</f>
        <v/>
      </c>
      <c r="CV25">
        <f>'Grid_SelfBalance'!CV25+'Grid_TTAFBalance'!CV25</f>
        <v/>
      </c>
      <c r="CW25">
        <f>'Grid_SelfBalance'!CW25+'Grid_TTAFBalance'!CW25</f>
        <v/>
      </c>
      <c r="CX25">
        <f>'Grid_SelfBalance'!CX25+'Grid_TTAFBalance'!CX25</f>
        <v/>
      </c>
      <c r="CY25">
        <f>'Grid_SelfBalance'!CY25+'Grid_TTAFBalance'!CY25</f>
        <v/>
      </c>
      <c r="CZ25">
        <f>'Grid_SelfBalance'!CZ25+'Grid_TTAFBalance'!CZ25</f>
        <v/>
      </c>
      <c r="DA25">
        <f>'Grid_SelfBalance'!DA25+'Grid_TTAFBalance'!DA25</f>
        <v/>
      </c>
    </row>
    <row r="26">
      <c r="A26" t="inlineStr">
        <is>
          <t>CHEM-1830</t>
        </is>
      </c>
      <c r="B26">
        <f>'Grid_SelfBalance'!B26+'Grid_TTAFBalance'!B26</f>
        <v/>
      </c>
      <c r="C26">
        <f>'Grid_SelfBalance'!C26+'Grid_TTAFBalance'!C26</f>
        <v/>
      </c>
      <c r="D26">
        <f>'Grid_SelfBalance'!D26+'Grid_TTAFBalance'!D26</f>
        <v/>
      </c>
      <c r="E26">
        <f>'Grid_SelfBalance'!E26+'Grid_TTAFBalance'!E26</f>
        <v/>
      </c>
      <c r="F26">
        <f>'Grid_SelfBalance'!F26+'Grid_TTAFBalance'!F26</f>
        <v/>
      </c>
      <c r="G26">
        <f>'Grid_SelfBalance'!G26+'Grid_TTAFBalance'!G26</f>
        <v/>
      </c>
      <c r="H26">
        <f>'Grid_SelfBalance'!H26+'Grid_TTAFBalance'!H26</f>
        <v/>
      </c>
      <c r="I26">
        <f>'Grid_SelfBalance'!I26+'Grid_TTAFBalance'!I26</f>
        <v/>
      </c>
      <c r="J26">
        <f>'Grid_SelfBalance'!J26+'Grid_TTAFBalance'!J26</f>
        <v/>
      </c>
      <c r="K26">
        <f>'Grid_SelfBalance'!K26+'Grid_TTAFBalance'!K26</f>
        <v/>
      </c>
      <c r="L26">
        <f>'Grid_SelfBalance'!L26+'Grid_TTAFBalance'!L26</f>
        <v/>
      </c>
      <c r="M26">
        <f>'Grid_SelfBalance'!M26+'Grid_TTAFBalance'!M26</f>
        <v/>
      </c>
      <c r="N26">
        <f>'Grid_SelfBalance'!N26+'Grid_TTAFBalance'!N26</f>
        <v/>
      </c>
      <c r="O26">
        <f>'Grid_SelfBalance'!O26+'Grid_TTAFBalance'!O26</f>
        <v/>
      </c>
      <c r="P26">
        <f>'Grid_SelfBalance'!P26+'Grid_TTAFBalance'!P26</f>
        <v/>
      </c>
      <c r="Q26">
        <f>'Grid_SelfBalance'!Q26+'Grid_TTAFBalance'!Q26</f>
        <v/>
      </c>
      <c r="R26">
        <f>'Grid_SelfBalance'!R26+'Grid_TTAFBalance'!R26</f>
        <v/>
      </c>
      <c r="S26">
        <f>'Grid_SelfBalance'!S26+'Grid_TTAFBalance'!S26</f>
        <v/>
      </c>
      <c r="T26">
        <f>'Grid_SelfBalance'!T26+'Grid_TTAFBalance'!T26</f>
        <v/>
      </c>
      <c r="U26">
        <f>'Grid_SelfBalance'!U26+'Grid_TTAFBalance'!U26</f>
        <v/>
      </c>
      <c r="V26">
        <f>'Grid_SelfBalance'!V26+'Grid_TTAFBalance'!V26</f>
        <v/>
      </c>
      <c r="W26">
        <f>'Grid_SelfBalance'!W26+'Grid_TTAFBalance'!W26</f>
        <v/>
      </c>
      <c r="X26">
        <f>'Grid_SelfBalance'!X26+'Grid_TTAFBalance'!X26</f>
        <v/>
      </c>
      <c r="Y26">
        <f>'Grid_SelfBalance'!Y26+'Grid_TTAFBalance'!Y26</f>
        <v/>
      </c>
      <c r="Z26">
        <f>'Grid_SelfBalance'!Z26+'Grid_TTAFBalance'!Z26</f>
        <v/>
      </c>
      <c r="AA26">
        <f>'Grid_SelfBalance'!AA26+'Grid_TTAFBalance'!AA26</f>
        <v/>
      </c>
      <c r="AB26">
        <f>'Grid_SelfBalance'!AB26+'Grid_TTAFBalance'!AB26</f>
        <v/>
      </c>
      <c r="AC26">
        <f>'Grid_SelfBalance'!AC26+'Grid_TTAFBalance'!AC26</f>
        <v/>
      </c>
      <c r="AD26">
        <f>'Grid_SelfBalance'!AD26+'Grid_TTAFBalance'!AD26</f>
        <v/>
      </c>
      <c r="AE26">
        <f>'Grid_SelfBalance'!AE26+'Grid_TTAFBalance'!AE26</f>
        <v/>
      </c>
      <c r="AF26">
        <f>'Grid_SelfBalance'!AF26+'Grid_TTAFBalance'!AF26</f>
        <v/>
      </c>
      <c r="AG26">
        <f>'Grid_SelfBalance'!AG26+'Grid_TTAFBalance'!AG26</f>
        <v/>
      </c>
      <c r="AH26">
        <f>'Grid_SelfBalance'!AH26+'Grid_TTAFBalance'!AH26</f>
        <v/>
      </c>
      <c r="AI26">
        <f>'Grid_SelfBalance'!AI26+'Grid_TTAFBalance'!AI26</f>
        <v/>
      </c>
      <c r="AJ26">
        <f>'Grid_SelfBalance'!AJ26+'Grid_TTAFBalance'!AJ26</f>
        <v/>
      </c>
      <c r="AK26">
        <f>'Grid_SelfBalance'!AK26+'Grid_TTAFBalance'!AK26</f>
        <v/>
      </c>
      <c r="AL26">
        <f>'Grid_SelfBalance'!AL26+'Grid_TTAFBalance'!AL26</f>
        <v/>
      </c>
      <c r="AM26">
        <f>'Grid_SelfBalance'!AM26+'Grid_TTAFBalance'!AM26</f>
        <v/>
      </c>
      <c r="AN26">
        <f>'Grid_SelfBalance'!AN26+'Grid_TTAFBalance'!AN26</f>
        <v/>
      </c>
      <c r="AO26">
        <f>'Grid_SelfBalance'!AO26+'Grid_TTAFBalance'!AO26</f>
        <v/>
      </c>
      <c r="AP26">
        <f>'Grid_SelfBalance'!AP26+'Grid_TTAFBalance'!AP26</f>
        <v/>
      </c>
      <c r="AQ26">
        <f>'Grid_SelfBalance'!AQ26+'Grid_TTAFBalance'!AQ26</f>
        <v/>
      </c>
      <c r="AR26">
        <f>'Grid_SelfBalance'!AR26+'Grid_TTAFBalance'!AR26</f>
        <v/>
      </c>
      <c r="AS26">
        <f>'Grid_SelfBalance'!AS26+'Grid_TTAFBalance'!AS26</f>
        <v/>
      </c>
      <c r="AT26">
        <f>'Grid_SelfBalance'!AT26+'Grid_TTAFBalance'!AT26</f>
        <v/>
      </c>
      <c r="AU26">
        <f>'Grid_SelfBalance'!AU26+'Grid_TTAFBalance'!AU26</f>
        <v/>
      </c>
      <c r="AV26">
        <f>'Grid_SelfBalance'!AV26+'Grid_TTAFBalance'!AV26</f>
        <v/>
      </c>
      <c r="AW26">
        <f>'Grid_SelfBalance'!AW26+'Grid_TTAFBalance'!AW26</f>
        <v/>
      </c>
      <c r="AX26">
        <f>'Grid_SelfBalance'!AX26+'Grid_TTAFBalance'!AX26</f>
        <v/>
      </c>
      <c r="AY26">
        <f>'Grid_SelfBalance'!AY26+'Grid_TTAFBalance'!AY26</f>
        <v/>
      </c>
      <c r="AZ26">
        <f>'Grid_SelfBalance'!AZ26+'Grid_TTAFBalance'!AZ26</f>
        <v/>
      </c>
      <c r="BA26">
        <f>'Grid_SelfBalance'!BA26+'Grid_TTAFBalance'!BA26</f>
        <v/>
      </c>
      <c r="BB26">
        <f>'Grid_SelfBalance'!BB26+'Grid_TTAFBalance'!BB26</f>
        <v/>
      </c>
      <c r="BC26">
        <f>'Grid_SelfBalance'!BC26+'Grid_TTAFBalance'!BC26</f>
        <v/>
      </c>
      <c r="BD26">
        <f>'Grid_SelfBalance'!BD26+'Grid_TTAFBalance'!BD26</f>
        <v/>
      </c>
      <c r="BE26">
        <f>'Grid_SelfBalance'!BE26+'Grid_TTAFBalance'!BE26</f>
        <v/>
      </c>
      <c r="BF26">
        <f>'Grid_SelfBalance'!BF26+'Grid_TTAFBalance'!BF26</f>
        <v/>
      </c>
      <c r="BG26">
        <f>'Grid_SelfBalance'!BG26+'Grid_TTAFBalance'!BG26</f>
        <v/>
      </c>
      <c r="BH26">
        <f>'Grid_SelfBalance'!BH26+'Grid_TTAFBalance'!BH26</f>
        <v/>
      </c>
      <c r="BI26">
        <f>'Grid_SelfBalance'!BI26+'Grid_TTAFBalance'!BI26</f>
        <v/>
      </c>
      <c r="BJ26">
        <f>'Grid_SelfBalance'!BJ26+'Grid_TTAFBalance'!BJ26</f>
        <v/>
      </c>
      <c r="BK26">
        <f>'Grid_SelfBalance'!BK26+'Grid_TTAFBalance'!BK26</f>
        <v/>
      </c>
      <c r="BL26">
        <f>'Grid_SelfBalance'!BL26+'Grid_TTAFBalance'!BL26</f>
        <v/>
      </c>
      <c r="BM26">
        <f>'Grid_SelfBalance'!BM26+'Grid_TTAFBalance'!BM26</f>
        <v/>
      </c>
      <c r="BN26">
        <f>'Grid_SelfBalance'!BN26+'Grid_TTAFBalance'!BN26</f>
        <v/>
      </c>
      <c r="BO26">
        <f>'Grid_SelfBalance'!BO26+'Grid_TTAFBalance'!BO26</f>
        <v/>
      </c>
      <c r="BP26">
        <f>'Grid_SelfBalance'!BP26+'Grid_TTAFBalance'!BP26</f>
        <v/>
      </c>
      <c r="BQ26">
        <f>'Grid_SelfBalance'!BQ26+'Grid_TTAFBalance'!BQ26</f>
        <v/>
      </c>
      <c r="BR26">
        <f>'Grid_SelfBalance'!BR26+'Grid_TTAFBalance'!BR26</f>
        <v/>
      </c>
      <c r="BS26">
        <f>'Grid_SelfBalance'!BS26+'Grid_TTAFBalance'!BS26</f>
        <v/>
      </c>
      <c r="BT26">
        <f>'Grid_SelfBalance'!BT26+'Grid_TTAFBalance'!BT26</f>
        <v/>
      </c>
      <c r="BU26">
        <f>'Grid_SelfBalance'!BU26+'Grid_TTAFBalance'!BU26</f>
        <v/>
      </c>
      <c r="BV26">
        <f>'Grid_SelfBalance'!BV26+'Grid_TTAFBalance'!BV26</f>
        <v/>
      </c>
      <c r="BW26">
        <f>'Grid_SelfBalance'!BW26+'Grid_TTAFBalance'!BW26</f>
        <v/>
      </c>
      <c r="BX26">
        <f>'Grid_SelfBalance'!BX26+'Grid_TTAFBalance'!BX26</f>
        <v/>
      </c>
      <c r="BY26">
        <f>'Grid_SelfBalance'!BY26+'Grid_TTAFBalance'!BY26</f>
        <v/>
      </c>
      <c r="BZ26">
        <f>'Grid_SelfBalance'!BZ26+'Grid_TTAFBalance'!BZ26</f>
        <v/>
      </c>
      <c r="CA26">
        <f>'Grid_SelfBalance'!CA26+'Grid_TTAFBalance'!CA26</f>
        <v/>
      </c>
      <c r="CB26">
        <f>'Grid_SelfBalance'!CB26+'Grid_TTAFBalance'!CB26</f>
        <v/>
      </c>
      <c r="CC26">
        <f>'Grid_SelfBalance'!CC26+'Grid_TTAFBalance'!CC26</f>
        <v/>
      </c>
      <c r="CD26">
        <f>'Grid_SelfBalance'!CD26+'Grid_TTAFBalance'!CD26</f>
        <v/>
      </c>
      <c r="CE26">
        <f>'Grid_SelfBalance'!CE26+'Grid_TTAFBalance'!CE26</f>
        <v/>
      </c>
      <c r="CF26">
        <f>'Grid_SelfBalance'!CF26+'Grid_TTAFBalance'!CF26</f>
        <v/>
      </c>
      <c r="CG26">
        <f>'Grid_SelfBalance'!CG26+'Grid_TTAFBalance'!CG26</f>
        <v/>
      </c>
      <c r="CH26">
        <f>'Grid_SelfBalance'!CH26+'Grid_TTAFBalance'!CH26</f>
        <v/>
      </c>
      <c r="CI26">
        <f>'Grid_SelfBalance'!CI26+'Grid_TTAFBalance'!CI26</f>
        <v/>
      </c>
      <c r="CJ26">
        <f>'Grid_SelfBalance'!CJ26+'Grid_TTAFBalance'!CJ26</f>
        <v/>
      </c>
      <c r="CK26">
        <f>'Grid_SelfBalance'!CK26+'Grid_TTAFBalance'!CK26</f>
        <v/>
      </c>
      <c r="CL26">
        <f>'Grid_SelfBalance'!CL26+'Grid_TTAFBalance'!CL26</f>
        <v/>
      </c>
      <c r="CM26">
        <f>'Grid_SelfBalance'!CM26+'Grid_TTAFBalance'!CM26</f>
        <v/>
      </c>
      <c r="CN26">
        <f>'Grid_SelfBalance'!CN26+'Grid_TTAFBalance'!CN26</f>
        <v/>
      </c>
      <c r="CO26">
        <f>'Grid_SelfBalance'!CO26+'Grid_TTAFBalance'!CO26</f>
        <v/>
      </c>
      <c r="CP26">
        <f>'Grid_SelfBalance'!CP26+'Grid_TTAFBalance'!CP26</f>
        <v/>
      </c>
      <c r="CQ26">
        <f>'Grid_SelfBalance'!CQ26+'Grid_TTAFBalance'!CQ26</f>
        <v/>
      </c>
      <c r="CR26">
        <f>'Grid_SelfBalance'!CR26+'Grid_TTAFBalance'!CR26</f>
        <v/>
      </c>
      <c r="CS26">
        <f>'Grid_SelfBalance'!CS26+'Grid_TTAFBalance'!CS26</f>
        <v/>
      </c>
      <c r="CT26">
        <f>'Grid_SelfBalance'!CT26+'Grid_TTAFBalance'!CT26</f>
        <v/>
      </c>
      <c r="CU26">
        <f>'Grid_SelfBalance'!CU26+'Grid_TTAFBalance'!CU26</f>
        <v/>
      </c>
      <c r="CV26">
        <f>'Grid_SelfBalance'!CV26+'Grid_TTAFBalance'!CV26</f>
        <v/>
      </c>
      <c r="CW26">
        <f>'Grid_SelfBalance'!CW26+'Grid_TTAFBalance'!CW26</f>
        <v/>
      </c>
      <c r="CX26">
        <f>'Grid_SelfBalance'!CX26+'Grid_TTAFBalance'!CX26</f>
        <v/>
      </c>
      <c r="CY26">
        <f>'Grid_SelfBalance'!CY26+'Grid_TTAFBalance'!CY26</f>
        <v/>
      </c>
      <c r="CZ26">
        <f>'Grid_SelfBalance'!CZ26+'Grid_TTAFBalance'!CZ26</f>
        <v/>
      </c>
      <c r="DA26">
        <f>'Grid_SelfBalance'!DA26+'Grid_TTAFBalance'!DA26</f>
        <v/>
      </c>
    </row>
    <row r="27">
      <c r="A27" t="inlineStr">
        <is>
          <t>CHEM-1680</t>
        </is>
      </c>
      <c r="B27">
        <f>'Grid_SelfBalance'!B27+'Grid_TTAFBalance'!B27</f>
        <v/>
      </c>
      <c r="C27">
        <f>'Grid_SelfBalance'!C27+'Grid_TTAFBalance'!C27</f>
        <v/>
      </c>
      <c r="D27">
        <f>'Grid_SelfBalance'!D27+'Grid_TTAFBalance'!D27</f>
        <v/>
      </c>
      <c r="E27">
        <f>'Grid_SelfBalance'!E27+'Grid_TTAFBalance'!E27</f>
        <v/>
      </c>
      <c r="F27">
        <f>'Grid_SelfBalance'!F27+'Grid_TTAFBalance'!F27</f>
        <v/>
      </c>
      <c r="G27">
        <f>'Grid_SelfBalance'!G27+'Grid_TTAFBalance'!G27</f>
        <v/>
      </c>
      <c r="H27">
        <f>'Grid_SelfBalance'!H27+'Grid_TTAFBalance'!H27</f>
        <v/>
      </c>
      <c r="I27">
        <f>'Grid_SelfBalance'!I27+'Grid_TTAFBalance'!I27</f>
        <v/>
      </c>
      <c r="J27">
        <f>'Grid_SelfBalance'!J27+'Grid_TTAFBalance'!J27</f>
        <v/>
      </c>
      <c r="K27">
        <f>'Grid_SelfBalance'!K27+'Grid_TTAFBalance'!K27</f>
        <v/>
      </c>
      <c r="L27">
        <f>'Grid_SelfBalance'!L27+'Grid_TTAFBalance'!L27</f>
        <v/>
      </c>
      <c r="M27">
        <f>'Grid_SelfBalance'!M27+'Grid_TTAFBalance'!M27</f>
        <v/>
      </c>
      <c r="N27">
        <f>'Grid_SelfBalance'!N27+'Grid_TTAFBalance'!N27</f>
        <v/>
      </c>
      <c r="O27">
        <f>'Grid_SelfBalance'!O27+'Grid_TTAFBalance'!O27</f>
        <v/>
      </c>
      <c r="P27">
        <f>'Grid_SelfBalance'!P27+'Grid_TTAFBalance'!P27</f>
        <v/>
      </c>
      <c r="Q27">
        <f>'Grid_SelfBalance'!Q27+'Grid_TTAFBalance'!Q27</f>
        <v/>
      </c>
      <c r="R27">
        <f>'Grid_SelfBalance'!R27+'Grid_TTAFBalance'!R27</f>
        <v/>
      </c>
      <c r="S27">
        <f>'Grid_SelfBalance'!S27+'Grid_TTAFBalance'!S27</f>
        <v/>
      </c>
      <c r="T27">
        <f>'Grid_SelfBalance'!T27+'Grid_TTAFBalance'!T27</f>
        <v/>
      </c>
      <c r="U27">
        <f>'Grid_SelfBalance'!U27+'Grid_TTAFBalance'!U27</f>
        <v/>
      </c>
      <c r="V27">
        <f>'Grid_SelfBalance'!V27+'Grid_TTAFBalance'!V27</f>
        <v/>
      </c>
      <c r="W27">
        <f>'Grid_SelfBalance'!W27+'Grid_TTAFBalance'!W27</f>
        <v/>
      </c>
      <c r="X27">
        <f>'Grid_SelfBalance'!X27+'Grid_TTAFBalance'!X27</f>
        <v/>
      </c>
      <c r="Y27">
        <f>'Grid_SelfBalance'!Y27+'Grid_TTAFBalance'!Y27</f>
        <v/>
      </c>
      <c r="Z27">
        <f>'Grid_SelfBalance'!Z27+'Grid_TTAFBalance'!Z27</f>
        <v/>
      </c>
      <c r="AA27">
        <f>'Grid_SelfBalance'!AA27+'Grid_TTAFBalance'!AA27</f>
        <v/>
      </c>
      <c r="AB27">
        <f>'Grid_SelfBalance'!AB27+'Grid_TTAFBalance'!AB27</f>
        <v/>
      </c>
      <c r="AC27">
        <f>'Grid_SelfBalance'!AC27+'Grid_TTAFBalance'!AC27</f>
        <v/>
      </c>
      <c r="AD27">
        <f>'Grid_SelfBalance'!AD27+'Grid_TTAFBalance'!AD27</f>
        <v/>
      </c>
      <c r="AE27">
        <f>'Grid_SelfBalance'!AE27+'Grid_TTAFBalance'!AE27</f>
        <v/>
      </c>
      <c r="AF27">
        <f>'Grid_SelfBalance'!AF27+'Grid_TTAFBalance'!AF27</f>
        <v/>
      </c>
      <c r="AG27">
        <f>'Grid_SelfBalance'!AG27+'Grid_TTAFBalance'!AG27</f>
        <v/>
      </c>
      <c r="AH27">
        <f>'Grid_SelfBalance'!AH27+'Grid_TTAFBalance'!AH27</f>
        <v/>
      </c>
      <c r="AI27">
        <f>'Grid_SelfBalance'!AI27+'Grid_TTAFBalance'!AI27</f>
        <v/>
      </c>
      <c r="AJ27">
        <f>'Grid_SelfBalance'!AJ27+'Grid_TTAFBalance'!AJ27</f>
        <v/>
      </c>
      <c r="AK27">
        <f>'Grid_SelfBalance'!AK27+'Grid_TTAFBalance'!AK27</f>
        <v/>
      </c>
      <c r="AL27">
        <f>'Grid_SelfBalance'!AL27+'Grid_TTAFBalance'!AL27</f>
        <v/>
      </c>
      <c r="AM27">
        <f>'Grid_SelfBalance'!AM27+'Grid_TTAFBalance'!AM27</f>
        <v/>
      </c>
      <c r="AN27">
        <f>'Grid_SelfBalance'!AN27+'Grid_TTAFBalance'!AN27</f>
        <v/>
      </c>
      <c r="AO27">
        <f>'Grid_SelfBalance'!AO27+'Grid_TTAFBalance'!AO27</f>
        <v/>
      </c>
      <c r="AP27">
        <f>'Grid_SelfBalance'!AP27+'Grid_TTAFBalance'!AP27</f>
        <v/>
      </c>
      <c r="AQ27">
        <f>'Grid_SelfBalance'!AQ27+'Grid_TTAFBalance'!AQ27</f>
        <v/>
      </c>
      <c r="AR27">
        <f>'Grid_SelfBalance'!AR27+'Grid_TTAFBalance'!AR27</f>
        <v/>
      </c>
      <c r="AS27">
        <f>'Grid_SelfBalance'!AS27+'Grid_TTAFBalance'!AS27</f>
        <v/>
      </c>
      <c r="AT27">
        <f>'Grid_SelfBalance'!AT27+'Grid_TTAFBalance'!AT27</f>
        <v/>
      </c>
      <c r="AU27">
        <f>'Grid_SelfBalance'!AU27+'Grid_TTAFBalance'!AU27</f>
        <v/>
      </c>
      <c r="AV27">
        <f>'Grid_SelfBalance'!AV27+'Grid_TTAFBalance'!AV27</f>
        <v/>
      </c>
      <c r="AW27">
        <f>'Grid_SelfBalance'!AW27+'Grid_TTAFBalance'!AW27</f>
        <v/>
      </c>
      <c r="AX27">
        <f>'Grid_SelfBalance'!AX27+'Grid_TTAFBalance'!AX27</f>
        <v/>
      </c>
      <c r="AY27">
        <f>'Grid_SelfBalance'!AY27+'Grid_TTAFBalance'!AY27</f>
        <v/>
      </c>
      <c r="AZ27">
        <f>'Grid_SelfBalance'!AZ27+'Grid_TTAFBalance'!AZ27</f>
        <v/>
      </c>
      <c r="BA27">
        <f>'Grid_SelfBalance'!BA27+'Grid_TTAFBalance'!BA27</f>
        <v/>
      </c>
      <c r="BB27">
        <f>'Grid_SelfBalance'!BB27+'Grid_TTAFBalance'!BB27</f>
        <v/>
      </c>
      <c r="BC27">
        <f>'Grid_SelfBalance'!BC27+'Grid_TTAFBalance'!BC27</f>
        <v/>
      </c>
      <c r="BD27">
        <f>'Grid_SelfBalance'!BD27+'Grid_TTAFBalance'!BD27</f>
        <v/>
      </c>
      <c r="BE27">
        <f>'Grid_SelfBalance'!BE27+'Grid_TTAFBalance'!BE27</f>
        <v/>
      </c>
      <c r="BF27">
        <f>'Grid_SelfBalance'!BF27+'Grid_TTAFBalance'!BF27</f>
        <v/>
      </c>
      <c r="BG27">
        <f>'Grid_SelfBalance'!BG27+'Grid_TTAFBalance'!BG27</f>
        <v/>
      </c>
      <c r="BH27">
        <f>'Grid_SelfBalance'!BH27+'Grid_TTAFBalance'!BH27</f>
        <v/>
      </c>
      <c r="BI27">
        <f>'Grid_SelfBalance'!BI27+'Grid_TTAFBalance'!BI27</f>
        <v/>
      </c>
      <c r="BJ27">
        <f>'Grid_SelfBalance'!BJ27+'Grid_TTAFBalance'!BJ27</f>
        <v/>
      </c>
      <c r="BK27">
        <f>'Grid_SelfBalance'!BK27+'Grid_TTAFBalance'!BK27</f>
        <v/>
      </c>
      <c r="BL27">
        <f>'Grid_SelfBalance'!BL27+'Grid_TTAFBalance'!BL27</f>
        <v/>
      </c>
      <c r="BM27">
        <f>'Grid_SelfBalance'!BM27+'Grid_TTAFBalance'!BM27</f>
        <v/>
      </c>
      <c r="BN27">
        <f>'Grid_SelfBalance'!BN27+'Grid_TTAFBalance'!BN27</f>
        <v/>
      </c>
      <c r="BO27">
        <f>'Grid_SelfBalance'!BO27+'Grid_TTAFBalance'!BO27</f>
        <v/>
      </c>
      <c r="BP27">
        <f>'Grid_SelfBalance'!BP27+'Grid_TTAFBalance'!BP27</f>
        <v/>
      </c>
      <c r="BQ27">
        <f>'Grid_SelfBalance'!BQ27+'Grid_TTAFBalance'!BQ27</f>
        <v/>
      </c>
      <c r="BR27">
        <f>'Grid_SelfBalance'!BR27+'Grid_TTAFBalance'!BR27</f>
        <v/>
      </c>
      <c r="BS27">
        <f>'Grid_SelfBalance'!BS27+'Grid_TTAFBalance'!BS27</f>
        <v/>
      </c>
      <c r="BT27">
        <f>'Grid_SelfBalance'!BT27+'Grid_TTAFBalance'!BT27</f>
        <v/>
      </c>
      <c r="BU27">
        <f>'Grid_SelfBalance'!BU27+'Grid_TTAFBalance'!BU27</f>
        <v/>
      </c>
      <c r="BV27">
        <f>'Grid_SelfBalance'!BV27+'Grid_TTAFBalance'!BV27</f>
        <v/>
      </c>
      <c r="BW27">
        <f>'Grid_SelfBalance'!BW27+'Grid_TTAFBalance'!BW27</f>
        <v/>
      </c>
      <c r="BX27">
        <f>'Grid_SelfBalance'!BX27+'Grid_TTAFBalance'!BX27</f>
        <v/>
      </c>
      <c r="BY27">
        <f>'Grid_SelfBalance'!BY27+'Grid_TTAFBalance'!BY27</f>
        <v/>
      </c>
      <c r="BZ27">
        <f>'Grid_SelfBalance'!BZ27+'Grid_TTAFBalance'!BZ27</f>
        <v/>
      </c>
      <c r="CA27">
        <f>'Grid_SelfBalance'!CA27+'Grid_TTAFBalance'!CA27</f>
        <v/>
      </c>
      <c r="CB27">
        <f>'Grid_SelfBalance'!CB27+'Grid_TTAFBalance'!CB27</f>
        <v/>
      </c>
      <c r="CC27">
        <f>'Grid_SelfBalance'!CC27+'Grid_TTAFBalance'!CC27</f>
        <v/>
      </c>
      <c r="CD27">
        <f>'Grid_SelfBalance'!CD27+'Grid_TTAFBalance'!CD27</f>
        <v/>
      </c>
      <c r="CE27">
        <f>'Grid_SelfBalance'!CE27+'Grid_TTAFBalance'!CE27</f>
        <v/>
      </c>
      <c r="CF27">
        <f>'Grid_SelfBalance'!CF27+'Grid_TTAFBalance'!CF27</f>
        <v/>
      </c>
      <c r="CG27">
        <f>'Grid_SelfBalance'!CG27+'Grid_TTAFBalance'!CG27</f>
        <v/>
      </c>
      <c r="CH27">
        <f>'Grid_SelfBalance'!CH27+'Grid_TTAFBalance'!CH27</f>
        <v/>
      </c>
      <c r="CI27">
        <f>'Grid_SelfBalance'!CI27+'Grid_TTAFBalance'!CI27</f>
        <v/>
      </c>
      <c r="CJ27">
        <f>'Grid_SelfBalance'!CJ27+'Grid_TTAFBalance'!CJ27</f>
        <v/>
      </c>
      <c r="CK27">
        <f>'Grid_SelfBalance'!CK27+'Grid_TTAFBalance'!CK27</f>
        <v/>
      </c>
      <c r="CL27">
        <f>'Grid_SelfBalance'!CL27+'Grid_TTAFBalance'!CL27</f>
        <v/>
      </c>
      <c r="CM27">
        <f>'Grid_SelfBalance'!CM27+'Grid_TTAFBalance'!CM27</f>
        <v/>
      </c>
      <c r="CN27">
        <f>'Grid_SelfBalance'!CN27+'Grid_TTAFBalance'!CN27</f>
        <v/>
      </c>
      <c r="CO27">
        <f>'Grid_SelfBalance'!CO27+'Grid_TTAFBalance'!CO27</f>
        <v/>
      </c>
      <c r="CP27">
        <f>'Grid_SelfBalance'!CP27+'Grid_TTAFBalance'!CP27</f>
        <v/>
      </c>
      <c r="CQ27">
        <f>'Grid_SelfBalance'!CQ27+'Grid_TTAFBalance'!CQ27</f>
        <v/>
      </c>
      <c r="CR27">
        <f>'Grid_SelfBalance'!CR27+'Grid_TTAFBalance'!CR27</f>
        <v/>
      </c>
      <c r="CS27">
        <f>'Grid_SelfBalance'!CS27+'Grid_TTAFBalance'!CS27</f>
        <v/>
      </c>
      <c r="CT27">
        <f>'Grid_SelfBalance'!CT27+'Grid_TTAFBalance'!CT27</f>
        <v/>
      </c>
      <c r="CU27">
        <f>'Grid_SelfBalance'!CU27+'Grid_TTAFBalance'!CU27</f>
        <v/>
      </c>
      <c r="CV27">
        <f>'Grid_SelfBalance'!CV27+'Grid_TTAFBalance'!CV27</f>
        <v/>
      </c>
      <c r="CW27">
        <f>'Grid_SelfBalance'!CW27+'Grid_TTAFBalance'!CW27</f>
        <v/>
      </c>
      <c r="CX27">
        <f>'Grid_SelfBalance'!CX27+'Grid_TTAFBalance'!CX27</f>
        <v/>
      </c>
      <c r="CY27">
        <f>'Grid_SelfBalance'!CY27+'Grid_TTAFBalance'!CY27</f>
        <v/>
      </c>
      <c r="CZ27">
        <f>'Grid_SelfBalance'!CZ27+'Grid_TTAFBalance'!CZ27</f>
        <v/>
      </c>
      <c r="DA27">
        <f>'Grid_SelfBalance'!DA27+'Grid_TTAFBalance'!DA27</f>
        <v/>
      </c>
    </row>
    <row r="28">
      <c r="A28" t="inlineStr">
        <is>
          <t>CHEM-1820</t>
        </is>
      </c>
      <c r="B28">
        <f>'Grid_SelfBalance'!B28+'Grid_TTAFBalance'!B28</f>
        <v/>
      </c>
      <c r="C28">
        <f>'Grid_SelfBalance'!C28+'Grid_TTAFBalance'!C28</f>
        <v/>
      </c>
      <c r="D28">
        <f>'Grid_SelfBalance'!D28+'Grid_TTAFBalance'!D28</f>
        <v/>
      </c>
      <c r="E28">
        <f>'Grid_SelfBalance'!E28+'Grid_TTAFBalance'!E28</f>
        <v/>
      </c>
      <c r="F28">
        <f>'Grid_SelfBalance'!F28+'Grid_TTAFBalance'!F28</f>
        <v/>
      </c>
      <c r="G28">
        <f>'Grid_SelfBalance'!G28+'Grid_TTAFBalance'!G28</f>
        <v/>
      </c>
      <c r="H28">
        <f>'Grid_SelfBalance'!H28+'Grid_TTAFBalance'!H28</f>
        <v/>
      </c>
      <c r="I28">
        <f>'Grid_SelfBalance'!I28+'Grid_TTAFBalance'!I28</f>
        <v/>
      </c>
      <c r="J28">
        <f>'Grid_SelfBalance'!J28+'Grid_TTAFBalance'!J28</f>
        <v/>
      </c>
      <c r="K28">
        <f>'Grid_SelfBalance'!K28+'Grid_TTAFBalance'!K28</f>
        <v/>
      </c>
      <c r="L28">
        <f>'Grid_SelfBalance'!L28+'Grid_TTAFBalance'!L28</f>
        <v/>
      </c>
      <c r="M28">
        <f>'Grid_SelfBalance'!M28+'Grid_TTAFBalance'!M28</f>
        <v/>
      </c>
      <c r="N28">
        <f>'Grid_SelfBalance'!N28+'Grid_TTAFBalance'!N28</f>
        <v/>
      </c>
      <c r="O28">
        <f>'Grid_SelfBalance'!O28+'Grid_TTAFBalance'!O28</f>
        <v/>
      </c>
      <c r="P28">
        <f>'Grid_SelfBalance'!P28+'Grid_TTAFBalance'!P28</f>
        <v/>
      </c>
      <c r="Q28">
        <f>'Grid_SelfBalance'!Q28+'Grid_TTAFBalance'!Q28</f>
        <v/>
      </c>
      <c r="R28">
        <f>'Grid_SelfBalance'!R28+'Grid_TTAFBalance'!R28</f>
        <v/>
      </c>
      <c r="S28">
        <f>'Grid_SelfBalance'!S28+'Grid_TTAFBalance'!S28</f>
        <v/>
      </c>
      <c r="T28">
        <f>'Grid_SelfBalance'!T28+'Grid_TTAFBalance'!T28</f>
        <v/>
      </c>
      <c r="U28">
        <f>'Grid_SelfBalance'!U28+'Grid_TTAFBalance'!U28</f>
        <v/>
      </c>
      <c r="V28">
        <f>'Grid_SelfBalance'!V28+'Grid_TTAFBalance'!V28</f>
        <v/>
      </c>
      <c r="W28">
        <f>'Grid_SelfBalance'!W28+'Grid_TTAFBalance'!W28</f>
        <v/>
      </c>
      <c r="X28">
        <f>'Grid_SelfBalance'!X28+'Grid_TTAFBalance'!X28</f>
        <v/>
      </c>
      <c r="Y28">
        <f>'Grid_SelfBalance'!Y28+'Grid_TTAFBalance'!Y28</f>
        <v/>
      </c>
      <c r="Z28">
        <f>'Grid_SelfBalance'!Z28+'Grid_TTAFBalance'!Z28</f>
        <v/>
      </c>
      <c r="AA28">
        <f>'Grid_SelfBalance'!AA28+'Grid_TTAFBalance'!AA28</f>
        <v/>
      </c>
      <c r="AB28">
        <f>'Grid_SelfBalance'!AB28+'Grid_TTAFBalance'!AB28</f>
        <v/>
      </c>
      <c r="AC28">
        <f>'Grid_SelfBalance'!AC28+'Grid_TTAFBalance'!AC28</f>
        <v/>
      </c>
      <c r="AD28">
        <f>'Grid_SelfBalance'!AD28+'Grid_TTAFBalance'!AD28</f>
        <v/>
      </c>
      <c r="AE28">
        <f>'Grid_SelfBalance'!AE28+'Grid_TTAFBalance'!AE28</f>
        <v/>
      </c>
      <c r="AF28">
        <f>'Grid_SelfBalance'!AF28+'Grid_TTAFBalance'!AF28</f>
        <v/>
      </c>
      <c r="AG28">
        <f>'Grid_SelfBalance'!AG28+'Grid_TTAFBalance'!AG28</f>
        <v/>
      </c>
      <c r="AH28">
        <f>'Grid_SelfBalance'!AH28+'Grid_TTAFBalance'!AH28</f>
        <v/>
      </c>
      <c r="AI28">
        <f>'Grid_SelfBalance'!AI28+'Grid_TTAFBalance'!AI28</f>
        <v/>
      </c>
      <c r="AJ28">
        <f>'Grid_SelfBalance'!AJ28+'Grid_TTAFBalance'!AJ28</f>
        <v/>
      </c>
      <c r="AK28">
        <f>'Grid_SelfBalance'!AK28+'Grid_TTAFBalance'!AK28</f>
        <v/>
      </c>
      <c r="AL28">
        <f>'Grid_SelfBalance'!AL28+'Grid_TTAFBalance'!AL28</f>
        <v/>
      </c>
      <c r="AM28">
        <f>'Grid_SelfBalance'!AM28+'Grid_TTAFBalance'!AM28</f>
        <v/>
      </c>
      <c r="AN28">
        <f>'Grid_SelfBalance'!AN28+'Grid_TTAFBalance'!AN28</f>
        <v/>
      </c>
      <c r="AO28">
        <f>'Grid_SelfBalance'!AO28+'Grid_TTAFBalance'!AO28</f>
        <v/>
      </c>
      <c r="AP28">
        <f>'Grid_SelfBalance'!AP28+'Grid_TTAFBalance'!AP28</f>
        <v/>
      </c>
      <c r="AQ28">
        <f>'Grid_SelfBalance'!AQ28+'Grid_TTAFBalance'!AQ28</f>
        <v/>
      </c>
      <c r="AR28">
        <f>'Grid_SelfBalance'!AR28+'Grid_TTAFBalance'!AR28</f>
        <v/>
      </c>
      <c r="AS28">
        <f>'Grid_SelfBalance'!AS28+'Grid_TTAFBalance'!AS28</f>
        <v/>
      </c>
      <c r="AT28">
        <f>'Grid_SelfBalance'!AT28+'Grid_TTAFBalance'!AT28</f>
        <v/>
      </c>
      <c r="AU28">
        <f>'Grid_SelfBalance'!AU28+'Grid_TTAFBalance'!AU28</f>
        <v/>
      </c>
      <c r="AV28">
        <f>'Grid_SelfBalance'!AV28+'Grid_TTAFBalance'!AV28</f>
        <v/>
      </c>
      <c r="AW28">
        <f>'Grid_SelfBalance'!AW28+'Grid_TTAFBalance'!AW28</f>
        <v/>
      </c>
      <c r="AX28">
        <f>'Grid_SelfBalance'!AX28+'Grid_TTAFBalance'!AX28</f>
        <v/>
      </c>
      <c r="AY28">
        <f>'Grid_SelfBalance'!AY28+'Grid_TTAFBalance'!AY28</f>
        <v/>
      </c>
      <c r="AZ28">
        <f>'Grid_SelfBalance'!AZ28+'Grid_TTAFBalance'!AZ28</f>
        <v/>
      </c>
      <c r="BA28">
        <f>'Grid_SelfBalance'!BA28+'Grid_TTAFBalance'!BA28</f>
        <v/>
      </c>
      <c r="BB28">
        <f>'Grid_SelfBalance'!BB28+'Grid_TTAFBalance'!BB28</f>
        <v/>
      </c>
      <c r="BC28">
        <f>'Grid_SelfBalance'!BC28+'Grid_TTAFBalance'!BC28</f>
        <v/>
      </c>
      <c r="BD28">
        <f>'Grid_SelfBalance'!BD28+'Grid_TTAFBalance'!BD28</f>
        <v/>
      </c>
      <c r="BE28">
        <f>'Grid_SelfBalance'!BE28+'Grid_TTAFBalance'!BE28</f>
        <v/>
      </c>
      <c r="BF28">
        <f>'Grid_SelfBalance'!BF28+'Grid_TTAFBalance'!BF28</f>
        <v/>
      </c>
      <c r="BG28">
        <f>'Grid_SelfBalance'!BG28+'Grid_TTAFBalance'!BG28</f>
        <v/>
      </c>
      <c r="BH28">
        <f>'Grid_SelfBalance'!BH28+'Grid_TTAFBalance'!BH28</f>
        <v/>
      </c>
      <c r="BI28">
        <f>'Grid_SelfBalance'!BI28+'Grid_TTAFBalance'!BI28</f>
        <v/>
      </c>
      <c r="BJ28">
        <f>'Grid_SelfBalance'!BJ28+'Grid_TTAFBalance'!BJ28</f>
        <v/>
      </c>
      <c r="BK28">
        <f>'Grid_SelfBalance'!BK28+'Grid_TTAFBalance'!BK28</f>
        <v/>
      </c>
      <c r="BL28">
        <f>'Grid_SelfBalance'!BL28+'Grid_TTAFBalance'!BL28</f>
        <v/>
      </c>
      <c r="BM28">
        <f>'Grid_SelfBalance'!BM28+'Grid_TTAFBalance'!BM28</f>
        <v/>
      </c>
      <c r="BN28">
        <f>'Grid_SelfBalance'!BN28+'Grid_TTAFBalance'!BN28</f>
        <v/>
      </c>
      <c r="BO28">
        <f>'Grid_SelfBalance'!BO28+'Grid_TTAFBalance'!BO28</f>
        <v/>
      </c>
      <c r="BP28">
        <f>'Grid_SelfBalance'!BP28+'Grid_TTAFBalance'!BP28</f>
        <v/>
      </c>
      <c r="BQ28">
        <f>'Grid_SelfBalance'!BQ28+'Grid_TTAFBalance'!BQ28</f>
        <v/>
      </c>
      <c r="BR28">
        <f>'Grid_SelfBalance'!BR28+'Grid_TTAFBalance'!BR28</f>
        <v/>
      </c>
      <c r="BS28">
        <f>'Grid_SelfBalance'!BS28+'Grid_TTAFBalance'!BS28</f>
        <v/>
      </c>
      <c r="BT28">
        <f>'Grid_SelfBalance'!BT28+'Grid_TTAFBalance'!BT28</f>
        <v/>
      </c>
      <c r="BU28">
        <f>'Grid_SelfBalance'!BU28+'Grid_TTAFBalance'!BU28</f>
        <v/>
      </c>
      <c r="BV28">
        <f>'Grid_SelfBalance'!BV28+'Grid_TTAFBalance'!BV28</f>
        <v/>
      </c>
      <c r="BW28">
        <f>'Grid_SelfBalance'!BW28+'Grid_TTAFBalance'!BW28</f>
        <v/>
      </c>
      <c r="BX28">
        <f>'Grid_SelfBalance'!BX28+'Grid_TTAFBalance'!BX28</f>
        <v/>
      </c>
      <c r="BY28">
        <f>'Grid_SelfBalance'!BY28+'Grid_TTAFBalance'!BY28</f>
        <v/>
      </c>
      <c r="BZ28">
        <f>'Grid_SelfBalance'!BZ28+'Grid_TTAFBalance'!BZ28</f>
        <v/>
      </c>
      <c r="CA28">
        <f>'Grid_SelfBalance'!CA28+'Grid_TTAFBalance'!CA28</f>
        <v/>
      </c>
      <c r="CB28">
        <f>'Grid_SelfBalance'!CB28+'Grid_TTAFBalance'!CB28</f>
        <v/>
      </c>
      <c r="CC28">
        <f>'Grid_SelfBalance'!CC28+'Grid_TTAFBalance'!CC28</f>
        <v/>
      </c>
      <c r="CD28">
        <f>'Grid_SelfBalance'!CD28+'Grid_TTAFBalance'!CD28</f>
        <v/>
      </c>
      <c r="CE28">
        <f>'Grid_SelfBalance'!CE28+'Grid_TTAFBalance'!CE28</f>
        <v/>
      </c>
      <c r="CF28">
        <f>'Grid_SelfBalance'!CF28+'Grid_TTAFBalance'!CF28</f>
        <v/>
      </c>
      <c r="CG28">
        <f>'Grid_SelfBalance'!CG28+'Grid_TTAFBalance'!CG28</f>
        <v/>
      </c>
      <c r="CH28">
        <f>'Grid_SelfBalance'!CH28+'Grid_TTAFBalance'!CH28</f>
        <v/>
      </c>
      <c r="CI28">
        <f>'Grid_SelfBalance'!CI28+'Grid_TTAFBalance'!CI28</f>
        <v/>
      </c>
      <c r="CJ28">
        <f>'Grid_SelfBalance'!CJ28+'Grid_TTAFBalance'!CJ28</f>
        <v/>
      </c>
      <c r="CK28">
        <f>'Grid_SelfBalance'!CK28+'Grid_TTAFBalance'!CK28</f>
        <v/>
      </c>
      <c r="CL28">
        <f>'Grid_SelfBalance'!CL28+'Grid_TTAFBalance'!CL28</f>
        <v/>
      </c>
      <c r="CM28">
        <f>'Grid_SelfBalance'!CM28+'Grid_TTAFBalance'!CM28</f>
        <v/>
      </c>
      <c r="CN28">
        <f>'Grid_SelfBalance'!CN28+'Grid_TTAFBalance'!CN28</f>
        <v/>
      </c>
      <c r="CO28">
        <f>'Grid_SelfBalance'!CO28+'Grid_TTAFBalance'!CO28</f>
        <v/>
      </c>
      <c r="CP28">
        <f>'Grid_SelfBalance'!CP28+'Grid_TTAFBalance'!CP28</f>
        <v/>
      </c>
      <c r="CQ28">
        <f>'Grid_SelfBalance'!CQ28+'Grid_TTAFBalance'!CQ28</f>
        <v/>
      </c>
      <c r="CR28">
        <f>'Grid_SelfBalance'!CR28+'Grid_TTAFBalance'!CR28</f>
        <v/>
      </c>
      <c r="CS28">
        <f>'Grid_SelfBalance'!CS28+'Grid_TTAFBalance'!CS28</f>
        <v/>
      </c>
      <c r="CT28">
        <f>'Grid_SelfBalance'!CT28+'Grid_TTAFBalance'!CT28</f>
        <v/>
      </c>
      <c r="CU28">
        <f>'Grid_SelfBalance'!CU28+'Grid_TTAFBalance'!CU28</f>
        <v/>
      </c>
      <c r="CV28">
        <f>'Grid_SelfBalance'!CV28+'Grid_TTAFBalance'!CV28</f>
        <v/>
      </c>
      <c r="CW28">
        <f>'Grid_SelfBalance'!CW28+'Grid_TTAFBalance'!CW28</f>
        <v/>
      </c>
      <c r="CX28">
        <f>'Grid_SelfBalance'!CX28+'Grid_TTAFBalance'!CX28</f>
        <v/>
      </c>
      <c r="CY28">
        <f>'Grid_SelfBalance'!CY28+'Grid_TTAFBalance'!CY28</f>
        <v/>
      </c>
      <c r="CZ28">
        <f>'Grid_SelfBalance'!CZ28+'Grid_TTAFBalance'!CZ28</f>
        <v/>
      </c>
      <c r="DA28">
        <f>'Grid_SelfBalance'!DA28+'Grid_TTAFBalance'!DA28</f>
        <v/>
      </c>
    </row>
    <row r="29">
      <c r="A29" t="inlineStr">
        <is>
          <t>CHEM-1840</t>
        </is>
      </c>
      <c r="B29">
        <f>'Grid_SelfBalance'!B29+'Grid_TTAFBalance'!B29</f>
        <v/>
      </c>
      <c r="C29">
        <f>'Grid_SelfBalance'!C29+'Grid_TTAFBalance'!C29</f>
        <v/>
      </c>
      <c r="D29">
        <f>'Grid_SelfBalance'!D29+'Grid_TTAFBalance'!D29</f>
        <v/>
      </c>
      <c r="E29">
        <f>'Grid_SelfBalance'!E29+'Grid_TTAFBalance'!E29</f>
        <v/>
      </c>
      <c r="F29">
        <f>'Grid_SelfBalance'!F29+'Grid_TTAFBalance'!F29</f>
        <v/>
      </c>
      <c r="G29">
        <f>'Grid_SelfBalance'!G29+'Grid_TTAFBalance'!G29</f>
        <v/>
      </c>
      <c r="H29">
        <f>'Grid_SelfBalance'!H29+'Grid_TTAFBalance'!H29</f>
        <v/>
      </c>
      <c r="I29">
        <f>'Grid_SelfBalance'!I29+'Grid_TTAFBalance'!I29</f>
        <v/>
      </c>
      <c r="J29">
        <f>'Grid_SelfBalance'!J29+'Grid_TTAFBalance'!J29</f>
        <v/>
      </c>
      <c r="K29">
        <f>'Grid_SelfBalance'!K29+'Grid_TTAFBalance'!K29</f>
        <v/>
      </c>
      <c r="L29">
        <f>'Grid_SelfBalance'!L29+'Grid_TTAFBalance'!L29</f>
        <v/>
      </c>
      <c r="M29">
        <f>'Grid_SelfBalance'!M29+'Grid_TTAFBalance'!M29</f>
        <v/>
      </c>
      <c r="N29">
        <f>'Grid_SelfBalance'!N29+'Grid_TTAFBalance'!N29</f>
        <v/>
      </c>
      <c r="O29">
        <f>'Grid_SelfBalance'!O29+'Grid_TTAFBalance'!O29</f>
        <v/>
      </c>
      <c r="P29">
        <f>'Grid_SelfBalance'!P29+'Grid_TTAFBalance'!P29</f>
        <v/>
      </c>
      <c r="Q29">
        <f>'Grid_SelfBalance'!Q29+'Grid_TTAFBalance'!Q29</f>
        <v/>
      </c>
      <c r="R29">
        <f>'Grid_SelfBalance'!R29+'Grid_TTAFBalance'!R29</f>
        <v/>
      </c>
      <c r="S29">
        <f>'Grid_SelfBalance'!S29+'Grid_TTAFBalance'!S29</f>
        <v/>
      </c>
      <c r="T29">
        <f>'Grid_SelfBalance'!T29+'Grid_TTAFBalance'!T29</f>
        <v/>
      </c>
      <c r="U29">
        <f>'Grid_SelfBalance'!U29+'Grid_TTAFBalance'!U29</f>
        <v/>
      </c>
      <c r="V29">
        <f>'Grid_SelfBalance'!V29+'Grid_TTAFBalance'!V29</f>
        <v/>
      </c>
      <c r="W29">
        <f>'Grid_SelfBalance'!W29+'Grid_TTAFBalance'!W29</f>
        <v/>
      </c>
      <c r="X29">
        <f>'Grid_SelfBalance'!X29+'Grid_TTAFBalance'!X29</f>
        <v/>
      </c>
      <c r="Y29">
        <f>'Grid_SelfBalance'!Y29+'Grid_TTAFBalance'!Y29</f>
        <v/>
      </c>
      <c r="Z29">
        <f>'Grid_SelfBalance'!Z29+'Grid_TTAFBalance'!Z29</f>
        <v/>
      </c>
      <c r="AA29">
        <f>'Grid_SelfBalance'!AA29+'Grid_TTAFBalance'!AA29</f>
        <v/>
      </c>
      <c r="AB29">
        <f>'Grid_SelfBalance'!AB29+'Grid_TTAFBalance'!AB29</f>
        <v/>
      </c>
      <c r="AC29">
        <f>'Grid_SelfBalance'!AC29+'Grid_TTAFBalance'!AC29</f>
        <v/>
      </c>
      <c r="AD29">
        <f>'Grid_SelfBalance'!AD29+'Grid_TTAFBalance'!AD29</f>
        <v/>
      </c>
      <c r="AE29">
        <f>'Grid_SelfBalance'!AE29+'Grid_TTAFBalance'!AE29</f>
        <v/>
      </c>
      <c r="AF29">
        <f>'Grid_SelfBalance'!AF29+'Grid_TTAFBalance'!AF29</f>
        <v/>
      </c>
      <c r="AG29">
        <f>'Grid_SelfBalance'!AG29+'Grid_TTAFBalance'!AG29</f>
        <v/>
      </c>
      <c r="AH29">
        <f>'Grid_SelfBalance'!AH29+'Grid_TTAFBalance'!AH29</f>
        <v/>
      </c>
      <c r="AI29">
        <f>'Grid_SelfBalance'!AI29+'Grid_TTAFBalance'!AI29</f>
        <v/>
      </c>
      <c r="AJ29">
        <f>'Grid_SelfBalance'!AJ29+'Grid_TTAFBalance'!AJ29</f>
        <v/>
      </c>
      <c r="AK29">
        <f>'Grid_SelfBalance'!AK29+'Grid_TTAFBalance'!AK29</f>
        <v/>
      </c>
      <c r="AL29">
        <f>'Grid_SelfBalance'!AL29+'Grid_TTAFBalance'!AL29</f>
        <v/>
      </c>
      <c r="AM29">
        <f>'Grid_SelfBalance'!AM29+'Grid_TTAFBalance'!AM29</f>
        <v/>
      </c>
      <c r="AN29">
        <f>'Grid_SelfBalance'!AN29+'Grid_TTAFBalance'!AN29</f>
        <v/>
      </c>
      <c r="AO29">
        <f>'Grid_SelfBalance'!AO29+'Grid_TTAFBalance'!AO29</f>
        <v/>
      </c>
      <c r="AP29">
        <f>'Grid_SelfBalance'!AP29+'Grid_TTAFBalance'!AP29</f>
        <v/>
      </c>
      <c r="AQ29">
        <f>'Grid_SelfBalance'!AQ29+'Grid_TTAFBalance'!AQ29</f>
        <v/>
      </c>
      <c r="AR29">
        <f>'Grid_SelfBalance'!AR29+'Grid_TTAFBalance'!AR29</f>
        <v/>
      </c>
      <c r="AS29">
        <f>'Grid_SelfBalance'!AS29+'Grid_TTAFBalance'!AS29</f>
        <v/>
      </c>
      <c r="AT29">
        <f>'Grid_SelfBalance'!AT29+'Grid_TTAFBalance'!AT29</f>
        <v/>
      </c>
      <c r="AU29">
        <f>'Grid_SelfBalance'!AU29+'Grid_TTAFBalance'!AU29</f>
        <v/>
      </c>
      <c r="AV29">
        <f>'Grid_SelfBalance'!AV29+'Grid_TTAFBalance'!AV29</f>
        <v/>
      </c>
      <c r="AW29">
        <f>'Grid_SelfBalance'!AW29+'Grid_TTAFBalance'!AW29</f>
        <v/>
      </c>
      <c r="AX29">
        <f>'Grid_SelfBalance'!AX29+'Grid_TTAFBalance'!AX29</f>
        <v/>
      </c>
      <c r="AY29">
        <f>'Grid_SelfBalance'!AY29+'Grid_TTAFBalance'!AY29</f>
        <v/>
      </c>
      <c r="AZ29">
        <f>'Grid_SelfBalance'!AZ29+'Grid_TTAFBalance'!AZ29</f>
        <v/>
      </c>
      <c r="BA29">
        <f>'Grid_SelfBalance'!BA29+'Grid_TTAFBalance'!BA29</f>
        <v/>
      </c>
      <c r="BB29">
        <f>'Grid_SelfBalance'!BB29+'Grid_TTAFBalance'!BB29</f>
        <v/>
      </c>
      <c r="BC29">
        <f>'Grid_SelfBalance'!BC29+'Grid_TTAFBalance'!BC29</f>
        <v/>
      </c>
      <c r="BD29">
        <f>'Grid_SelfBalance'!BD29+'Grid_TTAFBalance'!BD29</f>
        <v/>
      </c>
      <c r="BE29">
        <f>'Grid_SelfBalance'!BE29+'Grid_TTAFBalance'!BE29</f>
        <v/>
      </c>
      <c r="BF29">
        <f>'Grid_SelfBalance'!BF29+'Grid_TTAFBalance'!BF29</f>
        <v/>
      </c>
      <c r="BG29">
        <f>'Grid_SelfBalance'!BG29+'Grid_TTAFBalance'!BG29</f>
        <v/>
      </c>
      <c r="BH29">
        <f>'Grid_SelfBalance'!BH29+'Grid_TTAFBalance'!BH29</f>
        <v/>
      </c>
      <c r="BI29">
        <f>'Grid_SelfBalance'!BI29+'Grid_TTAFBalance'!BI29</f>
        <v/>
      </c>
      <c r="BJ29">
        <f>'Grid_SelfBalance'!BJ29+'Grid_TTAFBalance'!BJ29</f>
        <v/>
      </c>
      <c r="BK29">
        <f>'Grid_SelfBalance'!BK29+'Grid_TTAFBalance'!BK29</f>
        <v/>
      </c>
      <c r="BL29">
        <f>'Grid_SelfBalance'!BL29+'Grid_TTAFBalance'!BL29</f>
        <v/>
      </c>
      <c r="BM29">
        <f>'Grid_SelfBalance'!BM29+'Grid_TTAFBalance'!BM29</f>
        <v/>
      </c>
      <c r="BN29">
        <f>'Grid_SelfBalance'!BN29+'Grid_TTAFBalance'!BN29</f>
        <v/>
      </c>
      <c r="BO29">
        <f>'Grid_SelfBalance'!BO29+'Grid_TTAFBalance'!BO29</f>
        <v/>
      </c>
      <c r="BP29">
        <f>'Grid_SelfBalance'!BP29+'Grid_TTAFBalance'!BP29</f>
        <v/>
      </c>
      <c r="BQ29">
        <f>'Grid_SelfBalance'!BQ29+'Grid_TTAFBalance'!BQ29</f>
        <v/>
      </c>
      <c r="BR29">
        <f>'Grid_SelfBalance'!BR29+'Grid_TTAFBalance'!BR29</f>
        <v/>
      </c>
      <c r="BS29">
        <f>'Grid_SelfBalance'!BS29+'Grid_TTAFBalance'!BS29</f>
        <v/>
      </c>
      <c r="BT29">
        <f>'Grid_SelfBalance'!BT29+'Grid_TTAFBalance'!BT29</f>
        <v/>
      </c>
      <c r="BU29">
        <f>'Grid_SelfBalance'!BU29+'Grid_TTAFBalance'!BU29</f>
        <v/>
      </c>
      <c r="BV29">
        <f>'Grid_SelfBalance'!BV29+'Grid_TTAFBalance'!BV29</f>
        <v/>
      </c>
      <c r="BW29">
        <f>'Grid_SelfBalance'!BW29+'Grid_TTAFBalance'!BW29</f>
        <v/>
      </c>
      <c r="BX29">
        <f>'Grid_SelfBalance'!BX29+'Grid_TTAFBalance'!BX29</f>
        <v/>
      </c>
      <c r="BY29">
        <f>'Grid_SelfBalance'!BY29+'Grid_TTAFBalance'!BY29</f>
        <v/>
      </c>
      <c r="BZ29">
        <f>'Grid_SelfBalance'!BZ29+'Grid_TTAFBalance'!BZ29</f>
        <v/>
      </c>
      <c r="CA29">
        <f>'Grid_SelfBalance'!CA29+'Grid_TTAFBalance'!CA29</f>
        <v/>
      </c>
      <c r="CB29">
        <f>'Grid_SelfBalance'!CB29+'Grid_TTAFBalance'!CB29</f>
        <v/>
      </c>
      <c r="CC29">
        <f>'Grid_SelfBalance'!CC29+'Grid_TTAFBalance'!CC29</f>
        <v/>
      </c>
      <c r="CD29">
        <f>'Grid_SelfBalance'!CD29+'Grid_TTAFBalance'!CD29</f>
        <v/>
      </c>
      <c r="CE29">
        <f>'Grid_SelfBalance'!CE29+'Grid_TTAFBalance'!CE29</f>
        <v/>
      </c>
      <c r="CF29">
        <f>'Grid_SelfBalance'!CF29+'Grid_TTAFBalance'!CF29</f>
        <v/>
      </c>
      <c r="CG29">
        <f>'Grid_SelfBalance'!CG29+'Grid_TTAFBalance'!CG29</f>
        <v/>
      </c>
      <c r="CH29">
        <f>'Grid_SelfBalance'!CH29+'Grid_TTAFBalance'!CH29</f>
        <v/>
      </c>
      <c r="CI29">
        <f>'Grid_SelfBalance'!CI29+'Grid_TTAFBalance'!CI29</f>
        <v/>
      </c>
      <c r="CJ29">
        <f>'Grid_SelfBalance'!CJ29+'Grid_TTAFBalance'!CJ29</f>
        <v/>
      </c>
      <c r="CK29">
        <f>'Grid_SelfBalance'!CK29+'Grid_TTAFBalance'!CK29</f>
        <v/>
      </c>
      <c r="CL29">
        <f>'Grid_SelfBalance'!CL29+'Grid_TTAFBalance'!CL29</f>
        <v/>
      </c>
      <c r="CM29">
        <f>'Grid_SelfBalance'!CM29+'Grid_TTAFBalance'!CM29</f>
        <v/>
      </c>
      <c r="CN29">
        <f>'Grid_SelfBalance'!CN29+'Grid_TTAFBalance'!CN29</f>
        <v/>
      </c>
      <c r="CO29">
        <f>'Grid_SelfBalance'!CO29+'Grid_TTAFBalance'!CO29</f>
        <v/>
      </c>
      <c r="CP29">
        <f>'Grid_SelfBalance'!CP29+'Grid_TTAFBalance'!CP29</f>
        <v/>
      </c>
      <c r="CQ29">
        <f>'Grid_SelfBalance'!CQ29+'Grid_TTAFBalance'!CQ29</f>
        <v/>
      </c>
      <c r="CR29">
        <f>'Grid_SelfBalance'!CR29+'Grid_TTAFBalance'!CR29</f>
        <v/>
      </c>
      <c r="CS29">
        <f>'Grid_SelfBalance'!CS29+'Grid_TTAFBalance'!CS29</f>
        <v/>
      </c>
      <c r="CT29">
        <f>'Grid_SelfBalance'!CT29+'Grid_TTAFBalance'!CT29</f>
        <v/>
      </c>
      <c r="CU29">
        <f>'Grid_SelfBalance'!CU29+'Grid_TTAFBalance'!CU29</f>
        <v/>
      </c>
      <c r="CV29">
        <f>'Grid_SelfBalance'!CV29+'Grid_TTAFBalance'!CV29</f>
        <v/>
      </c>
      <c r="CW29">
        <f>'Grid_SelfBalance'!CW29+'Grid_TTAFBalance'!CW29</f>
        <v/>
      </c>
      <c r="CX29">
        <f>'Grid_SelfBalance'!CX29+'Grid_TTAFBalance'!CX29</f>
        <v/>
      </c>
      <c r="CY29">
        <f>'Grid_SelfBalance'!CY29+'Grid_TTAFBalance'!CY29</f>
        <v/>
      </c>
      <c r="CZ29">
        <f>'Grid_SelfBalance'!CZ29+'Grid_TTAFBalance'!CZ29</f>
        <v/>
      </c>
      <c r="DA29">
        <f>'Grid_SelfBalance'!DA29+'Grid_TTAFBalance'!DA29</f>
        <v/>
      </c>
    </row>
    <row r="30">
      <c r="A30" t="inlineStr">
        <is>
          <t>TDJ</t>
        </is>
      </c>
      <c r="B30">
        <f>'Grid_SelfBalance'!B30+'Grid_TTAFBalance'!B30</f>
        <v/>
      </c>
      <c r="C30">
        <f>'Grid_SelfBalance'!C30+'Grid_TTAFBalance'!C30</f>
        <v/>
      </c>
      <c r="D30">
        <f>'Grid_SelfBalance'!D30+'Grid_TTAFBalance'!D30</f>
        <v/>
      </c>
      <c r="E30">
        <f>'Grid_SelfBalance'!E30+'Grid_TTAFBalance'!E30</f>
        <v/>
      </c>
      <c r="F30">
        <f>'Grid_SelfBalance'!F30+'Grid_TTAFBalance'!F30</f>
        <v/>
      </c>
      <c r="G30">
        <f>'Grid_SelfBalance'!G30+'Grid_TTAFBalance'!G30</f>
        <v/>
      </c>
      <c r="H30">
        <f>'Grid_SelfBalance'!H30+'Grid_TTAFBalance'!H30</f>
        <v/>
      </c>
      <c r="I30">
        <f>'Grid_SelfBalance'!I30+'Grid_TTAFBalance'!I30</f>
        <v/>
      </c>
      <c r="J30">
        <f>'Grid_SelfBalance'!J30+'Grid_TTAFBalance'!J30</f>
        <v/>
      </c>
      <c r="K30">
        <f>'Grid_SelfBalance'!K30+'Grid_TTAFBalance'!K30</f>
        <v/>
      </c>
      <c r="L30">
        <f>'Grid_SelfBalance'!L30+'Grid_TTAFBalance'!L30</f>
        <v/>
      </c>
      <c r="M30">
        <f>'Grid_SelfBalance'!M30+'Grid_TTAFBalance'!M30</f>
        <v/>
      </c>
      <c r="N30">
        <f>'Grid_SelfBalance'!N30+'Grid_TTAFBalance'!N30</f>
        <v/>
      </c>
      <c r="O30">
        <f>'Grid_SelfBalance'!O30+'Grid_TTAFBalance'!O30</f>
        <v/>
      </c>
      <c r="P30">
        <f>'Grid_SelfBalance'!P30+'Grid_TTAFBalance'!P30</f>
        <v/>
      </c>
      <c r="Q30">
        <f>'Grid_SelfBalance'!Q30+'Grid_TTAFBalance'!Q30</f>
        <v/>
      </c>
      <c r="R30">
        <f>'Grid_SelfBalance'!R30+'Grid_TTAFBalance'!R30</f>
        <v/>
      </c>
      <c r="S30">
        <f>'Grid_SelfBalance'!S30+'Grid_TTAFBalance'!S30</f>
        <v/>
      </c>
      <c r="T30">
        <f>'Grid_SelfBalance'!T30+'Grid_TTAFBalance'!T30</f>
        <v/>
      </c>
      <c r="U30">
        <f>'Grid_SelfBalance'!U30+'Grid_TTAFBalance'!U30</f>
        <v/>
      </c>
      <c r="V30">
        <f>'Grid_SelfBalance'!V30+'Grid_TTAFBalance'!V30</f>
        <v/>
      </c>
      <c r="W30">
        <f>'Grid_SelfBalance'!W30+'Grid_TTAFBalance'!W30</f>
        <v/>
      </c>
      <c r="X30">
        <f>'Grid_SelfBalance'!X30+'Grid_TTAFBalance'!X30</f>
        <v/>
      </c>
      <c r="Y30">
        <f>'Grid_SelfBalance'!Y30+'Grid_TTAFBalance'!Y30</f>
        <v/>
      </c>
      <c r="Z30">
        <f>'Grid_SelfBalance'!Z30+'Grid_TTAFBalance'!Z30</f>
        <v/>
      </c>
      <c r="AA30">
        <f>'Grid_SelfBalance'!AA30+'Grid_TTAFBalance'!AA30</f>
        <v/>
      </c>
      <c r="AB30">
        <f>'Grid_SelfBalance'!AB30+'Grid_TTAFBalance'!AB30</f>
        <v/>
      </c>
      <c r="AC30">
        <f>'Grid_SelfBalance'!AC30+'Grid_TTAFBalance'!AC30</f>
        <v/>
      </c>
      <c r="AD30">
        <f>'Grid_SelfBalance'!AD30+'Grid_TTAFBalance'!AD30</f>
        <v/>
      </c>
      <c r="AE30">
        <f>'Grid_SelfBalance'!AE30+'Grid_TTAFBalance'!AE30</f>
        <v/>
      </c>
      <c r="AF30">
        <f>'Grid_SelfBalance'!AF30+'Grid_TTAFBalance'!AF30</f>
        <v/>
      </c>
      <c r="AG30">
        <f>'Grid_SelfBalance'!AG30+'Grid_TTAFBalance'!AG30</f>
        <v/>
      </c>
      <c r="AH30">
        <f>'Grid_SelfBalance'!AH30+'Grid_TTAFBalance'!AH30</f>
        <v/>
      </c>
      <c r="AI30">
        <f>'Grid_SelfBalance'!AI30+'Grid_TTAFBalance'!AI30</f>
        <v/>
      </c>
      <c r="AJ30">
        <f>'Grid_SelfBalance'!AJ30+'Grid_TTAFBalance'!AJ30</f>
        <v/>
      </c>
      <c r="AK30">
        <f>'Grid_SelfBalance'!AK30+'Grid_TTAFBalance'!AK30</f>
        <v/>
      </c>
      <c r="AL30">
        <f>'Grid_SelfBalance'!AL30+'Grid_TTAFBalance'!AL30</f>
        <v/>
      </c>
      <c r="AM30">
        <f>'Grid_SelfBalance'!AM30+'Grid_TTAFBalance'!AM30</f>
        <v/>
      </c>
      <c r="AN30">
        <f>'Grid_SelfBalance'!AN30+'Grid_TTAFBalance'!AN30</f>
        <v/>
      </c>
      <c r="AO30">
        <f>'Grid_SelfBalance'!AO30+'Grid_TTAFBalance'!AO30</f>
        <v/>
      </c>
      <c r="AP30">
        <f>'Grid_SelfBalance'!AP30+'Grid_TTAFBalance'!AP30</f>
        <v/>
      </c>
      <c r="AQ30">
        <f>'Grid_SelfBalance'!AQ30+'Grid_TTAFBalance'!AQ30</f>
        <v/>
      </c>
      <c r="AR30">
        <f>'Grid_SelfBalance'!AR30+'Grid_TTAFBalance'!AR30</f>
        <v/>
      </c>
      <c r="AS30">
        <f>'Grid_SelfBalance'!AS30+'Grid_TTAFBalance'!AS30</f>
        <v/>
      </c>
      <c r="AT30">
        <f>'Grid_SelfBalance'!AT30+'Grid_TTAFBalance'!AT30</f>
        <v/>
      </c>
      <c r="AU30">
        <f>'Grid_SelfBalance'!AU30+'Grid_TTAFBalance'!AU30</f>
        <v/>
      </c>
      <c r="AV30">
        <f>'Grid_SelfBalance'!AV30+'Grid_TTAFBalance'!AV30</f>
        <v/>
      </c>
      <c r="AW30">
        <f>'Grid_SelfBalance'!AW30+'Grid_TTAFBalance'!AW30</f>
        <v/>
      </c>
      <c r="AX30">
        <f>'Grid_SelfBalance'!AX30+'Grid_TTAFBalance'!AX30</f>
        <v/>
      </c>
      <c r="AY30">
        <f>'Grid_SelfBalance'!AY30+'Grid_TTAFBalance'!AY30</f>
        <v/>
      </c>
      <c r="AZ30">
        <f>'Grid_SelfBalance'!AZ30+'Grid_TTAFBalance'!AZ30</f>
        <v/>
      </c>
      <c r="BA30">
        <f>'Grid_SelfBalance'!BA30+'Grid_TTAFBalance'!BA30</f>
        <v/>
      </c>
      <c r="BB30">
        <f>'Grid_SelfBalance'!BB30+'Grid_TTAFBalance'!BB30</f>
        <v/>
      </c>
      <c r="BC30">
        <f>'Grid_SelfBalance'!BC30+'Grid_TTAFBalance'!BC30</f>
        <v/>
      </c>
      <c r="BD30">
        <f>'Grid_SelfBalance'!BD30+'Grid_TTAFBalance'!BD30</f>
        <v/>
      </c>
      <c r="BE30">
        <f>'Grid_SelfBalance'!BE30+'Grid_TTAFBalance'!BE30</f>
        <v/>
      </c>
      <c r="BF30">
        <f>'Grid_SelfBalance'!BF30+'Grid_TTAFBalance'!BF30</f>
        <v/>
      </c>
      <c r="BG30">
        <f>'Grid_SelfBalance'!BG30+'Grid_TTAFBalance'!BG30</f>
        <v/>
      </c>
      <c r="BH30">
        <f>'Grid_SelfBalance'!BH30+'Grid_TTAFBalance'!BH30</f>
        <v/>
      </c>
      <c r="BI30">
        <f>'Grid_SelfBalance'!BI30+'Grid_TTAFBalance'!BI30</f>
        <v/>
      </c>
      <c r="BJ30">
        <f>'Grid_SelfBalance'!BJ30+'Grid_TTAFBalance'!BJ30</f>
        <v/>
      </c>
      <c r="BK30">
        <f>'Grid_SelfBalance'!BK30+'Grid_TTAFBalance'!BK30</f>
        <v/>
      </c>
      <c r="BL30">
        <f>'Grid_SelfBalance'!BL30+'Grid_TTAFBalance'!BL30</f>
        <v/>
      </c>
      <c r="BM30">
        <f>'Grid_SelfBalance'!BM30+'Grid_TTAFBalance'!BM30</f>
        <v/>
      </c>
      <c r="BN30">
        <f>'Grid_SelfBalance'!BN30+'Grid_TTAFBalance'!BN30</f>
        <v/>
      </c>
      <c r="BO30">
        <f>'Grid_SelfBalance'!BO30+'Grid_TTAFBalance'!BO30</f>
        <v/>
      </c>
      <c r="BP30">
        <f>'Grid_SelfBalance'!BP30+'Grid_TTAFBalance'!BP30</f>
        <v/>
      </c>
      <c r="BQ30">
        <f>'Grid_SelfBalance'!BQ30+'Grid_TTAFBalance'!BQ30</f>
        <v/>
      </c>
      <c r="BR30">
        <f>'Grid_SelfBalance'!BR30+'Grid_TTAFBalance'!BR30</f>
        <v/>
      </c>
      <c r="BS30">
        <f>'Grid_SelfBalance'!BS30+'Grid_TTAFBalance'!BS30</f>
        <v/>
      </c>
      <c r="BT30">
        <f>'Grid_SelfBalance'!BT30+'Grid_TTAFBalance'!BT30</f>
        <v/>
      </c>
      <c r="BU30">
        <f>'Grid_SelfBalance'!BU30+'Grid_TTAFBalance'!BU30</f>
        <v/>
      </c>
      <c r="BV30">
        <f>'Grid_SelfBalance'!BV30+'Grid_TTAFBalance'!BV30</f>
        <v/>
      </c>
      <c r="BW30">
        <f>'Grid_SelfBalance'!BW30+'Grid_TTAFBalance'!BW30</f>
        <v/>
      </c>
      <c r="BX30">
        <f>'Grid_SelfBalance'!BX30+'Grid_TTAFBalance'!BX30</f>
        <v/>
      </c>
      <c r="BY30">
        <f>'Grid_SelfBalance'!BY30+'Grid_TTAFBalance'!BY30</f>
        <v/>
      </c>
      <c r="BZ30">
        <f>'Grid_SelfBalance'!BZ30+'Grid_TTAFBalance'!BZ30</f>
        <v/>
      </c>
      <c r="CA30">
        <f>'Grid_SelfBalance'!CA30+'Grid_TTAFBalance'!CA30</f>
        <v/>
      </c>
      <c r="CB30">
        <f>'Grid_SelfBalance'!CB30+'Grid_TTAFBalance'!CB30</f>
        <v/>
      </c>
      <c r="CC30">
        <f>'Grid_SelfBalance'!CC30+'Grid_TTAFBalance'!CC30</f>
        <v/>
      </c>
      <c r="CD30">
        <f>'Grid_SelfBalance'!CD30+'Grid_TTAFBalance'!CD30</f>
        <v/>
      </c>
      <c r="CE30">
        <f>'Grid_SelfBalance'!CE30+'Grid_TTAFBalance'!CE30</f>
        <v/>
      </c>
      <c r="CF30">
        <f>'Grid_SelfBalance'!CF30+'Grid_TTAFBalance'!CF30</f>
        <v/>
      </c>
      <c r="CG30">
        <f>'Grid_SelfBalance'!CG30+'Grid_TTAFBalance'!CG30</f>
        <v/>
      </c>
      <c r="CH30">
        <f>'Grid_SelfBalance'!CH30+'Grid_TTAFBalance'!CH30</f>
        <v/>
      </c>
      <c r="CI30">
        <f>'Grid_SelfBalance'!CI30+'Grid_TTAFBalance'!CI30</f>
        <v/>
      </c>
      <c r="CJ30">
        <f>'Grid_SelfBalance'!CJ30+'Grid_TTAFBalance'!CJ30</f>
        <v/>
      </c>
      <c r="CK30">
        <f>'Grid_SelfBalance'!CK30+'Grid_TTAFBalance'!CK30</f>
        <v/>
      </c>
      <c r="CL30">
        <f>'Grid_SelfBalance'!CL30+'Grid_TTAFBalance'!CL30</f>
        <v/>
      </c>
      <c r="CM30">
        <f>'Grid_SelfBalance'!CM30+'Grid_TTAFBalance'!CM30</f>
        <v/>
      </c>
      <c r="CN30">
        <f>'Grid_SelfBalance'!CN30+'Grid_TTAFBalance'!CN30</f>
        <v/>
      </c>
      <c r="CO30">
        <f>'Grid_SelfBalance'!CO30+'Grid_TTAFBalance'!CO30</f>
        <v/>
      </c>
      <c r="CP30">
        <f>'Grid_SelfBalance'!CP30+'Grid_TTAFBalance'!CP30</f>
        <v/>
      </c>
      <c r="CQ30">
        <f>'Grid_SelfBalance'!CQ30+'Grid_TTAFBalance'!CQ30</f>
        <v/>
      </c>
      <c r="CR30">
        <f>'Grid_SelfBalance'!CR30+'Grid_TTAFBalance'!CR30</f>
        <v/>
      </c>
      <c r="CS30">
        <f>'Grid_SelfBalance'!CS30+'Grid_TTAFBalance'!CS30</f>
        <v/>
      </c>
      <c r="CT30">
        <f>'Grid_SelfBalance'!CT30+'Grid_TTAFBalance'!CT30</f>
        <v/>
      </c>
      <c r="CU30">
        <f>'Grid_SelfBalance'!CU30+'Grid_TTAFBalance'!CU30</f>
        <v/>
      </c>
      <c r="CV30">
        <f>'Grid_SelfBalance'!CV30+'Grid_TTAFBalance'!CV30</f>
        <v/>
      </c>
      <c r="CW30">
        <f>'Grid_SelfBalance'!CW30+'Grid_TTAFBalance'!CW30</f>
        <v/>
      </c>
      <c r="CX30">
        <f>'Grid_SelfBalance'!CX30+'Grid_TTAFBalance'!CX30</f>
        <v/>
      </c>
      <c r="CY30">
        <f>'Grid_SelfBalance'!CY30+'Grid_TTAFBalance'!CY30</f>
        <v/>
      </c>
      <c r="CZ30">
        <f>'Grid_SelfBalance'!CZ30+'Grid_TTAFBalance'!CZ30</f>
        <v/>
      </c>
      <c r="DA30">
        <f>'Grid_SelfBalance'!DA30+'Grid_TTAFBalance'!DA30</f>
        <v/>
      </c>
    </row>
    <row r="31">
      <c r="A31" t="inlineStr">
        <is>
          <t>CHEM-1730</t>
        </is>
      </c>
      <c r="B31">
        <f>'Grid_SelfBalance'!B31+'Grid_TTAFBalance'!B31</f>
        <v/>
      </c>
      <c r="C31">
        <f>'Grid_SelfBalance'!C31+'Grid_TTAFBalance'!C31</f>
        <v/>
      </c>
      <c r="D31">
        <f>'Grid_SelfBalance'!D31+'Grid_TTAFBalance'!D31</f>
        <v/>
      </c>
      <c r="E31">
        <f>'Grid_SelfBalance'!E31+'Grid_TTAFBalance'!E31</f>
        <v/>
      </c>
      <c r="F31">
        <f>'Grid_SelfBalance'!F31+'Grid_TTAFBalance'!F31</f>
        <v/>
      </c>
      <c r="G31">
        <f>'Grid_SelfBalance'!G31+'Grid_TTAFBalance'!G31</f>
        <v/>
      </c>
      <c r="H31">
        <f>'Grid_SelfBalance'!H31+'Grid_TTAFBalance'!H31</f>
        <v/>
      </c>
      <c r="I31">
        <f>'Grid_SelfBalance'!I31+'Grid_TTAFBalance'!I31</f>
        <v/>
      </c>
      <c r="J31">
        <f>'Grid_SelfBalance'!J31+'Grid_TTAFBalance'!J31</f>
        <v/>
      </c>
      <c r="K31">
        <f>'Grid_SelfBalance'!K31+'Grid_TTAFBalance'!K31</f>
        <v/>
      </c>
      <c r="L31">
        <f>'Grid_SelfBalance'!L31+'Grid_TTAFBalance'!L31</f>
        <v/>
      </c>
      <c r="M31">
        <f>'Grid_SelfBalance'!M31+'Grid_TTAFBalance'!M31</f>
        <v/>
      </c>
      <c r="N31">
        <f>'Grid_SelfBalance'!N31+'Grid_TTAFBalance'!N31</f>
        <v/>
      </c>
      <c r="O31">
        <f>'Grid_SelfBalance'!O31+'Grid_TTAFBalance'!O31</f>
        <v/>
      </c>
      <c r="P31">
        <f>'Grid_SelfBalance'!P31+'Grid_TTAFBalance'!P31</f>
        <v/>
      </c>
      <c r="Q31">
        <f>'Grid_SelfBalance'!Q31+'Grid_TTAFBalance'!Q31</f>
        <v/>
      </c>
      <c r="R31">
        <f>'Grid_SelfBalance'!R31+'Grid_TTAFBalance'!R31</f>
        <v/>
      </c>
      <c r="S31">
        <f>'Grid_SelfBalance'!S31+'Grid_TTAFBalance'!S31</f>
        <v/>
      </c>
      <c r="T31">
        <f>'Grid_SelfBalance'!T31+'Grid_TTAFBalance'!T31</f>
        <v/>
      </c>
      <c r="U31">
        <f>'Grid_SelfBalance'!U31+'Grid_TTAFBalance'!U31</f>
        <v/>
      </c>
      <c r="V31">
        <f>'Grid_SelfBalance'!V31+'Grid_TTAFBalance'!V31</f>
        <v/>
      </c>
      <c r="W31">
        <f>'Grid_SelfBalance'!W31+'Grid_TTAFBalance'!W31</f>
        <v/>
      </c>
      <c r="X31">
        <f>'Grid_SelfBalance'!X31+'Grid_TTAFBalance'!X31</f>
        <v/>
      </c>
      <c r="Y31">
        <f>'Grid_SelfBalance'!Y31+'Grid_TTAFBalance'!Y31</f>
        <v/>
      </c>
      <c r="Z31">
        <f>'Grid_SelfBalance'!Z31+'Grid_TTAFBalance'!Z31</f>
        <v/>
      </c>
      <c r="AA31">
        <f>'Grid_SelfBalance'!AA31+'Grid_TTAFBalance'!AA31</f>
        <v/>
      </c>
      <c r="AB31">
        <f>'Grid_SelfBalance'!AB31+'Grid_TTAFBalance'!AB31</f>
        <v/>
      </c>
      <c r="AC31">
        <f>'Grid_SelfBalance'!AC31+'Grid_TTAFBalance'!AC31</f>
        <v/>
      </c>
      <c r="AD31">
        <f>'Grid_SelfBalance'!AD31+'Grid_TTAFBalance'!AD31</f>
        <v/>
      </c>
      <c r="AE31">
        <f>'Grid_SelfBalance'!AE31+'Grid_TTAFBalance'!AE31</f>
        <v/>
      </c>
      <c r="AF31">
        <f>'Grid_SelfBalance'!AF31+'Grid_TTAFBalance'!AF31</f>
        <v/>
      </c>
      <c r="AG31">
        <f>'Grid_SelfBalance'!AG31+'Grid_TTAFBalance'!AG31</f>
        <v/>
      </c>
      <c r="AH31">
        <f>'Grid_SelfBalance'!AH31+'Grid_TTAFBalance'!AH31</f>
        <v/>
      </c>
      <c r="AI31">
        <f>'Grid_SelfBalance'!AI31+'Grid_TTAFBalance'!AI31</f>
        <v/>
      </c>
      <c r="AJ31">
        <f>'Grid_SelfBalance'!AJ31+'Grid_TTAFBalance'!AJ31</f>
        <v/>
      </c>
      <c r="AK31">
        <f>'Grid_SelfBalance'!AK31+'Grid_TTAFBalance'!AK31</f>
        <v/>
      </c>
      <c r="AL31">
        <f>'Grid_SelfBalance'!AL31+'Grid_TTAFBalance'!AL31</f>
        <v/>
      </c>
      <c r="AM31">
        <f>'Grid_SelfBalance'!AM31+'Grid_TTAFBalance'!AM31</f>
        <v/>
      </c>
      <c r="AN31">
        <f>'Grid_SelfBalance'!AN31+'Grid_TTAFBalance'!AN31</f>
        <v/>
      </c>
      <c r="AO31">
        <f>'Grid_SelfBalance'!AO31+'Grid_TTAFBalance'!AO31</f>
        <v/>
      </c>
      <c r="AP31">
        <f>'Grid_SelfBalance'!AP31+'Grid_TTAFBalance'!AP31</f>
        <v/>
      </c>
      <c r="AQ31">
        <f>'Grid_SelfBalance'!AQ31+'Grid_TTAFBalance'!AQ31</f>
        <v/>
      </c>
      <c r="AR31">
        <f>'Grid_SelfBalance'!AR31+'Grid_TTAFBalance'!AR31</f>
        <v/>
      </c>
      <c r="AS31">
        <f>'Grid_SelfBalance'!AS31+'Grid_TTAFBalance'!AS31</f>
        <v/>
      </c>
      <c r="AT31">
        <f>'Grid_SelfBalance'!AT31+'Grid_TTAFBalance'!AT31</f>
        <v/>
      </c>
      <c r="AU31">
        <f>'Grid_SelfBalance'!AU31+'Grid_TTAFBalance'!AU31</f>
        <v/>
      </c>
      <c r="AV31">
        <f>'Grid_SelfBalance'!AV31+'Grid_TTAFBalance'!AV31</f>
        <v/>
      </c>
      <c r="AW31">
        <f>'Grid_SelfBalance'!AW31+'Grid_TTAFBalance'!AW31</f>
        <v/>
      </c>
      <c r="AX31">
        <f>'Grid_SelfBalance'!AX31+'Grid_TTAFBalance'!AX31</f>
        <v/>
      </c>
      <c r="AY31">
        <f>'Grid_SelfBalance'!AY31+'Grid_TTAFBalance'!AY31</f>
        <v/>
      </c>
      <c r="AZ31">
        <f>'Grid_SelfBalance'!AZ31+'Grid_TTAFBalance'!AZ31</f>
        <v/>
      </c>
      <c r="BA31">
        <f>'Grid_SelfBalance'!BA31+'Grid_TTAFBalance'!BA31</f>
        <v/>
      </c>
      <c r="BB31">
        <f>'Grid_SelfBalance'!BB31+'Grid_TTAFBalance'!BB31</f>
        <v/>
      </c>
      <c r="BC31">
        <f>'Grid_SelfBalance'!BC31+'Grid_TTAFBalance'!BC31</f>
        <v/>
      </c>
      <c r="BD31">
        <f>'Grid_SelfBalance'!BD31+'Grid_TTAFBalance'!BD31</f>
        <v/>
      </c>
      <c r="BE31">
        <f>'Grid_SelfBalance'!BE31+'Grid_TTAFBalance'!BE31</f>
        <v/>
      </c>
      <c r="BF31">
        <f>'Grid_SelfBalance'!BF31+'Grid_TTAFBalance'!BF31</f>
        <v/>
      </c>
      <c r="BG31">
        <f>'Grid_SelfBalance'!BG31+'Grid_TTAFBalance'!BG31</f>
        <v/>
      </c>
      <c r="BH31">
        <f>'Grid_SelfBalance'!BH31+'Grid_TTAFBalance'!BH31</f>
        <v/>
      </c>
      <c r="BI31">
        <f>'Grid_SelfBalance'!BI31+'Grid_TTAFBalance'!BI31</f>
        <v/>
      </c>
      <c r="BJ31">
        <f>'Grid_SelfBalance'!BJ31+'Grid_TTAFBalance'!BJ31</f>
        <v/>
      </c>
      <c r="BK31">
        <f>'Grid_SelfBalance'!BK31+'Grid_TTAFBalance'!BK31</f>
        <v/>
      </c>
      <c r="BL31">
        <f>'Grid_SelfBalance'!BL31+'Grid_TTAFBalance'!BL31</f>
        <v/>
      </c>
      <c r="BM31">
        <f>'Grid_SelfBalance'!BM31+'Grid_TTAFBalance'!BM31</f>
        <v/>
      </c>
      <c r="BN31">
        <f>'Grid_SelfBalance'!BN31+'Grid_TTAFBalance'!BN31</f>
        <v/>
      </c>
      <c r="BO31">
        <f>'Grid_SelfBalance'!BO31+'Grid_TTAFBalance'!BO31</f>
        <v/>
      </c>
      <c r="BP31">
        <f>'Grid_SelfBalance'!BP31+'Grid_TTAFBalance'!BP31</f>
        <v/>
      </c>
      <c r="BQ31">
        <f>'Grid_SelfBalance'!BQ31+'Grid_TTAFBalance'!BQ31</f>
        <v/>
      </c>
      <c r="BR31">
        <f>'Grid_SelfBalance'!BR31+'Grid_TTAFBalance'!BR31</f>
        <v/>
      </c>
      <c r="BS31">
        <f>'Grid_SelfBalance'!BS31+'Grid_TTAFBalance'!BS31</f>
        <v/>
      </c>
      <c r="BT31">
        <f>'Grid_SelfBalance'!BT31+'Grid_TTAFBalance'!BT31</f>
        <v/>
      </c>
      <c r="BU31">
        <f>'Grid_SelfBalance'!BU31+'Grid_TTAFBalance'!BU31</f>
        <v/>
      </c>
      <c r="BV31">
        <f>'Grid_SelfBalance'!BV31+'Grid_TTAFBalance'!BV31</f>
        <v/>
      </c>
      <c r="BW31">
        <f>'Grid_SelfBalance'!BW31+'Grid_TTAFBalance'!BW31</f>
        <v/>
      </c>
      <c r="BX31">
        <f>'Grid_SelfBalance'!BX31+'Grid_TTAFBalance'!BX31</f>
        <v/>
      </c>
      <c r="BY31">
        <f>'Grid_SelfBalance'!BY31+'Grid_TTAFBalance'!BY31</f>
        <v/>
      </c>
      <c r="BZ31">
        <f>'Grid_SelfBalance'!BZ31+'Grid_TTAFBalance'!BZ31</f>
        <v/>
      </c>
      <c r="CA31">
        <f>'Grid_SelfBalance'!CA31+'Grid_TTAFBalance'!CA31</f>
        <v/>
      </c>
      <c r="CB31">
        <f>'Grid_SelfBalance'!CB31+'Grid_TTAFBalance'!CB31</f>
        <v/>
      </c>
      <c r="CC31">
        <f>'Grid_SelfBalance'!CC31+'Grid_TTAFBalance'!CC31</f>
        <v/>
      </c>
      <c r="CD31">
        <f>'Grid_SelfBalance'!CD31+'Grid_TTAFBalance'!CD31</f>
        <v/>
      </c>
      <c r="CE31">
        <f>'Grid_SelfBalance'!CE31+'Grid_TTAFBalance'!CE31</f>
        <v/>
      </c>
      <c r="CF31">
        <f>'Grid_SelfBalance'!CF31+'Grid_TTAFBalance'!CF31</f>
        <v/>
      </c>
      <c r="CG31">
        <f>'Grid_SelfBalance'!CG31+'Grid_TTAFBalance'!CG31</f>
        <v/>
      </c>
      <c r="CH31">
        <f>'Grid_SelfBalance'!CH31+'Grid_TTAFBalance'!CH31</f>
        <v/>
      </c>
      <c r="CI31">
        <f>'Grid_SelfBalance'!CI31+'Grid_TTAFBalance'!CI31</f>
        <v/>
      </c>
      <c r="CJ31">
        <f>'Grid_SelfBalance'!CJ31+'Grid_TTAFBalance'!CJ31</f>
        <v/>
      </c>
      <c r="CK31">
        <f>'Grid_SelfBalance'!CK31+'Grid_TTAFBalance'!CK31</f>
        <v/>
      </c>
      <c r="CL31">
        <f>'Grid_SelfBalance'!CL31+'Grid_TTAFBalance'!CL31</f>
        <v/>
      </c>
      <c r="CM31">
        <f>'Grid_SelfBalance'!CM31+'Grid_TTAFBalance'!CM31</f>
        <v/>
      </c>
      <c r="CN31">
        <f>'Grid_SelfBalance'!CN31+'Grid_TTAFBalance'!CN31</f>
        <v/>
      </c>
      <c r="CO31">
        <f>'Grid_SelfBalance'!CO31+'Grid_TTAFBalance'!CO31</f>
        <v/>
      </c>
      <c r="CP31">
        <f>'Grid_SelfBalance'!CP31+'Grid_TTAFBalance'!CP31</f>
        <v/>
      </c>
      <c r="CQ31">
        <f>'Grid_SelfBalance'!CQ31+'Grid_TTAFBalance'!CQ31</f>
        <v/>
      </c>
      <c r="CR31">
        <f>'Grid_SelfBalance'!CR31+'Grid_TTAFBalance'!CR31</f>
        <v/>
      </c>
      <c r="CS31">
        <f>'Grid_SelfBalance'!CS31+'Grid_TTAFBalance'!CS31</f>
        <v/>
      </c>
      <c r="CT31">
        <f>'Grid_SelfBalance'!CT31+'Grid_TTAFBalance'!CT31</f>
        <v/>
      </c>
      <c r="CU31">
        <f>'Grid_SelfBalance'!CU31+'Grid_TTAFBalance'!CU31</f>
        <v/>
      </c>
      <c r="CV31">
        <f>'Grid_SelfBalance'!CV31+'Grid_TTAFBalance'!CV31</f>
        <v/>
      </c>
      <c r="CW31">
        <f>'Grid_SelfBalance'!CW31+'Grid_TTAFBalance'!CW31</f>
        <v/>
      </c>
      <c r="CX31">
        <f>'Grid_SelfBalance'!CX31+'Grid_TTAFBalance'!CX31</f>
        <v/>
      </c>
      <c r="CY31">
        <f>'Grid_SelfBalance'!CY31+'Grid_TTAFBalance'!CY31</f>
        <v/>
      </c>
      <c r="CZ31">
        <f>'Grid_SelfBalance'!CZ31+'Grid_TTAFBalance'!CZ31</f>
        <v/>
      </c>
      <c r="DA31">
        <f>'Grid_SelfBalance'!DA31+'Grid_TTAFBalance'!DA31</f>
        <v/>
      </c>
    </row>
    <row r="32">
      <c r="A32" t="inlineStr">
        <is>
          <t>CHEM-1430</t>
        </is>
      </c>
      <c r="B32">
        <f>'Grid_SelfBalance'!B32+'Grid_TTAFBalance'!B32</f>
        <v/>
      </c>
      <c r="C32">
        <f>'Grid_SelfBalance'!C32+'Grid_TTAFBalance'!C32</f>
        <v/>
      </c>
      <c r="D32">
        <f>'Grid_SelfBalance'!D32+'Grid_TTAFBalance'!D32</f>
        <v/>
      </c>
      <c r="E32">
        <f>'Grid_SelfBalance'!E32+'Grid_TTAFBalance'!E32</f>
        <v/>
      </c>
      <c r="F32">
        <f>'Grid_SelfBalance'!F32+'Grid_TTAFBalance'!F32</f>
        <v/>
      </c>
      <c r="G32">
        <f>'Grid_SelfBalance'!G32+'Grid_TTAFBalance'!G32</f>
        <v/>
      </c>
      <c r="H32">
        <f>'Grid_SelfBalance'!H32+'Grid_TTAFBalance'!H32</f>
        <v/>
      </c>
      <c r="I32">
        <f>'Grid_SelfBalance'!I32+'Grid_TTAFBalance'!I32</f>
        <v/>
      </c>
      <c r="J32">
        <f>'Grid_SelfBalance'!J32+'Grid_TTAFBalance'!J32</f>
        <v/>
      </c>
      <c r="K32">
        <f>'Grid_SelfBalance'!K32+'Grid_TTAFBalance'!K32</f>
        <v/>
      </c>
      <c r="L32">
        <f>'Grid_SelfBalance'!L32+'Grid_TTAFBalance'!L32</f>
        <v/>
      </c>
      <c r="M32">
        <f>'Grid_SelfBalance'!M32+'Grid_TTAFBalance'!M32</f>
        <v/>
      </c>
      <c r="N32">
        <f>'Grid_SelfBalance'!N32+'Grid_TTAFBalance'!N32</f>
        <v/>
      </c>
      <c r="O32">
        <f>'Grid_SelfBalance'!O32+'Grid_TTAFBalance'!O32</f>
        <v/>
      </c>
      <c r="P32">
        <f>'Grid_SelfBalance'!P32+'Grid_TTAFBalance'!P32</f>
        <v/>
      </c>
      <c r="Q32">
        <f>'Grid_SelfBalance'!Q32+'Grid_TTAFBalance'!Q32</f>
        <v/>
      </c>
      <c r="R32">
        <f>'Grid_SelfBalance'!R32+'Grid_TTAFBalance'!R32</f>
        <v/>
      </c>
      <c r="S32">
        <f>'Grid_SelfBalance'!S32+'Grid_TTAFBalance'!S32</f>
        <v/>
      </c>
      <c r="T32">
        <f>'Grid_SelfBalance'!T32+'Grid_TTAFBalance'!T32</f>
        <v/>
      </c>
      <c r="U32">
        <f>'Grid_SelfBalance'!U32+'Grid_TTAFBalance'!U32</f>
        <v/>
      </c>
      <c r="V32">
        <f>'Grid_SelfBalance'!V32+'Grid_TTAFBalance'!V32</f>
        <v/>
      </c>
      <c r="W32">
        <f>'Grid_SelfBalance'!W32+'Grid_TTAFBalance'!W32</f>
        <v/>
      </c>
      <c r="X32">
        <f>'Grid_SelfBalance'!X32+'Grid_TTAFBalance'!X32</f>
        <v/>
      </c>
      <c r="Y32">
        <f>'Grid_SelfBalance'!Y32+'Grid_TTAFBalance'!Y32</f>
        <v/>
      </c>
      <c r="Z32">
        <f>'Grid_SelfBalance'!Z32+'Grid_TTAFBalance'!Z32</f>
        <v/>
      </c>
      <c r="AA32">
        <f>'Grid_SelfBalance'!AA32+'Grid_TTAFBalance'!AA32</f>
        <v/>
      </c>
      <c r="AB32">
        <f>'Grid_SelfBalance'!AB32+'Grid_TTAFBalance'!AB32</f>
        <v/>
      </c>
      <c r="AC32">
        <f>'Grid_SelfBalance'!AC32+'Grid_TTAFBalance'!AC32</f>
        <v/>
      </c>
      <c r="AD32">
        <f>'Grid_SelfBalance'!AD32+'Grid_TTAFBalance'!AD32</f>
        <v/>
      </c>
      <c r="AE32">
        <f>'Grid_SelfBalance'!AE32+'Grid_TTAFBalance'!AE32</f>
        <v/>
      </c>
      <c r="AF32">
        <f>'Grid_SelfBalance'!AF32+'Grid_TTAFBalance'!AF32</f>
        <v/>
      </c>
      <c r="AG32">
        <f>'Grid_SelfBalance'!AG32+'Grid_TTAFBalance'!AG32</f>
        <v/>
      </c>
      <c r="AH32">
        <f>'Grid_SelfBalance'!AH32+'Grid_TTAFBalance'!AH32</f>
        <v/>
      </c>
      <c r="AI32">
        <f>'Grid_SelfBalance'!AI32+'Grid_TTAFBalance'!AI32</f>
        <v/>
      </c>
      <c r="AJ32">
        <f>'Grid_SelfBalance'!AJ32+'Grid_TTAFBalance'!AJ32</f>
        <v/>
      </c>
      <c r="AK32">
        <f>'Grid_SelfBalance'!AK32+'Grid_TTAFBalance'!AK32</f>
        <v/>
      </c>
      <c r="AL32">
        <f>'Grid_SelfBalance'!AL32+'Grid_TTAFBalance'!AL32</f>
        <v/>
      </c>
      <c r="AM32">
        <f>'Grid_SelfBalance'!AM32+'Grid_TTAFBalance'!AM32</f>
        <v/>
      </c>
      <c r="AN32">
        <f>'Grid_SelfBalance'!AN32+'Grid_TTAFBalance'!AN32</f>
        <v/>
      </c>
      <c r="AO32">
        <f>'Grid_SelfBalance'!AO32+'Grid_TTAFBalance'!AO32</f>
        <v/>
      </c>
      <c r="AP32">
        <f>'Grid_SelfBalance'!AP32+'Grid_TTAFBalance'!AP32</f>
        <v/>
      </c>
      <c r="AQ32">
        <f>'Grid_SelfBalance'!AQ32+'Grid_TTAFBalance'!AQ32</f>
        <v/>
      </c>
      <c r="AR32">
        <f>'Grid_SelfBalance'!AR32+'Grid_TTAFBalance'!AR32</f>
        <v/>
      </c>
      <c r="AS32">
        <f>'Grid_SelfBalance'!AS32+'Grid_TTAFBalance'!AS32</f>
        <v/>
      </c>
      <c r="AT32">
        <f>'Grid_SelfBalance'!AT32+'Grid_TTAFBalance'!AT32</f>
        <v/>
      </c>
      <c r="AU32">
        <f>'Grid_SelfBalance'!AU32+'Grid_TTAFBalance'!AU32</f>
        <v/>
      </c>
      <c r="AV32">
        <f>'Grid_SelfBalance'!AV32+'Grid_TTAFBalance'!AV32</f>
        <v/>
      </c>
      <c r="AW32">
        <f>'Grid_SelfBalance'!AW32+'Grid_TTAFBalance'!AW32</f>
        <v/>
      </c>
      <c r="AX32">
        <f>'Grid_SelfBalance'!AX32+'Grid_TTAFBalance'!AX32</f>
        <v/>
      </c>
      <c r="AY32">
        <f>'Grid_SelfBalance'!AY32+'Grid_TTAFBalance'!AY32</f>
        <v/>
      </c>
      <c r="AZ32">
        <f>'Grid_SelfBalance'!AZ32+'Grid_TTAFBalance'!AZ32</f>
        <v/>
      </c>
      <c r="BA32">
        <f>'Grid_SelfBalance'!BA32+'Grid_TTAFBalance'!BA32</f>
        <v/>
      </c>
      <c r="BB32">
        <f>'Grid_SelfBalance'!BB32+'Grid_TTAFBalance'!BB32</f>
        <v/>
      </c>
      <c r="BC32">
        <f>'Grid_SelfBalance'!BC32+'Grid_TTAFBalance'!BC32</f>
        <v/>
      </c>
      <c r="BD32">
        <f>'Grid_SelfBalance'!BD32+'Grid_TTAFBalance'!BD32</f>
        <v/>
      </c>
      <c r="BE32">
        <f>'Grid_SelfBalance'!BE32+'Grid_TTAFBalance'!BE32</f>
        <v/>
      </c>
      <c r="BF32">
        <f>'Grid_SelfBalance'!BF32+'Grid_TTAFBalance'!BF32</f>
        <v/>
      </c>
      <c r="BG32">
        <f>'Grid_SelfBalance'!BG32+'Grid_TTAFBalance'!BG32</f>
        <v/>
      </c>
      <c r="BH32">
        <f>'Grid_SelfBalance'!BH32+'Grid_TTAFBalance'!BH32</f>
        <v/>
      </c>
      <c r="BI32">
        <f>'Grid_SelfBalance'!BI32+'Grid_TTAFBalance'!BI32</f>
        <v/>
      </c>
      <c r="BJ32">
        <f>'Grid_SelfBalance'!BJ32+'Grid_TTAFBalance'!BJ32</f>
        <v/>
      </c>
      <c r="BK32">
        <f>'Grid_SelfBalance'!BK32+'Grid_TTAFBalance'!BK32</f>
        <v/>
      </c>
      <c r="BL32">
        <f>'Grid_SelfBalance'!BL32+'Grid_TTAFBalance'!BL32</f>
        <v/>
      </c>
      <c r="BM32">
        <f>'Grid_SelfBalance'!BM32+'Grid_TTAFBalance'!BM32</f>
        <v/>
      </c>
      <c r="BN32">
        <f>'Grid_SelfBalance'!BN32+'Grid_TTAFBalance'!BN32</f>
        <v/>
      </c>
      <c r="BO32">
        <f>'Grid_SelfBalance'!BO32+'Grid_TTAFBalance'!BO32</f>
        <v/>
      </c>
      <c r="BP32">
        <f>'Grid_SelfBalance'!BP32+'Grid_TTAFBalance'!BP32</f>
        <v/>
      </c>
      <c r="BQ32">
        <f>'Grid_SelfBalance'!BQ32+'Grid_TTAFBalance'!BQ32</f>
        <v/>
      </c>
      <c r="BR32">
        <f>'Grid_SelfBalance'!BR32+'Grid_TTAFBalance'!BR32</f>
        <v/>
      </c>
      <c r="BS32">
        <f>'Grid_SelfBalance'!BS32+'Grid_TTAFBalance'!BS32</f>
        <v/>
      </c>
      <c r="BT32">
        <f>'Grid_SelfBalance'!BT32+'Grid_TTAFBalance'!BT32</f>
        <v/>
      </c>
      <c r="BU32">
        <f>'Grid_SelfBalance'!BU32+'Grid_TTAFBalance'!BU32</f>
        <v/>
      </c>
      <c r="BV32">
        <f>'Grid_SelfBalance'!BV32+'Grid_TTAFBalance'!BV32</f>
        <v/>
      </c>
      <c r="BW32">
        <f>'Grid_SelfBalance'!BW32+'Grid_TTAFBalance'!BW32</f>
        <v/>
      </c>
      <c r="BX32">
        <f>'Grid_SelfBalance'!BX32+'Grid_TTAFBalance'!BX32</f>
        <v/>
      </c>
      <c r="BY32">
        <f>'Grid_SelfBalance'!BY32+'Grid_TTAFBalance'!BY32</f>
        <v/>
      </c>
      <c r="BZ32">
        <f>'Grid_SelfBalance'!BZ32+'Grid_TTAFBalance'!BZ32</f>
        <v/>
      </c>
      <c r="CA32">
        <f>'Grid_SelfBalance'!CA32+'Grid_TTAFBalance'!CA32</f>
        <v/>
      </c>
      <c r="CB32">
        <f>'Grid_SelfBalance'!CB32+'Grid_TTAFBalance'!CB32</f>
        <v/>
      </c>
      <c r="CC32">
        <f>'Grid_SelfBalance'!CC32+'Grid_TTAFBalance'!CC32</f>
        <v/>
      </c>
      <c r="CD32">
        <f>'Grid_SelfBalance'!CD32+'Grid_TTAFBalance'!CD32</f>
        <v/>
      </c>
      <c r="CE32">
        <f>'Grid_SelfBalance'!CE32+'Grid_TTAFBalance'!CE32</f>
        <v/>
      </c>
      <c r="CF32">
        <f>'Grid_SelfBalance'!CF32+'Grid_TTAFBalance'!CF32</f>
        <v/>
      </c>
      <c r="CG32">
        <f>'Grid_SelfBalance'!CG32+'Grid_TTAFBalance'!CG32</f>
        <v/>
      </c>
      <c r="CH32">
        <f>'Grid_SelfBalance'!CH32+'Grid_TTAFBalance'!CH32</f>
        <v/>
      </c>
      <c r="CI32">
        <f>'Grid_SelfBalance'!CI32+'Grid_TTAFBalance'!CI32</f>
        <v/>
      </c>
      <c r="CJ32">
        <f>'Grid_SelfBalance'!CJ32+'Grid_TTAFBalance'!CJ32</f>
        <v/>
      </c>
      <c r="CK32">
        <f>'Grid_SelfBalance'!CK32+'Grid_TTAFBalance'!CK32</f>
        <v/>
      </c>
      <c r="CL32">
        <f>'Grid_SelfBalance'!CL32+'Grid_TTAFBalance'!CL32</f>
        <v/>
      </c>
      <c r="CM32">
        <f>'Grid_SelfBalance'!CM32+'Grid_TTAFBalance'!CM32</f>
        <v/>
      </c>
      <c r="CN32">
        <f>'Grid_SelfBalance'!CN32+'Grid_TTAFBalance'!CN32</f>
        <v/>
      </c>
      <c r="CO32">
        <f>'Grid_SelfBalance'!CO32+'Grid_TTAFBalance'!CO32</f>
        <v/>
      </c>
      <c r="CP32">
        <f>'Grid_SelfBalance'!CP32+'Grid_TTAFBalance'!CP32</f>
        <v/>
      </c>
      <c r="CQ32">
        <f>'Grid_SelfBalance'!CQ32+'Grid_TTAFBalance'!CQ32</f>
        <v/>
      </c>
      <c r="CR32">
        <f>'Grid_SelfBalance'!CR32+'Grid_TTAFBalance'!CR32</f>
        <v/>
      </c>
      <c r="CS32">
        <f>'Grid_SelfBalance'!CS32+'Grid_TTAFBalance'!CS32</f>
        <v/>
      </c>
      <c r="CT32">
        <f>'Grid_SelfBalance'!CT32+'Grid_TTAFBalance'!CT32</f>
        <v/>
      </c>
      <c r="CU32">
        <f>'Grid_SelfBalance'!CU32+'Grid_TTAFBalance'!CU32</f>
        <v/>
      </c>
      <c r="CV32">
        <f>'Grid_SelfBalance'!CV32+'Grid_TTAFBalance'!CV32</f>
        <v/>
      </c>
      <c r="CW32">
        <f>'Grid_SelfBalance'!CW32+'Grid_TTAFBalance'!CW32</f>
        <v/>
      </c>
      <c r="CX32">
        <f>'Grid_SelfBalance'!CX32+'Grid_TTAFBalance'!CX32</f>
        <v/>
      </c>
      <c r="CY32">
        <f>'Grid_SelfBalance'!CY32+'Grid_TTAFBalance'!CY32</f>
        <v/>
      </c>
      <c r="CZ32">
        <f>'Grid_SelfBalance'!CZ32+'Grid_TTAFBalance'!CZ32</f>
        <v/>
      </c>
      <c r="DA32">
        <f>'Grid_SelfBalance'!DA32+'Grid_TTAFBalance'!DA32</f>
        <v/>
      </c>
    </row>
    <row r="33">
      <c r="A33" t="inlineStr">
        <is>
          <t>CHEM-1480</t>
        </is>
      </c>
      <c r="B33">
        <f>'Grid_SelfBalance'!B33+'Grid_TTAFBalance'!B33</f>
        <v/>
      </c>
      <c r="C33">
        <f>'Grid_SelfBalance'!C33+'Grid_TTAFBalance'!C33</f>
        <v/>
      </c>
      <c r="D33">
        <f>'Grid_SelfBalance'!D33+'Grid_TTAFBalance'!D33</f>
        <v/>
      </c>
      <c r="E33">
        <f>'Grid_SelfBalance'!E33+'Grid_TTAFBalance'!E33</f>
        <v/>
      </c>
      <c r="F33">
        <f>'Grid_SelfBalance'!F33+'Grid_TTAFBalance'!F33</f>
        <v/>
      </c>
      <c r="G33">
        <f>'Grid_SelfBalance'!G33+'Grid_TTAFBalance'!G33</f>
        <v/>
      </c>
      <c r="H33">
        <f>'Grid_SelfBalance'!H33+'Grid_TTAFBalance'!H33</f>
        <v/>
      </c>
      <c r="I33">
        <f>'Grid_SelfBalance'!I33+'Grid_TTAFBalance'!I33</f>
        <v/>
      </c>
      <c r="J33">
        <f>'Grid_SelfBalance'!J33+'Grid_TTAFBalance'!J33</f>
        <v/>
      </c>
      <c r="K33">
        <f>'Grid_SelfBalance'!K33+'Grid_TTAFBalance'!K33</f>
        <v/>
      </c>
      <c r="L33">
        <f>'Grid_SelfBalance'!L33+'Grid_TTAFBalance'!L33</f>
        <v/>
      </c>
      <c r="M33">
        <f>'Grid_SelfBalance'!M33+'Grid_TTAFBalance'!M33</f>
        <v/>
      </c>
      <c r="N33">
        <f>'Grid_SelfBalance'!N33+'Grid_TTAFBalance'!N33</f>
        <v/>
      </c>
      <c r="O33">
        <f>'Grid_SelfBalance'!O33+'Grid_TTAFBalance'!O33</f>
        <v/>
      </c>
      <c r="P33">
        <f>'Grid_SelfBalance'!P33+'Grid_TTAFBalance'!P33</f>
        <v/>
      </c>
      <c r="Q33">
        <f>'Grid_SelfBalance'!Q33+'Grid_TTAFBalance'!Q33</f>
        <v/>
      </c>
      <c r="R33">
        <f>'Grid_SelfBalance'!R33+'Grid_TTAFBalance'!R33</f>
        <v/>
      </c>
      <c r="S33">
        <f>'Grid_SelfBalance'!S33+'Grid_TTAFBalance'!S33</f>
        <v/>
      </c>
      <c r="T33">
        <f>'Grid_SelfBalance'!T33+'Grid_TTAFBalance'!T33</f>
        <v/>
      </c>
      <c r="U33">
        <f>'Grid_SelfBalance'!U33+'Grid_TTAFBalance'!U33</f>
        <v/>
      </c>
      <c r="V33">
        <f>'Grid_SelfBalance'!V33+'Grid_TTAFBalance'!V33</f>
        <v/>
      </c>
      <c r="W33">
        <f>'Grid_SelfBalance'!W33+'Grid_TTAFBalance'!W33</f>
        <v/>
      </c>
      <c r="X33">
        <f>'Grid_SelfBalance'!X33+'Grid_TTAFBalance'!X33</f>
        <v/>
      </c>
      <c r="Y33">
        <f>'Grid_SelfBalance'!Y33+'Grid_TTAFBalance'!Y33</f>
        <v/>
      </c>
      <c r="Z33">
        <f>'Grid_SelfBalance'!Z33+'Grid_TTAFBalance'!Z33</f>
        <v/>
      </c>
      <c r="AA33">
        <f>'Grid_SelfBalance'!AA33+'Grid_TTAFBalance'!AA33</f>
        <v/>
      </c>
      <c r="AB33">
        <f>'Grid_SelfBalance'!AB33+'Grid_TTAFBalance'!AB33</f>
        <v/>
      </c>
      <c r="AC33">
        <f>'Grid_SelfBalance'!AC33+'Grid_TTAFBalance'!AC33</f>
        <v/>
      </c>
      <c r="AD33">
        <f>'Grid_SelfBalance'!AD33+'Grid_TTAFBalance'!AD33</f>
        <v/>
      </c>
      <c r="AE33">
        <f>'Grid_SelfBalance'!AE33+'Grid_TTAFBalance'!AE33</f>
        <v/>
      </c>
      <c r="AF33">
        <f>'Grid_SelfBalance'!AF33+'Grid_TTAFBalance'!AF33</f>
        <v/>
      </c>
      <c r="AG33">
        <f>'Grid_SelfBalance'!AG33+'Grid_TTAFBalance'!AG33</f>
        <v/>
      </c>
      <c r="AH33">
        <f>'Grid_SelfBalance'!AH33+'Grid_TTAFBalance'!AH33</f>
        <v/>
      </c>
      <c r="AI33">
        <f>'Grid_SelfBalance'!AI33+'Grid_TTAFBalance'!AI33</f>
        <v/>
      </c>
      <c r="AJ33">
        <f>'Grid_SelfBalance'!AJ33+'Grid_TTAFBalance'!AJ33</f>
        <v/>
      </c>
      <c r="AK33">
        <f>'Grid_SelfBalance'!AK33+'Grid_TTAFBalance'!AK33</f>
        <v/>
      </c>
      <c r="AL33">
        <f>'Grid_SelfBalance'!AL33+'Grid_TTAFBalance'!AL33</f>
        <v/>
      </c>
      <c r="AM33">
        <f>'Grid_SelfBalance'!AM33+'Grid_TTAFBalance'!AM33</f>
        <v/>
      </c>
      <c r="AN33">
        <f>'Grid_SelfBalance'!AN33+'Grid_TTAFBalance'!AN33</f>
        <v/>
      </c>
      <c r="AO33">
        <f>'Grid_SelfBalance'!AO33+'Grid_TTAFBalance'!AO33</f>
        <v/>
      </c>
      <c r="AP33">
        <f>'Grid_SelfBalance'!AP33+'Grid_TTAFBalance'!AP33</f>
        <v/>
      </c>
      <c r="AQ33">
        <f>'Grid_SelfBalance'!AQ33+'Grid_TTAFBalance'!AQ33</f>
        <v/>
      </c>
      <c r="AR33">
        <f>'Grid_SelfBalance'!AR33+'Grid_TTAFBalance'!AR33</f>
        <v/>
      </c>
      <c r="AS33">
        <f>'Grid_SelfBalance'!AS33+'Grid_TTAFBalance'!AS33</f>
        <v/>
      </c>
      <c r="AT33">
        <f>'Grid_SelfBalance'!AT33+'Grid_TTAFBalance'!AT33</f>
        <v/>
      </c>
      <c r="AU33">
        <f>'Grid_SelfBalance'!AU33+'Grid_TTAFBalance'!AU33</f>
        <v/>
      </c>
      <c r="AV33">
        <f>'Grid_SelfBalance'!AV33+'Grid_TTAFBalance'!AV33</f>
        <v/>
      </c>
      <c r="AW33">
        <f>'Grid_SelfBalance'!AW33+'Grid_TTAFBalance'!AW33</f>
        <v/>
      </c>
      <c r="AX33">
        <f>'Grid_SelfBalance'!AX33+'Grid_TTAFBalance'!AX33</f>
        <v/>
      </c>
      <c r="AY33">
        <f>'Grid_SelfBalance'!AY33+'Grid_TTAFBalance'!AY33</f>
        <v/>
      </c>
      <c r="AZ33">
        <f>'Grid_SelfBalance'!AZ33+'Grid_TTAFBalance'!AZ33</f>
        <v/>
      </c>
      <c r="BA33">
        <f>'Grid_SelfBalance'!BA33+'Grid_TTAFBalance'!BA33</f>
        <v/>
      </c>
      <c r="BB33">
        <f>'Grid_SelfBalance'!BB33+'Grid_TTAFBalance'!BB33</f>
        <v/>
      </c>
      <c r="BC33">
        <f>'Grid_SelfBalance'!BC33+'Grid_TTAFBalance'!BC33</f>
        <v/>
      </c>
      <c r="BD33">
        <f>'Grid_SelfBalance'!BD33+'Grid_TTAFBalance'!BD33</f>
        <v/>
      </c>
      <c r="BE33">
        <f>'Grid_SelfBalance'!BE33+'Grid_TTAFBalance'!BE33</f>
        <v/>
      </c>
      <c r="BF33">
        <f>'Grid_SelfBalance'!BF33+'Grid_TTAFBalance'!BF33</f>
        <v/>
      </c>
      <c r="BG33">
        <f>'Grid_SelfBalance'!BG33+'Grid_TTAFBalance'!BG33</f>
        <v/>
      </c>
      <c r="BH33">
        <f>'Grid_SelfBalance'!BH33+'Grid_TTAFBalance'!BH33</f>
        <v/>
      </c>
      <c r="BI33">
        <f>'Grid_SelfBalance'!BI33+'Grid_TTAFBalance'!BI33</f>
        <v/>
      </c>
      <c r="BJ33">
        <f>'Grid_SelfBalance'!BJ33+'Grid_TTAFBalance'!BJ33</f>
        <v/>
      </c>
      <c r="BK33">
        <f>'Grid_SelfBalance'!BK33+'Grid_TTAFBalance'!BK33</f>
        <v/>
      </c>
      <c r="BL33">
        <f>'Grid_SelfBalance'!BL33+'Grid_TTAFBalance'!BL33</f>
        <v/>
      </c>
      <c r="BM33">
        <f>'Grid_SelfBalance'!BM33+'Grid_TTAFBalance'!BM33</f>
        <v/>
      </c>
      <c r="BN33">
        <f>'Grid_SelfBalance'!BN33+'Grid_TTAFBalance'!BN33</f>
        <v/>
      </c>
      <c r="BO33">
        <f>'Grid_SelfBalance'!BO33+'Grid_TTAFBalance'!BO33</f>
        <v/>
      </c>
      <c r="BP33">
        <f>'Grid_SelfBalance'!BP33+'Grid_TTAFBalance'!BP33</f>
        <v/>
      </c>
      <c r="BQ33">
        <f>'Grid_SelfBalance'!BQ33+'Grid_TTAFBalance'!BQ33</f>
        <v/>
      </c>
      <c r="BR33">
        <f>'Grid_SelfBalance'!BR33+'Grid_TTAFBalance'!BR33</f>
        <v/>
      </c>
      <c r="BS33">
        <f>'Grid_SelfBalance'!BS33+'Grid_TTAFBalance'!BS33</f>
        <v/>
      </c>
      <c r="BT33">
        <f>'Grid_SelfBalance'!BT33+'Grid_TTAFBalance'!BT33</f>
        <v/>
      </c>
      <c r="BU33">
        <f>'Grid_SelfBalance'!BU33+'Grid_TTAFBalance'!BU33</f>
        <v/>
      </c>
      <c r="BV33">
        <f>'Grid_SelfBalance'!BV33+'Grid_TTAFBalance'!BV33</f>
        <v/>
      </c>
      <c r="BW33">
        <f>'Grid_SelfBalance'!BW33+'Grid_TTAFBalance'!BW33</f>
        <v/>
      </c>
      <c r="BX33">
        <f>'Grid_SelfBalance'!BX33+'Grid_TTAFBalance'!BX33</f>
        <v/>
      </c>
      <c r="BY33">
        <f>'Grid_SelfBalance'!BY33+'Grid_TTAFBalance'!BY33</f>
        <v/>
      </c>
      <c r="BZ33">
        <f>'Grid_SelfBalance'!BZ33+'Grid_TTAFBalance'!BZ33</f>
        <v/>
      </c>
      <c r="CA33">
        <f>'Grid_SelfBalance'!CA33+'Grid_TTAFBalance'!CA33</f>
        <v/>
      </c>
      <c r="CB33">
        <f>'Grid_SelfBalance'!CB33+'Grid_TTAFBalance'!CB33</f>
        <v/>
      </c>
      <c r="CC33">
        <f>'Grid_SelfBalance'!CC33+'Grid_TTAFBalance'!CC33</f>
        <v/>
      </c>
      <c r="CD33">
        <f>'Grid_SelfBalance'!CD33+'Grid_TTAFBalance'!CD33</f>
        <v/>
      </c>
      <c r="CE33">
        <f>'Grid_SelfBalance'!CE33+'Grid_TTAFBalance'!CE33</f>
        <v/>
      </c>
      <c r="CF33">
        <f>'Grid_SelfBalance'!CF33+'Grid_TTAFBalance'!CF33</f>
        <v/>
      </c>
      <c r="CG33">
        <f>'Grid_SelfBalance'!CG33+'Grid_TTAFBalance'!CG33</f>
        <v/>
      </c>
      <c r="CH33">
        <f>'Grid_SelfBalance'!CH33+'Grid_TTAFBalance'!CH33</f>
        <v/>
      </c>
      <c r="CI33">
        <f>'Grid_SelfBalance'!CI33+'Grid_TTAFBalance'!CI33</f>
        <v/>
      </c>
      <c r="CJ33">
        <f>'Grid_SelfBalance'!CJ33+'Grid_TTAFBalance'!CJ33</f>
        <v/>
      </c>
      <c r="CK33">
        <f>'Grid_SelfBalance'!CK33+'Grid_TTAFBalance'!CK33</f>
        <v/>
      </c>
      <c r="CL33">
        <f>'Grid_SelfBalance'!CL33+'Grid_TTAFBalance'!CL33</f>
        <v/>
      </c>
      <c r="CM33">
        <f>'Grid_SelfBalance'!CM33+'Grid_TTAFBalance'!CM33</f>
        <v/>
      </c>
      <c r="CN33">
        <f>'Grid_SelfBalance'!CN33+'Grid_TTAFBalance'!CN33</f>
        <v/>
      </c>
      <c r="CO33">
        <f>'Grid_SelfBalance'!CO33+'Grid_TTAFBalance'!CO33</f>
        <v/>
      </c>
      <c r="CP33">
        <f>'Grid_SelfBalance'!CP33+'Grid_TTAFBalance'!CP33</f>
        <v/>
      </c>
      <c r="CQ33">
        <f>'Grid_SelfBalance'!CQ33+'Grid_TTAFBalance'!CQ33</f>
        <v/>
      </c>
      <c r="CR33">
        <f>'Grid_SelfBalance'!CR33+'Grid_TTAFBalance'!CR33</f>
        <v/>
      </c>
      <c r="CS33">
        <f>'Grid_SelfBalance'!CS33+'Grid_TTAFBalance'!CS33</f>
        <v/>
      </c>
      <c r="CT33">
        <f>'Grid_SelfBalance'!CT33+'Grid_TTAFBalance'!CT33</f>
        <v/>
      </c>
      <c r="CU33">
        <f>'Grid_SelfBalance'!CU33+'Grid_TTAFBalance'!CU33</f>
        <v/>
      </c>
      <c r="CV33">
        <f>'Grid_SelfBalance'!CV33+'Grid_TTAFBalance'!CV33</f>
        <v/>
      </c>
      <c r="CW33">
        <f>'Grid_SelfBalance'!CW33+'Grid_TTAFBalance'!CW33</f>
        <v/>
      </c>
      <c r="CX33">
        <f>'Grid_SelfBalance'!CX33+'Grid_TTAFBalance'!CX33</f>
        <v/>
      </c>
      <c r="CY33">
        <f>'Grid_SelfBalance'!CY33+'Grid_TTAFBalance'!CY33</f>
        <v/>
      </c>
      <c r="CZ33">
        <f>'Grid_SelfBalance'!CZ33+'Grid_TTAFBalance'!CZ33</f>
        <v/>
      </c>
      <c r="DA33">
        <f>'Grid_SelfBalance'!DA33+'Grid_TTAFBalance'!DA33</f>
        <v/>
      </c>
    </row>
    <row r="34">
      <c r="A34" t="inlineStr">
        <is>
          <t>CHEM-1560</t>
        </is>
      </c>
      <c r="B34">
        <f>'Grid_SelfBalance'!B34+'Grid_TTAFBalance'!B34</f>
        <v/>
      </c>
      <c r="C34">
        <f>'Grid_SelfBalance'!C34+'Grid_TTAFBalance'!C34</f>
        <v/>
      </c>
      <c r="D34">
        <f>'Grid_SelfBalance'!D34+'Grid_TTAFBalance'!D34</f>
        <v/>
      </c>
      <c r="E34">
        <f>'Grid_SelfBalance'!E34+'Grid_TTAFBalance'!E34</f>
        <v/>
      </c>
      <c r="F34">
        <f>'Grid_SelfBalance'!F34+'Grid_TTAFBalance'!F34</f>
        <v/>
      </c>
      <c r="G34">
        <f>'Grid_SelfBalance'!G34+'Grid_TTAFBalance'!G34</f>
        <v/>
      </c>
      <c r="H34">
        <f>'Grid_SelfBalance'!H34+'Grid_TTAFBalance'!H34</f>
        <v/>
      </c>
      <c r="I34">
        <f>'Grid_SelfBalance'!I34+'Grid_TTAFBalance'!I34</f>
        <v/>
      </c>
      <c r="J34">
        <f>'Grid_SelfBalance'!J34+'Grid_TTAFBalance'!J34</f>
        <v/>
      </c>
      <c r="K34">
        <f>'Grid_SelfBalance'!K34+'Grid_TTAFBalance'!K34</f>
        <v/>
      </c>
      <c r="L34">
        <f>'Grid_SelfBalance'!L34+'Grid_TTAFBalance'!L34</f>
        <v/>
      </c>
      <c r="M34">
        <f>'Grid_SelfBalance'!M34+'Grid_TTAFBalance'!M34</f>
        <v/>
      </c>
      <c r="N34">
        <f>'Grid_SelfBalance'!N34+'Grid_TTAFBalance'!N34</f>
        <v/>
      </c>
      <c r="O34">
        <f>'Grid_SelfBalance'!O34+'Grid_TTAFBalance'!O34</f>
        <v/>
      </c>
      <c r="P34">
        <f>'Grid_SelfBalance'!P34+'Grid_TTAFBalance'!P34</f>
        <v/>
      </c>
      <c r="Q34">
        <f>'Grid_SelfBalance'!Q34+'Grid_TTAFBalance'!Q34</f>
        <v/>
      </c>
      <c r="R34">
        <f>'Grid_SelfBalance'!R34+'Grid_TTAFBalance'!R34</f>
        <v/>
      </c>
      <c r="S34">
        <f>'Grid_SelfBalance'!S34+'Grid_TTAFBalance'!S34</f>
        <v/>
      </c>
      <c r="T34">
        <f>'Grid_SelfBalance'!T34+'Grid_TTAFBalance'!T34</f>
        <v/>
      </c>
      <c r="U34">
        <f>'Grid_SelfBalance'!U34+'Grid_TTAFBalance'!U34</f>
        <v/>
      </c>
      <c r="V34">
        <f>'Grid_SelfBalance'!V34+'Grid_TTAFBalance'!V34</f>
        <v/>
      </c>
      <c r="W34">
        <f>'Grid_SelfBalance'!W34+'Grid_TTAFBalance'!W34</f>
        <v/>
      </c>
      <c r="X34">
        <f>'Grid_SelfBalance'!X34+'Grid_TTAFBalance'!X34</f>
        <v/>
      </c>
      <c r="Y34">
        <f>'Grid_SelfBalance'!Y34+'Grid_TTAFBalance'!Y34</f>
        <v/>
      </c>
      <c r="Z34">
        <f>'Grid_SelfBalance'!Z34+'Grid_TTAFBalance'!Z34</f>
        <v/>
      </c>
      <c r="AA34">
        <f>'Grid_SelfBalance'!AA34+'Grid_TTAFBalance'!AA34</f>
        <v/>
      </c>
      <c r="AB34">
        <f>'Grid_SelfBalance'!AB34+'Grid_TTAFBalance'!AB34</f>
        <v/>
      </c>
      <c r="AC34">
        <f>'Grid_SelfBalance'!AC34+'Grid_TTAFBalance'!AC34</f>
        <v/>
      </c>
      <c r="AD34">
        <f>'Grid_SelfBalance'!AD34+'Grid_TTAFBalance'!AD34</f>
        <v/>
      </c>
      <c r="AE34">
        <f>'Grid_SelfBalance'!AE34+'Grid_TTAFBalance'!AE34</f>
        <v/>
      </c>
      <c r="AF34">
        <f>'Grid_SelfBalance'!AF34+'Grid_TTAFBalance'!AF34</f>
        <v/>
      </c>
      <c r="AG34">
        <f>'Grid_SelfBalance'!AG34+'Grid_TTAFBalance'!AG34</f>
        <v/>
      </c>
      <c r="AH34">
        <f>'Grid_SelfBalance'!AH34+'Grid_TTAFBalance'!AH34</f>
        <v/>
      </c>
      <c r="AI34">
        <f>'Grid_SelfBalance'!AI34+'Grid_TTAFBalance'!AI34</f>
        <v/>
      </c>
      <c r="AJ34">
        <f>'Grid_SelfBalance'!AJ34+'Grid_TTAFBalance'!AJ34</f>
        <v/>
      </c>
      <c r="AK34">
        <f>'Grid_SelfBalance'!AK34+'Grid_TTAFBalance'!AK34</f>
        <v/>
      </c>
      <c r="AL34">
        <f>'Grid_SelfBalance'!AL34+'Grid_TTAFBalance'!AL34</f>
        <v/>
      </c>
      <c r="AM34">
        <f>'Grid_SelfBalance'!AM34+'Grid_TTAFBalance'!AM34</f>
        <v/>
      </c>
      <c r="AN34">
        <f>'Grid_SelfBalance'!AN34+'Grid_TTAFBalance'!AN34</f>
        <v/>
      </c>
      <c r="AO34">
        <f>'Grid_SelfBalance'!AO34+'Grid_TTAFBalance'!AO34</f>
        <v/>
      </c>
      <c r="AP34">
        <f>'Grid_SelfBalance'!AP34+'Grid_TTAFBalance'!AP34</f>
        <v/>
      </c>
      <c r="AQ34">
        <f>'Grid_SelfBalance'!AQ34+'Grid_TTAFBalance'!AQ34</f>
        <v/>
      </c>
      <c r="AR34">
        <f>'Grid_SelfBalance'!AR34+'Grid_TTAFBalance'!AR34</f>
        <v/>
      </c>
      <c r="AS34">
        <f>'Grid_SelfBalance'!AS34+'Grid_TTAFBalance'!AS34</f>
        <v/>
      </c>
      <c r="AT34">
        <f>'Grid_SelfBalance'!AT34+'Grid_TTAFBalance'!AT34</f>
        <v/>
      </c>
      <c r="AU34">
        <f>'Grid_SelfBalance'!AU34+'Grid_TTAFBalance'!AU34</f>
        <v/>
      </c>
      <c r="AV34">
        <f>'Grid_SelfBalance'!AV34+'Grid_TTAFBalance'!AV34</f>
        <v/>
      </c>
      <c r="AW34">
        <f>'Grid_SelfBalance'!AW34+'Grid_TTAFBalance'!AW34</f>
        <v/>
      </c>
      <c r="AX34">
        <f>'Grid_SelfBalance'!AX34+'Grid_TTAFBalance'!AX34</f>
        <v/>
      </c>
      <c r="AY34">
        <f>'Grid_SelfBalance'!AY34+'Grid_TTAFBalance'!AY34</f>
        <v/>
      </c>
      <c r="AZ34">
        <f>'Grid_SelfBalance'!AZ34+'Grid_TTAFBalance'!AZ34</f>
        <v/>
      </c>
      <c r="BA34">
        <f>'Grid_SelfBalance'!BA34+'Grid_TTAFBalance'!BA34</f>
        <v/>
      </c>
      <c r="BB34">
        <f>'Grid_SelfBalance'!BB34+'Grid_TTAFBalance'!BB34</f>
        <v/>
      </c>
      <c r="BC34">
        <f>'Grid_SelfBalance'!BC34+'Grid_TTAFBalance'!BC34</f>
        <v/>
      </c>
      <c r="BD34">
        <f>'Grid_SelfBalance'!BD34+'Grid_TTAFBalance'!BD34</f>
        <v/>
      </c>
      <c r="BE34">
        <f>'Grid_SelfBalance'!BE34+'Grid_TTAFBalance'!BE34</f>
        <v/>
      </c>
      <c r="BF34">
        <f>'Grid_SelfBalance'!BF34+'Grid_TTAFBalance'!BF34</f>
        <v/>
      </c>
      <c r="BG34">
        <f>'Grid_SelfBalance'!BG34+'Grid_TTAFBalance'!BG34</f>
        <v/>
      </c>
      <c r="BH34">
        <f>'Grid_SelfBalance'!BH34+'Grid_TTAFBalance'!BH34</f>
        <v/>
      </c>
      <c r="BI34">
        <f>'Grid_SelfBalance'!BI34+'Grid_TTAFBalance'!BI34</f>
        <v/>
      </c>
      <c r="BJ34">
        <f>'Grid_SelfBalance'!BJ34+'Grid_TTAFBalance'!BJ34</f>
        <v/>
      </c>
      <c r="BK34">
        <f>'Grid_SelfBalance'!BK34+'Grid_TTAFBalance'!BK34</f>
        <v/>
      </c>
      <c r="BL34">
        <f>'Grid_SelfBalance'!BL34+'Grid_TTAFBalance'!BL34</f>
        <v/>
      </c>
      <c r="BM34">
        <f>'Grid_SelfBalance'!BM34+'Grid_TTAFBalance'!BM34</f>
        <v/>
      </c>
      <c r="BN34">
        <f>'Grid_SelfBalance'!BN34+'Grid_TTAFBalance'!BN34</f>
        <v/>
      </c>
      <c r="BO34">
        <f>'Grid_SelfBalance'!BO34+'Grid_TTAFBalance'!BO34</f>
        <v/>
      </c>
      <c r="BP34">
        <f>'Grid_SelfBalance'!BP34+'Grid_TTAFBalance'!BP34</f>
        <v/>
      </c>
      <c r="BQ34">
        <f>'Grid_SelfBalance'!BQ34+'Grid_TTAFBalance'!BQ34</f>
        <v/>
      </c>
      <c r="BR34">
        <f>'Grid_SelfBalance'!BR34+'Grid_TTAFBalance'!BR34</f>
        <v/>
      </c>
      <c r="BS34">
        <f>'Grid_SelfBalance'!BS34+'Grid_TTAFBalance'!BS34</f>
        <v/>
      </c>
      <c r="BT34">
        <f>'Grid_SelfBalance'!BT34+'Grid_TTAFBalance'!BT34</f>
        <v/>
      </c>
      <c r="BU34">
        <f>'Grid_SelfBalance'!BU34+'Grid_TTAFBalance'!BU34</f>
        <v/>
      </c>
      <c r="BV34">
        <f>'Grid_SelfBalance'!BV34+'Grid_TTAFBalance'!BV34</f>
        <v/>
      </c>
      <c r="BW34">
        <f>'Grid_SelfBalance'!BW34+'Grid_TTAFBalance'!BW34</f>
        <v/>
      </c>
      <c r="BX34">
        <f>'Grid_SelfBalance'!BX34+'Grid_TTAFBalance'!BX34</f>
        <v/>
      </c>
      <c r="BY34">
        <f>'Grid_SelfBalance'!BY34+'Grid_TTAFBalance'!BY34</f>
        <v/>
      </c>
      <c r="BZ34">
        <f>'Grid_SelfBalance'!BZ34+'Grid_TTAFBalance'!BZ34</f>
        <v/>
      </c>
      <c r="CA34">
        <f>'Grid_SelfBalance'!CA34+'Grid_TTAFBalance'!CA34</f>
        <v/>
      </c>
      <c r="CB34">
        <f>'Grid_SelfBalance'!CB34+'Grid_TTAFBalance'!CB34</f>
        <v/>
      </c>
      <c r="CC34">
        <f>'Grid_SelfBalance'!CC34+'Grid_TTAFBalance'!CC34</f>
        <v/>
      </c>
      <c r="CD34">
        <f>'Grid_SelfBalance'!CD34+'Grid_TTAFBalance'!CD34</f>
        <v/>
      </c>
      <c r="CE34">
        <f>'Grid_SelfBalance'!CE34+'Grid_TTAFBalance'!CE34</f>
        <v/>
      </c>
      <c r="CF34">
        <f>'Grid_SelfBalance'!CF34+'Grid_TTAFBalance'!CF34</f>
        <v/>
      </c>
      <c r="CG34">
        <f>'Grid_SelfBalance'!CG34+'Grid_TTAFBalance'!CG34</f>
        <v/>
      </c>
      <c r="CH34">
        <f>'Grid_SelfBalance'!CH34+'Grid_TTAFBalance'!CH34</f>
        <v/>
      </c>
      <c r="CI34">
        <f>'Grid_SelfBalance'!CI34+'Grid_TTAFBalance'!CI34</f>
        <v/>
      </c>
      <c r="CJ34">
        <f>'Grid_SelfBalance'!CJ34+'Grid_TTAFBalance'!CJ34</f>
        <v/>
      </c>
      <c r="CK34">
        <f>'Grid_SelfBalance'!CK34+'Grid_TTAFBalance'!CK34</f>
        <v/>
      </c>
      <c r="CL34">
        <f>'Grid_SelfBalance'!CL34+'Grid_TTAFBalance'!CL34</f>
        <v/>
      </c>
      <c r="CM34">
        <f>'Grid_SelfBalance'!CM34+'Grid_TTAFBalance'!CM34</f>
        <v/>
      </c>
      <c r="CN34">
        <f>'Grid_SelfBalance'!CN34+'Grid_TTAFBalance'!CN34</f>
        <v/>
      </c>
      <c r="CO34">
        <f>'Grid_SelfBalance'!CO34+'Grid_TTAFBalance'!CO34</f>
        <v/>
      </c>
      <c r="CP34">
        <f>'Grid_SelfBalance'!CP34+'Grid_TTAFBalance'!CP34</f>
        <v/>
      </c>
      <c r="CQ34">
        <f>'Grid_SelfBalance'!CQ34+'Grid_TTAFBalance'!CQ34</f>
        <v/>
      </c>
      <c r="CR34">
        <f>'Grid_SelfBalance'!CR34+'Grid_TTAFBalance'!CR34</f>
        <v/>
      </c>
      <c r="CS34">
        <f>'Grid_SelfBalance'!CS34+'Grid_TTAFBalance'!CS34</f>
        <v/>
      </c>
      <c r="CT34">
        <f>'Grid_SelfBalance'!CT34+'Grid_TTAFBalance'!CT34</f>
        <v/>
      </c>
      <c r="CU34">
        <f>'Grid_SelfBalance'!CU34+'Grid_TTAFBalance'!CU34</f>
        <v/>
      </c>
      <c r="CV34">
        <f>'Grid_SelfBalance'!CV34+'Grid_TTAFBalance'!CV34</f>
        <v/>
      </c>
      <c r="CW34">
        <f>'Grid_SelfBalance'!CW34+'Grid_TTAFBalance'!CW34</f>
        <v/>
      </c>
      <c r="CX34">
        <f>'Grid_SelfBalance'!CX34+'Grid_TTAFBalance'!CX34</f>
        <v/>
      </c>
      <c r="CY34">
        <f>'Grid_SelfBalance'!CY34+'Grid_TTAFBalance'!CY34</f>
        <v/>
      </c>
      <c r="CZ34">
        <f>'Grid_SelfBalance'!CZ34+'Grid_TTAFBalance'!CZ34</f>
        <v/>
      </c>
      <c r="DA34">
        <f>'Grid_SelfBalance'!DA34+'Grid_TTAFBalance'!DA34</f>
        <v/>
      </c>
    </row>
    <row r="35">
      <c r="A35" t="inlineStr">
        <is>
          <t>CHEM-1510</t>
        </is>
      </c>
      <c r="B35">
        <f>'Grid_SelfBalance'!B35+'Grid_TTAFBalance'!B35</f>
        <v/>
      </c>
      <c r="C35">
        <f>'Grid_SelfBalance'!C35+'Grid_TTAFBalance'!C35</f>
        <v/>
      </c>
      <c r="D35">
        <f>'Grid_SelfBalance'!D35+'Grid_TTAFBalance'!D35</f>
        <v/>
      </c>
      <c r="E35">
        <f>'Grid_SelfBalance'!E35+'Grid_TTAFBalance'!E35</f>
        <v/>
      </c>
      <c r="F35">
        <f>'Grid_SelfBalance'!F35+'Grid_TTAFBalance'!F35</f>
        <v/>
      </c>
      <c r="G35">
        <f>'Grid_SelfBalance'!G35+'Grid_TTAFBalance'!G35</f>
        <v/>
      </c>
      <c r="H35">
        <f>'Grid_SelfBalance'!H35+'Grid_TTAFBalance'!H35</f>
        <v/>
      </c>
      <c r="I35">
        <f>'Grid_SelfBalance'!I35+'Grid_TTAFBalance'!I35</f>
        <v/>
      </c>
      <c r="J35">
        <f>'Grid_SelfBalance'!J35+'Grid_TTAFBalance'!J35</f>
        <v/>
      </c>
      <c r="K35">
        <f>'Grid_SelfBalance'!K35+'Grid_TTAFBalance'!K35</f>
        <v/>
      </c>
      <c r="L35">
        <f>'Grid_SelfBalance'!L35+'Grid_TTAFBalance'!L35</f>
        <v/>
      </c>
      <c r="M35">
        <f>'Grid_SelfBalance'!M35+'Grid_TTAFBalance'!M35</f>
        <v/>
      </c>
      <c r="N35">
        <f>'Grid_SelfBalance'!N35+'Grid_TTAFBalance'!N35</f>
        <v/>
      </c>
      <c r="O35">
        <f>'Grid_SelfBalance'!O35+'Grid_TTAFBalance'!O35</f>
        <v/>
      </c>
      <c r="P35">
        <f>'Grid_SelfBalance'!P35+'Grid_TTAFBalance'!P35</f>
        <v/>
      </c>
      <c r="Q35">
        <f>'Grid_SelfBalance'!Q35+'Grid_TTAFBalance'!Q35</f>
        <v/>
      </c>
      <c r="R35">
        <f>'Grid_SelfBalance'!R35+'Grid_TTAFBalance'!R35</f>
        <v/>
      </c>
      <c r="S35">
        <f>'Grid_SelfBalance'!S35+'Grid_TTAFBalance'!S35</f>
        <v/>
      </c>
      <c r="T35">
        <f>'Grid_SelfBalance'!T35+'Grid_TTAFBalance'!T35</f>
        <v/>
      </c>
      <c r="U35">
        <f>'Grid_SelfBalance'!U35+'Grid_TTAFBalance'!U35</f>
        <v/>
      </c>
      <c r="V35">
        <f>'Grid_SelfBalance'!V35+'Grid_TTAFBalance'!V35</f>
        <v/>
      </c>
      <c r="W35">
        <f>'Grid_SelfBalance'!W35+'Grid_TTAFBalance'!W35</f>
        <v/>
      </c>
      <c r="X35">
        <f>'Grid_SelfBalance'!X35+'Grid_TTAFBalance'!X35</f>
        <v/>
      </c>
      <c r="Y35">
        <f>'Grid_SelfBalance'!Y35+'Grid_TTAFBalance'!Y35</f>
        <v/>
      </c>
      <c r="Z35">
        <f>'Grid_SelfBalance'!Z35+'Grid_TTAFBalance'!Z35</f>
        <v/>
      </c>
      <c r="AA35">
        <f>'Grid_SelfBalance'!AA35+'Grid_TTAFBalance'!AA35</f>
        <v/>
      </c>
      <c r="AB35">
        <f>'Grid_SelfBalance'!AB35+'Grid_TTAFBalance'!AB35</f>
        <v/>
      </c>
      <c r="AC35">
        <f>'Grid_SelfBalance'!AC35+'Grid_TTAFBalance'!AC35</f>
        <v/>
      </c>
      <c r="AD35">
        <f>'Grid_SelfBalance'!AD35+'Grid_TTAFBalance'!AD35</f>
        <v/>
      </c>
      <c r="AE35">
        <f>'Grid_SelfBalance'!AE35+'Grid_TTAFBalance'!AE35</f>
        <v/>
      </c>
      <c r="AF35">
        <f>'Grid_SelfBalance'!AF35+'Grid_TTAFBalance'!AF35</f>
        <v/>
      </c>
      <c r="AG35">
        <f>'Grid_SelfBalance'!AG35+'Grid_TTAFBalance'!AG35</f>
        <v/>
      </c>
      <c r="AH35">
        <f>'Grid_SelfBalance'!AH35+'Grid_TTAFBalance'!AH35</f>
        <v/>
      </c>
      <c r="AI35">
        <f>'Grid_SelfBalance'!AI35+'Grid_TTAFBalance'!AI35</f>
        <v/>
      </c>
      <c r="AJ35">
        <f>'Grid_SelfBalance'!AJ35+'Grid_TTAFBalance'!AJ35</f>
        <v/>
      </c>
      <c r="AK35">
        <f>'Grid_SelfBalance'!AK35+'Grid_TTAFBalance'!AK35</f>
        <v/>
      </c>
      <c r="AL35">
        <f>'Grid_SelfBalance'!AL35+'Grid_TTAFBalance'!AL35</f>
        <v/>
      </c>
      <c r="AM35">
        <f>'Grid_SelfBalance'!AM35+'Grid_TTAFBalance'!AM35</f>
        <v/>
      </c>
      <c r="AN35">
        <f>'Grid_SelfBalance'!AN35+'Grid_TTAFBalance'!AN35</f>
        <v/>
      </c>
      <c r="AO35">
        <f>'Grid_SelfBalance'!AO35+'Grid_TTAFBalance'!AO35</f>
        <v/>
      </c>
      <c r="AP35">
        <f>'Grid_SelfBalance'!AP35+'Grid_TTAFBalance'!AP35</f>
        <v/>
      </c>
      <c r="AQ35">
        <f>'Grid_SelfBalance'!AQ35+'Grid_TTAFBalance'!AQ35</f>
        <v/>
      </c>
      <c r="AR35">
        <f>'Grid_SelfBalance'!AR35+'Grid_TTAFBalance'!AR35</f>
        <v/>
      </c>
      <c r="AS35">
        <f>'Grid_SelfBalance'!AS35+'Grid_TTAFBalance'!AS35</f>
        <v/>
      </c>
      <c r="AT35">
        <f>'Grid_SelfBalance'!AT35+'Grid_TTAFBalance'!AT35</f>
        <v/>
      </c>
      <c r="AU35">
        <f>'Grid_SelfBalance'!AU35+'Grid_TTAFBalance'!AU35</f>
        <v/>
      </c>
      <c r="AV35">
        <f>'Grid_SelfBalance'!AV35+'Grid_TTAFBalance'!AV35</f>
        <v/>
      </c>
      <c r="AW35">
        <f>'Grid_SelfBalance'!AW35+'Grid_TTAFBalance'!AW35</f>
        <v/>
      </c>
      <c r="AX35">
        <f>'Grid_SelfBalance'!AX35+'Grid_TTAFBalance'!AX35</f>
        <v/>
      </c>
      <c r="AY35">
        <f>'Grid_SelfBalance'!AY35+'Grid_TTAFBalance'!AY35</f>
        <v/>
      </c>
      <c r="AZ35">
        <f>'Grid_SelfBalance'!AZ35+'Grid_TTAFBalance'!AZ35</f>
        <v/>
      </c>
      <c r="BA35">
        <f>'Grid_SelfBalance'!BA35+'Grid_TTAFBalance'!BA35</f>
        <v/>
      </c>
      <c r="BB35">
        <f>'Grid_SelfBalance'!BB35+'Grid_TTAFBalance'!BB35</f>
        <v/>
      </c>
      <c r="BC35">
        <f>'Grid_SelfBalance'!BC35+'Grid_TTAFBalance'!BC35</f>
        <v/>
      </c>
      <c r="BD35">
        <f>'Grid_SelfBalance'!BD35+'Grid_TTAFBalance'!BD35</f>
        <v/>
      </c>
      <c r="BE35">
        <f>'Grid_SelfBalance'!BE35+'Grid_TTAFBalance'!BE35</f>
        <v/>
      </c>
      <c r="BF35">
        <f>'Grid_SelfBalance'!BF35+'Grid_TTAFBalance'!BF35</f>
        <v/>
      </c>
      <c r="BG35">
        <f>'Grid_SelfBalance'!BG35+'Grid_TTAFBalance'!BG35</f>
        <v/>
      </c>
      <c r="BH35">
        <f>'Grid_SelfBalance'!BH35+'Grid_TTAFBalance'!BH35</f>
        <v/>
      </c>
      <c r="BI35">
        <f>'Grid_SelfBalance'!BI35+'Grid_TTAFBalance'!BI35</f>
        <v/>
      </c>
      <c r="BJ35">
        <f>'Grid_SelfBalance'!BJ35+'Grid_TTAFBalance'!BJ35</f>
        <v/>
      </c>
      <c r="BK35">
        <f>'Grid_SelfBalance'!BK35+'Grid_TTAFBalance'!BK35</f>
        <v/>
      </c>
      <c r="BL35">
        <f>'Grid_SelfBalance'!BL35+'Grid_TTAFBalance'!BL35</f>
        <v/>
      </c>
      <c r="BM35">
        <f>'Grid_SelfBalance'!BM35+'Grid_TTAFBalance'!BM35</f>
        <v/>
      </c>
      <c r="BN35">
        <f>'Grid_SelfBalance'!BN35+'Grid_TTAFBalance'!BN35</f>
        <v/>
      </c>
      <c r="BO35">
        <f>'Grid_SelfBalance'!BO35+'Grid_TTAFBalance'!BO35</f>
        <v/>
      </c>
      <c r="BP35">
        <f>'Grid_SelfBalance'!BP35+'Grid_TTAFBalance'!BP35</f>
        <v/>
      </c>
      <c r="BQ35">
        <f>'Grid_SelfBalance'!BQ35+'Grid_TTAFBalance'!BQ35</f>
        <v/>
      </c>
      <c r="BR35">
        <f>'Grid_SelfBalance'!BR35+'Grid_TTAFBalance'!BR35</f>
        <v/>
      </c>
      <c r="BS35">
        <f>'Grid_SelfBalance'!BS35+'Grid_TTAFBalance'!BS35</f>
        <v/>
      </c>
      <c r="BT35">
        <f>'Grid_SelfBalance'!BT35+'Grid_TTAFBalance'!BT35</f>
        <v/>
      </c>
      <c r="BU35">
        <f>'Grid_SelfBalance'!BU35+'Grid_TTAFBalance'!BU35</f>
        <v/>
      </c>
      <c r="BV35">
        <f>'Grid_SelfBalance'!BV35+'Grid_TTAFBalance'!BV35</f>
        <v/>
      </c>
      <c r="BW35">
        <f>'Grid_SelfBalance'!BW35+'Grid_TTAFBalance'!BW35</f>
        <v/>
      </c>
      <c r="BX35">
        <f>'Grid_SelfBalance'!BX35+'Grid_TTAFBalance'!BX35</f>
        <v/>
      </c>
      <c r="BY35">
        <f>'Grid_SelfBalance'!BY35+'Grid_TTAFBalance'!BY35</f>
        <v/>
      </c>
      <c r="BZ35">
        <f>'Grid_SelfBalance'!BZ35+'Grid_TTAFBalance'!BZ35</f>
        <v/>
      </c>
      <c r="CA35">
        <f>'Grid_SelfBalance'!CA35+'Grid_TTAFBalance'!CA35</f>
        <v/>
      </c>
      <c r="CB35">
        <f>'Grid_SelfBalance'!CB35+'Grid_TTAFBalance'!CB35</f>
        <v/>
      </c>
      <c r="CC35">
        <f>'Grid_SelfBalance'!CC35+'Grid_TTAFBalance'!CC35</f>
        <v/>
      </c>
      <c r="CD35">
        <f>'Grid_SelfBalance'!CD35+'Grid_TTAFBalance'!CD35</f>
        <v/>
      </c>
      <c r="CE35">
        <f>'Grid_SelfBalance'!CE35+'Grid_TTAFBalance'!CE35</f>
        <v/>
      </c>
      <c r="CF35">
        <f>'Grid_SelfBalance'!CF35+'Grid_TTAFBalance'!CF35</f>
        <v/>
      </c>
      <c r="CG35">
        <f>'Grid_SelfBalance'!CG35+'Grid_TTAFBalance'!CG35</f>
        <v/>
      </c>
      <c r="CH35">
        <f>'Grid_SelfBalance'!CH35+'Grid_TTAFBalance'!CH35</f>
        <v/>
      </c>
      <c r="CI35">
        <f>'Grid_SelfBalance'!CI35+'Grid_TTAFBalance'!CI35</f>
        <v/>
      </c>
      <c r="CJ35">
        <f>'Grid_SelfBalance'!CJ35+'Grid_TTAFBalance'!CJ35</f>
        <v/>
      </c>
      <c r="CK35">
        <f>'Grid_SelfBalance'!CK35+'Grid_TTAFBalance'!CK35</f>
        <v/>
      </c>
      <c r="CL35">
        <f>'Grid_SelfBalance'!CL35+'Grid_TTAFBalance'!CL35</f>
        <v/>
      </c>
      <c r="CM35">
        <f>'Grid_SelfBalance'!CM35+'Grid_TTAFBalance'!CM35</f>
        <v/>
      </c>
      <c r="CN35">
        <f>'Grid_SelfBalance'!CN35+'Grid_TTAFBalance'!CN35</f>
        <v/>
      </c>
      <c r="CO35">
        <f>'Grid_SelfBalance'!CO35+'Grid_TTAFBalance'!CO35</f>
        <v/>
      </c>
      <c r="CP35">
        <f>'Grid_SelfBalance'!CP35+'Grid_TTAFBalance'!CP35</f>
        <v/>
      </c>
      <c r="CQ35">
        <f>'Grid_SelfBalance'!CQ35+'Grid_TTAFBalance'!CQ35</f>
        <v/>
      </c>
      <c r="CR35">
        <f>'Grid_SelfBalance'!CR35+'Grid_TTAFBalance'!CR35</f>
        <v/>
      </c>
      <c r="CS35">
        <f>'Grid_SelfBalance'!CS35+'Grid_TTAFBalance'!CS35</f>
        <v/>
      </c>
      <c r="CT35">
        <f>'Grid_SelfBalance'!CT35+'Grid_TTAFBalance'!CT35</f>
        <v/>
      </c>
      <c r="CU35">
        <f>'Grid_SelfBalance'!CU35+'Grid_TTAFBalance'!CU35</f>
        <v/>
      </c>
      <c r="CV35">
        <f>'Grid_SelfBalance'!CV35+'Grid_TTAFBalance'!CV35</f>
        <v/>
      </c>
      <c r="CW35">
        <f>'Grid_SelfBalance'!CW35+'Grid_TTAFBalance'!CW35</f>
        <v/>
      </c>
      <c r="CX35">
        <f>'Grid_SelfBalance'!CX35+'Grid_TTAFBalance'!CX35</f>
        <v/>
      </c>
      <c r="CY35">
        <f>'Grid_SelfBalance'!CY35+'Grid_TTAFBalance'!CY35</f>
        <v/>
      </c>
      <c r="CZ35">
        <f>'Grid_SelfBalance'!CZ35+'Grid_TTAFBalance'!CZ35</f>
        <v/>
      </c>
      <c r="DA35">
        <f>'Grid_SelfBalance'!DA35+'Grid_TTAFBalance'!DA35</f>
        <v/>
      </c>
    </row>
    <row r="36">
      <c r="A36" t="inlineStr">
        <is>
          <t>CHEM-1770</t>
        </is>
      </c>
      <c r="B36">
        <f>'Grid_SelfBalance'!B36+'Grid_TTAFBalance'!B36</f>
        <v/>
      </c>
      <c r="C36">
        <f>'Grid_SelfBalance'!C36+'Grid_TTAFBalance'!C36</f>
        <v/>
      </c>
      <c r="D36">
        <f>'Grid_SelfBalance'!D36+'Grid_TTAFBalance'!D36</f>
        <v/>
      </c>
      <c r="E36">
        <f>'Grid_SelfBalance'!E36+'Grid_TTAFBalance'!E36</f>
        <v/>
      </c>
      <c r="F36">
        <f>'Grid_SelfBalance'!F36+'Grid_TTAFBalance'!F36</f>
        <v/>
      </c>
      <c r="G36">
        <f>'Grid_SelfBalance'!G36+'Grid_TTAFBalance'!G36</f>
        <v/>
      </c>
      <c r="H36">
        <f>'Grid_SelfBalance'!H36+'Grid_TTAFBalance'!H36</f>
        <v/>
      </c>
      <c r="I36">
        <f>'Grid_SelfBalance'!I36+'Grid_TTAFBalance'!I36</f>
        <v/>
      </c>
      <c r="J36">
        <f>'Grid_SelfBalance'!J36+'Grid_TTAFBalance'!J36</f>
        <v/>
      </c>
      <c r="K36">
        <f>'Grid_SelfBalance'!K36+'Grid_TTAFBalance'!K36</f>
        <v/>
      </c>
      <c r="L36">
        <f>'Grid_SelfBalance'!L36+'Grid_TTAFBalance'!L36</f>
        <v/>
      </c>
      <c r="M36">
        <f>'Grid_SelfBalance'!M36+'Grid_TTAFBalance'!M36</f>
        <v/>
      </c>
      <c r="N36">
        <f>'Grid_SelfBalance'!N36+'Grid_TTAFBalance'!N36</f>
        <v/>
      </c>
      <c r="O36">
        <f>'Grid_SelfBalance'!O36+'Grid_TTAFBalance'!O36</f>
        <v/>
      </c>
      <c r="P36">
        <f>'Grid_SelfBalance'!P36+'Grid_TTAFBalance'!P36</f>
        <v/>
      </c>
      <c r="Q36">
        <f>'Grid_SelfBalance'!Q36+'Grid_TTAFBalance'!Q36</f>
        <v/>
      </c>
      <c r="R36">
        <f>'Grid_SelfBalance'!R36+'Grid_TTAFBalance'!R36</f>
        <v/>
      </c>
      <c r="S36">
        <f>'Grid_SelfBalance'!S36+'Grid_TTAFBalance'!S36</f>
        <v/>
      </c>
      <c r="T36">
        <f>'Grid_SelfBalance'!T36+'Grid_TTAFBalance'!T36</f>
        <v/>
      </c>
      <c r="U36">
        <f>'Grid_SelfBalance'!U36+'Grid_TTAFBalance'!U36</f>
        <v/>
      </c>
      <c r="V36">
        <f>'Grid_SelfBalance'!V36+'Grid_TTAFBalance'!V36</f>
        <v/>
      </c>
      <c r="W36">
        <f>'Grid_SelfBalance'!W36+'Grid_TTAFBalance'!W36</f>
        <v/>
      </c>
      <c r="X36">
        <f>'Grid_SelfBalance'!X36+'Grid_TTAFBalance'!X36</f>
        <v/>
      </c>
      <c r="Y36">
        <f>'Grid_SelfBalance'!Y36+'Grid_TTAFBalance'!Y36</f>
        <v/>
      </c>
      <c r="Z36">
        <f>'Grid_SelfBalance'!Z36+'Grid_TTAFBalance'!Z36</f>
        <v/>
      </c>
      <c r="AA36">
        <f>'Grid_SelfBalance'!AA36+'Grid_TTAFBalance'!AA36</f>
        <v/>
      </c>
      <c r="AB36">
        <f>'Grid_SelfBalance'!AB36+'Grid_TTAFBalance'!AB36</f>
        <v/>
      </c>
      <c r="AC36">
        <f>'Grid_SelfBalance'!AC36+'Grid_TTAFBalance'!AC36</f>
        <v/>
      </c>
      <c r="AD36">
        <f>'Grid_SelfBalance'!AD36+'Grid_TTAFBalance'!AD36</f>
        <v/>
      </c>
      <c r="AE36">
        <f>'Grid_SelfBalance'!AE36+'Grid_TTAFBalance'!AE36</f>
        <v/>
      </c>
      <c r="AF36">
        <f>'Grid_SelfBalance'!AF36+'Grid_TTAFBalance'!AF36</f>
        <v/>
      </c>
      <c r="AG36">
        <f>'Grid_SelfBalance'!AG36+'Grid_TTAFBalance'!AG36</f>
        <v/>
      </c>
      <c r="AH36">
        <f>'Grid_SelfBalance'!AH36+'Grid_TTAFBalance'!AH36</f>
        <v/>
      </c>
      <c r="AI36">
        <f>'Grid_SelfBalance'!AI36+'Grid_TTAFBalance'!AI36</f>
        <v/>
      </c>
      <c r="AJ36">
        <f>'Grid_SelfBalance'!AJ36+'Grid_TTAFBalance'!AJ36</f>
        <v/>
      </c>
      <c r="AK36">
        <f>'Grid_SelfBalance'!AK36+'Grid_TTAFBalance'!AK36</f>
        <v/>
      </c>
      <c r="AL36">
        <f>'Grid_SelfBalance'!AL36+'Grid_TTAFBalance'!AL36</f>
        <v/>
      </c>
      <c r="AM36">
        <f>'Grid_SelfBalance'!AM36+'Grid_TTAFBalance'!AM36</f>
        <v/>
      </c>
      <c r="AN36">
        <f>'Grid_SelfBalance'!AN36+'Grid_TTAFBalance'!AN36</f>
        <v/>
      </c>
      <c r="AO36">
        <f>'Grid_SelfBalance'!AO36+'Grid_TTAFBalance'!AO36</f>
        <v/>
      </c>
      <c r="AP36">
        <f>'Grid_SelfBalance'!AP36+'Grid_TTAFBalance'!AP36</f>
        <v/>
      </c>
      <c r="AQ36">
        <f>'Grid_SelfBalance'!AQ36+'Grid_TTAFBalance'!AQ36</f>
        <v/>
      </c>
      <c r="AR36">
        <f>'Grid_SelfBalance'!AR36+'Grid_TTAFBalance'!AR36</f>
        <v/>
      </c>
      <c r="AS36">
        <f>'Grid_SelfBalance'!AS36+'Grid_TTAFBalance'!AS36</f>
        <v/>
      </c>
      <c r="AT36">
        <f>'Grid_SelfBalance'!AT36+'Grid_TTAFBalance'!AT36</f>
        <v/>
      </c>
      <c r="AU36">
        <f>'Grid_SelfBalance'!AU36+'Grid_TTAFBalance'!AU36</f>
        <v/>
      </c>
      <c r="AV36">
        <f>'Grid_SelfBalance'!AV36+'Grid_TTAFBalance'!AV36</f>
        <v/>
      </c>
      <c r="AW36">
        <f>'Grid_SelfBalance'!AW36+'Grid_TTAFBalance'!AW36</f>
        <v/>
      </c>
      <c r="AX36">
        <f>'Grid_SelfBalance'!AX36+'Grid_TTAFBalance'!AX36</f>
        <v/>
      </c>
      <c r="AY36">
        <f>'Grid_SelfBalance'!AY36+'Grid_TTAFBalance'!AY36</f>
        <v/>
      </c>
      <c r="AZ36">
        <f>'Grid_SelfBalance'!AZ36+'Grid_TTAFBalance'!AZ36</f>
        <v/>
      </c>
      <c r="BA36">
        <f>'Grid_SelfBalance'!BA36+'Grid_TTAFBalance'!BA36</f>
        <v/>
      </c>
      <c r="BB36">
        <f>'Grid_SelfBalance'!BB36+'Grid_TTAFBalance'!BB36</f>
        <v/>
      </c>
      <c r="BC36">
        <f>'Grid_SelfBalance'!BC36+'Grid_TTAFBalance'!BC36</f>
        <v/>
      </c>
      <c r="BD36">
        <f>'Grid_SelfBalance'!BD36+'Grid_TTAFBalance'!BD36</f>
        <v/>
      </c>
      <c r="BE36">
        <f>'Grid_SelfBalance'!BE36+'Grid_TTAFBalance'!BE36</f>
        <v/>
      </c>
      <c r="BF36">
        <f>'Grid_SelfBalance'!BF36+'Grid_TTAFBalance'!BF36</f>
        <v/>
      </c>
      <c r="BG36">
        <f>'Grid_SelfBalance'!BG36+'Grid_TTAFBalance'!BG36</f>
        <v/>
      </c>
      <c r="BH36">
        <f>'Grid_SelfBalance'!BH36+'Grid_TTAFBalance'!BH36</f>
        <v/>
      </c>
      <c r="BI36">
        <f>'Grid_SelfBalance'!BI36+'Grid_TTAFBalance'!BI36</f>
        <v/>
      </c>
      <c r="BJ36">
        <f>'Grid_SelfBalance'!BJ36+'Grid_TTAFBalance'!BJ36</f>
        <v/>
      </c>
      <c r="BK36">
        <f>'Grid_SelfBalance'!BK36+'Grid_TTAFBalance'!BK36</f>
        <v/>
      </c>
      <c r="BL36">
        <f>'Grid_SelfBalance'!BL36+'Grid_TTAFBalance'!BL36</f>
        <v/>
      </c>
      <c r="BM36">
        <f>'Grid_SelfBalance'!BM36+'Grid_TTAFBalance'!BM36</f>
        <v/>
      </c>
      <c r="BN36">
        <f>'Grid_SelfBalance'!BN36+'Grid_TTAFBalance'!BN36</f>
        <v/>
      </c>
      <c r="BO36">
        <f>'Grid_SelfBalance'!BO36+'Grid_TTAFBalance'!BO36</f>
        <v/>
      </c>
      <c r="BP36">
        <f>'Grid_SelfBalance'!BP36+'Grid_TTAFBalance'!BP36</f>
        <v/>
      </c>
      <c r="BQ36">
        <f>'Grid_SelfBalance'!BQ36+'Grid_TTAFBalance'!BQ36</f>
        <v/>
      </c>
      <c r="BR36">
        <f>'Grid_SelfBalance'!BR36+'Grid_TTAFBalance'!BR36</f>
        <v/>
      </c>
      <c r="BS36">
        <f>'Grid_SelfBalance'!BS36+'Grid_TTAFBalance'!BS36</f>
        <v/>
      </c>
      <c r="BT36">
        <f>'Grid_SelfBalance'!BT36+'Grid_TTAFBalance'!BT36</f>
        <v/>
      </c>
      <c r="BU36">
        <f>'Grid_SelfBalance'!BU36+'Grid_TTAFBalance'!BU36</f>
        <v/>
      </c>
      <c r="BV36">
        <f>'Grid_SelfBalance'!BV36+'Grid_TTAFBalance'!BV36</f>
        <v/>
      </c>
      <c r="BW36">
        <f>'Grid_SelfBalance'!BW36+'Grid_TTAFBalance'!BW36</f>
        <v/>
      </c>
      <c r="BX36">
        <f>'Grid_SelfBalance'!BX36+'Grid_TTAFBalance'!BX36</f>
        <v/>
      </c>
      <c r="BY36">
        <f>'Grid_SelfBalance'!BY36+'Grid_TTAFBalance'!BY36</f>
        <v/>
      </c>
      <c r="BZ36">
        <f>'Grid_SelfBalance'!BZ36+'Grid_TTAFBalance'!BZ36</f>
        <v/>
      </c>
      <c r="CA36">
        <f>'Grid_SelfBalance'!CA36+'Grid_TTAFBalance'!CA36</f>
        <v/>
      </c>
      <c r="CB36">
        <f>'Grid_SelfBalance'!CB36+'Grid_TTAFBalance'!CB36</f>
        <v/>
      </c>
      <c r="CC36">
        <f>'Grid_SelfBalance'!CC36+'Grid_TTAFBalance'!CC36</f>
        <v/>
      </c>
      <c r="CD36">
        <f>'Grid_SelfBalance'!CD36+'Grid_TTAFBalance'!CD36</f>
        <v/>
      </c>
      <c r="CE36">
        <f>'Grid_SelfBalance'!CE36+'Grid_TTAFBalance'!CE36</f>
        <v/>
      </c>
      <c r="CF36">
        <f>'Grid_SelfBalance'!CF36+'Grid_TTAFBalance'!CF36</f>
        <v/>
      </c>
      <c r="CG36">
        <f>'Grid_SelfBalance'!CG36+'Grid_TTAFBalance'!CG36</f>
        <v/>
      </c>
      <c r="CH36">
        <f>'Grid_SelfBalance'!CH36+'Grid_TTAFBalance'!CH36</f>
        <v/>
      </c>
      <c r="CI36">
        <f>'Grid_SelfBalance'!CI36+'Grid_TTAFBalance'!CI36</f>
        <v/>
      </c>
      <c r="CJ36">
        <f>'Grid_SelfBalance'!CJ36+'Grid_TTAFBalance'!CJ36</f>
        <v/>
      </c>
      <c r="CK36">
        <f>'Grid_SelfBalance'!CK36+'Grid_TTAFBalance'!CK36</f>
        <v/>
      </c>
      <c r="CL36">
        <f>'Grid_SelfBalance'!CL36+'Grid_TTAFBalance'!CL36</f>
        <v/>
      </c>
      <c r="CM36">
        <f>'Grid_SelfBalance'!CM36+'Grid_TTAFBalance'!CM36</f>
        <v/>
      </c>
      <c r="CN36">
        <f>'Grid_SelfBalance'!CN36+'Grid_TTAFBalance'!CN36</f>
        <v/>
      </c>
      <c r="CO36">
        <f>'Grid_SelfBalance'!CO36+'Grid_TTAFBalance'!CO36</f>
        <v/>
      </c>
      <c r="CP36">
        <f>'Grid_SelfBalance'!CP36+'Grid_TTAFBalance'!CP36</f>
        <v/>
      </c>
      <c r="CQ36">
        <f>'Grid_SelfBalance'!CQ36+'Grid_TTAFBalance'!CQ36</f>
        <v/>
      </c>
      <c r="CR36">
        <f>'Grid_SelfBalance'!CR36+'Grid_TTAFBalance'!CR36</f>
        <v/>
      </c>
      <c r="CS36">
        <f>'Grid_SelfBalance'!CS36+'Grid_TTAFBalance'!CS36</f>
        <v/>
      </c>
      <c r="CT36">
        <f>'Grid_SelfBalance'!CT36+'Grid_TTAFBalance'!CT36</f>
        <v/>
      </c>
      <c r="CU36">
        <f>'Grid_SelfBalance'!CU36+'Grid_TTAFBalance'!CU36</f>
        <v/>
      </c>
      <c r="CV36">
        <f>'Grid_SelfBalance'!CV36+'Grid_TTAFBalance'!CV36</f>
        <v/>
      </c>
      <c r="CW36">
        <f>'Grid_SelfBalance'!CW36+'Grid_TTAFBalance'!CW36</f>
        <v/>
      </c>
      <c r="CX36">
        <f>'Grid_SelfBalance'!CX36+'Grid_TTAFBalance'!CX36</f>
        <v/>
      </c>
      <c r="CY36">
        <f>'Grid_SelfBalance'!CY36+'Grid_TTAFBalance'!CY36</f>
        <v/>
      </c>
      <c r="CZ36">
        <f>'Grid_SelfBalance'!CZ36+'Grid_TTAFBalance'!CZ36</f>
        <v/>
      </c>
      <c r="DA36">
        <f>'Grid_SelfBalance'!DA36+'Grid_TTAFBalance'!DA36</f>
        <v/>
      </c>
    </row>
    <row r="37">
      <c r="A37" t="inlineStr">
        <is>
          <t>CHEM-1020</t>
        </is>
      </c>
      <c r="B37">
        <f>'Grid_SelfBalance'!B37+'Grid_TTAFBalance'!B37</f>
        <v/>
      </c>
      <c r="C37">
        <f>'Grid_SelfBalance'!C37+'Grid_TTAFBalance'!C37</f>
        <v/>
      </c>
      <c r="D37">
        <f>'Grid_SelfBalance'!D37+'Grid_TTAFBalance'!D37</f>
        <v/>
      </c>
      <c r="E37">
        <f>'Grid_SelfBalance'!E37+'Grid_TTAFBalance'!E37</f>
        <v/>
      </c>
      <c r="F37">
        <f>'Grid_SelfBalance'!F37+'Grid_TTAFBalance'!F37</f>
        <v/>
      </c>
      <c r="G37">
        <f>'Grid_SelfBalance'!G37+'Grid_TTAFBalance'!G37</f>
        <v/>
      </c>
      <c r="H37">
        <f>'Grid_SelfBalance'!H37+'Grid_TTAFBalance'!H37</f>
        <v/>
      </c>
      <c r="I37">
        <f>'Grid_SelfBalance'!I37+'Grid_TTAFBalance'!I37</f>
        <v/>
      </c>
      <c r="J37">
        <f>'Grid_SelfBalance'!J37+'Grid_TTAFBalance'!J37</f>
        <v/>
      </c>
      <c r="K37">
        <f>'Grid_SelfBalance'!K37+'Grid_TTAFBalance'!K37</f>
        <v/>
      </c>
      <c r="L37">
        <f>'Grid_SelfBalance'!L37+'Grid_TTAFBalance'!L37</f>
        <v/>
      </c>
      <c r="M37">
        <f>'Grid_SelfBalance'!M37+'Grid_TTAFBalance'!M37</f>
        <v/>
      </c>
      <c r="N37">
        <f>'Grid_SelfBalance'!N37+'Grid_TTAFBalance'!N37</f>
        <v/>
      </c>
      <c r="O37">
        <f>'Grid_SelfBalance'!O37+'Grid_TTAFBalance'!O37</f>
        <v/>
      </c>
      <c r="P37">
        <f>'Grid_SelfBalance'!P37+'Grid_TTAFBalance'!P37</f>
        <v/>
      </c>
      <c r="Q37">
        <f>'Grid_SelfBalance'!Q37+'Grid_TTAFBalance'!Q37</f>
        <v/>
      </c>
      <c r="R37">
        <f>'Grid_SelfBalance'!R37+'Grid_TTAFBalance'!R37</f>
        <v/>
      </c>
      <c r="S37">
        <f>'Grid_SelfBalance'!S37+'Grid_TTAFBalance'!S37</f>
        <v/>
      </c>
      <c r="T37">
        <f>'Grid_SelfBalance'!T37+'Grid_TTAFBalance'!T37</f>
        <v/>
      </c>
      <c r="U37">
        <f>'Grid_SelfBalance'!U37+'Grid_TTAFBalance'!U37</f>
        <v/>
      </c>
      <c r="V37">
        <f>'Grid_SelfBalance'!V37+'Grid_TTAFBalance'!V37</f>
        <v/>
      </c>
      <c r="W37">
        <f>'Grid_SelfBalance'!W37+'Grid_TTAFBalance'!W37</f>
        <v/>
      </c>
      <c r="X37">
        <f>'Grid_SelfBalance'!X37+'Grid_TTAFBalance'!X37</f>
        <v/>
      </c>
      <c r="Y37">
        <f>'Grid_SelfBalance'!Y37+'Grid_TTAFBalance'!Y37</f>
        <v/>
      </c>
      <c r="Z37">
        <f>'Grid_SelfBalance'!Z37+'Grid_TTAFBalance'!Z37</f>
        <v/>
      </c>
      <c r="AA37">
        <f>'Grid_SelfBalance'!AA37+'Grid_TTAFBalance'!AA37</f>
        <v/>
      </c>
      <c r="AB37">
        <f>'Grid_SelfBalance'!AB37+'Grid_TTAFBalance'!AB37</f>
        <v/>
      </c>
      <c r="AC37">
        <f>'Grid_SelfBalance'!AC37+'Grid_TTAFBalance'!AC37</f>
        <v/>
      </c>
      <c r="AD37">
        <f>'Grid_SelfBalance'!AD37+'Grid_TTAFBalance'!AD37</f>
        <v/>
      </c>
      <c r="AE37">
        <f>'Grid_SelfBalance'!AE37+'Grid_TTAFBalance'!AE37</f>
        <v/>
      </c>
      <c r="AF37">
        <f>'Grid_SelfBalance'!AF37+'Grid_TTAFBalance'!AF37</f>
        <v/>
      </c>
      <c r="AG37">
        <f>'Grid_SelfBalance'!AG37+'Grid_TTAFBalance'!AG37</f>
        <v/>
      </c>
      <c r="AH37">
        <f>'Grid_SelfBalance'!AH37+'Grid_TTAFBalance'!AH37</f>
        <v/>
      </c>
      <c r="AI37">
        <f>'Grid_SelfBalance'!AI37+'Grid_TTAFBalance'!AI37</f>
        <v/>
      </c>
      <c r="AJ37">
        <f>'Grid_SelfBalance'!AJ37+'Grid_TTAFBalance'!AJ37</f>
        <v/>
      </c>
      <c r="AK37">
        <f>'Grid_SelfBalance'!AK37+'Grid_TTAFBalance'!AK37</f>
        <v/>
      </c>
      <c r="AL37">
        <f>'Grid_SelfBalance'!AL37+'Grid_TTAFBalance'!AL37</f>
        <v/>
      </c>
      <c r="AM37">
        <f>'Grid_SelfBalance'!AM37+'Grid_TTAFBalance'!AM37</f>
        <v/>
      </c>
      <c r="AN37">
        <f>'Grid_SelfBalance'!AN37+'Grid_TTAFBalance'!AN37</f>
        <v/>
      </c>
      <c r="AO37">
        <f>'Grid_SelfBalance'!AO37+'Grid_TTAFBalance'!AO37</f>
        <v/>
      </c>
      <c r="AP37">
        <f>'Grid_SelfBalance'!AP37+'Grid_TTAFBalance'!AP37</f>
        <v/>
      </c>
      <c r="AQ37">
        <f>'Grid_SelfBalance'!AQ37+'Grid_TTAFBalance'!AQ37</f>
        <v/>
      </c>
      <c r="AR37">
        <f>'Grid_SelfBalance'!AR37+'Grid_TTAFBalance'!AR37</f>
        <v/>
      </c>
      <c r="AS37">
        <f>'Grid_SelfBalance'!AS37+'Grid_TTAFBalance'!AS37</f>
        <v/>
      </c>
      <c r="AT37">
        <f>'Grid_SelfBalance'!AT37+'Grid_TTAFBalance'!AT37</f>
        <v/>
      </c>
      <c r="AU37">
        <f>'Grid_SelfBalance'!AU37+'Grid_TTAFBalance'!AU37</f>
        <v/>
      </c>
      <c r="AV37">
        <f>'Grid_SelfBalance'!AV37+'Grid_TTAFBalance'!AV37</f>
        <v/>
      </c>
      <c r="AW37">
        <f>'Grid_SelfBalance'!AW37+'Grid_TTAFBalance'!AW37</f>
        <v/>
      </c>
      <c r="AX37">
        <f>'Grid_SelfBalance'!AX37+'Grid_TTAFBalance'!AX37</f>
        <v/>
      </c>
      <c r="AY37">
        <f>'Grid_SelfBalance'!AY37+'Grid_TTAFBalance'!AY37</f>
        <v/>
      </c>
      <c r="AZ37">
        <f>'Grid_SelfBalance'!AZ37+'Grid_TTAFBalance'!AZ37</f>
        <v/>
      </c>
      <c r="BA37">
        <f>'Grid_SelfBalance'!BA37+'Grid_TTAFBalance'!BA37</f>
        <v/>
      </c>
      <c r="BB37">
        <f>'Grid_SelfBalance'!BB37+'Grid_TTAFBalance'!BB37</f>
        <v/>
      </c>
      <c r="BC37">
        <f>'Grid_SelfBalance'!BC37+'Grid_TTAFBalance'!BC37</f>
        <v/>
      </c>
      <c r="BD37">
        <f>'Grid_SelfBalance'!BD37+'Grid_TTAFBalance'!BD37</f>
        <v/>
      </c>
      <c r="BE37">
        <f>'Grid_SelfBalance'!BE37+'Grid_TTAFBalance'!BE37</f>
        <v/>
      </c>
      <c r="BF37">
        <f>'Grid_SelfBalance'!BF37+'Grid_TTAFBalance'!BF37</f>
        <v/>
      </c>
      <c r="BG37">
        <f>'Grid_SelfBalance'!BG37+'Grid_TTAFBalance'!BG37</f>
        <v/>
      </c>
      <c r="BH37">
        <f>'Grid_SelfBalance'!BH37+'Grid_TTAFBalance'!BH37</f>
        <v/>
      </c>
      <c r="BI37">
        <f>'Grid_SelfBalance'!BI37+'Grid_TTAFBalance'!BI37</f>
        <v/>
      </c>
      <c r="BJ37">
        <f>'Grid_SelfBalance'!BJ37+'Grid_TTAFBalance'!BJ37</f>
        <v/>
      </c>
      <c r="BK37">
        <f>'Grid_SelfBalance'!BK37+'Grid_TTAFBalance'!BK37</f>
        <v/>
      </c>
      <c r="BL37">
        <f>'Grid_SelfBalance'!BL37+'Grid_TTAFBalance'!BL37</f>
        <v/>
      </c>
      <c r="BM37">
        <f>'Grid_SelfBalance'!BM37+'Grid_TTAFBalance'!BM37</f>
        <v/>
      </c>
      <c r="BN37">
        <f>'Grid_SelfBalance'!BN37+'Grid_TTAFBalance'!BN37</f>
        <v/>
      </c>
      <c r="BO37">
        <f>'Grid_SelfBalance'!BO37+'Grid_TTAFBalance'!BO37</f>
        <v/>
      </c>
      <c r="BP37">
        <f>'Grid_SelfBalance'!BP37+'Grid_TTAFBalance'!BP37</f>
        <v/>
      </c>
      <c r="BQ37">
        <f>'Grid_SelfBalance'!BQ37+'Grid_TTAFBalance'!BQ37</f>
        <v/>
      </c>
      <c r="BR37">
        <f>'Grid_SelfBalance'!BR37+'Grid_TTAFBalance'!BR37</f>
        <v/>
      </c>
      <c r="BS37">
        <f>'Grid_SelfBalance'!BS37+'Grid_TTAFBalance'!BS37</f>
        <v/>
      </c>
      <c r="BT37">
        <f>'Grid_SelfBalance'!BT37+'Grid_TTAFBalance'!BT37</f>
        <v/>
      </c>
      <c r="BU37">
        <f>'Grid_SelfBalance'!BU37+'Grid_TTAFBalance'!BU37</f>
        <v/>
      </c>
      <c r="BV37">
        <f>'Grid_SelfBalance'!BV37+'Grid_TTAFBalance'!BV37</f>
        <v/>
      </c>
      <c r="BW37">
        <f>'Grid_SelfBalance'!BW37+'Grid_TTAFBalance'!BW37</f>
        <v/>
      </c>
      <c r="BX37">
        <f>'Grid_SelfBalance'!BX37+'Grid_TTAFBalance'!BX37</f>
        <v/>
      </c>
      <c r="BY37">
        <f>'Grid_SelfBalance'!BY37+'Grid_TTAFBalance'!BY37</f>
        <v/>
      </c>
      <c r="BZ37">
        <f>'Grid_SelfBalance'!BZ37+'Grid_TTAFBalance'!BZ37</f>
        <v/>
      </c>
      <c r="CA37">
        <f>'Grid_SelfBalance'!CA37+'Grid_TTAFBalance'!CA37</f>
        <v/>
      </c>
      <c r="CB37">
        <f>'Grid_SelfBalance'!CB37+'Grid_TTAFBalance'!CB37</f>
        <v/>
      </c>
      <c r="CC37">
        <f>'Grid_SelfBalance'!CC37+'Grid_TTAFBalance'!CC37</f>
        <v/>
      </c>
      <c r="CD37">
        <f>'Grid_SelfBalance'!CD37+'Grid_TTAFBalance'!CD37</f>
        <v/>
      </c>
      <c r="CE37">
        <f>'Grid_SelfBalance'!CE37+'Grid_TTAFBalance'!CE37</f>
        <v/>
      </c>
      <c r="CF37">
        <f>'Grid_SelfBalance'!CF37+'Grid_TTAFBalance'!CF37</f>
        <v/>
      </c>
      <c r="CG37">
        <f>'Grid_SelfBalance'!CG37+'Grid_TTAFBalance'!CG37</f>
        <v/>
      </c>
      <c r="CH37">
        <f>'Grid_SelfBalance'!CH37+'Grid_TTAFBalance'!CH37</f>
        <v/>
      </c>
      <c r="CI37">
        <f>'Grid_SelfBalance'!CI37+'Grid_TTAFBalance'!CI37</f>
        <v/>
      </c>
      <c r="CJ37">
        <f>'Grid_SelfBalance'!CJ37+'Grid_TTAFBalance'!CJ37</f>
        <v/>
      </c>
      <c r="CK37">
        <f>'Grid_SelfBalance'!CK37+'Grid_TTAFBalance'!CK37</f>
        <v/>
      </c>
      <c r="CL37">
        <f>'Grid_SelfBalance'!CL37+'Grid_TTAFBalance'!CL37</f>
        <v/>
      </c>
      <c r="CM37">
        <f>'Grid_SelfBalance'!CM37+'Grid_TTAFBalance'!CM37</f>
        <v/>
      </c>
      <c r="CN37">
        <f>'Grid_SelfBalance'!CN37+'Grid_TTAFBalance'!CN37</f>
        <v/>
      </c>
      <c r="CO37">
        <f>'Grid_SelfBalance'!CO37+'Grid_TTAFBalance'!CO37</f>
        <v/>
      </c>
      <c r="CP37">
        <f>'Grid_SelfBalance'!CP37+'Grid_TTAFBalance'!CP37</f>
        <v/>
      </c>
      <c r="CQ37">
        <f>'Grid_SelfBalance'!CQ37+'Grid_TTAFBalance'!CQ37</f>
        <v/>
      </c>
      <c r="CR37">
        <f>'Grid_SelfBalance'!CR37+'Grid_TTAFBalance'!CR37</f>
        <v/>
      </c>
      <c r="CS37">
        <f>'Grid_SelfBalance'!CS37+'Grid_TTAFBalance'!CS37</f>
        <v/>
      </c>
      <c r="CT37">
        <f>'Grid_SelfBalance'!CT37+'Grid_TTAFBalance'!CT37</f>
        <v/>
      </c>
      <c r="CU37">
        <f>'Grid_SelfBalance'!CU37+'Grid_TTAFBalance'!CU37</f>
        <v/>
      </c>
      <c r="CV37">
        <f>'Grid_SelfBalance'!CV37+'Grid_TTAFBalance'!CV37</f>
        <v/>
      </c>
      <c r="CW37">
        <f>'Grid_SelfBalance'!CW37+'Grid_TTAFBalance'!CW37</f>
        <v/>
      </c>
      <c r="CX37">
        <f>'Grid_SelfBalance'!CX37+'Grid_TTAFBalance'!CX37</f>
        <v/>
      </c>
      <c r="CY37">
        <f>'Grid_SelfBalance'!CY37+'Grid_TTAFBalance'!CY37</f>
        <v/>
      </c>
      <c r="CZ37">
        <f>'Grid_SelfBalance'!CZ37+'Grid_TTAFBalance'!CZ37</f>
        <v/>
      </c>
      <c r="DA37">
        <f>'Grid_SelfBalance'!DA37+'Grid_TTAFBalance'!DA37</f>
        <v/>
      </c>
    </row>
    <row r="38">
      <c r="A38" t="inlineStr">
        <is>
          <t>Ester Film</t>
        </is>
      </c>
      <c r="B38">
        <f>'Grid_SelfBalance'!B38+'Grid_TTAFBalance'!B38</f>
        <v/>
      </c>
      <c r="C38">
        <f>'Grid_SelfBalance'!C38+'Grid_TTAFBalance'!C38</f>
        <v/>
      </c>
      <c r="D38">
        <f>'Grid_SelfBalance'!D38+'Grid_TTAFBalance'!D38</f>
        <v/>
      </c>
      <c r="E38">
        <f>'Grid_SelfBalance'!E38+'Grid_TTAFBalance'!E38</f>
        <v/>
      </c>
      <c r="F38">
        <f>'Grid_SelfBalance'!F38+'Grid_TTAFBalance'!F38</f>
        <v/>
      </c>
      <c r="G38">
        <f>'Grid_SelfBalance'!G38+'Grid_TTAFBalance'!G38</f>
        <v/>
      </c>
      <c r="H38">
        <f>'Grid_SelfBalance'!H38+'Grid_TTAFBalance'!H38</f>
        <v/>
      </c>
      <c r="I38">
        <f>'Grid_SelfBalance'!I38+'Grid_TTAFBalance'!I38</f>
        <v/>
      </c>
      <c r="J38">
        <f>'Grid_SelfBalance'!J38+'Grid_TTAFBalance'!J38</f>
        <v/>
      </c>
      <c r="K38">
        <f>'Grid_SelfBalance'!K38+'Grid_TTAFBalance'!K38</f>
        <v/>
      </c>
      <c r="L38">
        <f>'Grid_SelfBalance'!L38+'Grid_TTAFBalance'!L38</f>
        <v/>
      </c>
      <c r="M38">
        <f>'Grid_SelfBalance'!M38+'Grid_TTAFBalance'!M38</f>
        <v/>
      </c>
      <c r="N38">
        <f>'Grid_SelfBalance'!N38+'Grid_TTAFBalance'!N38</f>
        <v/>
      </c>
      <c r="O38">
        <f>'Grid_SelfBalance'!O38+'Grid_TTAFBalance'!O38</f>
        <v/>
      </c>
      <c r="P38">
        <f>'Grid_SelfBalance'!P38+'Grid_TTAFBalance'!P38</f>
        <v/>
      </c>
      <c r="Q38">
        <f>'Grid_SelfBalance'!Q38+'Grid_TTAFBalance'!Q38</f>
        <v/>
      </c>
      <c r="R38">
        <f>'Grid_SelfBalance'!R38+'Grid_TTAFBalance'!R38</f>
        <v/>
      </c>
      <c r="S38">
        <f>'Grid_SelfBalance'!S38+'Grid_TTAFBalance'!S38</f>
        <v/>
      </c>
      <c r="T38">
        <f>'Grid_SelfBalance'!T38+'Grid_TTAFBalance'!T38</f>
        <v/>
      </c>
      <c r="U38">
        <f>'Grid_SelfBalance'!U38+'Grid_TTAFBalance'!U38</f>
        <v/>
      </c>
      <c r="V38">
        <f>'Grid_SelfBalance'!V38+'Grid_TTAFBalance'!V38</f>
        <v/>
      </c>
      <c r="W38">
        <f>'Grid_SelfBalance'!W38+'Grid_TTAFBalance'!W38</f>
        <v/>
      </c>
      <c r="X38">
        <f>'Grid_SelfBalance'!X38+'Grid_TTAFBalance'!X38</f>
        <v/>
      </c>
      <c r="Y38">
        <f>'Grid_SelfBalance'!Y38+'Grid_TTAFBalance'!Y38</f>
        <v/>
      </c>
      <c r="Z38">
        <f>'Grid_SelfBalance'!Z38+'Grid_TTAFBalance'!Z38</f>
        <v/>
      </c>
      <c r="AA38">
        <f>'Grid_SelfBalance'!AA38+'Grid_TTAFBalance'!AA38</f>
        <v/>
      </c>
      <c r="AB38">
        <f>'Grid_SelfBalance'!AB38+'Grid_TTAFBalance'!AB38</f>
        <v/>
      </c>
      <c r="AC38">
        <f>'Grid_SelfBalance'!AC38+'Grid_TTAFBalance'!AC38</f>
        <v/>
      </c>
      <c r="AD38">
        <f>'Grid_SelfBalance'!AD38+'Grid_TTAFBalance'!AD38</f>
        <v/>
      </c>
      <c r="AE38">
        <f>'Grid_SelfBalance'!AE38+'Grid_TTAFBalance'!AE38</f>
        <v/>
      </c>
      <c r="AF38">
        <f>'Grid_SelfBalance'!AF38+'Grid_TTAFBalance'!AF38</f>
        <v/>
      </c>
      <c r="AG38">
        <f>'Grid_SelfBalance'!AG38+'Grid_TTAFBalance'!AG38</f>
        <v/>
      </c>
      <c r="AH38">
        <f>'Grid_SelfBalance'!AH38+'Grid_TTAFBalance'!AH38</f>
        <v/>
      </c>
      <c r="AI38">
        <f>'Grid_SelfBalance'!AI38+'Grid_TTAFBalance'!AI38</f>
        <v/>
      </c>
      <c r="AJ38">
        <f>'Grid_SelfBalance'!AJ38+'Grid_TTAFBalance'!AJ38</f>
        <v/>
      </c>
      <c r="AK38">
        <f>'Grid_SelfBalance'!AK38+'Grid_TTAFBalance'!AK38</f>
        <v/>
      </c>
      <c r="AL38">
        <f>'Grid_SelfBalance'!AL38+'Grid_TTAFBalance'!AL38</f>
        <v/>
      </c>
      <c r="AM38">
        <f>'Grid_SelfBalance'!AM38+'Grid_TTAFBalance'!AM38</f>
        <v/>
      </c>
      <c r="AN38">
        <f>'Grid_SelfBalance'!AN38+'Grid_TTAFBalance'!AN38</f>
        <v/>
      </c>
      <c r="AO38">
        <f>'Grid_SelfBalance'!AO38+'Grid_TTAFBalance'!AO38</f>
        <v/>
      </c>
      <c r="AP38">
        <f>'Grid_SelfBalance'!AP38+'Grid_TTAFBalance'!AP38</f>
        <v/>
      </c>
      <c r="AQ38">
        <f>'Grid_SelfBalance'!AQ38+'Grid_TTAFBalance'!AQ38</f>
        <v/>
      </c>
      <c r="AR38">
        <f>'Grid_SelfBalance'!AR38+'Grid_TTAFBalance'!AR38</f>
        <v/>
      </c>
      <c r="AS38">
        <f>'Grid_SelfBalance'!AS38+'Grid_TTAFBalance'!AS38</f>
        <v/>
      </c>
      <c r="AT38">
        <f>'Grid_SelfBalance'!AT38+'Grid_TTAFBalance'!AT38</f>
        <v/>
      </c>
      <c r="AU38">
        <f>'Grid_SelfBalance'!AU38+'Grid_TTAFBalance'!AU38</f>
        <v/>
      </c>
      <c r="AV38">
        <f>'Grid_SelfBalance'!AV38+'Grid_TTAFBalance'!AV38</f>
        <v/>
      </c>
      <c r="AW38">
        <f>'Grid_SelfBalance'!AW38+'Grid_TTAFBalance'!AW38</f>
        <v/>
      </c>
      <c r="AX38">
        <f>'Grid_SelfBalance'!AX38+'Grid_TTAFBalance'!AX38</f>
        <v/>
      </c>
      <c r="AY38">
        <f>'Grid_SelfBalance'!AY38+'Grid_TTAFBalance'!AY38</f>
        <v/>
      </c>
      <c r="AZ38">
        <f>'Grid_SelfBalance'!AZ38+'Grid_TTAFBalance'!AZ38</f>
        <v/>
      </c>
      <c r="BA38">
        <f>'Grid_SelfBalance'!BA38+'Grid_TTAFBalance'!BA38</f>
        <v/>
      </c>
      <c r="BB38">
        <f>'Grid_SelfBalance'!BB38+'Grid_TTAFBalance'!BB38</f>
        <v/>
      </c>
      <c r="BC38">
        <f>'Grid_SelfBalance'!BC38+'Grid_TTAFBalance'!BC38</f>
        <v/>
      </c>
      <c r="BD38">
        <f>'Grid_SelfBalance'!BD38+'Grid_TTAFBalance'!BD38</f>
        <v/>
      </c>
      <c r="BE38">
        <f>'Grid_SelfBalance'!BE38+'Grid_TTAFBalance'!BE38</f>
        <v/>
      </c>
      <c r="BF38">
        <f>'Grid_SelfBalance'!BF38+'Grid_TTAFBalance'!BF38</f>
        <v/>
      </c>
      <c r="BG38">
        <f>'Grid_SelfBalance'!BG38+'Grid_TTAFBalance'!BG38</f>
        <v/>
      </c>
      <c r="BH38">
        <f>'Grid_SelfBalance'!BH38+'Grid_TTAFBalance'!BH38</f>
        <v/>
      </c>
      <c r="BI38">
        <f>'Grid_SelfBalance'!BI38+'Grid_TTAFBalance'!BI38</f>
        <v/>
      </c>
      <c r="BJ38">
        <f>'Grid_SelfBalance'!BJ38+'Grid_TTAFBalance'!BJ38</f>
        <v/>
      </c>
      <c r="BK38">
        <f>'Grid_SelfBalance'!BK38+'Grid_TTAFBalance'!BK38</f>
        <v/>
      </c>
      <c r="BL38">
        <f>'Grid_SelfBalance'!BL38+'Grid_TTAFBalance'!BL38</f>
        <v/>
      </c>
      <c r="BM38">
        <f>'Grid_SelfBalance'!BM38+'Grid_TTAFBalance'!BM38</f>
        <v/>
      </c>
      <c r="BN38">
        <f>'Grid_SelfBalance'!BN38+'Grid_TTAFBalance'!BN38</f>
        <v/>
      </c>
      <c r="BO38">
        <f>'Grid_SelfBalance'!BO38+'Grid_TTAFBalance'!BO38</f>
        <v/>
      </c>
      <c r="BP38">
        <f>'Grid_SelfBalance'!BP38+'Grid_TTAFBalance'!BP38</f>
        <v/>
      </c>
      <c r="BQ38">
        <f>'Grid_SelfBalance'!BQ38+'Grid_TTAFBalance'!BQ38</f>
        <v/>
      </c>
      <c r="BR38">
        <f>'Grid_SelfBalance'!BR38+'Grid_TTAFBalance'!BR38</f>
        <v/>
      </c>
      <c r="BS38">
        <f>'Grid_SelfBalance'!BS38+'Grid_TTAFBalance'!BS38</f>
        <v/>
      </c>
      <c r="BT38">
        <f>'Grid_SelfBalance'!BT38+'Grid_TTAFBalance'!BT38</f>
        <v/>
      </c>
      <c r="BU38">
        <f>'Grid_SelfBalance'!BU38+'Grid_TTAFBalance'!BU38</f>
        <v/>
      </c>
      <c r="BV38">
        <f>'Grid_SelfBalance'!BV38+'Grid_TTAFBalance'!BV38</f>
        <v/>
      </c>
      <c r="BW38">
        <f>'Grid_SelfBalance'!BW38+'Grid_TTAFBalance'!BW38</f>
        <v/>
      </c>
      <c r="BX38">
        <f>'Grid_SelfBalance'!BX38+'Grid_TTAFBalance'!BX38</f>
        <v/>
      </c>
      <c r="BY38">
        <f>'Grid_SelfBalance'!BY38+'Grid_TTAFBalance'!BY38</f>
        <v/>
      </c>
      <c r="BZ38">
        <f>'Grid_SelfBalance'!BZ38+'Grid_TTAFBalance'!BZ38</f>
        <v/>
      </c>
      <c r="CA38">
        <f>'Grid_SelfBalance'!CA38+'Grid_TTAFBalance'!CA38</f>
        <v/>
      </c>
      <c r="CB38">
        <f>'Grid_SelfBalance'!CB38+'Grid_TTAFBalance'!CB38</f>
        <v/>
      </c>
      <c r="CC38">
        <f>'Grid_SelfBalance'!CC38+'Grid_TTAFBalance'!CC38</f>
        <v/>
      </c>
      <c r="CD38">
        <f>'Grid_SelfBalance'!CD38+'Grid_TTAFBalance'!CD38</f>
        <v/>
      </c>
      <c r="CE38">
        <f>'Grid_SelfBalance'!CE38+'Grid_TTAFBalance'!CE38</f>
        <v/>
      </c>
      <c r="CF38">
        <f>'Grid_SelfBalance'!CF38+'Grid_TTAFBalance'!CF38</f>
        <v/>
      </c>
      <c r="CG38">
        <f>'Grid_SelfBalance'!CG38+'Grid_TTAFBalance'!CG38</f>
        <v/>
      </c>
      <c r="CH38">
        <f>'Grid_SelfBalance'!CH38+'Grid_TTAFBalance'!CH38</f>
        <v/>
      </c>
      <c r="CI38">
        <f>'Grid_SelfBalance'!CI38+'Grid_TTAFBalance'!CI38</f>
        <v/>
      </c>
      <c r="CJ38">
        <f>'Grid_SelfBalance'!CJ38+'Grid_TTAFBalance'!CJ38</f>
        <v/>
      </c>
      <c r="CK38">
        <f>'Grid_SelfBalance'!CK38+'Grid_TTAFBalance'!CK38</f>
        <v/>
      </c>
      <c r="CL38">
        <f>'Grid_SelfBalance'!CL38+'Grid_TTAFBalance'!CL38</f>
        <v/>
      </c>
      <c r="CM38">
        <f>'Grid_SelfBalance'!CM38+'Grid_TTAFBalance'!CM38</f>
        <v/>
      </c>
      <c r="CN38">
        <f>'Grid_SelfBalance'!CN38+'Grid_TTAFBalance'!CN38</f>
        <v/>
      </c>
      <c r="CO38">
        <f>'Grid_SelfBalance'!CO38+'Grid_TTAFBalance'!CO38</f>
        <v/>
      </c>
      <c r="CP38">
        <f>'Grid_SelfBalance'!CP38+'Grid_TTAFBalance'!CP38</f>
        <v/>
      </c>
      <c r="CQ38">
        <f>'Grid_SelfBalance'!CQ38+'Grid_TTAFBalance'!CQ38</f>
        <v/>
      </c>
      <c r="CR38">
        <f>'Grid_SelfBalance'!CR38+'Grid_TTAFBalance'!CR38</f>
        <v/>
      </c>
      <c r="CS38">
        <f>'Grid_SelfBalance'!CS38+'Grid_TTAFBalance'!CS38</f>
        <v/>
      </c>
      <c r="CT38">
        <f>'Grid_SelfBalance'!CT38+'Grid_TTAFBalance'!CT38</f>
        <v/>
      </c>
      <c r="CU38">
        <f>'Grid_SelfBalance'!CU38+'Grid_TTAFBalance'!CU38</f>
        <v/>
      </c>
      <c r="CV38">
        <f>'Grid_SelfBalance'!CV38+'Grid_TTAFBalance'!CV38</f>
        <v/>
      </c>
      <c r="CW38">
        <f>'Grid_SelfBalance'!CW38+'Grid_TTAFBalance'!CW38</f>
        <v/>
      </c>
      <c r="CX38">
        <f>'Grid_SelfBalance'!CX38+'Grid_TTAFBalance'!CX38</f>
        <v/>
      </c>
      <c r="CY38">
        <f>'Grid_SelfBalance'!CY38+'Grid_TTAFBalance'!CY38</f>
        <v/>
      </c>
      <c r="CZ38">
        <f>'Grid_SelfBalance'!CZ38+'Grid_TTAFBalance'!CZ38</f>
        <v/>
      </c>
      <c r="DA38">
        <f>'Grid_SelfBalance'!DA38+'Grid_TTAFBalance'!DA38</f>
        <v/>
      </c>
    </row>
    <row r="39">
      <c r="A39" t="inlineStr">
        <is>
          <t>PP Film</t>
        </is>
      </c>
      <c r="B39">
        <f>'Grid_SelfBalance'!B39+'Grid_TTAFBalance'!B39</f>
        <v/>
      </c>
      <c r="C39">
        <f>'Grid_SelfBalance'!C39+'Grid_TTAFBalance'!C39</f>
        <v/>
      </c>
      <c r="D39">
        <f>'Grid_SelfBalance'!D39+'Grid_TTAFBalance'!D39</f>
        <v/>
      </c>
      <c r="E39">
        <f>'Grid_SelfBalance'!E39+'Grid_TTAFBalance'!E39</f>
        <v/>
      </c>
      <c r="F39">
        <f>'Grid_SelfBalance'!F39+'Grid_TTAFBalance'!F39</f>
        <v/>
      </c>
      <c r="G39">
        <f>'Grid_SelfBalance'!G39+'Grid_TTAFBalance'!G39</f>
        <v/>
      </c>
      <c r="H39">
        <f>'Grid_SelfBalance'!H39+'Grid_TTAFBalance'!H39</f>
        <v/>
      </c>
      <c r="I39">
        <f>'Grid_SelfBalance'!I39+'Grid_TTAFBalance'!I39</f>
        <v/>
      </c>
      <c r="J39">
        <f>'Grid_SelfBalance'!J39+'Grid_TTAFBalance'!J39</f>
        <v/>
      </c>
      <c r="K39">
        <f>'Grid_SelfBalance'!K39+'Grid_TTAFBalance'!K39</f>
        <v/>
      </c>
      <c r="L39">
        <f>'Grid_SelfBalance'!L39+'Grid_TTAFBalance'!L39</f>
        <v/>
      </c>
      <c r="M39">
        <f>'Grid_SelfBalance'!M39+'Grid_TTAFBalance'!M39</f>
        <v/>
      </c>
      <c r="N39">
        <f>'Grid_SelfBalance'!N39+'Grid_TTAFBalance'!N39</f>
        <v/>
      </c>
      <c r="O39">
        <f>'Grid_SelfBalance'!O39+'Grid_TTAFBalance'!O39</f>
        <v/>
      </c>
      <c r="P39">
        <f>'Grid_SelfBalance'!P39+'Grid_TTAFBalance'!P39</f>
        <v/>
      </c>
      <c r="Q39">
        <f>'Grid_SelfBalance'!Q39+'Grid_TTAFBalance'!Q39</f>
        <v/>
      </c>
      <c r="R39">
        <f>'Grid_SelfBalance'!R39+'Grid_TTAFBalance'!R39</f>
        <v/>
      </c>
      <c r="S39">
        <f>'Grid_SelfBalance'!S39+'Grid_TTAFBalance'!S39</f>
        <v/>
      </c>
      <c r="T39">
        <f>'Grid_SelfBalance'!T39+'Grid_TTAFBalance'!T39</f>
        <v/>
      </c>
      <c r="U39">
        <f>'Grid_SelfBalance'!U39+'Grid_TTAFBalance'!U39</f>
        <v/>
      </c>
      <c r="V39">
        <f>'Grid_SelfBalance'!V39+'Grid_TTAFBalance'!V39</f>
        <v/>
      </c>
      <c r="W39">
        <f>'Grid_SelfBalance'!W39+'Grid_TTAFBalance'!W39</f>
        <v/>
      </c>
      <c r="X39">
        <f>'Grid_SelfBalance'!X39+'Grid_TTAFBalance'!X39</f>
        <v/>
      </c>
      <c r="Y39">
        <f>'Grid_SelfBalance'!Y39+'Grid_TTAFBalance'!Y39</f>
        <v/>
      </c>
      <c r="Z39">
        <f>'Grid_SelfBalance'!Z39+'Grid_TTAFBalance'!Z39</f>
        <v/>
      </c>
      <c r="AA39">
        <f>'Grid_SelfBalance'!AA39+'Grid_TTAFBalance'!AA39</f>
        <v/>
      </c>
      <c r="AB39">
        <f>'Grid_SelfBalance'!AB39+'Grid_TTAFBalance'!AB39</f>
        <v/>
      </c>
      <c r="AC39">
        <f>'Grid_SelfBalance'!AC39+'Grid_TTAFBalance'!AC39</f>
        <v/>
      </c>
      <c r="AD39">
        <f>'Grid_SelfBalance'!AD39+'Grid_TTAFBalance'!AD39</f>
        <v/>
      </c>
      <c r="AE39">
        <f>'Grid_SelfBalance'!AE39+'Grid_TTAFBalance'!AE39</f>
        <v/>
      </c>
      <c r="AF39">
        <f>'Grid_SelfBalance'!AF39+'Grid_TTAFBalance'!AF39</f>
        <v/>
      </c>
      <c r="AG39">
        <f>'Grid_SelfBalance'!AG39+'Grid_TTAFBalance'!AG39</f>
        <v/>
      </c>
      <c r="AH39">
        <f>'Grid_SelfBalance'!AH39+'Grid_TTAFBalance'!AH39</f>
        <v/>
      </c>
      <c r="AI39">
        <f>'Grid_SelfBalance'!AI39+'Grid_TTAFBalance'!AI39</f>
        <v/>
      </c>
      <c r="AJ39">
        <f>'Grid_SelfBalance'!AJ39+'Grid_TTAFBalance'!AJ39</f>
        <v/>
      </c>
      <c r="AK39">
        <f>'Grid_SelfBalance'!AK39+'Grid_TTAFBalance'!AK39</f>
        <v/>
      </c>
      <c r="AL39">
        <f>'Grid_SelfBalance'!AL39+'Grid_TTAFBalance'!AL39</f>
        <v/>
      </c>
      <c r="AM39">
        <f>'Grid_SelfBalance'!AM39+'Grid_TTAFBalance'!AM39</f>
        <v/>
      </c>
      <c r="AN39">
        <f>'Grid_SelfBalance'!AN39+'Grid_TTAFBalance'!AN39</f>
        <v/>
      </c>
      <c r="AO39">
        <f>'Grid_SelfBalance'!AO39+'Grid_TTAFBalance'!AO39</f>
        <v/>
      </c>
      <c r="AP39">
        <f>'Grid_SelfBalance'!AP39+'Grid_TTAFBalance'!AP39</f>
        <v/>
      </c>
      <c r="AQ39">
        <f>'Grid_SelfBalance'!AQ39+'Grid_TTAFBalance'!AQ39</f>
        <v/>
      </c>
      <c r="AR39">
        <f>'Grid_SelfBalance'!AR39+'Grid_TTAFBalance'!AR39</f>
        <v/>
      </c>
      <c r="AS39">
        <f>'Grid_SelfBalance'!AS39+'Grid_TTAFBalance'!AS39</f>
        <v/>
      </c>
      <c r="AT39">
        <f>'Grid_SelfBalance'!AT39+'Grid_TTAFBalance'!AT39</f>
        <v/>
      </c>
      <c r="AU39">
        <f>'Grid_SelfBalance'!AU39+'Grid_TTAFBalance'!AU39</f>
        <v/>
      </c>
      <c r="AV39">
        <f>'Grid_SelfBalance'!AV39+'Grid_TTAFBalance'!AV39</f>
        <v/>
      </c>
      <c r="AW39">
        <f>'Grid_SelfBalance'!AW39+'Grid_TTAFBalance'!AW39</f>
        <v/>
      </c>
      <c r="AX39">
        <f>'Grid_SelfBalance'!AX39+'Grid_TTAFBalance'!AX39</f>
        <v/>
      </c>
      <c r="AY39">
        <f>'Grid_SelfBalance'!AY39+'Grid_TTAFBalance'!AY39</f>
        <v/>
      </c>
      <c r="AZ39">
        <f>'Grid_SelfBalance'!AZ39+'Grid_TTAFBalance'!AZ39</f>
        <v/>
      </c>
      <c r="BA39">
        <f>'Grid_SelfBalance'!BA39+'Grid_TTAFBalance'!BA39</f>
        <v/>
      </c>
      <c r="BB39">
        <f>'Grid_SelfBalance'!BB39+'Grid_TTAFBalance'!BB39</f>
        <v/>
      </c>
      <c r="BC39">
        <f>'Grid_SelfBalance'!BC39+'Grid_TTAFBalance'!BC39</f>
        <v/>
      </c>
      <c r="BD39">
        <f>'Grid_SelfBalance'!BD39+'Grid_TTAFBalance'!BD39</f>
        <v/>
      </c>
      <c r="BE39">
        <f>'Grid_SelfBalance'!BE39+'Grid_TTAFBalance'!BE39</f>
        <v/>
      </c>
      <c r="BF39">
        <f>'Grid_SelfBalance'!BF39+'Grid_TTAFBalance'!BF39</f>
        <v/>
      </c>
      <c r="BG39">
        <f>'Grid_SelfBalance'!BG39+'Grid_TTAFBalance'!BG39</f>
        <v/>
      </c>
      <c r="BH39">
        <f>'Grid_SelfBalance'!BH39+'Grid_TTAFBalance'!BH39</f>
        <v/>
      </c>
      <c r="BI39">
        <f>'Grid_SelfBalance'!BI39+'Grid_TTAFBalance'!BI39</f>
        <v/>
      </c>
      <c r="BJ39">
        <f>'Grid_SelfBalance'!BJ39+'Grid_TTAFBalance'!BJ39</f>
        <v/>
      </c>
      <c r="BK39">
        <f>'Grid_SelfBalance'!BK39+'Grid_TTAFBalance'!BK39</f>
        <v/>
      </c>
      <c r="BL39">
        <f>'Grid_SelfBalance'!BL39+'Grid_TTAFBalance'!BL39</f>
        <v/>
      </c>
      <c r="BM39">
        <f>'Grid_SelfBalance'!BM39+'Grid_TTAFBalance'!BM39</f>
        <v/>
      </c>
      <c r="BN39">
        <f>'Grid_SelfBalance'!BN39+'Grid_TTAFBalance'!BN39</f>
        <v/>
      </c>
      <c r="BO39">
        <f>'Grid_SelfBalance'!BO39+'Grid_TTAFBalance'!BO39</f>
        <v/>
      </c>
      <c r="BP39">
        <f>'Grid_SelfBalance'!BP39+'Grid_TTAFBalance'!BP39</f>
        <v/>
      </c>
      <c r="BQ39">
        <f>'Grid_SelfBalance'!BQ39+'Grid_TTAFBalance'!BQ39</f>
        <v/>
      </c>
      <c r="BR39">
        <f>'Grid_SelfBalance'!BR39+'Grid_TTAFBalance'!BR39</f>
        <v/>
      </c>
      <c r="BS39">
        <f>'Grid_SelfBalance'!BS39+'Grid_TTAFBalance'!BS39</f>
        <v/>
      </c>
      <c r="BT39">
        <f>'Grid_SelfBalance'!BT39+'Grid_TTAFBalance'!BT39</f>
        <v/>
      </c>
      <c r="BU39">
        <f>'Grid_SelfBalance'!BU39+'Grid_TTAFBalance'!BU39</f>
        <v/>
      </c>
      <c r="BV39">
        <f>'Grid_SelfBalance'!BV39+'Grid_TTAFBalance'!BV39</f>
        <v/>
      </c>
      <c r="BW39">
        <f>'Grid_SelfBalance'!BW39+'Grid_TTAFBalance'!BW39</f>
        <v/>
      </c>
      <c r="BX39">
        <f>'Grid_SelfBalance'!BX39+'Grid_TTAFBalance'!BX39</f>
        <v/>
      </c>
      <c r="BY39">
        <f>'Grid_SelfBalance'!BY39+'Grid_TTAFBalance'!BY39</f>
        <v/>
      </c>
      <c r="BZ39">
        <f>'Grid_SelfBalance'!BZ39+'Grid_TTAFBalance'!BZ39</f>
        <v/>
      </c>
      <c r="CA39">
        <f>'Grid_SelfBalance'!CA39+'Grid_TTAFBalance'!CA39</f>
        <v/>
      </c>
      <c r="CB39">
        <f>'Grid_SelfBalance'!CB39+'Grid_TTAFBalance'!CB39</f>
        <v/>
      </c>
      <c r="CC39">
        <f>'Grid_SelfBalance'!CC39+'Grid_TTAFBalance'!CC39</f>
        <v/>
      </c>
      <c r="CD39">
        <f>'Grid_SelfBalance'!CD39+'Grid_TTAFBalance'!CD39</f>
        <v/>
      </c>
      <c r="CE39">
        <f>'Grid_SelfBalance'!CE39+'Grid_TTAFBalance'!CE39</f>
        <v/>
      </c>
      <c r="CF39">
        <f>'Grid_SelfBalance'!CF39+'Grid_TTAFBalance'!CF39</f>
        <v/>
      </c>
      <c r="CG39">
        <f>'Grid_SelfBalance'!CG39+'Grid_TTAFBalance'!CG39</f>
        <v/>
      </c>
      <c r="CH39">
        <f>'Grid_SelfBalance'!CH39+'Grid_TTAFBalance'!CH39</f>
        <v/>
      </c>
      <c r="CI39">
        <f>'Grid_SelfBalance'!CI39+'Grid_TTAFBalance'!CI39</f>
        <v/>
      </c>
      <c r="CJ39">
        <f>'Grid_SelfBalance'!CJ39+'Grid_TTAFBalance'!CJ39</f>
        <v/>
      </c>
      <c r="CK39">
        <f>'Grid_SelfBalance'!CK39+'Grid_TTAFBalance'!CK39</f>
        <v/>
      </c>
      <c r="CL39">
        <f>'Grid_SelfBalance'!CL39+'Grid_TTAFBalance'!CL39</f>
        <v/>
      </c>
      <c r="CM39">
        <f>'Grid_SelfBalance'!CM39+'Grid_TTAFBalance'!CM39</f>
        <v/>
      </c>
      <c r="CN39">
        <f>'Grid_SelfBalance'!CN39+'Grid_TTAFBalance'!CN39</f>
        <v/>
      </c>
      <c r="CO39">
        <f>'Grid_SelfBalance'!CO39+'Grid_TTAFBalance'!CO39</f>
        <v/>
      </c>
      <c r="CP39">
        <f>'Grid_SelfBalance'!CP39+'Grid_TTAFBalance'!CP39</f>
        <v/>
      </c>
      <c r="CQ39">
        <f>'Grid_SelfBalance'!CQ39+'Grid_TTAFBalance'!CQ39</f>
        <v/>
      </c>
      <c r="CR39">
        <f>'Grid_SelfBalance'!CR39+'Grid_TTAFBalance'!CR39</f>
        <v/>
      </c>
      <c r="CS39">
        <f>'Grid_SelfBalance'!CS39+'Grid_TTAFBalance'!CS39</f>
        <v/>
      </c>
      <c r="CT39">
        <f>'Grid_SelfBalance'!CT39+'Grid_TTAFBalance'!CT39</f>
        <v/>
      </c>
      <c r="CU39">
        <f>'Grid_SelfBalance'!CU39+'Grid_TTAFBalance'!CU39</f>
        <v/>
      </c>
      <c r="CV39">
        <f>'Grid_SelfBalance'!CV39+'Grid_TTAFBalance'!CV39</f>
        <v/>
      </c>
      <c r="CW39">
        <f>'Grid_SelfBalance'!CW39+'Grid_TTAFBalance'!CW39</f>
        <v/>
      </c>
      <c r="CX39">
        <f>'Grid_SelfBalance'!CX39+'Grid_TTAFBalance'!CX39</f>
        <v/>
      </c>
      <c r="CY39">
        <f>'Grid_SelfBalance'!CY39+'Grid_TTAFBalance'!CY39</f>
        <v/>
      </c>
      <c r="CZ39">
        <f>'Grid_SelfBalance'!CZ39+'Grid_TTAFBalance'!CZ39</f>
        <v/>
      </c>
      <c r="DA39">
        <f>'Grid_SelfBalance'!DA39+'Grid_TTAFBalance'!DA39</f>
        <v/>
      </c>
    </row>
    <row r="40">
      <c r="A40" t="inlineStr">
        <is>
          <t>5SN</t>
        </is>
      </c>
      <c r="B40">
        <f>'Grid_SelfBalance'!B40+'Grid_TTAFBalance'!B40</f>
        <v/>
      </c>
      <c r="C40">
        <f>'Grid_SelfBalance'!C40+'Grid_TTAFBalance'!C40</f>
        <v/>
      </c>
      <c r="D40">
        <f>'Grid_SelfBalance'!D40+'Grid_TTAFBalance'!D40</f>
        <v/>
      </c>
      <c r="E40">
        <f>'Grid_SelfBalance'!E40+'Grid_TTAFBalance'!E40</f>
        <v/>
      </c>
      <c r="F40">
        <f>'Grid_SelfBalance'!F40+'Grid_TTAFBalance'!F40</f>
        <v/>
      </c>
      <c r="G40">
        <f>'Grid_SelfBalance'!G40+'Grid_TTAFBalance'!G40</f>
        <v/>
      </c>
      <c r="H40">
        <f>'Grid_SelfBalance'!H40+'Grid_TTAFBalance'!H40</f>
        <v/>
      </c>
      <c r="I40">
        <f>'Grid_SelfBalance'!I40+'Grid_TTAFBalance'!I40</f>
        <v/>
      </c>
      <c r="J40">
        <f>'Grid_SelfBalance'!J40+'Grid_TTAFBalance'!J40</f>
        <v/>
      </c>
      <c r="K40">
        <f>'Grid_SelfBalance'!K40+'Grid_TTAFBalance'!K40</f>
        <v/>
      </c>
      <c r="L40">
        <f>'Grid_SelfBalance'!L40+'Grid_TTAFBalance'!L40</f>
        <v/>
      </c>
      <c r="M40">
        <f>'Grid_SelfBalance'!M40+'Grid_TTAFBalance'!M40</f>
        <v/>
      </c>
      <c r="N40">
        <f>'Grid_SelfBalance'!N40+'Grid_TTAFBalance'!N40</f>
        <v/>
      </c>
      <c r="O40">
        <f>'Grid_SelfBalance'!O40+'Grid_TTAFBalance'!O40</f>
        <v/>
      </c>
      <c r="P40">
        <f>'Grid_SelfBalance'!P40+'Grid_TTAFBalance'!P40</f>
        <v/>
      </c>
      <c r="Q40">
        <f>'Grid_SelfBalance'!Q40+'Grid_TTAFBalance'!Q40</f>
        <v/>
      </c>
      <c r="R40">
        <f>'Grid_SelfBalance'!R40+'Grid_TTAFBalance'!R40</f>
        <v/>
      </c>
      <c r="S40">
        <f>'Grid_SelfBalance'!S40+'Grid_TTAFBalance'!S40</f>
        <v/>
      </c>
      <c r="T40">
        <f>'Grid_SelfBalance'!T40+'Grid_TTAFBalance'!T40</f>
        <v/>
      </c>
      <c r="U40">
        <f>'Grid_SelfBalance'!U40+'Grid_TTAFBalance'!U40</f>
        <v/>
      </c>
      <c r="V40">
        <f>'Grid_SelfBalance'!V40+'Grid_TTAFBalance'!V40</f>
        <v/>
      </c>
      <c r="W40">
        <f>'Grid_SelfBalance'!W40+'Grid_TTAFBalance'!W40</f>
        <v/>
      </c>
      <c r="X40">
        <f>'Grid_SelfBalance'!X40+'Grid_TTAFBalance'!X40</f>
        <v/>
      </c>
      <c r="Y40">
        <f>'Grid_SelfBalance'!Y40+'Grid_TTAFBalance'!Y40</f>
        <v/>
      </c>
      <c r="Z40">
        <f>'Grid_SelfBalance'!Z40+'Grid_TTAFBalance'!Z40</f>
        <v/>
      </c>
      <c r="AA40">
        <f>'Grid_SelfBalance'!AA40+'Grid_TTAFBalance'!AA40</f>
        <v/>
      </c>
      <c r="AB40">
        <f>'Grid_SelfBalance'!AB40+'Grid_TTAFBalance'!AB40</f>
        <v/>
      </c>
      <c r="AC40">
        <f>'Grid_SelfBalance'!AC40+'Grid_TTAFBalance'!AC40</f>
        <v/>
      </c>
      <c r="AD40">
        <f>'Grid_SelfBalance'!AD40+'Grid_TTAFBalance'!AD40</f>
        <v/>
      </c>
      <c r="AE40">
        <f>'Grid_SelfBalance'!AE40+'Grid_TTAFBalance'!AE40</f>
        <v/>
      </c>
      <c r="AF40">
        <f>'Grid_SelfBalance'!AF40+'Grid_TTAFBalance'!AF40</f>
        <v/>
      </c>
      <c r="AG40">
        <f>'Grid_SelfBalance'!AG40+'Grid_TTAFBalance'!AG40</f>
        <v/>
      </c>
      <c r="AH40">
        <f>'Grid_SelfBalance'!AH40+'Grid_TTAFBalance'!AH40</f>
        <v/>
      </c>
      <c r="AI40">
        <f>'Grid_SelfBalance'!AI40+'Grid_TTAFBalance'!AI40</f>
        <v/>
      </c>
      <c r="AJ40">
        <f>'Grid_SelfBalance'!AJ40+'Grid_TTAFBalance'!AJ40</f>
        <v/>
      </c>
      <c r="AK40">
        <f>'Grid_SelfBalance'!AK40+'Grid_TTAFBalance'!AK40</f>
        <v/>
      </c>
      <c r="AL40">
        <f>'Grid_SelfBalance'!AL40+'Grid_TTAFBalance'!AL40</f>
        <v/>
      </c>
      <c r="AM40">
        <f>'Grid_SelfBalance'!AM40+'Grid_TTAFBalance'!AM40</f>
        <v/>
      </c>
      <c r="AN40">
        <f>'Grid_SelfBalance'!AN40+'Grid_TTAFBalance'!AN40</f>
        <v/>
      </c>
      <c r="AO40">
        <f>'Grid_SelfBalance'!AO40+'Grid_TTAFBalance'!AO40</f>
        <v/>
      </c>
      <c r="AP40">
        <f>'Grid_SelfBalance'!AP40+'Grid_TTAFBalance'!AP40</f>
        <v/>
      </c>
      <c r="AQ40">
        <f>'Grid_SelfBalance'!AQ40+'Grid_TTAFBalance'!AQ40</f>
        <v/>
      </c>
      <c r="AR40">
        <f>'Grid_SelfBalance'!AR40+'Grid_TTAFBalance'!AR40</f>
        <v/>
      </c>
      <c r="AS40">
        <f>'Grid_SelfBalance'!AS40+'Grid_TTAFBalance'!AS40</f>
        <v/>
      </c>
      <c r="AT40">
        <f>'Grid_SelfBalance'!AT40+'Grid_TTAFBalance'!AT40</f>
        <v/>
      </c>
      <c r="AU40">
        <f>'Grid_SelfBalance'!AU40+'Grid_TTAFBalance'!AU40</f>
        <v/>
      </c>
      <c r="AV40">
        <f>'Grid_SelfBalance'!AV40+'Grid_TTAFBalance'!AV40</f>
        <v/>
      </c>
      <c r="AW40">
        <f>'Grid_SelfBalance'!AW40+'Grid_TTAFBalance'!AW40</f>
        <v/>
      </c>
      <c r="AX40">
        <f>'Grid_SelfBalance'!AX40+'Grid_TTAFBalance'!AX40</f>
        <v/>
      </c>
      <c r="AY40">
        <f>'Grid_SelfBalance'!AY40+'Grid_TTAFBalance'!AY40</f>
        <v/>
      </c>
      <c r="AZ40">
        <f>'Grid_SelfBalance'!AZ40+'Grid_TTAFBalance'!AZ40</f>
        <v/>
      </c>
      <c r="BA40">
        <f>'Grid_SelfBalance'!BA40+'Grid_TTAFBalance'!BA40</f>
        <v/>
      </c>
      <c r="BB40">
        <f>'Grid_SelfBalance'!BB40+'Grid_TTAFBalance'!BB40</f>
        <v/>
      </c>
      <c r="BC40">
        <f>'Grid_SelfBalance'!BC40+'Grid_TTAFBalance'!BC40</f>
        <v/>
      </c>
      <c r="BD40">
        <f>'Grid_SelfBalance'!BD40+'Grid_TTAFBalance'!BD40</f>
        <v/>
      </c>
      <c r="BE40">
        <f>'Grid_SelfBalance'!BE40+'Grid_TTAFBalance'!BE40</f>
        <v/>
      </c>
      <c r="BF40">
        <f>'Grid_SelfBalance'!BF40+'Grid_TTAFBalance'!BF40</f>
        <v/>
      </c>
      <c r="BG40">
        <f>'Grid_SelfBalance'!BG40+'Grid_TTAFBalance'!BG40</f>
        <v/>
      </c>
      <c r="BH40">
        <f>'Grid_SelfBalance'!BH40+'Grid_TTAFBalance'!BH40</f>
        <v/>
      </c>
      <c r="BI40">
        <f>'Grid_SelfBalance'!BI40+'Grid_TTAFBalance'!BI40</f>
        <v/>
      </c>
      <c r="BJ40">
        <f>'Grid_SelfBalance'!BJ40+'Grid_TTAFBalance'!BJ40</f>
        <v/>
      </c>
      <c r="BK40">
        <f>'Grid_SelfBalance'!BK40+'Grid_TTAFBalance'!BK40</f>
        <v/>
      </c>
      <c r="BL40">
        <f>'Grid_SelfBalance'!BL40+'Grid_TTAFBalance'!BL40</f>
        <v/>
      </c>
      <c r="BM40">
        <f>'Grid_SelfBalance'!BM40+'Grid_TTAFBalance'!BM40</f>
        <v/>
      </c>
      <c r="BN40">
        <f>'Grid_SelfBalance'!BN40+'Grid_TTAFBalance'!BN40</f>
        <v/>
      </c>
      <c r="BO40">
        <f>'Grid_SelfBalance'!BO40+'Grid_TTAFBalance'!BO40</f>
        <v/>
      </c>
      <c r="BP40">
        <f>'Grid_SelfBalance'!BP40+'Grid_TTAFBalance'!BP40</f>
        <v/>
      </c>
      <c r="BQ40">
        <f>'Grid_SelfBalance'!BQ40+'Grid_TTAFBalance'!BQ40</f>
        <v/>
      </c>
      <c r="BR40">
        <f>'Grid_SelfBalance'!BR40+'Grid_TTAFBalance'!BR40</f>
        <v/>
      </c>
      <c r="BS40">
        <f>'Grid_SelfBalance'!BS40+'Grid_TTAFBalance'!BS40</f>
        <v/>
      </c>
      <c r="BT40">
        <f>'Grid_SelfBalance'!BT40+'Grid_TTAFBalance'!BT40</f>
        <v/>
      </c>
      <c r="BU40">
        <f>'Grid_SelfBalance'!BU40+'Grid_TTAFBalance'!BU40</f>
        <v/>
      </c>
      <c r="BV40">
        <f>'Grid_SelfBalance'!BV40+'Grid_TTAFBalance'!BV40</f>
        <v/>
      </c>
      <c r="BW40">
        <f>'Grid_SelfBalance'!BW40+'Grid_TTAFBalance'!BW40</f>
        <v/>
      </c>
      <c r="BX40">
        <f>'Grid_SelfBalance'!BX40+'Grid_TTAFBalance'!BX40</f>
        <v/>
      </c>
      <c r="BY40">
        <f>'Grid_SelfBalance'!BY40+'Grid_TTAFBalance'!BY40</f>
        <v/>
      </c>
      <c r="BZ40">
        <f>'Grid_SelfBalance'!BZ40+'Grid_TTAFBalance'!BZ40</f>
        <v/>
      </c>
      <c r="CA40">
        <f>'Grid_SelfBalance'!CA40+'Grid_TTAFBalance'!CA40</f>
        <v/>
      </c>
      <c r="CB40">
        <f>'Grid_SelfBalance'!CB40+'Grid_TTAFBalance'!CB40</f>
        <v/>
      </c>
      <c r="CC40">
        <f>'Grid_SelfBalance'!CC40+'Grid_TTAFBalance'!CC40</f>
        <v/>
      </c>
      <c r="CD40">
        <f>'Grid_SelfBalance'!CD40+'Grid_TTAFBalance'!CD40</f>
        <v/>
      </c>
      <c r="CE40">
        <f>'Grid_SelfBalance'!CE40+'Grid_TTAFBalance'!CE40</f>
        <v/>
      </c>
      <c r="CF40">
        <f>'Grid_SelfBalance'!CF40+'Grid_TTAFBalance'!CF40</f>
        <v/>
      </c>
      <c r="CG40">
        <f>'Grid_SelfBalance'!CG40+'Grid_TTAFBalance'!CG40</f>
        <v/>
      </c>
      <c r="CH40">
        <f>'Grid_SelfBalance'!CH40+'Grid_TTAFBalance'!CH40</f>
        <v/>
      </c>
      <c r="CI40">
        <f>'Grid_SelfBalance'!CI40+'Grid_TTAFBalance'!CI40</f>
        <v/>
      </c>
      <c r="CJ40">
        <f>'Grid_SelfBalance'!CJ40+'Grid_TTAFBalance'!CJ40</f>
        <v/>
      </c>
      <c r="CK40">
        <f>'Grid_SelfBalance'!CK40+'Grid_TTAFBalance'!CK40</f>
        <v/>
      </c>
      <c r="CL40">
        <f>'Grid_SelfBalance'!CL40+'Grid_TTAFBalance'!CL40</f>
        <v/>
      </c>
      <c r="CM40">
        <f>'Grid_SelfBalance'!CM40+'Grid_TTAFBalance'!CM40</f>
        <v/>
      </c>
      <c r="CN40">
        <f>'Grid_SelfBalance'!CN40+'Grid_TTAFBalance'!CN40</f>
        <v/>
      </c>
      <c r="CO40">
        <f>'Grid_SelfBalance'!CO40+'Grid_TTAFBalance'!CO40</f>
        <v/>
      </c>
      <c r="CP40">
        <f>'Grid_SelfBalance'!CP40+'Grid_TTAFBalance'!CP40</f>
        <v/>
      </c>
      <c r="CQ40">
        <f>'Grid_SelfBalance'!CQ40+'Grid_TTAFBalance'!CQ40</f>
        <v/>
      </c>
      <c r="CR40">
        <f>'Grid_SelfBalance'!CR40+'Grid_TTAFBalance'!CR40</f>
        <v/>
      </c>
      <c r="CS40">
        <f>'Grid_SelfBalance'!CS40+'Grid_TTAFBalance'!CS40</f>
        <v/>
      </c>
      <c r="CT40">
        <f>'Grid_SelfBalance'!CT40+'Grid_TTAFBalance'!CT40</f>
        <v/>
      </c>
      <c r="CU40">
        <f>'Grid_SelfBalance'!CU40+'Grid_TTAFBalance'!CU40</f>
        <v/>
      </c>
      <c r="CV40">
        <f>'Grid_SelfBalance'!CV40+'Grid_TTAFBalance'!CV40</f>
        <v/>
      </c>
      <c r="CW40">
        <f>'Grid_SelfBalance'!CW40+'Grid_TTAFBalance'!CW40</f>
        <v/>
      </c>
      <c r="CX40">
        <f>'Grid_SelfBalance'!CX40+'Grid_TTAFBalance'!CX40</f>
        <v/>
      </c>
      <c r="CY40">
        <f>'Grid_SelfBalance'!CY40+'Grid_TTAFBalance'!CY40</f>
        <v/>
      </c>
      <c r="CZ40">
        <f>'Grid_SelfBalance'!CZ40+'Grid_TTAFBalance'!CZ40</f>
        <v/>
      </c>
      <c r="DA40">
        <f>'Grid_SelfBalance'!DA40+'Grid_TTAFBalance'!DA40</f>
        <v/>
      </c>
    </row>
    <row r="41">
      <c r="A41" t="inlineStr">
        <is>
          <t>1JN</t>
        </is>
      </c>
      <c r="B41">
        <f>'Grid_SelfBalance'!B41+'Grid_TTAFBalance'!B41</f>
        <v/>
      </c>
      <c r="C41">
        <f>'Grid_SelfBalance'!C41+'Grid_TTAFBalance'!C41</f>
        <v/>
      </c>
      <c r="D41">
        <f>'Grid_SelfBalance'!D41+'Grid_TTAFBalance'!D41</f>
        <v/>
      </c>
      <c r="E41">
        <f>'Grid_SelfBalance'!E41+'Grid_TTAFBalance'!E41</f>
        <v/>
      </c>
      <c r="F41">
        <f>'Grid_SelfBalance'!F41+'Grid_TTAFBalance'!F41</f>
        <v/>
      </c>
      <c r="G41">
        <f>'Grid_SelfBalance'!G41+'Grid_TTAFBalance'!G41</f>
        <v/>
      </c>
      <c r="H41">
        <f>'Grid_SelfBalance'!H41+'Grid_TTAFBalance'!H41</f>
        <v/>
      </c>
      <c r="I41">
        <f>'Grid_SelfBalance'!I41+'Grid_TTAFBalance'!I41</f>
        <v/>
      </c>
      <c r="J41">
        <f>'Grid_SelfBalance'!J41+'Grid_TTAFBalance'!J41</f>
        <v/>
      </c>
      <c r="K41">
        <f>'Grid_SelfBalance'!K41+'Grid_TTAFBalance'!K41</f>
        <v/>
      </c>
      <c r="L41">
        <f>'Grid_SelfBalance'!L41+'Grid_TTAFBalance'!L41</f>
        <v/>
      </c>
      <c r="M41">
        <f>'Grid_SelfBalance'!M41+'Grid_TTAFBalance'!M41</f>
        <v/>
      </c>
      <c r="N41">
        <f>'Grid_SelfBalance'!N41+'Grid_TTAFBalance'!N41</f>
        <v/>
      </c>
      <c r="O41">
        <f>'Grid_SelfBalance'!O41+'Grid_TTAFBalance'!O41</f>
        <v/>
      </c>
      <c r="P41">
        <f>'Grid_SelfBalance'!P41+'Grid_TTAFBalance'!P41</f>
        <v/>
      </c>
      <c r="Q41">
        <f>'Grid_SelfBalance'!Q41+'Grid_TTAFBalance'!Q41</f>
        <v/>
      </c>
      <c r="R41">
        <f>'Grid_SelfBalance'!R41+'Grid_TTAFBalance'!R41</f>
        <v/>
      </c>
      <c r="S41">
        <f>'Grid_SelfBalance'!S41+'Grid_TTAFBalance'!S41</f>
        <v/>
      </c>
      <c r="T41">
        <f>'Grid_SelfBalance'!T41+'Grid_TTAFBalance'!T41</f>
        <v/>
      </c>
      <c r="U41">
        <f>'Grid_SelfBalance'!U41+'Grid_TTAFBalance'!U41</f>
        <v/>
      </c>
      <c r="V41">
        <f>'Grid_SelfBalance'!V41+'Grid_TTAFBalance'!V41</f>
        <v/>
      </c>
      <c r="W41">
        <f>'Grid_SelfBalance'!W41+'Grid_TTAFBalance'!W41</f>
        <v/>
      </c>
      <c r="X41">
        <f>'Grid_SelfBalance'!X41+'Grid_TTAFBalance'!X41</f>
        <v/>
      </c>
      <c r="Y41">
        <f>'Grid_SelfBalance'!Y41+'Grid_TTAFBalance'!Y41</f>
        <v/>
      </c>
      <c r="Z41">
        <f>'Grid_SelfBalance'!Z41+'Grid_TTAFBalance'!Z41</f>
        <v/>
      </c>
      <c r="AA41">
        <f>'Grid_SelfBalance'!AA41+'Grid_TTAFBalance'!AA41</f>
        <v/>
      </c>
      <c r="AB41">
        <f>'Grid_SelfBalance'!AB41+'Grid_TTAFBalance'!AB41</f>
        <v/>
      </c>
      <c r="AC41">
        <f>'Grid_SelfBalance'!AC41+'Grid_TTAFBalance'!AC41</f>
        <v/>
      </c>
      <c r="AD41">
        <f>'Grid_SelfBalance'!AD41+'Grid_TTAFBalance'!AD41</f>
        <v/>
      </c>
      <c r="AE41">
        <f>'Grid_SelfBalance'!AE41+'Grid_TTAFBalance'!AE41</f>
        <v/>
      </c>
      <c r="AF41">
        <f>'Grid_SelfBalance'!AF41+'Grid_TTAFBalance'!AF41</f>
        <v/>
      </c>
      <c r="AG41">
        <f>'Grid_SelfBalance'!AG41+'Grid_TTAFBalance'!AG41</f>
        <v/>
      </c>
      <c r="AH41">
        <f>'Grid_SelfBalance'!AH41+'Grid_TTAFBalance'!AH41</f>
        <v/>
      </c>
      <c r="AI41">
        <f>'Grid_SelfBalance'!AI41+'Grid_TTAFBalance'!AI41</f>
        <v/>
      </c>
      <c r="AJ41">
        <f>'Grid_SelfBalance'!AJ41+'Grid_TTAFBalance'!AJ41</f>
        <v/>
      </c>
      <c r="AK41">
        <f>'Grid_SelfBalance'!AK41+'Grid_TTAFBalance'!AK41</f>
        <v/>
      </c>
      <c r="AL41">
        <f>'Grid_SelfBalance'!AL41+'Grid_TTAFBalance'!AL41</f>
        <v/>
      </c>
      <c r="AM41">
        <f>'Grid_SelfBalance'!AM41+'Grid_TTAFBalance'!AM41</f>
        <v/>
      </c>
      <c r="AN41">
        <f>'Grid_SelfBalance'!AN41+'Grid_TTAFBalance'!AN41</f>
        <v/>
      </c>
      <c r="AO41">
        <f>'Grid_SelfBalance'!AO41+'Grid_TTAFBalance'!AO41</f>
        <v/>
      </c>
      <c r="AP41">
        <f>'Grid_SelfBalance'!AP41+'Grid_TTAFBalance'!AP41</f>
        <v/>
      </c>
      <c r="AQ41">
        <f>'Grid_SelfBalance'!AQ41+'Grid_TTAFBalance'!AQ41</f>
        <v/>
      </c>
      <c r="AR41">
        <f>'Grid_SelfBalance'!AR41+'Grid_TTAFBalance'!AR41</f>
        <v/>
      </c>
      <c r="AS41">
        <f>'Grid_SelfBalance'!AS41+'Grid_TTAFBalance'!AS41</f>
        <v/>
      </c>
      <c r="AT41">
        <f>'Grid_SelfBalance'!AT41+'Grid_TTAFBalance'!AT41</f>
        <v/>
      </c>
      <c r="AU41">
        <f>'Grid_SelfBalance'!AU41+'Grid_TTAFBalance'!AU41</f>
        <v/>
      </c>
      <c r="AV41">
        <f>'Grid_SelfBalance'!AV41+'Grid_TTAFBalance'!AV41</f>
        <v/>
      </c>
      <c r="AW41">
        <f>'Grid_SelfBalance'!AW41+'Grid_TTAFBalance'!AW41</f>
        <v/>
      </c>
      <c r="AX41">
        <f>'Grid_SelfBalance'!AX41+'Grid_TTAFBalance'!AX41</f>
        <v/>
      </c>
      <c r="AY41">
        <f>'Grid_SelfBalance'!AY41+'Grid_TTAFBalance'!AY41</f>
        <v/>
      </c>
      <c r="AZ41">
        <f>'Grid_SelfBalance'!AZ41+'Grid_TTAFBalance'!AZ41</f>
        <v/>
      </c>
      <c r="BA41">
        <f>'Grid_SelfBalance'!BA41+'Grid_TTAFBalance'!BA41</f>
        <v/>
      </c>
      <c r="BB41">
        <f>'Grid_SelfBalance'!BB41+'Grid_TTAFBalance'!BB41</f>
        <v/>
      </c>
      <c r="BC41">
        <f>'Grid_SelfBalance'!BC41+'Grid_TTAFBalance'!BC41</f>
        <v/>
      </c>
      <c r="BD41">
        <f>'Grid_SelfBalance'!BD41+'Grid_TTAFBalance'!BD41</f>
        <v/>
      </c>
      <c r="BE41">
        <f>'Grid_SelfBalance'!BE41+'Grid_TTAFBalance'!BE41</f>
        <v/>
      </c>
      <c r="BF41">
        <f>'Grid_SelfBalance'!BF41+'Grid_TTAFBalance'!BF41</f>
        <v/>
      </c>
      <c r="BG41">
        <f>'Grid_SelfBalance'!BG41+'Grid_TTAFBalance'!BG41</f>
        <v/>
      </c>
      <c r="BH41">
        <f>'Grid_SelfBalance'!BH41+'Grid_TTAFBalance'!BH41</f>
        <v/>
      </c>
      <c r="BI41">
        <f>'Grid_SelfBalance'!BI41+'Grid_TTAFBalance'!BI41</f>
        <v/>
      </c>
      <c r="BJ41">
        <f>'Grid_SelfBalance'!BJ41+'Grid_TTAFBalance'!BJ41</f>
        <v/>
      </c>
      <c r="BK41">
        <f>'Grid_SelfBalance'!BK41+'Grid_TTAFBalance'!BK41</f>
        <v/>
      </c>
      <c r="BL41">
        <f>'Grid_SelfBalance'!BL41+'Grid_TTAFBalance'!BL41</f>
        <v/>
      </c>
      <c r="BM41">
        <f>'Grid_SelfBalance'!BM41+'Grid_TTAFBalance'!BM41</f>
        <v/>
      </c>
      <c r="BN41">
        <f>'Grid_SelfBalance'!BN41+'Grid_TTAFBalance'!BN41</f>
        <v/>
      </c>
      <c r="BO41">
        <f>'Grid_SelfBalance'!BO41+'Grid_TTAFBalance'!BO41</f>
        <v/>
      </c>
      <c r="BP41">
        <f>'Grid_SelfBalance'!BP41+'Grid_TTAFBalance'!BP41</f>
        <v/>
      </c>
      <c r="BQ41">
        <f>'Grid_SelfBalance'!BQ41+'Grid_TTAFBalance'!BQ41</f>
        <v/>
      </c>
      <c r="BR41">
        <f>'Grid_SelfBalance'!BR41+'Grid_TTAFBalance'!BR41</f>
        <v/>
      </c>
      <c r="BS41">
        <f>'Grid_SelfBalance'!BS41+'Grid_TTAFBalance'!BS41</f>
        <v/>
      </c>
      <c r="BT41">
        <f>'Grid_SelfBalance'!BT41+'Grid_TTAFBalance'!BT41</f>
        <v/>
      </c>
      <c r="BU41">
        <f>'Grid_SelfBalance'!BU41+'Grid_TTAFBalance'!BU41</f>
        <v/>
      </c>
      <c r="BV41">
        <f>'Grid_SelfBalance'!BV41+'Grid_TTAFBalance'!BV41</f>
        <v/>
      </c>
      <c r="BW41">
        <f>'Grid_SelfBalance'!BW41+'Grid_TTAFBalance'!BW41</f>
        <v/>
      </c>
      <c r="BX41">
        <f>'Grid_SelfBalance'!BX41+'Grid_TTAFBalance'!BX41</f>
        <v/>
      </c>
      <c r="BY41">
        <f>'Grid_SelfBalance'!BY41+'Grid_TTAFBalance'!BY41</f>
        <v/>
      </c>
      <c r="BZ41">
        <f>'Grid_SelfBalance'!BZ41+'Grid_TTAFBalance'!BZ41</f>
        <v/>
      </c>
      <c r="CA41">
        <f>'Grid_SelfBalance'!CA41+'Grid_TTAFBalance'!CA41</f>
        <v/>
      </c>
      <c r="CB41">
        <f>'Grid_SelfBalance'!CB41+'Grid_TTAFBalance'!CB41</f>
        <v/>
      </c>
      <c r="CC41">
        <f>'Grid_SelfBalance'!CC41+'Grid_TTAFBalance'!CC41</f>
        <v/>
      </c>
      <c r="CD41">
        <f>'Grid_SelfBalance'!CD41+'Grid_TTAFBalance'!CD41</f>
        <v/>
      </c>
      <c r="CE41">
        <f>'Grid_SelfBalance'!CE41+'Grid_TTAFBalance'!CE41</f>
        <v/>
      </c>
      <c r="CF41">
        <f>'Grid_SelfBalance'!CF41+'Grid_TTAFBalance'!CF41</f>
        <v/>
      </c>
      <c r="CG41">
        <f>'Grid_SelfBalance'!CG41+'Grid_TTAFBalance'!CG41</f>
        <v/>
      </c>
      <c r="CH41">
        <f>'Grid_SelfBalance'!CH41+'Grid_TTAFBalance'!CH41</f>
        <v/>
      </c>
      <c r="CI41">
        <f>'Grid_SelfBalance'!CI41+'Grid_TTAFBalance'!CI41</f>
        <v/>
      </c>
      <c r="CJ41">
        <f>'Grid_SelfBalance'!CJ41+'Grid_TTAFBalance'!CJ41</f>
        <v/>
      </c>
      <c r="CK41">
        <f>'Grid_SelfBalance'!CK41+'Grid_TTAFBalance'!CK41</f>
        <v/>
      </c>
      <c r="CL41">
        <f>'Grid_SelfBalance'!CL41+'Grid_TTAFBalance'!CL41</f>
        <v/>
      </c>
      <c r="CM41">
        <f>'Grid_SelfBalance'!CM41+'Grid_TTAFBalance'!CM41</f>
        <v/>
      </c>
      <c r="CN41">
        <f>'Grid_SelfBalance'!CN41+'Grid_TTAFBalance'!CN41</f>
        <v/>
      </c>
      <c r="CO41">
        <f>'Grid_SelfBalance'!CO41+'Grid_TTAFBalance'!CO41</f>
        <v/>
      </c>
      <c r="CP41">
        <f>'Grid_SelfBalance'!CP41+'Grid_TTAFBalance'!CP41</f>
        <v/>
      </c>
      <c r="CQ41">
        <f>'Grid_SelfBalance'!CQ41+'Grid_TTAFBalance'!CQ41</f>
        <v/>
      </c>
      <c r="CR41">
        <f>'Grid_SelfBalance'!CR41+'Grid_TTAFBalance'!CR41</f>
        <v/>
      </c>
      <c r="CS41">
        <f>'Grid_SelfBalance'!CS41+'Grid_TTAFBalance'!CS41</f>
        <v/>
      </c>
      <c r="CT41">
        <f>'Grid_SelfBalance'!CT41+'Grid_TTAFBalance'!CT41</f>
        <v/>
      </c>
      <c r="CU41">
        <f>'Grid_SelfBalance'!CU41+'Grid_TTAFBalance'!CU41</f>
        <v/>
      </c>
      <c r="CV41">
        <f>'Grid_SelfBalance'!CV41+'Grid_TTAFBalance'!CV41</f>
        <v/>
      </c>
      <c r="CW41">
        <f>'Grid_SelfBalance'!CW41+'Grid_TTAFBalance'!CW41</f>
        <v/>
      </c>
      <c r="CX41">
        <f>'Grid_SelfBalance'!CX41+'Grid_TTAFBalance'!CX41</f>
        <v/>
      </c>
      <c r="CY41">
        <f>'Grid_SelfBalance'!CY41+'Grid_TTAFBalance'!CY41</f>
        <v/>
      </c>
      <c r="CZ41">
        <f>'Grid_SelfBalance'!CZ41+'Grid_TTAFBalance'!CZ41</f>
        <v/>
      </c>
      <c r="DA41">
        <f>'Grid_SelfBalance'!DA41+'Grid_TTAFBalance'!DA41</f>
        <v/>
      </c>
    </row>
    <row r="42">
      <c r="A42" t="inlineStr">
        <is>
          <t>V03</t>
        </is>
      </c>
      <c r="B42">
        <f>'Grid_SelfBalance'!B42+'Grid_TTAFBalance'!B42</f>
        <v/>
      </c>
      <c r="C42">
        <f>'Grid_SelfBalance'!C42+'Grid_TTAFBalance'!C42</f>
        <v/>
      </c>
      <c r="D42">
        <f>'Grid_SelfBalance'!D42+'Grid_TTAFBalance'!D42</f>
        <v/>
      </c>
      <c r="E42">
        <f>'Grid_SelfBalance'!E42+'Grid_TTAFBalance'!E42</f>
        <v/>
      </c>
      <c r="F42">
        <f>'Grid_SelfBalance'!F42+'Grid_TTAFBalance'!F42</f>
        <v/>
      </c>
      <c r="G42">
        <f>'Grid_SelfBalance'!G42+'Grid_TTAFBalance'!G42</f>
        <v/>
      </c>
      <c r="H42">
        <f>'Grid_SelfBalance'!H42+'Grid_TTAFBalance'!H42</f>
        <v/>
      </c>
      <c r="I42">
        <f>'Grid_SelfBalance'!I42+'Grid_TTAFBalance'!I42</f>
        <v/>
      </c>
      <c r="J42">
        <f>'Grid_SelfBalance'!J42+'Grid_TTAFBalance'!J42</f>
        <v/>
      </c>
      <c r="K42">
        <f>'Grid_SelfBalance'!K42+'Grid_TTAFBalance'!K42</f>
        <v/>
      </c>
      <c r="L42">
        <f>'Grid_SelfBalance'!L42+'Grid_TTAFBalance'!L42</f>
        <v/>
      </c>
      <c r="M42">
        <f>'Grid_SelfBalance'!M42+'Grid_TTAFBalance'!M42</f>
        <v/>
      </c>
      <c r="N42">
        <f>'Grid_SelfBalance'!N42+'Grid_TTAFBalance'!N42</f>
        <v/>
      </c>
      <c r="O42">
        <f>'Grid_SelfBalance'!O42+'Grid_TTAFBalance'!O42</f>
        <v/>
      </c>
      <c r="P42">
        <f>'Grid_SelfBalance'!P42+'Grid_TTAFBalance'!P42</f>
        <v/>
      </c>
      <c r="Q42">
        <f>'Grid_SelfBalance'!Q42+'Grid_TTAFBalance'!Q42</f>
        <v/>
      </c>
      <c r="R42">
        <f>'Grid_SelfBalance'!R42+'Grid_TTAFBalance'!R42</f>
        <v/>
      </c>
      <c r="S42">
        <f>'Grid_SelfBalance'!S42+'Grid_TTAFBalance'!S42</f>
        <v/>
      </c>
      <c r="T42">
        <f>'Grid_SelfBalance'!T42+'Grid_TTAFBalance'!T42</f>
        <v/>
      </c>
      <c r="U42">
        <f>'Grid_SelfBalance'!U42+'Grid_TTAFBalance'!U42</f>
        <v/>
      </c>
      <c r="V42">
        <f>'Grid_SelfBalance'!V42+'Grid_TTAFBalance'!V42</f>
        <v/>
      </c>
      <c r="W42">
        <f>'Grid_SelfBalance'!W42+'Grid_TTAFBalance'!W42</f>
        <v/>
      </c>
      <c r="X42">
        <f>'Grid_SelfBalance'!X42+'Grid_TTAFBalance'!X42</f>
        <v/>
      </c>
      <c r="Y42">
        <f>'Grid_SelfBalance'!Y42+'Grid_TTAFBalance'!Y42</f>
        <v/>
      </c>
      <c r="Z42">
        <f>'Grid_SelfBalance'!Z42+'Grid_TTAFBalance'!Z42</f>
        <v/>
      </c>
      <c r="AA42">
        <f>'Grid_SelfBalance'!AA42+'Grid_TTAFBalance'!AA42</f>
        <v/>
      </c>
      <c r="AB42">
        <f>'Grid_SelfBalance'!AB42+'Grid_TTAFBalance'!AB42</f>
        <v/>
      </c>
      <c r="AC42">
        <f>'Grid_SelfBalance'!AC42+'Grid_TTAFBalance'!AC42</f>
        <v/>
      </c>
      <c r="AD42">
        <f>'Grid_SelfBalance'!AD42+'Grid_TTAFBalance'!AD42</f>
        <v/>
      </c>
      <c r="AE42">
        <f>'Grid_SelfBalance'!AE42+'Grid_TTAFBalance'!AE42</f>
        <v/>
      </c>
      <c r="AF42">
        <f>'Grid_SelfBalance'!AF42+'Grid_TTAFBalance'!AF42</f>
        <v/>
      </c>
      <c r="AG42">
        <f>'Grid_SelfBalance'!AG42+'Grid_TTAFBalance'!AG42</f>
        <v/>
      </c>
      <c r="AH42">
        <f>'Grid_SelfBalance'!AH42+'Grid_TTAFBalance'!AH42</f>
        <v/>
      </c>
      <c r="AI42">
        <f>'Grid_SelfBalance'!AI42+'Grid_TTAFBalance'!AI42</f>
        <v/>
      </c>
      <c r="AJ42">
        <f>'Grid_SelfBalance'!AJ42+'Grid_TTAFBalance'!AJ42</f>
        <v/>
      </c>
      <c r="AK42">
        <f>'Grid_SelfBalance'!AK42+'Grid_TTAFBalance'!AK42</f>
        <v/>
      </c>
      <c r="AL42">
        <f>'Grid_SelfBalance'!AL42+'Grid_TTAFBalance'!AL42</f>
        <v/>
      </c>
      <c r="AM42">
        <f>'Grid_SelfBalance'!AM42+'Grid_TTAFBalance'!AM42</f>
        <v/>
      </c>
      <c r="AN42">
        <f>'Grid_SelfBalance'!AN42+'Grid_TTAFBalance'!AN42</f>
        <v/>
      </c>
      <c r="AO42">
        <f>'Grid_SelfBalance'!AO42+'Grid_TTAFBalance'!AO42</f>
        <v/>
      </c>
      <c r="AP42">
        <f>'Grid_SelfBalance'!AP42+'Grid_TTAFBalance'!AP42</f>
        <v/>
      </c>
      <c r="AQ42">
        <f>'Grid_SelfBalance'!AQ42+'Grid_TTAFBalance'!AQ42</f>
        <v/>
      </c>
      <c r="AR42">
        <f>'Grid_SelfBalance'!AR42+'Grid_TTAFBalance'!AR42</f>
        <v/>
      </c>
      <c r="AS42">
        <f>'Grid_SelfBalance'!AS42+'Grid_TTAFBalance'!AS42</f>
        <v/>
      </c>
      <c r="AT42">
        <f>'Grid_SelfBalance'!AT42+'Grid_TTAFBalance'!AT42</f>
        <v/>
      </c>
      <c r="AU42">
        <f>'Grid_SelfBalance'!AU42+'Grid_TTAFBalance'!AU42</f>
        <v/>
      </c>
      <c r="AV42">
        <f>'Grid_SelfBalance'!AV42+'Grid_TTAFBalance'!AV42</f>
        <v/>
      </c>
      <c r="AW42">
        <f>'Grid_SelfBalance'!AW42+'Grid_TTAFBalance'!AW42</f>
        <v/>
      </c>
      <c r="AX42">
        <f>'Grid_SelfBalance'!AX42+'Grid_TTAFBalance'!AX42</f>
        <v/>
      </c>
      <c r="AY42">
        <f>'Grid_SelfBalance'!AY42+'Grid_TTAFBalance'!AY42</f>
        <v/>
      </c>
      <c r="AZ42">
        <f>'Grid_SelfBalance'!AZ42+'Grid_TTAFBalance'!AZ42</f>
        <v/>
      </c>
      <c r="BA42">
        <f>'Grid_SelfBalance'!BA42+'Grid_TTAFBalance'!BA42</f>
        <v/>
      </c>
      <c r="BB42">
        <f>'Grid_SelfBalance'!BB42+'Grid_TTAFBalance'!BB42</f>
        <v/>
      </c>
      <c r="BC42">
        <f>'Grid_SelfBalance'!BC42+'Grid_TTAFBalance'!BC42</f>
        <v/>
      </c>
      <c r="BD42">
        <f>'Grid_SelfBalance'!BD42+'Grid_TTAFBalance'!BD42</f>
        <v/>
      </c>
      <c r="BE42">
        <f>'Grid_SelfBalance'!BE42+'Grid_TTAFBalance'!BE42</f>
        <v/>
      </c>
      <c r="BF42">
        <f>'Grid_SelfBalance'!BF42+'Grid_TTAFBalance'!BF42</f>
        <v/>
      </c>
      <c r="BG42">
        <f>'Grid_SelfBalance'!BG42+'Grid_TTAFBalance'!BG42</f>
        <v/>
      </c>
      <c r="BH42">
        <f>'Grid_SelfBalance'!BH42+'Grid_TTAFBalance'!BH42</f>
        <v/>
      </c>
      <c r="BI42">
        <f>'Grid_SelfBalance'!BI42+'Grid_TTAFBalance'!BI42</f>
        <v/>
      </c>
      <c r="BJ42">
        <f>'Grid_SelfBalance'!BJ42+'Grid_TTAFBalance'!BJ42</f>
        <v/>
      </c>
      <c r="BK42">
        <f>'Grid_SelfBalance'!BK42+'Grid_TTAFBalance'!BK42</f>
        <v/>
      </c>
      <c r="BL42">
        <f>'Grid_SelfBalance'!BL42+'Grid_TTAFBalance'!BL42</f>
        <v/>
      </c>
      <c r="BM42">
        <f>'Grid_SelfBalance'!BM42+'Grid_TTAFBalance'!BM42</f>
        <v/>
      </c>
      <c r="BN42">
        <f>'Grid_SelfBalance'!BN42+'Grid_TTAFBalance'!BN42</f>
        <v/>
      </c>
      <c r="BO42">
        <f>'Grid_SelfBalance'!BO42+'Grid_TTAFBalance'!BO42</f>
        <v/>
      </c>
      <c r="BP42">
        <f>'Grid_SelfBalance'!BP42+'Grid_TTAFBalance'!BP42</f>
        <v/>
      </c>
      <c r="BQ42">
        <f>'Grid_SelfBalance'!BQ42+'Grid_TTAFBalance'!BQ42</f>
        <v/>
      </c>
      <c r="BR42">
        <f>'Grid_SelfBalance'!BR42+'Grid_TTAFBalance'!BR42</f>
        <v/>
      </c>
      <c r="BS42">
        <f>'Grid_SelfBalance'!BS42+'Grid_TTAFBalance'!BS42</f>
        <v/>
      </c>
      <c r="BT42">
        <f>'Grid_SelfBalance'!BT42+'Grid_TTAFBalance'!BT42</f>
        <v/>
      </c>
      <c r="BU42">
        <f>'Grid_SelfBalance'!BU42+'Grid_TTAFBalance'!BU42</f>
        <v/>
      </c>
      <c r="BV42">
        <f>'Grid_SelfBalance'!BV42+'Grid_TTAFBalance'!BV42</f>
        <v/>
      </c>
      <c r="BW42">
        <f>'Grid_SelfBalance'!BW42+'Grid_TTAFBalance'!BW42</f>
        <v/>
      </c>
      <c r="BX42">
        <f>'Grid_SelfBalance'!BX42+'Grid_TTAFBalance'!BX42</f>
        <v/>
      </c>
      <c r="BY42">
        <f>'Grid_SelfBalance'!BY42+'Grid_TTAFBalance'!BY42</f>
        <v/>
      </c>
      <c r="BZ42">
        <f>'Grid_SelfBalance'!BZ42+'Grid_TTAFBalance'!BZ42</f>
        <v/>
      </c>
      <c r="CA42">
        <f>'Grid_SelfBalance'!CA42+'Grid_TTAFBalance'!CA42</f>
        <v/>
      </c>
      <c r="CB42">
        <f>'Grid_SelfBalance'!CB42+'Grid_TTAFBalance'!CB42</f>
        <v/>
      </c>
      <c r="CC42">
        <f>'Grid_SelfBalance'!CC42+'Grid_TTAFBalance'!CC42</f>
        <v/>
      </c>
      <c r="CD42">
        <f>'Grid_SelfBalance'!CD42+'Grid_TTAFBalance'!CD42</f>
        <v/>
      </c>
      <c r="CE42">
        <f>'Grid_SelfBalance'!CE42+'Grid_TTAFBalance'!CE42</f>
        <v/>
      </c>
      <c r="CF42">
        <f>'Grid_SelfBalance'!CF42+'Grid_TTAFBalance'!CF42</f>
        <v/>
      </c>
      <c r="CG42">
        <f>'Grid_SelfBalance'!CG42+'Grid_TTAFBalance'!CG42</f>
        <v/>
      </c>
      <c r="CH42">
        <f>'Grid_SelfBalance'!CH42+'Grid_TTAFBalance'!CH42</f>
        <v/>
      </c>
      <c r="CI42">
        <f>'Grid_SelfBalance'!CI42+'Grid_TTAFBalance'!CI42</f>
        <v/>
      </c>
      <c r="CJ42">
        <f>'Grid_SelfBalance'!CJ42+'Grid_TTAFBalance'!CJ42</f>
        <v/>
      </c>
      <c r="CK42">
        <f>'Grid_SelfBalance'!CK42+'Grid_TTAFBalance'!CK42</f>
        <v/>
      </c>
      <c r="CL42">
        <f>'Grid_SelfBalance'!CL42+'Grid_TTAFBalance'!CL42</f>
        <v/>
      </c>
      <c r="CM42">
        <f>'Grid_SelfBalance'!CM42+'Grid_TTAFBalance'!CM42</f>
        <v/>
      </c>
      <c r="CN42">
        <f>'Grid_SelfBalance'!CN42+'Grid_TTAFBalance'!CN42</f>
        <v/>
      </c>
      <c r="CO42">
        <f>'Grid_SelfBalance'!CO42+'Grid_TTAFBalance'!CO42</f>
        <v/>
      </c>
      <c r="CP42">
        <f>'Grid_SelfBalance'!CP42+'Grid_TTAFBalance'!CP42</f>
        <v/>
      </c>
      <c r="CQ42">
        <f>'Grid_SelfBalance'!CQ42+'Grid_TTAFBalance'!CQ42</f>
        <v/>
      </c>
      <c r="CR42">
        <f>'Grid_SelfBalance'!CR42+'Grid_TTAFBalance'!CR42</f>
        <v/>
      </c>
      <c r="CS42">
        <f>'Grid_SelfBalance'!CS42+'Grid_TTAFBalance'!CS42</f>
        <v/>
      </c>
      <c r="CT42">
        <f>'Grid_SelfBalance'!CT42+'Grid_TTAFBalance'!CT42</f>
        <v/>
      </c>
      <c r="CU42">
        <f>'Grid_SelfBalance'!CU42+'Grid_TTAFBalance'!CU42</f>
        <v/>
      </c>
      <c r="CV42">
        <f>'Grid_SelfBalance'!CV42+'Grid_TTAFBalance'!CV42</f>
        <v/>
      </c>
      <c r="CW42">
        <f>'Grid_SelfBalance'!CW42+'Grid_TTAFBalance'!CW42</f>
        <v/>
      </c>
      <c r="CX42">
        <f>'Grid_SelfBalance'!CX42+'Grid_TTAFBalance'!CX42</f>
        <v/>
      </c>
      <c r="CY42">
        <f>'Grid_SelfBalance'!CY42+'Grid_TTAFBalance'!CY42</f>
        <v/>
      </c>
      <c r="CZ42">
        <f>'Grid_SelfBalance'!CZ42+'Grid_TTAFBalance'!CZ42</f>
        <v/>
      </c>
      <c r="DA42">
        <f>'Grid_SelfBalance'!DA42+'Grid_TTAFBalance'!DA42</f>
        <v/>
      </c>
    </row>
    <row r="43">
      <c r="A43" t="inlineStr">
        <is>
          <t>V19</t>
        </is>
      </c>
      <c r="B43">
        <f>'Grid_SelfBalance'!B43+'Grid_TTAFBalance'!B43</f>
        <v/>
      </c>
      <c r="C43">
        <f>'Grid_SelfBalance'!C43+'Grid_TTAFBalance'!C43</f>
        <v/>
      </c>
      <c r="D43">
        <f>'Grid_SelfBalance'!D43+'Grid_TTAFBalance'!D43</f>
        <v/>
      </c>
      <c r="E43">
        <f>'Grid_SelfBalance'!E43+'Grid_TTAFBalance'!E43</f>
        <v/>
      </c>
      <c r="F43">
        <f>'Grid_SelfBalance'!F43+'Grid_TTAFBalance'!F43</f>
        <v/>
      </c>
      <c r="G43">
        <f>'Grid_SelfBalance'!G43+'Grid_TTAFBalance'!G43</f>
        <v/>
      </c>
      <c r="H43">
        <f>'Grid_SelfBalance'!H43+'Grid_TTAFBalance'!H43</f>
        <v/>
      </c>
      <c r="I43">
        <f>'Grid_SelfBalance'!I43+'Grid_TTAFBalance'!I43</f>
        <v/>
      </c>
      <c r="J43">
        <f>'Grid_SelfBalance'!J43+'Grid_TTAFBalance'!J43</f>
        <v/>
      </c>
      <c r="K43">
        <f>'Grid_SelfBalance'!K43+'Grid_TTAFBalance'!K43</f>
        <v/>
      </c>
      <c r="L43">
        <f>'Grid_SelfBalance'!L43+'Grid_TTAFBalance'!L43</f>
        <v/>
      </c>
      <c r="M43">
        <f>'Grid_SelfBalance'!M43+'Grid_TTAFBalance'!M43</f>
        <v/>
      </c>
      <c r="N43">
        <f>'Grid_SelfBalance'!N43+'Grid_TTAFBalance'!N43</f>
        <v/>
      </c>
      <c r="O43">
        <f>'Grid_SelfBalance'!O43+'Grid_TTAFBalance'!O43</f>
        <v/>
      </c>
      <c r="P43">
        <f>'Grid_SelfBalance'!P43+'Grid_TTAFBalance'!P43</f>
        <v/>
      </c>
      <c r="Q43">
        <f>'Grid_SelfBalance'!Q43+'Grid_TTAFBalance'!Q43</f>
        <v/>
      </c>
      <c r="R43">
        <f>'Grid_SelfBalance'!R43+'Grid_TTAFBalance'!R43</f>
        <v/>
      </c>
      <c r="S43">
        <f>'Grid_SelfBalance'!S43+'Grid_TTAFBalance'!S43</f>
        <v/>
      </c>
      <c r="T43">
        <f>'Grid_SelfBalance'!T43+'Grid_TTAFBalance'!T43</f>
        <v/>
      </c>
      <c r="U43">
        <f>'Grid_SelfBalance'!U43+'Grid_TTAFBalance'!U43</f>
        <v/>
      </c>
      <c r="V43">
        <f>'Grid_SelfBalance'!V43+'Grid_TTAFBalance'!V43</f>
        <v/>
      </c>
      <c r="W43">
        <f>'Grid_SelfBalance'!W43+'Grid_TTAFBalance'!W43</f>
        <v/>
      </c>
      <c r="X43">
        <f>'Grid_SelfBalance'!X43+'Grid_TTAFBalance'!X43</f>
        <v/>
      </c>
      <c r="Y43">
        <f>'Grid_SelfBalance'!Y43+'Grid_TTAFBalance'!Y43</f>
        <v/>
      </c>
      <c r="Z43">
        <f>'Grid_SelfBalance'!Z43+'Grid_TTAFBalance'!Z43</f>
        <v/>
      </c>
      <c r="AA43">
        <f>'Grid_SelfBalance'!AA43+'Grid_TTAFBalance'!AA43</f>
        <v/>
      </c>
      <c r="AB43">
        <f>'Grid_SelfBalance'!AB43+'Grid_TTAFBalance'!AB43</f>
        <v/>
      </c>
      <c r="AC43">
        <f>'Grid_SelfBalance'!AC43+'Grid_TTAFBalance'!AC43</f>
        <v/>
      </c>
      <c r="AD43">
        <f>'Grid_SelfBalance'!AD43+'Grid_TTAFBalance'!AD43</f>
        <v/>
      </c>
      <c r="AE43">
        <f>'Grid_SelfBalance'!AE43+'Grid_TTAFBalance'!AE43</f>
        <v/>
      </c>
      <c r="AF43">
        <f>'Grid_SelfBalance'!AF43+'Grid_TTAFBalance'!AF43</f>
        <v/>
      </c>
      <c r="AG43">
        <f>'Grid_SelfBalance'!AG43+'Grid_TTAFBalance'!AG43</f>
        <v/>
      </c>
      <c r="AH43">
        <f>'Grid_SelfBalance'!AH43+'Grid_TTAFBalance'!AH43</f>
        <v/>
      </c>
      <c r="AI43">
        <f>'Grid_SelfBalance'!AI43+'Grid_TTAFBalance'!AI43</f>
        <v/>
      </c>
      <c r="AJ43">
        <f>'Grid_SelfBalance'!AJ43+'Grid_TTAFBalance'!AJ43</f>
        <v/>
      </c>
      <c r="AK43">
        <f>'Grid_SelfBalance'!AK43+'Grid_TTAFBalance'!AK43</f>
        <v/>
      </c>
      <c r="AL43">
        <f>'Grid_SelfBalance'!AL43+'Grid_TTAFBalance'!AL43</f>
        <v/>
      </c>
      <c r="AM43">
        <f>'Grid_SelfBalance'!AM43+'Grid_TTAFBalance'!AM43</f>
        <v/>
      </c>
      <c r="AN43">
        <f>'Grid_SelfBalance'!AN43+'Grid_TTAFBalance'!AN43</f>
        <v/>
      </c>
      <c r="AO43">
        <f>'Grid_SelfBalance'!AO43+'Grid_TTAFBalance'!AO43</f>
        <v/>
      </c>
      <c r="AP43">
        <f>'Grid_SelfBalance'!AP43+'Grid_TTAFBalance'!AP43</f>
        <v/>
      </c>
      <c r="AQ43">
        <f>'Grid_SelfBalance'!AQ43+'Grid_TTAFBalance'!AQ43</f>
        <v/>
      </c>
      <c r="AR43">
        <f>'Grid_SelfBalance'!AR43+'Grid_TTAFBalance'!AR43</f>
        <v/>
      </c>
      <c r="AS43">
        <f>'Grid_SelfBalance'!AS43+'Grid_TTAFBalance'!AS43</f>
        <v/>
      </c>
      <c r="AT43">
        <f>'Grid_SelfBalance'!AT43+'Grid_TTAFBalance'!AT43</f>
        <v/>
      </c>
      <c r="AU43">
        <f>'Grid_SelfBalance'!AU43+'Grid_TTAFBalance'!AU43</f>
        <v/>
      </c>
      <c r="AV43">
        <f>'Grid_SelfBalance'!AV43+'Grid_TTAFBalance'!AV43</f>
        <v/>
      </c>
      <c r="AW43">
        <f>'Grid_SelfBalance'!AW43+'Grid_TTAFBalance'!AW43</f>
        <v/>
      </c>
      <c r="AX43">
        <f>'Grid_SelfBalance'!AX43+'Grid_TTAFBalance'!AX43</f>
        <v/>
      </c>
      <c r="AY43">
        <f>'Grid_SelfBalance'!AY43+'Grid_TTAFBalance'!AY43</f>
        <v/>
      </c>
      <c r="AZ43">
        <f>'Grid_SelfBalance'!AZ43+'Grid_TTAFBalance'!AZ43</f>
        <v/>
      </c>
      <c r="BA43">
        <f>'Grid_SelfBalance'!BA43+'Grid_TTAFBalance'!BA43</f>
        <v/>
      </c>
      <c r="BB43">
        <f>'Grid_SelfBalance'!BB43+'Grid_TTAFBalance'!BB43</f>
        <v/>
      </c>
      <c r="BC43">
        <f>'Grid_SelfBalance'!BC43+'Grid_TTAFBalance'!BC43</f>
        <v/>
      </c>
      <c r="BD43">
        <f>'Grid_SelfBalance'!BD43+'Grid_TTAFBalance'!BD43</f>
        <v/>
      </c>
      <c r="BE43">
        <f>'Grid_SelfBalance'!BE43+'Grid_TTAFBalance'!BE43</f>
        <v/>
      </c>
      <c r="BF43">
        <f>'Grid_SelfBalance'!BF43+'Grid_TTAFBalance'!BF43</f>
        <v/>
      </c>
      <c r="BG43">
        <f>'Grid_SelfBalance'!BG43+'Grid_TTAFBalance'!BG43</f>
        <v/>
      </c>
      <c r="BH43">
        <f>'Grid_SelfBalance'!BH43+'Grid_TTAFBalance'!BH43</f>
        <v/>
      </c>
      <c r="BI43">
        <f>'Grid_SelfBalance'!BI43+'Grid_TTAFBalance'!BI43</f>
        <v/>
      </c>
      <c r="BJ43">
        <f>'Grid_SelfBalance'!BJ43+'Grid_TTAFBalance'!BJ43</f>
        <v/>
      </c>
      <c r="BK43">
        <f>'Grid_SelfBalance'!BK43+'Grid_TTAFBalance'!BK43</f>
        <v/>
      </c>
      <c r="BL43">
        <f>'Grid_SelfBalance'!BL43+'Grid_TTAFBalance'!BL43</f>
        <v/>
      </c>
      <c r="BM43">
        <f>'Grid_SelfBalance'!BM43+'Grid_TTAFBalance'!BM43</f>
        <v/>
      </c>
      <c r="BN43">
        <f>'Grid_SelfBalance'!BN43+'Grid_TTAFBalance'!BN43</f>
        <v/>
      </c>
      <c r="BO43">
        <f>'Grid_SelfBalance'!BO43+'Grid_TTAFBalance'!BO43</f>
        <v/>
      </c>
      <c r="BP43">
        <f>'Grid_SelfBalance'!BP43+'Grid_TTAFBalance'!BP43</f>
        <v/>
      </c>
      <c r="BQ43">
        <f>'Grid_SelfBalance'!BQ43+'Grid_TTAFBalance'!BQ43</f>
        <v/>
      </c>
      <c r="BR43">
        <f>'Grid_SelfBalance'!BR43+'Grid_TTAFBalance'!BR43</f>
        <v/>
      </c>
      <c r="BS43">
        <f>'Grid_SelfBalance'!BS43+'Grid_TTAFBalance'!BS43</f>
        <v/>
      </c>
      <c r="BT43">
        <f>'Grid_SelfBalance'!BT43+'Grid_TTAFBalance'!BT43</f>
        <v/>
      </c>
      <c r="BU43">
        <f>'Grid_SelfBalance'!BU43+'Grid_TTAFBalance'!BU43</f>
        <v/>
      </c>
      <c r="BV43">
        <f>'Grid_SelfBalance'!BV43+'Grid_TTAFBalance'!BV43</f>
        <v/>
      </c>
      <c r="BW43">
        <f>'Grid_SelfBalance'!BW43+'Grid_TTAFBalance'!BW43</f>
        <v/>
      </c>
      <c r="BX43">
        <f>'Grid_SelfBalance'!BX43+'Grid_TTAFBalance'!BX43</f>
        <v/>
      </c>
      <c r="BY43">
        <f>'Grid_SelfBalance'!BY43+'Grid_TTAFBalance'!BY43</f>
        <v/>
      </c>
      <c r="BZ43">
        <f>'Grid_SelfBalance'!BZ43+'Grid_TTAFBalance'!BZ43</f>
        <v/>
      </c>
      <c r="CA43">
        <f>'Grid_SelfBalance'!CA43+'Grid_TTAFBalance'!CA43</f>
        <v/>
      </c>
      <c r="CB43">
        <f>'Grid_SelfBalance'!CB43+'Grid_TTAFBalance'!CB43</f>
        <v/>
      </c>
      <c r="CC43">
        <f>'Grid_SelfBalance'!CC43+'Grid_TTAFBalance'!CC43</f>
        <v/>
      </c>
      <c r="CD43">
        <f>'Grid_SelfBalance'!CD43+'Grid_TTAFBalance'!CD43</f>
        <v/>
      </c>
      <c r="CE43">
        <f>'Grid_SelfBalance'!CE43+'Grid_TTAFBalance'!CE43</f>
        <v/>
      </c>
      <c r="CF43">
        <f>'Grid_SelfBalance'!CF43+'Grid_TTAFBalance'!CF43</f>
        <v/>
      </c>
      <c r="CG43">
        <f>'Grid_SelfBalance'!CG43+'Grid_TTAFBalance'!CG43</f>
        <v/>
      </c>
      <c r="CH43">
        <f>'Grid_SelfBalance'!CH43+'Grid_TTAFBalance'!CH43</f>
        <v/>
      </c>
      <c r="CI43">
        <f>'Grid_SelfBalance'!CI43+'Grid_TTAFBalance'!CI43</f>
        <v/>
      </c>
      <c r="CJ43">
        <f>'Grid_SelfBalance'!CJ43+'Grid_TTAFBalance'!CJ43</f>
        <v/>
      </c>
      <c r="CK43">
        <f>'Grid_SelfBalance'!CK43+'Grid_TTAFBalance'!CK43</f>
        <v/>
      </c>
      <c r="CL43">
        <f>'Grid_SelfBalance'!CL43+'Grid_TTAFBalance'!CL43</f>
        <v/>
      </c>
      <c r="CM43">
        <f>'Grid_SelfBalance'!CM43+'Grid_TTAFBalance'!CM43</f>
        <v/>
      </c>
      <c r="CN43">
        <f>'Grid_SelfBalance'!CN43+'Grid_TTAFBalance'!CN43</f>
        <v/>
      </c>
      <c r="CO43">
        <f>'Grid_SelfBalance'!CO43+'Grid_TTAFBalance'!CO43</f>
        <v/>
      </c>
      <c r="CP43">
        <f>'Grid_SelfBalance'!CP43+'Grid_TTAFBalance'!CP43</f>
        <v/>
      </c>
      <c r="CQ43">
        <f>'Grid_SelfBalance'!CQ43+'Grid_TTAFBalance'!CQ43</f>
        <v/>
      </c>
      <c r="CR43">
        <f>'Grid_SelfBalance'!CR43+'Grid_TTAFBalance'!CR43</f>
        <v/>
      </c>
      <c r="CS43">
        <f>'Grid_SelfBalance'!CS43+'Grid_TTAFBalance'!CS43</f>
        <v/>
      </c>
      <c r="CT43">
        <f>'Grid_SelfBalance'!CT43+'Grid_TTAFBalance'!CT43</f>
        <v/>
      </c>
      <c r="CU43">
        <f>'Grid_SelfBalance'!CU43+'Grid_TTAFBalance'!CU43</f>
        <v/>
      </c>
      <c r="CV43">
        <f>'Grid_SelfBalance'!CV43+'Grid_TTAFBalance'!CV43</f>
        <v/>
      </c>
      <c r="CW43">
        <f>'Grid_SelfBalance'!CW43+'Grid_TTAFBalance'!CW43</f>
        <v/>
      </c>
      <c r="CX43">
        <f>'Grid_SelfBalance'!CX43+'Grid_TTAFBalance'!CX43</f>
        <v/>
      </c>
      <c r="CY43">
        <f>'Grid_SelfBalance'!CY43+'Grid_TTAFBalance'!CY43</f>
        <v/>
      </c>
      <c r="CZ43">
        <f>'Grid_SelfBalance'!CZ43+'Grid_TTAFBalance'!CZ43</f>
        <v/>
      </c>
      <c r="DA43">
        <f>'Grid_SelfBalance'!DA43+'Grid_TTAFBalance'!DA43</f>
        <v/>
      </c>
    </row>
    <row r="44">
      <c r="A44" t="inlineStr">
        <is>
          <t>3TP</t>
        </is>
      </c>
      <c r="B44">
        <f>'Grid_SelfBalance'!B44+'Grid_TTAFBalance'!B44</f>
        <v/>
      </c>
      <c r="C44">
        <f>'Grid_SelfBalance'!C44+'Grid_TTAFBalance'!C44</f>
        <v/>
      </c>
      <c r="D44">
        <f>'Grid_SelfBalance'!D44+'Grid_TTAFBalance'!D44</f>
        <v/>
      </c>
      <c r="E44">
        <f>'Grid_SelfBalance'!E44+'Grid_TTAFBalance'!E44</f>
        <v/>
      </c>
      <c r="F44">
        <f>'Grid_SelfBalance'!F44+'Grid_TTAFBalance'!F44</f>
        <v/>
      </c>
      <c r="G44">
        <f>'Grid_SelfBalance'!G44+'Grid_TTAFBalance'!G44</f>
        <v/>
      </c>
      <c r="H44">
        <f>'Grid_SelfBalance'!H44+'Grid_TTAFBalance'!H44</f>
        <v/>
      </c>
      <c r="I44">
        <f>'Grid_SelfBalance'!I44+'Grid_TTAFBalance'!I44</f>
        <v/>
      </c>
      <c r="J44">
        <f>'Grid_SelfBalance'!J44+'Grid_TTAFBalance'!J44</f>
        <v/>
      </c>
      <c r="K44">
        <f>'Grid_SelfBalance'!K44+'Grid_TTAFBalance'!K44</f>
        <v/>
      </c>
      <c r="L44">
        <f>'Grid_SelfBalance'!L44+'Grid_TTAFBalance'!L44</f>
        <v/>
      </c>
      <c r="M44">
        <f>'Grid_SelfBalance'!M44+'Grid_TTAFBalance'!M44</f>
        <v/>
      </c>
      <c r="N44">
        <f>'Grid_SelfBalance'!N44+'Grid_TTAFBalance'!N44</f>
        <v/>
      </c>
      <c r="O44">
        <f>'Grid_SelfBalance'!O44+'Grid_TTAFBalance'!O44</f>
        <v/>
      </c>
      <c r="P44">
        <f>'Grid_SelfBalance'!P44+'Grid_TTAFBalance'!P44</f>
        <v/>
      </c>
      <c r="Q44">
        <f>'Grid_SelfBalance'!Q44+'Grid_TTAFBalance'!Q44</f>
        <v/>
      </c>
      <c r="R44">
        <f>'Grid_SelfBalance'!R44+'Grid_TTAFBalance'!R44</f>
        <v/>
      </c>
      <c r="S44">
        <f>'Grid_SelfBalance'!S44+'Grid_TTAFBalance'!S44</f>
        <v/>
      </c>
      <c r="T44">
        <f>'Grid_SelfBalance'!T44+'Grid_TTAFBalance'!T44</f>
        <v/>
      </c>
      <c r="U44">
        <f>'Grid_SelfBalance'!U44+'Grid_TTAFBalance'!U44</f>
        <v/>
      </c>
      <c r="V44">
        <f>'Grid_SelfBalance'!V44+'Grid_TTAFBalance'!V44</f>
        <v/>
      </c>
      <c r="W44">
        <f>'Grid_SelfBalance'!W44+'Grid_TTAFBalance'!W44</f>
        <v/>
      </c>
      <c r="X44">
        <f>'Grid_SelfBalance'!X44+'Grid_TTAFBalance'!X44</f>
        <v/>
      </c>
      <c r="Y44">
        <f>'Grid_SelfBalance'!Y44+'Grid_TTAFBalance'!Y44</f>
        <v/>
      </c>
      <c r="Z44">
        <f>'Grid_SelfBalance'!Z44+'Grid_TTAFBalance'!Z44</f>
        <v/>
      </c>
      <c r="AA44">
        <f>'Grid_SelfBalance'!AA44+'Grid_TTAFBalance'!AA44</f>
        <v/>
      </c>
      <c r="AB44">
        <f>'Grid_SelfBalance'!AB44+'Grid_TTAFBalance'!AB44</f>
        <v/>
      </c>
      <c r="AC44">
        <f>'Grid_SelfBalance'!AC44+'Grid_TTAFBalance'!AC44</f>
        <v/>
      </c>
      <c r="AD44">
        <f>'Grid_SelfBalance'!AD44+'Grid_TTAFBalance'!AD44</f>
        <v/>
      </c>
      <c r="AE44">
        <f>'Grid_SelfBalance'!AE44+'Grid_TTAFBalance'!AE44</f>
        <v/>
      </c>
      <c r="AF44">
        <f>'Grid_SelfBalance'!AF44+'Grid_TTAFBalance'!AF44</f>
        <v/>
      </c>
      <c r="AG44">
        <f>'Grid_SelfBalance'!AG44+'Grid_TTAFBalance'!AG44</f>
        <v/>
      </c>
      <c r="AH44">
        <f>'Grid_SelfBalance'!AH44+'Grid_TTAFBalance'!AH44</f>
        <v/>
      </c>
      <c r="AI44">
        <f>'Grid_SelfBalance'!AI44+'Grid_TTAFBalance'!AI44</f>
        <v/>
      </c>
      <c r="AJ44">
        <f>'Grid_SelfBalance'!AJ44+'Grid_TTAFBalance'!AJ44</f>
        <v/>
      </c>
      <c r="AK44">
        <f>'Grid_SelfBalance'!AK44+'Grid_TTAFBalance'!AK44</f>
        <v/>
      </c>
      <c r="AL44">
        <f>'Grid_SelfBalance'!AL44+'Grid_TTAFBalance'!AL44</f>
        <v/>
      </c>
      <c r="AM44">
        <f>'Grid_SelfBalance'!AM44+'Grid_TTAFBalance'!AM44</f>
        <v/>
      </c>
      <c r="AN44">
        <f>'Grid_SelfBalance'!AN44+'Grid_TTAFBalance'!AN44</f>
        <v/>
      </c>
      <c r="AO44">
        <f>'Grid_SelfBalance'!AO44+'Grid_TTAFBalance'!AO44</f>
        <v/>
      </c>
      <c r="AP44">
        <f>'Grid_SelfBalance'!AP44+'Grid_TTAFBalance'!AP44</f>
        <v/>
      </c>
      <c r="AQ44">
        <f>'Grid_SelfBalance'!AQ44+'Grid_TTAFBalance'!AQ44</f>
        <v/>
      </c>
      <c r="AR44">
        <f>'Grid_SelfBalance'!AR44+'Grid_TTAFBalance'!AR44</f>
        <v/>
      </c>
      <c r="AS44">
        <f>'Grid_SelfBalance'!AS44+'Grid_TTAFBalance'!AS44</f>
        <v/>
      </c>
      <c r="AT44">
        <f>'Grid_SelfBalance'!AT44+'Grid_TTAFBalance'!AT44</f>
        <v/>
      </c>
      <c r="AU44">
        <f>'Grid_SelfBalance'!AU44+'Grid_TTAFBalance'!AU44</f>
        <v/>
      </c>
      <c r="AV44">
        <f>'Grid_SelfBalance'!AV44+'Grid_TTAFBalance'!AV44</f>
        <v/>
      </c>
      <c r="AW44">
        <f>'Grid_SelfBalance'!AW44+'Grid_TTAFBalance'!AW44</f>
        <v/>
      </c>
      <c r="AX44">
        <f>'Grid_SelfBalance'!AX44+'Grid_TTAFBalance'!AX44</f>
        <v/>
      </c>
      <c r="AY44">
        <f>'Grid_SelfBalance'!AY44+'Grid_TTAFBalance'!AY44</f>
        <v/>
      </c>
      <c r="AZ44">
        <f>'Grid_SelfBalance'!AZ44+'Grid_TTAFBalance'!AZ44</f>
        <v/>
      </c>
      <c r="BA44">
        <f>'Grid_SelfBalance'!BA44+'Grid_TTAFBalance'!BA44</f>
        <v/>
      </c>
      <c r="BB44">
        <f>'Grid_SelfBalance'!BB44+'Grid_TTAFBalance'!BB44</f>
        <v/>
      </c>
      <c r="BC44">
        <f>'Grid_SelfBalance'!BC44+'Grid_TTAFBalance'!BC44</f>
        <v/>
      </c>
      <c r="BD44">
        <f>'Grid_SelfBalance'!BD44+'Grid_TTAFBalance'!BD44</f>
        <v/>
      </c>
      <c r="BE44">
        <f>'Grid_SelfBalance'!BE44+'Grid_TTAFBalance'!BE44</f>
        <v/>
      </c>
      <c r="BF44">
        <f>'Grid_SelfBalance'!BF44+'Grid_TTAFBalance'!BF44</f>
        <v/>
      </c>
      <c r="BG44">
        <f>'Grid_SelfBalance'!BG44+'Grid_TTAFBalance'!BG44</f>
        <v/>
      </c>
      <c r="BH44">
        <f>'Grid_SelfBalance'!BH44+'Grid_TTAFBalance'!BH44</f>
        <v/>
      </c>
      <c r="BI44">
        <f>'Grid_SelfBalance'!BI44+'Grid_TTAFBalance'!BI44</f>
        <v/>
      </c>
      <c r="BJ44">
        <f>'Grid_SelfBalance'!BJ44+'Grid_TTAFBalance'!BJ44</f>
        <v/>
      </c>
      <c r="BK44">
        <f>'Grid_SelfBalance'!BK44+'Grid_TTAFBalance'!BK44</f>
        <v/>
      </c>
      <c r="BL44">
        <f>'Grid_SelfBalance'!BL44+'Grid_TTAFBalance'!BL44</f>
        <v/>
      </c>
      <c r="BM44">
        <f>'Grid_SelfBalance'!BM44+'Grid_TTAFBalance'!BM44</f>
        <v/>
      </c>
      <c r="BN44">
        <f>'Grid_SelfBalance'!BN44+'Grid_TTAFBalance'!BN44</f>
        <v/>
      </c>
      <c r="BO44">
        <f>'Grid_SelfBalance'!BO44+'Grid_TTAFBalance'!BO44</f>
        <v/>
      </c>
      <c r="BP44">
        <f>'Grid_SelfBalance'!BP44+'Grid_TTAFBalance'!BP44</f>
        <v/>
      </c>
      <c r="BQ44">
        <f>'Grid_SelfBalance'!BQ44+'Grid_TTAFBalance'!BQ44</f>
        <v/>
      </c>
      <c r="BR44">
        <f>'Grid_SelfBalance'!BR44+'Grid_TTAFBalance'!BR44</f>
        <v/>
      </c>
      <c r="BS44">
        <f>'Grid_SelfBalance'!BS44+'Grid_TTAFBalance'!BS44</f>
        <v/>
      </c>
      <c r="BT44">
        <f>'Grid_SelfBalance'!BT44+'Grid_TTAFBalance'!BT44</f>
        <v/>
      </c>
      <c r="BU44">
        <f>'Grid_SelfBalance'!BU44+'Grid_TTAFBalance'!BU44</f>
        <v/>
      </c>
      <c r="BV44">
        <f>'Grid_SelfBalance'!BV44+'Grid_TTAFBalance'!BV44</f>
        <v/>
      </c>
      <c r="BW44">
        <f>'Grid_SelfBalance'!BW44+'Grid_TTAFBalance'!BW44</f>
        <v/>
      </c>
      <c r="BX44">
        <f>'Grid_SelfBalance'!BX44+'Grid_TTAFBalance'!BX44</f>
        <v/>
      </c>
      <c r="BY44">
        <f>'Grid_SelfBalance'!BY44+'Grid_TTAFBalance'!BY44</f>
        <v/>
      </c>
      <c r="BZ44">
        <f>'Grid_SelfBalance'!BZ44+'Grid_TTAFBalance'!BZ44</f>
        <v/>
      </c>
      <c r="CA44">
        <f>'Grid_SelfBalance'!CA44+'Grid_TTAFBalance'!CA44</f>
        <v/>
      </c>
      <c r="CB44">
        <f>'Grid_SelfBalance'!CB44+'Grid_TTAFBalance'!CB44</f>
        <v/>
      </c>
      <c r="CC44">
        <f>'Grid_SelfBalance'!CC44+'Grid_TTAFBalance'!CC44</f>
        <v/>
      </c>
      <c r="CD44">
        <f>'Grid_SelfBalance'!CD44+'Grid_TTAFBalance'!CD44</f>
        <v/>
      </c>
      <c r="CE44">
        <f>'Grid_SelfBalance'!CE44+'Grid_TTAFBalance'!CE44</f>
        <v/>
      </c>
      <c r="CF44">
        <f>'Grid_SelfBalance'!CF44+'Grid_TTAFBalance'!CF44</f>
        <v/>
      </c>
      <c r="CG44">
        <f>'Grid_SelfBalance'!CG44+'Grid_TTAFBalance'!CG44</f>
        <v/>
      </c>
      <c r="CH44">
        <f>'Grid_SelfBalance'!CH44+'Grid_TTAFBalance'!CH44</f>
        <v/>
      </c>
      <c r="CI44">
        <f>'Grid_SelfBalance'!CI44+'Grid_TTAFBalance'!CI44</f>
        <v/>
      </c>
      <c r="CJ44">
        <f>'Grid_SelfBalance'!CJ44+'Grid_TTAFBalance'!CJ44</f>
        <v/>
      </c>
      <c r="CK44">
        <f>'Grid_SelfBalance'!CK44+'Grid_TTAFBalance'!CK44</f>
        <v/>
      </c>
      <c r="CL44">
        <f>'Grid_SelfBalance'!CL44+'Grid_TTAFBalance'!CL44</f>
        <v/>
      </c>
      <c r="CM44">
        <f>'Grid_SelfBalance'!CM44+'Grid_TTAFBalance'!CM44</f>
        <v/>
      </c>
      <c r="CN44">
        <f>'Grid_SelfBalance'!CN44+'Grid_TTAFBalance'!CN44</f>
        <v/>
      </c>
      <c r="CO44">
        <f>'Grid_SelfBalance'!CO44+'Grid_TTAFBalance'!CO44</f>
        <v/>
      </c>
      <c r="CP44">
        <f>'Grid_SelfBalance'!CP44+'Grid_TTAFBalance'!CP44</f>
        <v/>
      </c>
      <c r="CQ44">
        <f>'Grid_SelfBalance'!CQ44+'Grid_TTAFBalance'!CQ44</f>
        <v/>
      </c>
      <c r="CR44">
        <f>'Grid_SelfBalance'!CR44+'Grid_TTAFBalance'!CR44</f>
        <v/>
      </c>
      <c r="CS44">
        <f>'Grid_SelfBalance'!CS44+'Grid_TTAFBalance'!CS44</f>
        <v/>
      </c>
      <c r="CT44">
        <f>'Grid_SelfBalance'!CT44+'Grid_TTAFBalance'!CT44</f>
        <v/>
      </c>
      <c r="CU44">
        <f>'Grid_SelfBalance'!CU44+'Grid_TTAFBalance'!CU44</f>
        <v/>
      </c>
      <c r="CV44">
        <f>'Grid_SelfBalance'!CV44+'Grid_TTAFBalance'!CV44</f>
        <v/>
      </c>
      <c r="CW44">
        <f>'Grid_SelfBalance'!CW44+'Grid_TTAFBalance'!CW44</f>
        <v/>
      </c>
      <c r="CX44">
        <f>'Grid_SelfBalance'!CX44+'Grid_TTAFBalance'!CX44</f>
        <v/>
      </c>
      <c r="CY44">
        <f>'Grid_SelfBalance'!CY44+'Grid_TTAFBalance'!CY44</f>
        <v/>
      </c>
      <c r="CZ44">
        <f>'Grid_SelfBalance'!CZ44+'Grid_TTAFBalance'!CZ44</f>
        <v/>
      </c>
      <c r="DA44">
        <f>'Grid_SelfBalance'!DA44+'Grid_TTAFBalance'!DA44</f>
        <v/>
      </c>
    </row>
    <row r="45">
      <c r="A45" t="inlineStr">
        <is>
          <t>A043</t>
        </is>
      </c>
      <c r="B45">
        <f>'Grid_SelfBalance'!B45+'Grid_TTAFBalance'!B45</f>
        <v/>
      </c>
      <c r="C45">
        <f>'Grid_SelfBalance'!C45+'Grid_TTAFBalance'!C45</f>
        <v/>
      </c>
      <c r="D45">
        <f>'Grid_SelfBalance'!D45+'Grid_TTAFBalance'!D45</f>
        <v/>
      </c>
      <c r="E45">
        <f>'Grid_SelfBalance'!E45+'Grid_TTAFBalance'!E45</f>
        <v/>
      </c>
      <c r="F45">
        <f>'Grid_SelfBalance'!F45+'Grid_TTAFBalance'!F45</f>
        <v/>
      </c>
      <c r="G45">
        <f>'Grid_SelfBalance'!G45+'Grid_TTAFBalance'!G45</f>
        <v/>
      </c>
      <c r="H45">
        <f>'Grid_SelfBalance'!H45+'Grid_TTAFBalance'!H45</f>
        <v/>
      </c>
      <c r="I45">
        <f>'Grid_SelfBalance'!I45+'Grid_TTAFBalance'!I45</f>
        <v/>
      </c>
      <c r="J45">
        <f>'Grid_SelfBalance'!J45+'Grid_TTAFBalance'!J45</f>
        <v/>
      </c>
      <c r="K45">
        <f>'Grid_SelfBalance'!K45+'Grid_TTAFBalance'!K45</f>
        <v/>
      </c>
      <c r="L45">
        <f>'Grid_SelfBalance'!L45+'Grid_TTAFBalance'!L45</f>
        <v/>
      </c>
      <c r="M45">
        <f>'Grid_SelfBalance'!M45+'Grid_TTAFBalance'!M45</f>
        <v/>
      </c>
      <c r="N45">
        <f>'Grid_SelfBalance'!N45+'Grid_TTAFBalance'!N45</f>
        <v/>
      </c>
      <c r="O45">
        <f>'Grid_SelfBalance'!O45+'Grid_TTAFBalance'!O45</f>
        <v/>
      </c>
      <c r="P45">
        <f>'Grid_SelfBalance'!P45+'Grid_TTAFBalance'!P45</f>
        <v/>
      </c>
      <c r="Q45">
        <f>'Grid_SelfBalance'!Q45+'Grid_TTAFBalance'!Q45</f>
        <v/>
      </c>
      <c r="R45">
        <f>'Grid_SelfBalance'!R45+'Grid_TTAFBalance'!R45</f>
        <v/>
      </c>
      <c r="S45">
        <f>'Grid_SelfBalance'!S45+'Grid_TTAFBalance'!S45</f>
        <v/>
      </c>
      <c r="T45">
        <f>'Grid_SelfBalance'!T45+'Grid_TTAFBalance'!T45</f>
        <v/>
      </c>
      <c r="U45">
        <f>'Grid_SelfBalance'!U45+'Grid_TTAFBalance'!U45</f>
        <v/>
      </c>
      <c r="V45">
        <f>'Grid_SelfBalance'!V45+'Grid_TTAFBalance'!V45</f>
        <v/>
      </c>
      <c r="W45">
        <f>'Grid_SelfBalance'!W45+'Grid_TTAFBalance'!W45</f>
        <v/>
      </c>
      <c r="X45">
        <f>'Grid_SelfBalance'!X45+'Grid_TTAFBalance'!X45</f>
        <v/>
      </c>
      <c r="Y45">
        <f>'Grid_SelfBalance'!Y45+'Grid_TTAFBalance'!Y45</f>
        <v/>
      </c>
      <c r="Z45">
        <f>'Grid_SelfBalance'!Z45+'Grid_TTAFBalance'!Z45</f>
        <v/>
      </c>
      <c r="AA45">
        <f>'Grid_SelfBalance'!AA45+'Grid_TTAFBalance'!AA45</f>
        <v/>
      </c>
      <c r="AB45">
        <f>'Grid_SelfBalance'!AB45+'Grid_TTAFBalance'!AB45</f>
        <v/>
      </c>
      <c r="AC45">
        <f>'Grid_SelfBalance'!AC45+'Grid_TTAFBalance'!AC45</f>
        <v/>
      </c>
      <c r="AD45">
        <f>'Grid_SelfBalance'!AD45+'Grid_TTAFBalance'!AD45</f>
        <v/>
      </c>
      <c r="AE45">
        <f>'Grid_SelfBalance'!AE45+'Grid_TTAFBalance'!AE45</f>
        <v/>
      </c>
      <c r="AF45">
        <f>'Grid_SelfBalance'!AF45+'Grid_TTAFBalance'!AF45</f>
        <v/>
      </c>
      <c r="AG45">
        <f>'Grid_SelfBalance'!AG45+'Grid_TTAFBalance'!AG45</f>
        <v/>
      </c>
      <c r="AH45">
        <f>'Grid_SelfBalance'!AH45+'Grid_TTAFBalance'!AH45</f>
        <v/>
      </c>
      <c r="AI45">
        <f>'Grid_SelfBalance'!AI45+'Grid_TTAFBalance'!AI45</f>
        <v/>
      </c>
      <c r="AJ45">
        <f>'Grid_SelfBalance'!AJ45+'Grid_TTAFBalance'!AJ45</f>
        <v/>
      </c>
      <c r="AK45">
        <f>'Grid_SelfBalance'!AK45+'Grid_TTAFBalance'!AK45</f>
        <v/>
      </c>
      <c r="AL45">
        <f>'Grid_SelfBalance'!AL45+'Grid_TTAFBalance'!AL45</f>
        <v/>
      </c>
      <c r="AM45">
        <f>'Grid_SelfBalance'!AM45+'Grid_TTAFBalance'!AM45</f>
        <v/>
      </c>
      <c r="AN45">
        <f>'Grid_SelfBalance'!AN45+'Grid_TTAFBalance'!AN45</f>
        <v/>
      </c>
      <c r="AO45">
        <f>'Grid_SelfBalance'!AO45+'Grid_TTAFBalance'!AO45</f>
        <v/>
      </c>
      <c r="AP45">
        <f>'Grid_SelfBalance'!AP45+'Grid_TTAFBalance'!AP45</f>
        <v/>
      </c>
      <c r="AQ45">
        <f>'Grid_SelfBalance'!AQ45+'Grid_TTAFBalance'!AQ45</f>
        <v/>
      </c>
      <c r="AR45">
        <f>'Grid_SelfBalance'!AR45+'Grid_TTAFBalance'!AR45</f>
        <v/>
      </c>
      <c r="AS45">
        <f>'Grid_SelfBalance'!AS45+'Grid_TTAFBalance'!AS45</f>
        <v/>
      </c>
      <c r="AT45">
        <f>'Grid_SelfBalance'!AT45+'Grid_TTAFBalance'!AT45</f>
        <v/>
      </c>
      <c r="AU45">
        <f>'Grid_SelfBalance'!AU45+'Grid_TTAFBalance'!AU45</f>
        <v/>
      </c>
      <c r="AV45">
        <f>'Grid_SelfBalance'!AV45+'Grid_TTAFBalance'!AV45</f>
        <v/>
      </c>
      <c r="AW45">
        <f>'Grid_SelfBalance'!AW45+'Grid_TTAFBalance'!AW45</f>
        <v/>
      </c>
      <c r="AX45">
        <f>'Grid_SelfBalance'!AX45+'Grid_TTAFBalance'!AX45</f>
        <v/>
      </c>
      <c r="AY45">
        <f>'Grid_SelfBalance'!AY45+'Grid_TTAFBalance'!AY45</f>
        <v/>
      </c>
      <c r="AZ45">
        <f>'Grid_SelfBalance'!AZ45+'Grid_TTAFBalance'!AZ45</f>
        <v/>
      </c>
      <c r="BA45">
        <f>'Grid_SelfBalance'!BA45+'Grid_TTAFBalance'!BA45</f>
        <v/>
      </c>
      <c r="BB45">
        <f>'Grid_SelfBalance'!BB45+'Grid_TTAFBalance'!BB45</f>
        <v/>
      </c>
      <c r="BC45">
        <f>'Grid_SelfBalance'!BC45+'Grid_TTAFBalance'!BC45</f>
        <v/>
      </c>
      <c r="BD45">
        <f>'Grid_SelfBalance'!BD45+'Grid_TTAFBalance'!BD45</f>
        <v/>
      </c>
      <c r="BE45">
        <f>'Grid_SelfBalance'!BE45+'Grid_TTAFBalance'!BE45</f>
        <v/>
      </c>
      <c r="BF45">
        <f>'Grid_SelfBalance'!BF45+'Grid_TTAFBalance'!BF45</f>
        <v/>
      </c>
      <c r="BG45">
        <f>'Grid_SelfBalance'!BG45+'Grid_TTAFBalance'!BG45</f>
        <v/>
      </c>
      <c r="BH45">
        <f>'Grid_SelfBalance'!BH45+'Grid_TTAFBalance'!BH45</f>
        <v/>
      </c>
      <c r="BI45">
        <f>'Grid_SelfBalance'!BI45+'Grid_TTAFBalance'!BI45</f>
        <v/>
      </c>
      <c r="BJ45">
        <f>'Grid_SelfBalance'!BJ45+'Grid_TTAFBalance'!BJ45</f>
        <v/>
      </c>
      <c r="BK45">
        <f>'Grid_SelfBalance'!BK45+'Grid_TTAFBalance'!BK45</f>
        <v/>
      </c>
      <c r="BL45">
        <f>'Grid_SelfBalance'!BL45+'Grid_TTAFBalance'!BL45</f>
        <v/>
      </c>
      <c r="BM45">
        <f>'Grid_SelfBalance'!BM45+'Grid_TTAFBalance'!BM45</f>
        <v/>
      </c>
      <c r="BN45">
        <f>'Grid_SelfBalance'!BN45+'Grid_TTAFBalance'!BN45</f>
        <v/>
      </c>
      <c r="BO45">
        <f>'Grid_SelfBalance'!BO45+'Grid_TTAFBalance'!BO45</f>
        <v/>
      </c>
      <c r="BP45">
        <f>'Grid_SelfBalance'!BP45+'Grid_TTAFBalance'!BP45</f>
        <v/>
      </c>
      <c r="BQ45">
        <f>'Grid_SelfBalance'!BQ45+'Grid_TTAFBalance'!BQ45</f>
        <v/>
      </c>
      <c r="BR45">
        <f>'Grid_SelfBalance'!BR45+'Grid_TTAFBalance'!BR45</f>
        <v/>
      </c>
      <c r="BS45">
        <f>'Grid_SelfBalance'!BS45+'Grid_TTAFBalance'!BS45</f>
        <v/>
      </c>
      <c r="BT45">
        <f>'Grid_SelfBalance'!BT45+'Grid_TTAFBalance'!BT45</f>
        <v/>
      </c>
      <c r="BU45">
        <f>'Grid_SelfBalance'!BU45+'Grid_TTAFBalance'!BU45</f>
        <v/>
      </c>
      <c r="BV45">
        <f>'Grid_SelfBalance'!BV45+'Grid_TTAFBalance'!BV45</f>
        <v/>
      </c>
      <c r="BW45">
        <f>'Grid_SelfBalance'!BW45+'Grid_TTAFBalance'!BW45</f>
        <v/>
      </c>
      <c r="BX45">
        <f>'Grid_SelfBalance'!BX45+'Grid_TTAFBalance'!BX45</f>
        <v/>
      </c>
      <c r="BY45">
        <f>'Grid_SelfBalance'!BY45+'Grid_TTAFBalance'!BY45</f>
        <v/>
      </c>
      <c r="BZ45">
        <f>'Grid_SelfBalance'!BZ45+'Grid_TTAFBalance'!BZ45</f>
        <v/>
      </c>
      <c r="CA45">
        <f>'Grid_SelfBalance'!CA45+'Grid_TTAFBalance'!CA45</f>
        <v/>
      </c>
      <c r="CB45">
        <f>'Grid_SelfBalance'!CB45+'Grid_TTAFBalance'!CB45</f>
        <v/>
      </c>
      <c r="CC45">
        <f>'Grid_SelfBalance'!CC45+'Grid_TTAFBalance'!CC45</f>
        <v/>
      </c>
      <c r="CD45">
        <f>'Grid_SelfBalance'!CD45+'Grid_TTAFBalance'!CD45</f>
        <v/>
      </c>
      <c r="CE45">
        <f>'Grid_SelfBalance'!CE45+'Grid_TTAFBalance'!CE45</f>
        <v/>
      </c>
      <c r="CF45">
        <f>'Grid_SelfBalance'!CF45+'Grid_TTAFBalance'!CF45</f>
        <v/>
      </c>
      <c r="CG45">
        <f>'Grid_SelfBalance'!CG45+'Grid_TTAFBalance'!CG45</f>
        <v/>
      </c>
      <c r="CH45">
        <f>'Grid_SelfBalance'!CH45+'Grid_TTAFBalance'!CH45</f>
        <v/>
      </c>
      <c r="CI45">
        <f>'Grid_SelfBalance'!CI45+'Grid_TTAFBalance'!CI45</f>
        <v/>
      </c>
      <c r="CJ45">
        <f>'Grid_SelfBalance'!CJ45+'Grid_TTAFBalance'!CJ45</f>
        <v/>
      </c>
      <c r="CK45">
        <f>'Grid_SelfBalance'!CK45+'Grid_TTAFBalance'!CK45</f>
        <v/>
      </c>
      <c r="CL45">
        <f>'Grid_SelfBalance'!CL45+'Grid_TTAFBalance'!CL45</f>
        <v/>
      </c>
      <c r="CM45">
        <f>'Grid_SelfBalance'!CM45+'Grid_TTAFBalance'!CM45</f>
        <v/>
      </c>
      <c r="CN45">
        <f>'Grid_SelfBalance'!CN45+'Grid_TTAFBalance'!CN45</f>
        <v/>
      </c>
      <c r="CO45">
        <f>'Grid_SelfBalance'!CO45+'Grid_TTAFBalance'!CO45</f>
        <v/>
      </c>
      <c r="CP45">
        <f>'Grid_SelfBalance'!CP45+'Grid_TTAFBalance'!CP45</f>
        <v/>
      </c>
      <c r="CQ45">
        <f>'Grid_SelfBalance'!CQ45+'Grid_TTAFBalance'!CQ45</f>
        <v/>
      </c>
      <c r="CR45">
        <f>'Grid_SelfBalance'!CR45+'Grid_TTAFBalance'!CR45</f>
        <v/>
      </c>
      <c r="CS45">
        <f>'Grid_SelfBalance'!CS45+'Grid_TTAFBalance'!CS45</f>
        <v/>
      </c>
      <c r="CT45">
        <f>'Grid_SelfBalance'!CT45+'Grid_TTAFBalance'!CT45</f>
        <v/>
      </c>
      <c r="CU45">
        <f>'Grid_SelfBalance'!CU45+'Grid_TTAFBalance'!CU45</f>
        <v/>
      </c>
      <c r="CV45">
        <f>'Grid_SelfBalance'!CV45+'Grid_TTAFBalance'!CV45</f>
        <v/>
      </c>
      <c r="CW45">
        <f>'Grid_SelfBalance'!CW45+'Grid_TTAFBalance'!CW45</f>
        <v/>
      </c>
      <c r="CX45">
        <f>'Grid_SelfBalance'!CX45+'Grid_TTAFBalance'!CX45</f>
        <v/>
      </c>
      <c r="CY45">
        <f>'Grid_SelfBalance'!CY45+'Grid_TTAFBalance'!CY45</f>
        <v/>
      </c>
      <c r="CZ45">
        <f>'Grid_SelfBalance'!CZ45+'Grid_TTAFBalance'!CZ45</f>
        <v/>
      </c>
      <c r="DA45">
        <f>'Grid_SelfBalance'!DA45+'Grid_TTAFBalance'!DA45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2026-07-24T10:09:08Z</dcterms:created>
  <dcterms:modified xsi:type="dcterms:W3CDTF">2026-07-24T10:09:10Z</dcterms:modified>
</cp:coreProperties>
</file>